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July20/"/>
    </mc:Choice>
  </mc:AlternateContent>
  <xr:revisionPtr revIDLastSave="0" documentId="13_ncr:1_{D9D6C6A0-A9CD-1B4F-AD5A-E3E426FB44F8}" xr6:coauthVersionLast="45" xr6:coauthVersionMax="45" xr10:uidLastSave="{00000000-0000-0000-0000-000000000000}"/>
  <bookViews>
    <workbookView xWindow="0" yWindow="460" windowWidth="33600" windowHeight="19540" activeTab="5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Sheet1" sheetId="27" r:id="rId12"/>
    <sheet name="Equity vs Govt Bond vol" sheetId="6" r:id="rId13"/>
    <sheet name="Country GDP" sheetId="9" r:id="rId14"/>
    <sheet name="Ratings worksheet" sheetId="19" r:id="rId15"/>
    <sheet name="Country Tax Rates" sheetId="24" r:id="rId16"/>
    <sheet name="PRS Worksheet" sheetId="23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pivotCaches>
    <pivotCache cacheId="9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9" l="1"/>
  <c r="G49" i="19"/>
  <c r="G133" i="19"/>
  <c r="G111" i="19"/>
  <c r="G47" i="19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5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D4" i="5"/>
  <c r="D3" i="5"/>
  <c r="C3" i="19" l="1"/>
  <c r="B3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A82" i="19"/>
  <c r="C2" i="19"/>
  <c r="B2" i="19"/>
  <c r="B79" i="24" l="1"/>
  <c r="K25" i="1"/>
  <c r="J27" i="1"/>
  <c r="J28" i="1"/>
  <c r="J29" i="1"/>
  <c r="C154" i="2"/>
  <c r="C155" i="2"/>
  <c r="C161" i="1" s="1"/>
  <c r="H82" i="3"/>
  <c r="D82" i="3"/>
  <c r="B82" i="3"/>
  <c r="C82" i="2"/>
  <c r="C88" i="1" s="1"/>
  <c r="B82" i="2"/>
  <c r="A82" i="2"/>
  <c r="A82" i="3" s="1"/>
  <c r="I82" i="3" s="1"/>
  <c r="J105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D15" i="26"/>
  <c r="D16" i="26"/>
  <c r="B31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I1320" i="26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93" i="10"/>
  <c r="C193" i="10"/>
  <c r="D192" i="10"/>
  <c r="C192" i="10"/>
  <c r="B180" i="23"/>
  <c r="B186" i="1" s="1"/>
  <c r="B179" i="23"/>
  <c r="B185" i="1" s="1"/>
  <c r="B178" i="23"/>
  <c r="B177" i="23"/>
  <c r="B176" i="23"/>
  <c r="B175" i="23"/>
  <c r="B174" i="23"/>
  <c r="B173" i="23"/>
  <c r="B172" i="23"/>
  <c r="B171" i="23"/>
  <c r="B177" i="1" s="1"/>
  <c r="B170" i="23"/>
  <c r="B169" i="23"/>
  <c r="B168" i="23"/>
  <c r="B167" i="23"/>
  <c r="B166" i="23"/>
  <c r="B165" i="23"/>
  <c r="B164" i="23"/>
  <c r="B163" i="23"/>
  <c r="B169" i="1" s="1"/>
  <c r="B162" i="23"/>
  <c r="B161" i="23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9"/>
  <c r="B53" i="3"/>
  <c r="B52" i="9"/>
  <c r="B52" i="3"/>
  <c r="B51" i="9"/>
  <c r="B51" i="3"/>
  <c r="B50" i="9"/>
  <c r="B50" i="3"/>
  <c r="B49" i="9"/>
  <c r="B49" i="3"/>
  <c r="B48" i="9"/>
  <c r="B48" i="3"/>
  <c r="B47" i="9"/>
  <c r="B47" i="3"/>
  <c r="B46" i="9"/>
  <c r="B46" i="3"/>
  <c r="B45" i="9"/>
  <c r="B45" i="3"/>
  <c r="B44" i="9"/>
  <c r="B44" i="3"/>
  <c r="B43" i="9"/>
  <c r="B43" i="3"/>
  <c r="B42" i="9"/>
  <c r="B42" i="3"/>
  <c r="B41" i="9"/>
  <c r="B41" i="3"/>
  <c r="B40" i="9"/>
  <c r="B40" i="3"/>
  <c r="B39" i="9"/>
  <c r="B39" i="3"/>
  <c r="B38" i="9"/>
  <c r="B38" i="3"/>
  <c r="B36" i="9"/>
  <c r="B36" i="3"/>
  <c r="B35" i="9"/>
  <c r="B35" i="3"/>
  <c r="B34" i="9"/>
  <c r="B34" i="3"/>
  <c r="B33" i="9"/>
  <c r="B33" i="3"/>
  <c r="B32" i="9"/>
  <c r="B32" i="3"/>
  <c r="B31" i="9"/>
  <c r="B31" i="3"/>
  <c r="B29" i="9"/>
  <c r="B29" i="3"/>
  <c r="B28" i="9"/>
  <c r="B28" i="3"/>
  <c r="B27" i="9"/>
  <c r="B27" i="3"/>
  <c r="B26" i="9"/>
  <c r="B26" i="3"/>
  <c r="B25" i="9"/>
  <c r="B25" i="3"/>
  <c r="B24" i="9"/>
  <c r="B24" i="3"/>
  <c r="B23" i="9"/>
  <c r="B23" i="3"/>
  <c r="B22" i="9"/>
  <c r="B22" i="3"/>
  <c r="B21" i="9"/>
  <c r="B21" i="3"/>
  <c r="B20" i="9"/>
  <c r="B20" i="3"/>
  <c r="B19" i="9"/>
  <c r="B19" i="3"/>
  <c r="B18" i="9"/>
  <c r="B18" i="3"/>
  <c r="B17" i="9"/>
  <c r="B17" i="3"/>
  <c r="B16" i="9"/>
  <c r="B16" i="3"/>
  <c r="B15" i="9"/>
  <c r="B15" i="3"/>
  <c r="B14" i="9"/>
  <c r="B14" i="3"/>
  <c r="B13" i="9"/>
  <c r="B13" i="3"/>
  <c r="B12" i="9"/>
  <c r="B12" i="3"/>
  <c r="B11" i="9"/>
  <c r="B11" i="3"/>
  <c r="B10" i="9"/>
  <c r="B10" i="3"/>
  <c r="B9" i="9"/>
  <c r="B9" i="3"/>
  <c r="B8" i="9"/>
  <c r="B8" i="3"/>
  <c r="B7" i="9"/>
  <c r="B7" i="3"/>
  <c r="B6" i="9"/>
  <c r="B6" i="3"/>
  <c r="B5" i="9"/>
  <c r="B5" i="3"/>
  <c r="B4" i="9"/>
  <c r="B4" i="3"/>
  <c r="B3" i="9"/>
  <c r="B3" i="3"/>
  <c r="H106" i="3"/>
  <c r="A181" i="1"/>
  <c r="B181" i="1"/>
  <c r="C106" i="2"/>
  <c r="B106" i="2"/>
  <c r="A106" i="2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82" i="25" s="1"/>
  <c r="I7" i="25"/>
  <c r="I6" i="25"/>
  <c r="I5" i="25"/>
  <c r="I4" i="25"/>
  <c r="I3" i="25"/>
  <c r="B30" i="17"/>
  <c r="B20" i="17"/>
  <c r="B19" i="17"/>
  <c r="B123" i="10"/>
  <c r="I122" i="10" s="1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158" i="2"/>
  <c r="A158" i="3" s="1"/>
  <c r="I158" i="3" s="1"/>
  <c r="A157" i="2"/>
  <c r="A156" i="2"/>
  <c r="A155" i="2"/>
  <c r="A155" i="3" s="1"/>
  <c r="I155" i="3" s="1"/>
  <c r="A154" i="2"/>
  <c r="A160" i="1" s="1"/>
  <c r="A153" i="2"/>
  <c r="A153" i="5" s="1"/>
  <c r="A152" i="2"/>
  <c r="A152" i="5" s="1"/>
  <c r="C152" i="5" s="1"/>
  <c r="A151" i="2"/>
  <c r="A150" i="2"/>
  <c r="A150" i="5" s="1"/>
  <c r="A149" i="2"/>
  <c r="A149" i="3" s="1"/>
  <c r="I149" i="3" s="1"/>
  <c r="A148" i="2"/>
  <c r="A148" i="5" s="1"/>
  <c r="A147" i="2"/>
  <c r="A147" i="5" s="1"/>
  <c r="C147" i="5" s="1"/>
  <c r="A146" i="2"/>
  <c r="A146" i="3" s="1"/>
  <c r="I146" i="3" s="1"/>
  <c r="A145" i="2"/>
  <c r="A151" i="1" s="1"/>
  <c r="A144" i="2"/>
  <c r="A144" i="5" s="1"/>
  <c r="A143" i="2"/>
  <c r="A142" i="2"/>
  <c r="A142" i="5" s="1"/>
  <c r="A141" i="2"/>
  <c r="A141" i="3" s="1"/>
  <c r="I141" i="3" s="1"/>
  <c r="A140" i="2"/>
  <c r="A139" i="2"/>
  <c r="A139" i="3" s="1"/>
  <c r="I139" i="3" s="1"/>
  <c r="A138" i="2"/>
  <c r="A144" i="1" s="1"/>
  <c r="B144" i="1" s="1"/>
  <c r="A137" i="2"/>
  <c r="A137" i="3" s="1"/>
  <c r="I137" i="3" s="1"/>
  <c r="A136" i="2"/>
  <c r="A136" i="5" s="1"/>
  <c r="A135" i="2"/>
  <c r="A134" i="2"/>
  <c r="A134" i="5" s="1"/>
  <c r="A133" i="2"/>
  <c r="A133" i="3" s="1"/>
  <c r="I133" i="3" s="1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C128" i="5" s="1"/>
  <c r="A127" i="2"/>
  <c r="A126" i="2"/>
  <c r="A126" i="5" s="1"/>
  <c r="A125" i="2"/>
  <c r="A131" i="1" s="1"/>
  <c r="A124" i="2"/>
  <c r="A123" i="2"/>
  <c r="A123" i="3" s="1"/>
  <c r="I123" i="3" s="1"/>
  <c r="A122" i="2"/>
  <c r="A122" i="5" s="1"/>
  <c r="A121" i="2"/>
  <c r="A121" i="3" s="1"/>
  <c r="I121" i="3" s="1"/>
  <c r="A120" i="2"/>
  <c r="A120" i="3" s="1"/>
  <c r="I120" i="3" s="1"/>
  <c r="A119" i="2"/>
  <c r="A118" i="2"/>
  <c r="A118" i="3" s="1"/>
  <c r="I118" i="3" s="1"/>
  <c r="A117" i="2"/>
  <c r="A117" i="3" s="1"/>
  <c r="I117" i="3" s="1"/>
  <c r="A116" i="2"/>
  <c r="A115" i="2"/>
  <c r="A115" i="5" s="1"/>
  <c r="C115" i="5" s="1"/>
  <c r="A114" i="2"/>
  <c r="A120" i="1" s="1"/>
  <c r="A113" i="23" s="1"/>
  <c r="B113" i="23" s="1"/>
  <c r="A113" i="2"/>
  <c r="A113" i="5" s="1"/>
  <c r="A112" i="2"/>
  <c r="A112" i="5" s="1"/>
  <c r="A111" i="2"/>
  <c r="A110" i="2"/>
  <c r="A116" i="1" s="1"/>
  <c r="A109" i="2"/>
  <c r="A109" i="3" s="1"/>
  <c r="I109" i="3" s="1"/>
  <c r="A108" i="2"/>
  <c r="A107" i="2"/>
  <c r="A107" i="3" s="1"/>
  <c r="I107" i="3" s="1"/>
  <c r="A105" i="2"/>
  <c r="A105" i="5" s="1"/>
  <c r="A104" i="2"/>
  <c r="A104" i="3" s="1"/>
  <c r="I104" i="3" s="1"/>
  <c r="A103" i="2"/>
  <c r="A103" i="5" s="1"/>
  <c r="A102" i="2"/>
  <c r="A101" i="2"/>
  <c r="A101" i="5" s="1"/>
  <c r="A100" i="2"/>
  <c r="A100" i="3" s="1"/>
  <c r="I100" i="3" s="1"/>
  <c r="A99" i="2"/>
  <c r="A98" i="2"/>
  <c r="A98" i="5" s="1"/>
  <c r="A97" i="2"/>
  <c r="A97" i="5" s="1"/>
  <c r="A96" i="2"/>
  <c r="A96" i="5" s="1"/>
  <c r="A95" i="2"/>
  <c r="A101" i="1" s="1"/>
  <c r="A94" i="2"/>
  <c r="A93" i="2"/>
  <c r="A93" i="5" s="1"/>
  <c r="A92" i="2"/>
  <c r="A98" i="1" s="1"/>
  <c r="A91" i="23" s="1"/>
  <c r="B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 s="1"/>
  <c r="I86" i="3" s="1"/>
  <c r="A85" i="2"/>
  <c r="A85" i="3" s="1"/>
  <c r="I85" i="3" s="1"/>
  <c r="A84" i="2"/>
  <c r="A84" i="3" s="1"/>
  <c r="I84" i="3" s="1"/>
  <c r="A83" i="2"/>
  <c r="A83" i="3" s="1"/>
  <c r="I83" i="3" s="1"/>
  <c r="A81" i="2"/>
  <c r="A80" i="2"/>
  <c r="A80" i="3" s="1"/>
  <c r="I80" i="3" s="1"/>
  <c r="A79" i="2"/>
  <c r="A85" i="1" s="1"/>
  <c r="A78" i="2"/>
  <c r="A78" i="3" s="1"/>
  <c r="I78" i="3" s="1"/>
  <c r="A77" i="2"/>
  <c r="A77" i="3" s="1"/>
  <c r="I77" i="3" s="1"/>
  <c r="A76" i="2"/>
  <c r="A76" i="3" s="1"/>
  <c r="I76" i="3" s="1"/>
  <c r="A75" i="2"/>
  <c r="A74" i="2"/>
  <c r="A74" i="3" s="1"/>
  <c r="I74" i="3" s="1"/>
  <c r="A73" i="2"/>
  <c r="A73" i="3" s="1"/>
  <c r="I73" i="3" s="1"/>
  <c r="A72" i="2"/>
  <c r="A72" i="3" s="1"/>
  <c r="I72" i="3" s="1"/>
  <c r="A71" i="2"/>
  <c r="A71" i="5" s="1"/>
  <c r="C71" i="5" s="1"/>
  <c r="A70" i="2"/>
  <c r="A70" i="3" s="1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65" i="3" s="1"/>
  <c r="I65" i="3" s="1"/>
  <c r="A64" i="2"/>
  <c r="A64" i="3" s="1"/>
  <c r="I64" i="3" s="1"/>
  <c r="A63" i="2"/>
  <c r="A69" i="1" s="1"/>
  <c r="B69" i="1" s="1"/>
  <c r="A62" i="2"/>
  <c r="A62" i="3" s="1"/>
  <c r="I62" i="3" s="1"/>
  <c r="A61" i="2"/>
  <c r="A61" i="3" s="1"/>
  <c r="I61" i="3" s="1"/>
  <c r="A60" i="2"/>
  <c r="A60" i="3" s="1"/>
  <c r="I60" i="3" s="1"/>
  <c r="A59" i="2"/>
  <c r="A65" i="1" s="1"/>
  <c r="A58" i="2"/>
  <c r="A58" i="3"/>
  <c r="I58" i="3" s="1"/>
  <c r="A57" i="2"/>
  <c r="A57" i="5" s="1"/>
  <c r="A56" i="2"/>
  <c r="A56" i="3" s="1"/>
  <c r="I56" i="3" s="1"/>
  <c r="A55" i="2"/>
  <c r="A55" i="3" s="1"/>
  <c r="I55" i="3" s="1"/>
  <c r="A54" i="2"/>
  <c r="A54" i="3" s="1"/>
  <c r="I54" i="3" s="1"/>
  <c r="A53" i="2"/>
  <c r="A53" i="3" s="1"/>
  <c r="I53" i="3" s="1"/>
  <c r="A52" i="2"/>
  <c r="A52" i="5" s="1"/>
  <c r="A51" i="2"/>
  <c r="A51" i="3" s="1"/>
  <c r="I51" i="3" s="1"/>
  <c r="A50" i="2"/>
  <c r="A50" i="3" s="1"/>
  <c r="I50" i="3" s="1"/>
  <c r="A49" i="2"/>
  <c r="A49" i="3" s="1"/>
  <c r="I49" i="3" s="1"/>
  <c r="A48" i="2"/>
  <c r="A48" i="3" s="1"/>
  <c r="I48" i="3" s="1"/>
  <c r="A47" i="2"/>
  <c r="A47" i="3" s="1"/>
  <c r="I47" i="3" s="1"/>
  <c r="A46" i="2"/>
  <c r="A46" i="3" s="1"/>
  <c r="I46" i="3" s="1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 s="1"/>
  <c r="I34" i="3" s="1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 s="1"/>
  <c r="I28" i="3" s="1"/>
  <c r="A27" i="2"/>
  <c r="A27" i="3" s="1"/>
  <c r="I27" i="3" s="1"/>
  <c r="A26" i="2"/>
  <c r="A26" i="3" s="1"/>
  <c r="I26" i="3" s="1"/>
  <c r="A25" i="2"/>
  <c r="A25" i="3" s="1"/>
  <c r="I25" i="3" s="1"/>
  <c r="A24" i="2"/>
  <c r="A24" i="3" s="1"/>
  <c r="I24" i="3" s="1"/>
  <c r="A23" i="2"/>
  <c r="A23" i="3" s="1"/>
  <c r="I23" i="3" s="1"/>
  <c r="A22" i="2"/>
  <c r="A22" i="3" s="1"/>
  <c r="I22" i="3" s="1"/>
  <c r="A21" i="2"/>
  <c r="A21" i="3" s="1"/>
  <c r="I21" i="3" s="1"/>
  <c r="A20" i="2"/>
  <c r="A20" i="3" s="1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 s="1"/>
  <c r="I16" i="3" s="1"/>
  <c r="A15" i="2"/>
  <c r="A14" i="2"/>
  <c r="A14" i="5" s="1"/>
  <c r="A13" i="2"/>
  <c r="A13" i="3" s="1"/>
  <c r="I13" i="3" s="1"/>
  <c r="A12" i="2"/>
  <c r="A12" i="3" s="1"/>
  <c r="I12" i="3" s="1"/>
  <c r="A11" i="2"/>
  <c r="A11" i="3" s="1"/>
  <c r="I11" i="3" s="1"/>
  <c r="A10" i="2"/>
  <c r="A9" i="2"/>
  <c r="A9" i="3" s="1"/>
  <c r="I9" i="3" s="1"/>
  <c r="A8" i="2"/>
  <c r="A8" i="3" s="1"/>
  <c r="I8" i="3" s="1"/>
  <c r="A7" i="2"/>
  <c r="A7" i="3" s="1"/>
  <c r="I7" i="3" s="1"/>
  <c r="A6" i="2"/>
  <c r="A6" i="5" s="1"/>
  <c r="A5" i="2"/>
  <c r="A4" i="2"/>
  <c r="A4" i="3" s="1"/>
  <c r="I4" i="3" s="1"/>
  <c r="A3" i="2"/>
  <c r="A3" i="3" s="1"/>
  <c r="I3" i="3" s="1"/>
  <c r="B158" i="2"/>
  <c r="B157" i="2"/>
  <c r="B156" i="2"/>
  <c r="B155" i="2"/>
  <c r="B154" i="2"/>
  <c r="B153" i="2"/>
  <c r="C152" i="2"/>
  <c r="B152" i="2"/>
  <c r="C151" i="2"/>
  <c r="C157" i="1" s="1"/>
  <c r="B151" i="2"/>
  <c r="C150" i="2"/>
  <c r="C150" i="3" s="1"/>
  <c r="B150" i="2"/>
  <c r="C149" i="2"/>
  <c r="B149" i="5" s="1"/>
  <c r="B149" i="2"/>
  <c r="C148" i="2"/>
  <c r="B148" i="2"/>
  <c r="C147" i="2"/>
  <c r="B147" i="2"/>
  <c r="C146" i="2"/>
  <c r="C152" i="1" s="1"/>
  <c r="B146" i="2"/>
  <c r="C145" i="2"/>
  <c r="B145" i="5" s="1"/>
  <c r="B145" i="2"/>
  <c r="C144" i="2"/>
  <c r="C144" i="3" s="1"/>
  <c r="B144" i="2"/>
  <c r="C143" i="2"/>
  <c r="B143" i="2"/>
  <c r="C142" i="2"/>
  <c r="C142" i="3" s="1"/>
  <c r="B142" i="2"/>
  <c r="C141" i="2"/>
  <c r="B141" i="2"/>
  <c r="C140" i="2"/>
  <c r="B140" i="5" s="1"/>
  <c r="B140" i="2"/>
  <c r="C139" i="2"/>
  <c r="B139" i="5" s="1"/>
  <c r="B139" i="2"/>
  <c r="C138" i="2"/>
  <c r="C138" i="3" s="1"/>
  <c r="B138" i="2"/>
  <c r="C137" i="2"/>
  <c r="C143" i="1" s="1"/>
  <c r="B137" i="2"/>
  <c r="C136" i="2"/>
  <c r="C142" i="1" s="1"/>
  <c r="B136" i="2"/>
  <c r="C135" i="2"/>
  <c r="C135" i="3" s="1"/>
  <c r="B135" i="2"/>
  <c r="C134" i="2"/>
  <c r="C134" i="3" s="1"/>
  <c r="B134" i="2"/>
  <c r="C133" i="2"/>
  <c r="C139" i="1" s="1"/>
  <c r="D139" i="1" s="1"/>
  <c r="E133" i="3" s="1"/>
  <c r="B133" i="2"/>
  <c r="C132" i="2"/>
  <c r="B132" i="2"/>
  <c r="C131" i="2"/>
  <c r="B131" i="5" s="1"/>
  <c r="B131" i="2"/>
  <c r="C130" i="2"/>
  <c r="C136" i="1" s="1"/>
  <c r="B130" i="2"/>
  <c r="C129" i="2"/>
  <c r="C129" i="3" s="1"/>
  <c r="B129" i="2"/>
  <c r="C128" i="2"/>
  <c r="C128" i="3" s="1"/>
  <c r="B128" i="2"/>
  <c r="C127" i="2"/>
  <c r="B127" i="5" s="1"/>
  <c r="B127" i="2"/>
  <c r="C126" i="2"/>
  <c r="C126" i="3" s="1"/>
  <c r="B126" i="2"/>
  <c r="C125" i="2"/>
  <c r="B125" i="2"/>
  <c r="C124" i="2"/>
  <c r="B124" i="5" s="1"/>
  <c r="B124" i="2"/>
  <c r="C123" i="2"/>
  <c r="C123" i="3" s="1"/>
  <c r="B123" i="2"/>
  <c r="C122" i="2"/>
  <c r="C122" i="3" s="1"/>
  <c r="B122" i="2"/>
  <c r="C121" i="2"/>
  <c r="C121" i="3" s="1"/>
  <c r="B121" i="2"/>
  <c r="C120" i="2"/>
  <c r="C126" i="1" s="1"/>
  <c r="B120" i="2"/>
  <c r="C119" i="2"/>
  <c r="C119" i="3" s="1"/>
  <c r="B119" i="2"/>
  <c r="C118" i="2"/>
  <c r="C118" i="3" s="1"/>
  <c r="B118" i="2"/>
  <c r="C117" i="2"/>
  <c r="B117" i="2"/>
  <c r="C116" i="2"/>
  <c r="B116" i="2"/>
  <c r="C115" i="2"/>
  <c r="B115" i="2"/>
  <c r="C114" i="2"/>
  <c r="B114" i="2"/>
  <c r="C113" i="2"/>
  <c r="C113" i="3" s="1"/>
  <c r="B113" i="2"/>
  <c r="C112" i="2"/>
  <c r="C112" i="3" s="1"/>
  <c r="B112" i="2"/>
  <c r="C111" i="2"/>
  <c r="B111" i="2"/>
  <c r="C110" i="2"/>
  <c r="C110" i="3" s="1"/>
  <c r="B110" i="2"/>
  <c r="C109" i="2"/>
  <c r="B109" i="2"/>
  <c r="C108" i="2"/>
  <c r="B108" i="5" s="1"/>
  <c r="B108" i="2"/>
  <c r="C107" i="2"/>
  <c r="C113" i="1" s="1"/>
  <c r="B107" i="2"/>
  <c r="C105" i="2"/>
  <c r="B105" i="2"/>
  <c r="C104" i="2"/>
  <c r="B104" i="5" s="1"/>
  <c r="B104" i="2"/>
  <c r="C103" i="2"/>
  <c r="B103" i="5" s="1"/>
  <c r="B103" i="2"/>
  <c r="C102" i="2"/>
  <c r="C108" i="1" s="1"/>
  <c r="B102" i="2"/>
  <c r="C101" i="2"/>
  <c r="C101" i="3" s="1"/>
  <c r="B101" i="2"/>
  <c r="C100" i="2"/>
  <c r="B100" i="2"/>
  <c r="C99" i="2"/>
  <c r="B99" i="5" s="1"/>
  <c r="B99" i="2"/>
  <c r="C97" i="2"/>
  <c r="B97" i="5" s="1"/>
  <c r="B97" i="2"/>
  <c r="C96" i="2"/>
  <c r="C102" i="1" s="1"/>
  <c r="B96" i="2"/>
  <c r="C95" i="2"/>
  <c r="B95" i="2"/>
  <c r="C94" i="2"/>
  <c r="C100" i="1" s="1"/>
  <c r="B94" i="2"/>
  <c r="C93" i="2"/>
  <c r="C93" i="3" s="1"/>
  <c r="B93" i="2"/>
  <c r="C92" i="2"/>
  <c r="C98" i="1" s="1"/>
  <c r="B92" i="2"/>
  <c r="C91" i="2"/>
  <c r="B91" i="2"/>
  <c r="C90" i="2"/>
  <c r="B90" i="2"/>
  <c r="C89" i="2"/>
  <c r="C89" i="3" s="1"/>
  <c r="B89" i="2"/>
  <c r="C88" i="2"/>
  <c r="B88" i="2"/>
  <c r="C87" i="2"/>
  <c r="B87" i="2"/>
  <c r="C86" i="2"/>
  <c r="B86" i="5" s="1"/>
  <c r="B86" i="2"/>
  <c r="C85" i="2"/>
  <c r="C91" i="1" s="1"/>
  <c r="D91" i="1" s="1"/>
  <c r="D84" i="23" s="1"/>
  <c r="B85" i="2"/>
  <c r="C84" i="2"/>
  <c r="B84" i="5" s="1"/>
  <c r="B84" i="2"/>
  <c r="C83" i="2"/>
  <c r="B83" i="2"/>
  <c r="C81" i="2"/>
  <c r="C87" i="1" s="1"/>
  <c r="B81" i="2"/>
  <c r="C80" i="2"/>
  <c r="C86" i="1" s="1"/>
  <c r="B80" i="2"/>
  <c r="C79" i="2"/>
  <c r="B79" i="2"/>
  <c r="C78" i="2"/>
  <c r="B78" i="2"/>
  <c r="C77" i="2"/>
  <c r="C77" i="3" s="1"/>
  <c r="B77" i="2"/>
  <c r="C76" i="2"/>
  <c r="C76" i="3" s="1"/>
  <c r="B76" i="2"/>
  <c r="C75" i="2"/>
  <c r="C81" i="1" s="1"/>
  <c r="D81" i="1" s="1"/>
  <c r="B75" i="2"/>
  <c r="C74" i="2"/>
  <c r="B74" i="2"/>
  <c r="C73" i="2"/>
  <c r="C73" i="3" s="1"/>
  <c r="B73" i="2"/>
  <c r="C72" i="2"/>
  <c r="C72" i="3" s="1"/>
  <c r="B72" i="2"/>
  <c r="C71" i="2"/>
  <c r="B71" i="5" s="1"/>
  <c r="B71" i="2"/>
  <c r="C70" i="2"/>
  <c r="B70" i="2"/>
  <c r="C69" i="2"/>
  <c r="C75" i="1" s="1"/>
  <c r="B69" i="2"/>
  <c r="C68" i="2"/>
  <c r="B68" i="2"/>
  <c r="C67" i="2"/>
  <c r="C67" i="3" s="1"/>
  <c r="B67" i="2"/>
  <c r="C66" i="2"/>
  <c r="B66" i="5" s="1"/>
  <c r="B66" i="2"/>
  <c r="C65" i="2"/>
  <c r="B65" i="2"/>
  <c r="C64" i="2"/>
  <c r="B64" i="2"/>
  <c r="C63" i="2"/>
  <c r="C63" i="3" s="1"/>
  <c r="B63" i="2"/>
  <c r="C62" i="2"/>
  <c r="B62" i="2"/>
  <c r="C61" i="2"/>
  <c r="B61" i="2"/>
  <c r="C60" i="2"/>
  <c r="C60" i="3" s="1"/>
  <c r="B60" i="2"/>
  <c r="C59" i="2"/>
  <c r="B59" i="2"/>
  <c r="C58" i="2"/>
  <c r="B58" i="2"/>
  <c r="C57" i="2"/>
  <c r="C63" i="1" s="1"/>
  <c r="B57" i="2"/>
  <c r="C56" i="2"/>
  <c r="C56" i="3" s="1"/>
  <c r="B56" i="2"/>
  <c r="C55" i="2"/>
  <c r="C55" i="3" s="1"/>
  <c r="B55" i="2"/>
  <c r="C54" i="2"/>
  <c r="C54" i="3" s="1"/>
  <c r="B54" i="2"/>
  <c r="C53" i="2"/>
  <c r="B53" i="2"/>
  <c r="C52" i="2"/>
  <c r="C52" i="3" s="1"/>
  <c r="B52" i="2"/>
  <c r="C51" i="2"/>
  <c r="B51" i="2"/>
  <c r="C50" i="2"/>
  <c r="B50" i="2"/>
  <c r="C49" i="2"/>
  <c r="B49" i="5" s="1"/>
  <c r="B49" i="2"/>
  <c r="C48" i="2"/>
  <c r="B48" i="2"/>
  <c r="C47" i="2"/>
  <c r="B47" i="5" s="1"/>
  <c r="B47" i="2"/>
  <c r="C46" i="2"/>
  <c r="C46" i="3" s="1"/>
  <c r="B46" i="2"/>
  <c r="C45" i="2"/>
  <c r="B45" i="2"/>
  <c r="C44" i="2"/>
  <c r="B44" i="5" s="1"/>
  <c r="B44" i="2"/>
  <c r="C43" i="2"/>
  <c r="C43" i="3" s="1"/>
  <c r="B43" i="2"/>
  <c r="C42" i="2"/>
  <c r="C48" i="1" s="1"/>
  <c r="B42" i="2"/>
  <c r="C41" i="2"/>
  <c r="B41" i="5" s="1"/>
  <c r="B41" i="2"/>
  <c r="C40" i="2"/>
  <c r="C40" i="3" s="1"/>
  <c r="B40" i="2"/>
  <c r="C39" i="2"/>
  <c r="B39" i="5" s="1"/>
  <c r="B39" i="2"/>
  <c r="C38" i="2"/>
  <c r="C38" i="3" s="1"/>
  <c r="B38" i="2"/>
  <c r="C37" i="2"/>
  <c r="B37" i="5" s="1"/>
  <c r="B37" i="2"/>
  <c r="C36" i="2"/>
  <c r="C36" i="3" s="1"/>
  <c r="B36" i="2"/>
  <c r="C35" i="2"/>
  <c r="B35" i="2"/>
  <c r="C34" i="2"/>
  <c r="C40" i="1" s="1"/>
  <c r="B34" i="2"/>
  <c r="C33" i="2"/>
  <c r="B33" i="2"/>
  <c r="C32" i="2"/>
  <c r="B32" i="2"/>
  <c r="C31" i="2"/>
  <c r="B31" i="2"/>
  <c r="C30" i="2"/>
  <c r="B30" i="2"/>
  <c r="C29" i="2"/>
  <c r="B29" i="2"/>
  <c r="C28" i="2"/>
  <c r="C28" i="3" s="1"/>
  <c r="B28" i="2"/>
  <c r="C27" i="2"/>
  <c r="B27" i="2"/>
  <c r="C26" i="2"/>
  <c r="C32" i="1" s="1"/>
  <c r="B26" i="2"/>
  <c r="C25" i="2"/>
  <c r="B25" i="5" s="1"/>
  <c r="B25" i="2"/>
  <c r="C24" i="2"/>
  <c r="B24" i="2"/>
  <c r="C23" i="2"/>
  <c r="B23" i="5" s="1"/>
  <c r="B23" i="2"/>
  <c r="C22" i="2"/>
  <c r="B22" i="2"/>
  <c r="C21" i="2"/>
  <c r="B21" i="5" s="1"/>
  <c r="B21" i="2"/>
  <c r="C20" i="2"/>
  <c r="B20" i="2"/>
  <c r="C19" i="2"/>
  <c r="C19" i="3" s="1"/>
  <c r="B19" i="2"/>
  <c r="C18" i="2"/>
  <c r="B18" i="2"/>
  <c r="C17" i="2"/>
  <c r="B17" i="2"/>
  <c r="C16" i="2"/>
  <c r="C16" i="3" s="1"/>
  <c r="B16" i="2"/>
  <c r="C15" i="2"/>
  <c r="B15" i="2"/>
  <c r="C14" i="2"/>
  <c r="B14" i="2"/>
  <c r="C13" i="2"/>
  <c r="B13" i="2"/>
  <c r="C12" i="2"/>
  <c r="B12" i="2"/>
  <c r="C11" i="2"/>
  <c r="B11" i="2"/>
  <c r="C10" i="2"/>
  <c r="C10" i="3" s="1"/>
  <c r="B10" i="2"/>
  <c r="C9" i="2"/>
  <c r="C9" i="3" s="1"/>
  <c r="C8" i="2"/>
  <c r="B8" i="5" s="1"/>
  <c r="B8" i="2"/>
  <c r="C7" i="2"/>
  <c r="C7" i="3" s="1"/>
  <c r="B7" i="2"/>
  <c r="C6" i="2"/>
  <c r="C6" i="3" s="1"/>
  <c r="B6" i="2"/>
  <c r="C5" i="2"/>
  <c r="B5" i="2"/>
  <c r="C4" i="2"/>
  <c r="C4" i="3" s="1"/>
  <c r="B4" i="2"/>
  <c r="C3" i="2"/>
  <c r="B3" i="2"/>
  <c r="C154" i="3"/>
  <c r="A99" i="5"/>
  <c r="A99" i="3"/>
  <c r="I99" i="3" s="1"/>
  <c r="A124" i="5"/>
  <c r="A124" i="3"/>
  <c r="I124" i="3" s="1"/>
  <c r="A148" i="3"/>
  <c r="I148" i="3" s="1"/>
  <c r="A94" i="5"/>
  <c r="A94" i="3"/>
  <c r="I94" i="3" s="1"/>
  <c r="A102" i="5"/>
  <c r="A102" i="3"/>
  <c r="I102" i="3" s="1"/>
  <c r="A111" i="5"/>
  <c r="A111" i="3"/>
  <c r="I111" i="3" s="1"/>
  <c r="A119" i="5"/>
  <c r="A119" i="3"/>
  <c r="I119" i="3" s="1"/>
  <c r="A127" i="5"/>
  <c r="A127" i="3"/>
  <c r="I127" i="3" s="1"/>
  <c r="A135" i="5"/>
  <c r="A135" i="3"/>
  <c r="I135" i="3" s="1"/>
  <c r="A143" i="5"/>
  <c r="C143" i="5" s="1"/>
  <c r="A143" i="3"/>
  <c r="I143" i="3" s="1"/>
  <c r="A151" i="5"/>
  <c r="A151" i="3"/>
  <c r="I151" i="3" s="1"/>
  <c r="D187" i="10"/>
  <c r="B167" i="10"/>
  <c r="I160" i="10" s="1"/>
  <c r="F39" i="9"/>
  <c r="C39" i="9"/>
  <c r="F51" i="9"/>
  <c r="C51" i="9"/>
  <c r="F55" i="9"/>
  <c r="C55" i="9"/>
  <c r="F58" i="9"/>
  <c r="C58" i="9"/>
  <c r="F78" i="9"/>
  <c r="C78" i="9"/>
  <c r="F99" i="9"/>
  <c r="C100" i="9"/>
  <c r="F100" i="9"/>
  <c r="C101" i="9"/>
  <c r="F101" i="9"/>
  <c r="C102" i="9"/>
  <c r="F105" i="9"/>
  <c r="C107" i="9"/>
  <c r="F120" i="9"/>
  <c r="C122" i="9"/>
  <c r="F122" i="9"/>
  <c r="C124" i="9"/>
  <c r="F129" i="9"/>
  <c r="C131" i="9"/>
  <c r="F140" i="9"/>
  <c r="C142" i="9"/>
  <c r="F143" i="9"/>
  <c r="C146" i="9"/>
  <c r="F146" i="9"/>
  <c r="C149" i="9"/>
  <c r="F154" i="9"/>
  <c r="C158" i="9"/>
  <c r="B56" i="10"/>
  <c r="F172" i="10" s="1"/>
  <c r="B60" i="10"/>
  <c r="F173" i="10" s="1"/>
  <c r="B75" i="10"/>
  <c r="F174" i="10" s="1"/>
  <c r="B95" i="10"/>
  <c r="I89" i="10" s="1"/>
  <c r="B137" i="10"/>
  <c r="F177" i="10" s="1"/>
  <c r="B140" i="10"/>
  <c r="F178" i="10" s="1"/>
  <c r="I2" i="25"/>
  <c r="D141" i="5"/>
  <c r="F136" i="9"/>
  <c r="C138" i="9"/>
  <c r="F69" i="9"/>
  <c r="C69" i="9"/>
  <c r="F147" i="9"/>
  <c r="C150" i="9"/>
  <c r="F137" i="9"/>
  <c r="C139" i="9"/>
  <c r="F131" i="9"/>
  <c r="C133" i="9"/>
  <c r="F126" i="9"/>
  <c r="C128" i="9"/>
  <c r="C79" i="9"/>
  <c r="C63" i="9"/>
  <c r="F153" i="9"/>
  <c r="C157" i="9"/>
  <c r="F152" i="9"/>
  <c r="F151" i="9"/>
  <c r="C154" i="9"/>
  <c r="F150" i="9"/>
  <c r="C153" i="9"/>
  <c r="F149" i="9"/>
  <c r="C152" i="9"/>
  <c r="F148" i="9"/>
  <c r="C151" i="9"/>
  <c r="F145" i="9"/>
  <c r="F144" i="9"/>
  <c r="C147" i="9"/>
  <c r="F142" i="9"/>
  <c r="C145" i="9"/>
  <c r="F141" i="9"/>
  <c r="C143" i="9"/>
  <c r="F139" i="9"/>
  <c r="C141" i="9"/>
  <c r="F138" i="9"/>
  <c r="F135" i="9"/>
  <c r="F134" i="9"/>
  <c r="C136" i="9"/>
  <c r="F133" i="9"/>
  <c r="F132" i="9"/>
  <c r="F130" i="9"/>
  <c r="C132" i="9"/>
  <c r="F128" i="9"/>
  <c r="C130" i="9"/>
  <c r="F127" i="9"/>
  <c r="C129" i="9"/>
  <c r="F125" i="9"/>
  <c r="C127" i="9"/>
  <c r="F124" i="9"/>
  <c r="F123" i="9"/>
  <c r="C125" i="9"/>
  <c r="F121" i="9"/>
  <c r="C123" i="9"/>
  <c r="F119" i="9"/>
  <c r="C121" i="9"/>
  <c r="F118" i="9"/>
  <c r="C120" i="9"/>
  <c r="F117" i="9"/>
  <c r="F116" i="9"/>
  <c r="C118" i="9"/>
  <c r="F115" i="9"/>
  <c r="C117" i="9"/>
  <c r="F114" i="9"/>
  <c r="C116" i="9"/>
  <c r="F113" i="9"/>
  <c r="C115" i="9"/>
  <c r="F112" i="9"/>
  <c r="C114" i="9"/>
  <c r="F111" i="9"/>
  <c r="C113" i="9"/>
  <c r="F110" i="9"/>
  <c r="C112" i="9"/>
  <c r="F109" i="9"/>
  <c r="C111" i="9"/>
  <c r="F108" i="9"/>
  <c r="C110" i="9"/>
  <c r="F107" i="9"/>
  <c r="C109" i="9"/>
  <c r="F106" i="9"/>
  <c r="C108" i="9"/>
  <c r="F104" i="9"/>
  <c r="C105" i="9"/>
  <c r="F103" i="9"/>
  <c r="C104" i="9"/>
  <c r="F102" i="9"/>
  <c r="C103" i="9"/>
  <c r="F98" i="9"/>
  <c r="F97" i="9"/>
  <c r="C98" i="9"/>
  <c r="F96" i="9"/>
  <c r="C97" i="9"/>
  <c r="F95" i="9"/>
  <c r="C96" i="9"/>
  <c r="F94" i="9"/>
  <c r="C95" i="9"/>
  <c r="F93" i="9"/>
  <c r="C94" i="9"/>
  <c r="F92" i="9"/>
  <c r="C93" i="9"/>
  <c r="F91" i="9"/>
  <c r="C91" i="9"/>
  <c r="F90" i="9"/>
  <c r="C90" i="9"/>
  <c r="F89" i="9"/>
  <c r="C89" i="9"/>
  <c r="F88" i="9"/>
  <c r="C88" i="9"/>
  <c r="F87" i="9"/>
  <c r="C87" i="9"/>
  <c r="F86" i="9"/>
  <c r="C86" i="9"/>
  <c r="F85" i="9"/>
  <c r="F84" i="9"/>
  <c r="C84" i="9"/>
  <c r="F83" i="9"/>
  <c r="F81" i="9"/>
  <c r="C81" i="9"/>
  <c r="F80" i="9"/>
  <c r="C80" i="9"/>
  <c r="F77" i="9"/>
  <c r="C77" i="9"/>
  <c r="F76" i="9"/>
  <c r="C76" i="9"/>
  <c r="F74" i="9"/>
  <c r="C74" i="9"/>
  <c r="F73" i="9"/>
  <c r="C73" i="9"/>
  <c r="F72" i="9"/>
  <c r="C72" i="9"/>
  <c r="F71" i="9"/>
  <c r="C71" i="9"/>
  <c r="F70" i="9"/>
  <c r="F68" i="9"/>
  <c r="C68" i="9"/>
  <c r="F67" i="9"/>
  <c r="C67" i="9"/>
  <c r="F66" i="9"/>
  <c r="C66" i="9"/>
  <c r="F65" i="9"/>
  <c r="C65" i="9"/>
  <c r="F64" i="9"/>
  <c r="C64" i="9"/>
  <c r="F62" i="9"/>
  <c r="C62" i="9"/>
  <c r="F61" i="9"/>
  <c r="F60" i="9"/>
  <c r="C60" i="9"/>
  <c r="F59" i="9"/>
  <c r="C59" i="9"/>
  <c r="F57" i="9"/>
  <c r="C57" i="9"/>
  <c r="F56" i="9"/>
  <c r="C56" i="9"/>
  <c r="F54" i="9"/>
  <c r="C54" i="9"/>
  <c r="F52" i="9"/>
  <c r="C52" i="9"/>
  <c r="F50" i="9"/>
  <c r="C50" i="9"/>
  <c r="F49" i="9"/>
  <c r="C49" i="9"/>
  <c r="F47" i="9"/>
  <c r="C47" i="9"/>
  <c r="F46" i="9"/>
  <c r="C46" i="9"/>
  <c r="F45" i="9"/>
  <c r="C45" i="9"/>
  <c r="F44" i="9"/>
  <c r="C44" i="9"/>
  <c r="F43" i="9"/>
  <c r="C43" i="9"/>
  <c r="F42" i="9"/>
  <c r="F41" i="9"/>
  <c r="F40" i="9"/>
  <c r="C40" i="9"/>
  <c r="F38" i="9"/>
  <c r="C38" i="9"/>
  <c r="F34" i="9"/>
  <c r="F33" i="9"/>
  <c r="F32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2" i="2"/>
  <c r="B2" i="2"/>
  <c r="A14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I126" i="10"/>
  <c r="M126" i="10" s="1"/>
  <c r="I135" i="10"/>
  <c r="I136" i="10"/>
  <c r="K18" i="23"/>
  <c r="A157" i="1"/>
  <c r="A149" i="1"/>
  <c r="A142" i="23" s="1"/>
  <c r="B142" i="23" s="1"/>
  <c r="A133" i="1"/>
  <c r="B133" i="1" s="1"/>
  <c r="A108" i="1"/>
  <c r="A101" i="23" s="1"/>
  <c r="B101" i="23" s="1"/>
  <c r="A89" i="1"/>
  <c r="B89" i="1" s="1"/>
  <c r="A64" i="1"/>
  <c r="A58" i="23" s="1"/>
  <c r="B58" i="23" s="1"/>
  <c r="A43" i="5"/>
  <c r="C43" i="5" s="1"/>
  <c r="A27" i="5"/>
  <c r="A2" i="2"/>
  <c r="A8" i="1" s="1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3" i="24"/>
  <c r="B84" i="24"/>
  <c r="B85" i="24"/>
  <c r="B86" i="24"/>
  <c r="B87" i="24"/>
  <c r="B88" i="24"/>
  <c r="B89" i="24"/>
  <c r="B91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30" i="24"/>
  <c r="B131" i="24"/>
  <c r="B132" i="24"/>
  <c r="B133" i="24"/>
  <c r="B134" i="24"/>
  <c r="B135" i="24"/>
  <c r="B137" i="24"/>
  <c r="B138" i="24"/>
  <c r="B139" i="24"/>
  <c r="B142" i="24"/>
  <c r="B143" i="24"/>
  <c r="B145" i="24"/>
  <c r="B146" i="24"/>
  <c r="B147" i="24"/>
  <c r="B148" i="24"/>
  <c r="B149" i="24"/>
  <c r="B150" i="24"/>
  <c r="B151" i="24"/>
  <c r="B152" i="24"/>
  <c r="B153" i="24"/>
  <c r="B154" i="24"/>
  <c r="B156" i="24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/>
  <c r="I124" i="10"/>
  <c r="I134" i="10"/>
  <c r="M134" i="10"/>
  <c r="I128" i="10"/>
  <c r="M128" i="10" s="1"/>
  <c r="I133" i="10"/>
  <c r="J133" i="10"/>
  <c r="I70" i="10"/>
  <c r="I81" i="10"/>
  <c r="A57" i="1"/>
  <c r="I151" i="10"/>
  <c r="I147" i="10"/>
  <c r="M147" i="10"/>
  <c r="D17" i="26"/>
  <c r="B2" i="26" s="1"/>
  <c r="I155" i="10"/>
  <c r="J155" i="10" s="1"/>
  <c r="I150" i="10"/>
  <c r="M150" i="10" s="1"/>
  <c r="I159" i="10"/>
  <c r="M159" i="10" s="1"/>
  <c r="I119" i="10"/>
  <c r="M119" i="10" s="1"/>
  <c r="I157" i="10"/>
  <c r="I165" i="10"/>
  <c r="I148" i="10"/>
  <c r="M148" i="10" s="1"/>
  <c r="I158" i="10"/>
  <c r="I166" i="10"/>
  <c r="M166" i="10" s="1"/>
  <c r="I149" i="10"/>
  <c r="J149" i="10"/>
  <c r="I161" i="10"/>
  <c r="J161" i="10"/>
  <c r="I156" i="10"/>
  <c r="I146" i="10"/>
  <c r="I164" i="10"/>
  <c r="M164" i="10" s="1"/>
  <c r="I142" i="10"/>
  <c r="I141" i="10"/>
  <c r="I152" i="10"/>
  <c r="I144" i="10"/>
  <c r="M144" i="10" s="1"/>
  <c r="I153" i="10"/>
  <c r="I145" i="10"/>
  <c r="J145" i="10"/>
  <c r="I154" i="10"/>
  <c r="J154" i="10" s="1"/>
  <c r="I111" i="10"/>
  <c r="J111" i="10" s="1"/>
  <c r="I96" i="10"/>
  <c r="I104" i="10"/>
  <c r="M104" i="10" s="1"/>
  <c r="I112" i="10"/>
  <c r="M112" i="10" s="1"/>
  <c r="J158" i="10"/>
  <c r="M158" i="10"/>
  <c r="J142" i="10"/>
  <c r="M142" i="10"/>
  <c r="I129" i="10"/>
  <c r="I127" i="10"/>
  <c r="M127" i="10" s="1"/>
  <c r="I131" i="10"/>
  <c r="I125" i="10"/>
  <c r="I132" i="10"/>
  <c r="M132" i="10" s="1"/>
  <c r="J132" i="10"/>
  <c r="I68" i="10"/>
  <c r="M68" i="10"/>
  <c r="M131" i="10"/>
  <c r="C83" i="9"/>
  <c r="B82" i="9"/>
  <c r="B154" i="9"/>
  <c r="B154" i="3"/>
  <c r="B146" i="9"/>
  <c r="B146" i="3"/>
  <c r="B136" i="9"/>
  <c r="B136" i="3"/>
  <c r="B125" i="9"/>
  <c r="B125" i="3"/>
  <c r="B116" i="9"/>
  <c r="B116" i="3"/>
  <c r="B108" i="9"/>
  <c r="B108" i="3"/>
  <c r="B100" i="9"/>
  <c r="B100" i="3"/>
  <c r="B91" i="9"/>
  <c r="B91" i="3"/>
  <c r="B81" i="9"/>
  <c r="B81" i="3"/>
  <c r="B71" i="9"/>
  <c r="B71" i="3"/>
  <c r="B63" i="9"/>
  <c r="B63" i="3"/>
  <c r="B54" i="9"/>
  <c r="B54" i="3"/>
  <c r="B153" i="9"/>
  <c r="B153" i="3"/>
  <c r="B145" i="9"/>
  <c r="B145" i="3"/>
  <c r="B133" i="9"/>
  <c r="B133" i="3"/>
  <c r="B124" i="9"/>
  <c r="B124" i="3"/>
  <c r="B115" i="9"/>
  <c r="B115" i="3"/>
  <c r="B107" i="9"/>
  <c r="B107" i="3"/>
  <c r="B98" i="9"/>
  <c r="B98" i="3"/>
  <c r="B90" i="9"/>
  <c r="B90" i="3"/>
  <c r="B80" i="9"/>
  <c r="B80" i="3"/>
  <c r="B70" i="9"/>
  <c r="B70" i="3"/>
  <c r="B62" i="9"/>
  <c r="B62" i="3"/>
  <c r="B152" i="9"/>
  <c r="B152" i="3"/>
  <c r="B144" i="9"/>
  <c r="B144" i="3"/>
  <c r="B132" i="9"/>
  <c r="B132" i="3"/>
  <c r="B123" i="9"/>
  <c r="B123" i="3"/>
  <c r="B114" i="9"/>
  <c r="B114" i="3"/>
  <c r="B106" i="9"/>
  <c r="B106" i="3"/>
  <c r="B97" i="9"/>
  <c r="B97" i="3"/>
  <c r="B88" i="9"/>
  <c r="B88" i="3"/>
  <c r="B78" i="9"/>
  <c r="B78" i="3"/>
  <c r="B69" i="9"/>
  <c r="B69" i="3"/>
  <c r="B60" i="9"/>
  <c r="B60" i="3"/>
  <c r="C2" i="9"/>
  <c r="B151" i="9"/>
  <c r="B151" i="3"/>
  <c r="B143" i="9"/>
  <c r="B143" i="3"/>
  <c r="B131" i="9"/>
  <c r="B131" i="3"/>
  <c r="B122" i="9"/>
  <c r="B122" i="3"/>
  <c r="B113" i="9"/>
  <c r="B113" i="3"/>
  <c r="B105" i="9"/>
  <c r="B105" i="3"/>
  <c r="B96" i="9"/>
  <c r="B96" i="3"/>
  <c r="B87" i="9"/>
  <c r="B87" i="3"/>
  <c r="B77" i="9"/>
  <c r="B77" i="3"/>
  <c r="B68" i="9"/>
  <c r="B68" i="3"/>
  <c r="B59" i="9"/>
  <c r="B59" i="3"/>
  <c r="B150" i="9"/>
  <c r="B150" i="3"/>
  <c r="B142" i="9"/>
  <c r="B142" i="3"/>
  <c r="B130" i="9"/>
  <c r="B130" i="3"/>
  <c r="B121" i="9"/>
  <c r="B121" i="3"/>
  <c r="B112" i="9"/>
  <c r="B112" i="3"/>
  <c r="B104" i="9"/>
  <c r="B104" i="3"/>
  <c r="B95" i="9"/>
  <c r="B95" i="3"/>
  <c r="B86" i="9"/>
  <c r="B86" i="3"/>
  <c r="B76" i="9"/>
  <c r="B76" i="3"/>
  <c r="B67" i="9"/>
  <c r="B67" i="3"/>
  <c r="B58" i="9"/>
  <c r="B58" i="3"/>
  <c r="B158" i="9"/>
  <c r="B158" i="3"/>
  <c r="B149" i="9"/>
  <c r="B149" i="3"/>
  <c r="B141" i="9"/>
  <c r="B141" i="3"/>
  <c r="B129" i="9"/>
  <c r="B129" i="3"/>
  <c r="B120" i="9"/>
  <c r="B120" i="3"/>
  <c r="B111" i="9"/>
  <c r="B111" i="3"/>
  <c r="B103" i="9"/>
  <c r="B103" i="3"/>
  <c r="B94" i="9"/>
  <c r="B94" i="3"/>
  <c r="B85" i="9"/>
  <c r="B85" i="3"/>
  <c r="B74" i="9"/>
  <c r="B74" i="3"/>
  <c r="B66" i="9"/>
  <c r="B66" i="3"/>
  <c r="B57" i="9"/>
  <c r="B57" i="3"/>
  <c r="B157" i="9"/>
  <c r="B157" i="3"/>
  <c r="B148" i="9"/>
  <c r="B148" i="3"/>
  <c r="B139" i="9"/>
  <c r="B139" i="3"/>
  <c r="B128" i="9"/>
  <c r="B128" i="3"/>
  <c r="B118" i="9"/>
  <c r="B118" i="3"/>
  <c r="B110" i="9"/>
  <c r="B110" i="3"/>
  <c r="B102" i="9"/>
  <c r="B102" i="3"/>
  <c r="B93" i="9"/>
  <c r="B93" i="3"/>
  <c r="B84" i="9"/>
  <c r="B84" i="3"/>
  <c r="B73" i="9"/>
  <c r="B73" i="3"/>
  <c r="B65" i="9"/>
  <c r="B65" i="3"/>
  <c r="B56" i="9"/>
  <c r="B56" i="3"/>
  <c r="B155" i="9"/>
  <c r="B155" i="3"/>
  <c r="B147" i="9"/>
  <c r="B147" i="3"/>
  <c r="B138" i="9"/>
  <c r="B138" i="3"/>
  <c r="B127" i="9"/>
  <c r="B127" i="3"/>
  <c r="B117" i="9"/>
  <c r="B117" i="3"/>
  <c r="B109" i="9"/>
  <c r="B109" i="3"/>
  <c r="B101" i="9"/>
  <c r="B101" i="3"/>
  <c r="B92" i="9"/>
  <c r="B92" i="3"/>
  <c r="B83" i="9"/>
  <c r="B83" i="3"/>
  <c r="B72" i="9"/>
  <c r="B72" i="3"/>
  <c r="B64" i="9"/>
  <c r="B64" i="3"/>
  <c r="B55" i="9"/>
  <c r="B55" i="3"/>
  <c r="F53" i="9"/>
  <c r="C53" i="9"/>
  <c r="M149" i="10"/>
  <c r="J124" i="10"/>
  <c r="I72" i="10"/>
  <c r="J72" i="10" s="1"/>
  <c r="I62" i="10"/>
  <c r="M62" i="10" s="1"/>
  <c r="M152" i="10"/>
  <c r="J151" i="10"/>
  <c r="J156" i="10"/>
  <c r="M157" i="10"/>
  <c r="J125" i="10"/>
  <c r="M125" i="10"/>
  <c r="J131" i="10"/>
  <c r="I79" i="10"/>
  <c r="M79" i="10"/>
  <c r="I83" i="10"/>
  <c r="I78" i="10"/>
  <c r="J78" i="10" s="1"/>
  <c r="I64" i="10"/>
  <c r="I73" i="10"/>
  <c r="I65" i="10"/>
  <c r="M65" i="10" s="1"/>
  <c r="I74" i="10"/>
  <c r="I61" i="10"/>
  <c r="I67" i="10"/>
  <c r="I71" i="10"/>
  <c r="I63" i="10"/>
  <c r="I66" i="10"/>
  <c r="I69" i="10"/>
  <c r="J69" i="10" s="1"/>
  <c r="J166" i="10"/>
  <c r="M70" i="10"/>
  <c r="J127" i="10"/>
  <c r="M124" i="10"/>
  <c r="I139" i="10"/>
  <c r="J139" i="10" s="1"/>
  <c r="D140" i="10" s="1"/>
  <c r="D178" i="10" s="1"/>
  <c r="I138" i="10"/>
  <c r="M138" i="10"/>
  <c r="G140" i="10" s="1"/>
  <c r="E178" i="10" s="1"/>
  <c r="J150" i="10"/>
  <c r="J164" i="10"/>
  <c r="M154" i="10"/>
  <c r="J141" i="10"/>
  <c r="J157" i="10"/>
  <c r="F179" i="10"/>
  <c r="J165" i="10"/>
  <c r="J152" i="10"/>
  <c r="M156" i="10"/>
  <c r="M145" i="10"/>
  <c r="M161" i="10"/>
  <c r="M151" i="10"/>
  <c r="J134" i="10"/>
  <c r="J129" i="10"/>
  <c r="J128" i="10"/>
  <c r="M129" i="10"/>
  <c r="I137" i="10"/>
  <c r="J126" i="10"/>
  <c r="D137" i="10" s="1"/>
  <c r="D177" i="10" s="1"/>
  <c r="M135" i="10"/>
  <c r="F175" i="10"/>
  <c r="J68" i="10"/>
  <c r="J70" i="10"/>
  <c r="M72" i="10"/>
  <c r="I59" i="10"/>
  <c r="M59" i="10" s="1"/>
  <c r="I58" i="10"/>
  <c r="M58" i="10" s="1"/>
  <c r="I57" i="10"/>
  <c r="J57" i="10" s="1"/>
  <c r="I35" i="10"/>
  <c r="J35" i="10" s="1"/>
  <c r="I34" i="10"/>
  <c r="M34" i="10" s="1"/>
  <c r="I43" i="10"/>
  <c r="J43" i="10" s="1"/>
  <c r="J153" i="10"/>
  <c r="J144" i="10"/>
  <c r="M153" i="10"/>
  <c r="J159" i="10"/>
  <c r="J147" i="10"/>
  <c r="I163" i="10"/>
  <c r="I143" i="10"/>
  <c r="M141" i="10"/>
  <c r="I162" i="10"/>
  <c r="J146" i="10"/>
  <c r="M165" i="10"/>
  <c r="M146" i="10"/>
  <c r="M136" i="10"/>
  <c r="J136" i="10"/>
  <c r="J130" i="10"/>
  <c r="J135" i="10"/>
  <c r="M133" i="10"/>
  <c r="J119" i="10"/>
  <c r="J104" i="10"/>
  <c r="I76" i="10"/>
  <c r="J81" i="10"/>
  <c r="I85" i="10"/>
  <c r="I91" i="10"/>
  <c r="I90" i="10"/>
  <c r="I92" i="10"/>
  <c r="M81" i="10"/>
  <c r="I77" i="10"/>
  <c r="I84" i="10"/>
  <c r="I86" i="10"/>
  <c r="I93" i="10"/>
  <c r="I87" i="10"/>
  <c r="I94" i="10"/>
  <c r="I88" i="10"/>
  <c r="I80" i="10"/>
  <c r="M80" i="10" s="1"/>
  <c r="I82" i="10"/>
  <c r="J61" i="10"/>
  <c r="J62" i="10"/>
  <c r="J66" i="10"/>
  <c r="A51" i="5"/>
  <c r="A49" i="1"/>
  <c r="B49" i="1" s="1"/>
  <c r="A100" i="1"/>
  <c r="A93" i="23" s="1"/>
  <c r="B93" i="23" s="1"/>
  <c r="A117" i="1"/>
  <c r="B117" i="1" s="1"/>
  <c r="A125" i="1"/>
  <c r="B125" i="1" s="1"/>
  <c r="A138" i="1"/>
  <c r="A148" i="1"/>
  <c r="A141" i="23" s="1"/>
  <c r="B141" i="23" s="1"/>
  <c r="A130" i="1"/>
  <c r="B130" i="1" s="1"/>
  <c r="A35" i="5"/>
  <c r="A154" i="1"/>
  <c r="A147" i="23" s="1"/>
  <c r="B147" i="23" s="1"/>
  <c r="A105" i="1"/>
  <c r="A98" i="23" s="1"/>
  <c r="B98" i="23" s="1"/>
  <c r="A83" i="5"/>
  <c r="A58" i="5"/>
  <c r="A36" i="1"/>
  <c r="A87" i="5"/>
  <c r="A67" i="1"/>
  <c r="B67" i="1" s="1"/>
  <c r="A141" i="1"/>
  <c r="A134" i="23" s="1"/>
  <c r="B134" i="23" s="1"/>
  <c r="A33" i="1"/>
  <c r="A27" i="23" s="1"/>
  <c r="B27" i="23" s="1"/>
  <c r="A74" i="5"/>
  <c r="C74" i="5" s="1"/>
  <c r="A80" i="1"/>
  <c r="B80" i="1" s="1"/>
  <c r="A19" i="5"/>
  <c r="A25" i="1"/>
  <c r="A19" i="23" s="1"/>
  <c r="B19" i="23" s="1"/>
  <c r="J83" i="10"/>
  <c r="J79" i="10"/>
  <c r="J64" i="10"/>
  <c r="M74" i="10"/>
  <c r="M64" i="10"/>
  <c r="M66" i="10"/>
  <c r="J138" i="10"/>
  <c r="M78" i="10"/>
  <c r="M83" i="10"/>
  <c r="M63" i="10"/>
  <c r="J71" i="10"/>
  <c r="M71" i="10"/>
  <c r="J67" i="10"/>
  <c r="M67" i="10"/>
  <c r="J74" i="10"/>
  <c r="M61" i="10"/>
  <c r="J63" i="10"/>
  <c r="M73" i="10"/>
  <c r="J73" i="10"/>
  <c r="M139" i="10"/>
  <c r="I60" i="10"/>
  <c r="M43" i="10"/>
  <c r="J162" i="10"/>
  <c r="M162" i="10"/>
  <c r="M143" i="10"/>
  <c r="J143" i="10"/>
  <c r="J163" i="10"/>
  <c r="M163" i="10"/>
  <c r="M84" i="10"/>
  <c r="M76" i="10"/>
  <c r="J76" i="10"/>
  <c r="M88" i="10"/>
  <c r="J88" i="10"/>
  <c r="J77" i="10"/>
  <c r="M77" i="10"/>
  <c r="J92" i="10"/>
  <c r="M92" i="10"/>
  <c r="J86" i="10"/>
  <c r="M86" i="10"/>
  <c r="M94" i="10"/>
  <c r="J94" i="10"/>
  <c r="M87" i="10"/>
  <c r="J87" i="10"/>
  <c r="J90" i="10"/>
  <c r="M90" i="10"/>
  <c r="J85" i="10"/>
  <c r="M85" i="10"/>
  <c r="M82" i="10"/>
  <c r="J82" i="10"/>
  <c r="J93" i="10"/>
  <c r="M93" i="10"/>
  <c r="K93" i="10"/>
  <c r="L93" i="10"/>
  <c r="M91" i="10"/>
  <c r="J91" i="10"/>
  <c r="F171" i="10"/>
  <c r="J84" i="10"/>
  <c r="M160" i="10" l="1"/>
  <c r="J160" i="10"/>
  <c r="I167" i="10"/>
  <c r="J148" i="10"/>
  <c r="D167" i="10" s="1"/>
  <c r="M155" i="10"/>
  <c r="G167" i="10" s="1"/>
  <c r="E179" i="10" s="1"/>
  <c r="G137" i="10"/>
  <c r="E177" i="10" s="1"/>
  <c r="M122" i="10"/>
  <c r="J122" i="10"/>
  <c r="K122" i="10"/>
  <c r="L122" i="10"/>
  <c r="I97" i="10"/>
  <c r="I123" i="10" s="1"/>
  <c r="I121" i="10"/>
  <c r="I117" i="10"/>
  <c r="I99" i="10"/>
  <c r="I120" i="10"/>
  <c r="F176" i="10"/>
  <c r="I107" i="10"/>
  <c r="I113" i="10"/>
  <c r="I116" i="10"/>
  <c r="I100" i="10"/>
  <c r="I114" i="10"/>
  <c r="I98" i="10"/>
  <c r="J112" i="10"/>
  <c r="M118" i="10"/>
  <c r="M111" i="10"/>
  <c r="M102" i="10"/>
  <c r="I109" i="10"/>
  <c r="J96" i="10"/>
  <c r="I103" i="10"/>
  <c r="I110" i="10"/>
  <c r="M96" i="10"/>
  <c r="I105" i="10"/>
  <c r="I108" i="10"/>
  <c r="I115" i="10"/>
  <c r="I106" i="10"/>
  <c r="I101" i="10"/>
  <c r="M89" i="10"/>
  <c r="G95" i="10" s="1"/>
  <c r="E175" i="10" s="1"/>
  <c r="J89" i="10"/>
  <c r="I95" i="10"/>
  <c r="J80" i="10"/>
  <c r="D95" i="10" s="1"/>
  <c r="D175" i="10" s="1"/>
  <c r="I75" i="10"/>
  <c r="M69" i="10"/>
  <c r="G75" i="10" s="1"/>
  <c r="E174" i="10" s="1"/>
  <c r="J65" i="10"/>
  <c r="D75" i="10" s="1"/>
  <c r="D174" i="10" s="1"/>
  <c r="M57" i="10"/>
  <c r="G60" i="10" s="1"/>
  <c r="E173" i="10" s="1"/>
  <c r="D185" i="10" s="1"/>
  <c r="J59" i="10"/>
  <c r="D60" i="10" s="1"/>
  <c r="D173" i="10" s="1"/>
  <c r="C185" i="10" s="1"/>
  <c r="J58" i="10"/>
  <c r="J34" i="10"/>
  <c r="I50" i="10"/>
  <c r="I44" i="10"/>
  <c r="I55" i="10"/>
  <c r="M35" i="10"/>
  <c r="I54" i="10"/>
  <c r="I46" i="10"/>
  <c r="I45" i="10"/>
  <c r="I38" i="10"/>
  <c r="F180" i="10"/>
  <c r="G171" i="10" s="1"/>
  <c r="I32" i="10"/>
  <c r="I49" i="10"/>
  <c r="I51" i="10"/>
  <c r="I36" i="10"/>
  <c r="I41" i="10"/>
  <c r="I39" i="10"/>
  <c r="I47" i="10"/>
  <c r="I33" i="10"/>
  <c r="I48" i="10"/>
  <c r="I37" i="10"/>
  <c r="I53" i="10"/>
  <c r="I42" i="10"/>
  <c r="I52" i="10"/>
  <c r="I40" i="10"/>
  <c r="I4" i="10"/>
  <c r="I12" i="10"/>
  <c r="I20" i="10"/>
  <c r="I28" i="10"/>
  <c r="I23" i="10"/>
  <c r="I13" i="10"/>
  <c r="I7" i="10"/>
  <c r="I15" i="10"/>
  <c r="I2" i="10"/>
  <c r="I10" i="10"/>
  <c r="I18" i="10"/>
  <c r="I26" i="10"/>
  <c r="I5" i="10"/>
  <c r="I21" i="10"/>
  <c r="I29" i="10"/>
  <c r="I8" i="10"/>
  <c r="I16" i="10"/>
  <c r="I24" i="10"/>
  <c r="I11" i="10"/>
  <c r="I19" i="10"/>
  <c r="I25" i="10"/>
  <c r="I3" i="10"/>
  <c r="I27" i="10"/>
  <c r="I6" i="10"/>
  <c r="I14" i="10"/>
  <c r="I22" i="10"/>
  <c r="I30" i="10"/>
  <c r="I9" i="10"/>
  <c r="I17" i="10"/>
  <c r="D115" i="3"/>
  <c r="D147" i="3"/>
  <c r="D43" i="3"/>
  <c r="D143" i="3"/>
  <c r="D128" i="3"/>
  <c r="D152" i="3"/>
  <c r="D74" i="3"/>
  <c r="D71" i="3"/>
  <c r="I81" i="25"/>
  <c r="C21" i="25" s="1"/>
  <c r="C209" i="1" s="1"/>
  <c r="K29" i="1" s="1"/>
  <c r="C19" i="25"/>
  <c r="C207" i="1" s="1"/>
  <c r="K27" i="1" s="1"/>
  <c r="C7" i="25"/>
  <c r="C194" i="1" s="1"/>
  <c r="K14" i="1" s="1"/>
  <c r="C20" i="25"/>
  <c r="C208" i="1" s="1"/>
  <c r="K28" i="1" s="1"/>
  <c r="C4" i="25"/>
  <c r="C191" i="1" s="1"/>
  <c r="K11" i="1" s="1"/>
  <c r="C8" i="25"/>
  <c r="C195" i="1" s="1"/>
  <c r="K15" i="1" s="1"/>
  <c r="C11" i="25"/>
  <c r="C198" i="1" s="1"/>
  <c r="K18" i="1" s="1"/>
  <c r="D142" i="1" s="1"/>
  <c r="D135" i="23" s="1"/>
  <c r="C12" i="25"/>
  <c r="C199" i="1" s="1"/>
  <c r="K19" i="1" s="1"/>
  <c r="C6" i="25"/>
  <c r="C193" i="1" s="1"/>
  <c r="K13" i="1" s="1"/>
  <c r="C16" i="25"/>
  <c r="C203" i="1" s="1"/>
  <c r="K23" i="1" s="1"/>
  <c r="C18" i="25"/>
  <c r="C206" i="1" s="1"/>
  <c r="K26" i="1" s="1"/>
  <c r="C3" i="25"/>
  <c r="C190" i="1" s="1"/>
  <c r="K10" i="1" s="1"/>
  <c r="D75" i="1" s="1"/>
  <c r="C5" i="25"/>
  <c r="C192" i="1" s="1"/>
  <c r="K12" i="1" s="1"/>
  <c r="C9" i="25"/>
  <c r="C196" i="1" s="1"/>
  <c r="K16" i="1" s="1"/>
  <c r="D161" i="1" s="1"/>
  <c r="C15" i="25"/>
  <c r="C202" i="1" s="1"/>
  <c r="K22" i="1" s="1"/>
  <c r="D100" i="1" s="1"/>
  <c r="E94" i="3" s="1"/>
  <c r="C17" i="25"/>
  <c r="C204" i="1" s="1"/>
  <c r="K24" i="1" s="1"/>
  <c r="D126" i="1" s="1"/>
  <c r="C13" i="25"/>
  <c r="C200" i="1" s="1"/>
  <c r="K20" i="1" s="1"/>
  <c r="C10" i="25"/>
  <c r="C197" i="1" s="1"/>
  <c r="K17" i="1" s="1"/>
  <c r="D87" i="1" s="1"/>
  <c r="D81" i="23" s="1"/>
  <c r="D152" i="1"/>
  <c r="D145" i="23" s="1"/>
  <c r="D86" i="1"/>
  <c r="D108" i="1"/>
  <c r="D101" i="23" s="1"/>
  <c r="D113" i="1"/>
  <c r="E107" i="3" s="1"/>
  <c r="D157" i="1"/>
  <c r="D150" i="23" s="1"/>
  <c r="D63" i="1"/>
  <c r="D57" i="23" s="1"/>
  <c r="D32" i="1"/>
  <c r="E26" i="3" s="1"/>
  <c r="D40" i="1"/>
  <c r="E34" i="3" s="1"/>
  <c r="D48" i="1"/>
  <c r="D42" i="23" s="1"/>
  <c r="D143" i="1"/>
  <c r="B151" i="5"/>
  <c r="A22" i="5"/>
  <c r="A28" i="1"/>
  <c r="B28" i="1" s="1"/>
  <c r="A96" i="1"/>
  <c r="B96" i="1" s="1"/>
  <c r="A90" i="5"/>
  <c r="A161" i="1"/>
  <c r="B161" i="1" s="1"/>
  <c r="A113" i="1"/>
  <c r="A76" i="5"/>
  <c r="A71" i="1"/>
  <c r="A65" i="23" s="1"/>
  <c r="B65" i="23" s="1"/>
  <c r="A153" i="1"/>
  <c r="A146" i="23" s="1"/>
  <c r="B146" i="23" s="1"/>
  <c r="A123" i="5"/>
  <c r="A115" i="3"/>
  <c r="I115" i="3" s="1"/>
  <c r="A27" i="1"/>
  <c r="A21" i="23" s="1"/>
  <c r="B21" i="23" s="1"/>
  <c r="A118" i="5"/>
  <c r="A23" i="5"/>
  <c r="A158" i="1"/>
  <c r="A151" i="23" s="1"/>
  <c r="B151" i="23" s="1"/>
  <c r="A103" i="3"/>
  <c r="I103" i="3" s="1"/>
  <c r="A120" i="5"/>
  <c r="A112" i="3"/>
  <c r="I112" i="3" s="1"/>
  <c r="A53" i="5"/>
  <c r="A85" i="5"/>
  <c r="A21" i="5"/>
  <c r="A51" i="1"/>
  <c r="A45" i="23" s="1"/>
  <c r="B45" i="23" s="1"/>
  <c r="A91" i="1"/>
  <c r="A84" i="23" s="1"/>
  <c r="B84" i="23" s="1"/>
  <c r="A158" i="5"/>
  <c r="A60" i="5"/>
  <c r="A45" i="5"/>
  <c r="C45" i="5" s="1"/>
  <c r="A66" i="1"/>
  <c r="B66" i="1" s="1"/>
  <c r="A126" i="3"/>
  <c r="I126" i="3" s="1"/>
  <c r="A74" i="1"/>
  <c r="B74" i="1" s="1"/>
  <c r="A82" i="1"/>
  <c r="B82" i="1" s="1"/>
  <c r="A43" i="23"/>
  <c r="B43" i="23" s="1"/>
  <c r="A141" i="5"/>
  <c r="A109" i="5"/>
  <c r="A139" i="1"/>
  <c r="A132" i="23" s="1"/>
  <c r="B132" i="23" s="1"/>
  <c r="A106" i="1"/>
  <c r="B106" i="1" s="1"/>
  <c r="A89" i="5"/>
  <c r="A104" i="1"/>
  <c r="A97" i="23" s="1"/>
  <c r="B97" i="23" s="1"/>
  <c r="A65" i="5"/>
  <c r="A95" i="3"/>
  <c r="I95" i="3" s="1"/>
  <c r="A136" i="1"/>
  <c r="A129" i="23" s="1"/>
  <c r="B129" i="23" s="1"/>
  <c r="A129" i="1"/>
  <c r="B129" i="1" s="1"/>
  <c r="A145" i="1"/>
  <c r="B145" i="1" s="1"/>
  <c r="A152" i="1"/>
  <c r="B152" i="1" s="1"/>
  <c r="A155" i="5"/>
  <c r="A95" i="5"/>
  <c r="C95" i="5" s="1"/>
  <c r="A62" i="5"/>
  <c r="A68" i="1"/>
  <c r="A62" i="23" s="1"/>
  <c r="B62" i="23" s="1"/>
  <c r="A118" i="1"/>
  <c r="B118" i="1" s="1"/>
  <c r="A29" i="1"/>
  <c r="A23" i="23" s="1"/>
  <c r="B23" i="23" s="1"/>
  <c r="A142" i="1"/>
  <c r="A135" i="23" s="1"/>
  <c r="B135" i="23" s="1"/>
  <c r="A93" i="1"/>
  <c r="B93" i="1" s="1"/>
  <c r="A152" i="3"/>
  <c r="I152" i="3" s="1"/>
  <c r="A150" i="1"/>
  <c r="A143" i="23" s="1"/>
  <c r="B143" i="23" s="1"/>
  <c r="A134" i="1"/>
  <c r="A127" i="23" s="1"/>
  <c r="B127" i="23" s="1"/>
  <c r="A109" i="1"/>
  <c r="B109" i="1" s="1"/>
  <c r="A70" i="5"/>
  <c r="A39" i="5"/>
  <c r="A126" i="1"/>
  <c r="B126" i="1" s="1"/>
  <c r="A31" i="5"/>
  <c r="A78" i="5"/>
  <c r="C78" i="5" s="1"/>
  <c r="A128" i="3"/>
  <c r="I128" i="3" s="1"/>
  <c r="A136" i="3"/>
  <c r="I136" i="3" s="1"/>
  <c r="A144" i="3"/>
  <c r="I144" i="3" s="1"/>
  <c r="A84" i="1"/>
  <c r="A78" i="23" s="1"/>
  <c r="B78" i="23" s="1"/>
  <c r="A37" i="1"/>
  <c r="B37" i="1" s="1"/>
  <c r="A54" i="5"/>
  <c r="A75" i="1"/>
  <c r="B75" i="1" s="1"/>
  <c r="A69" i="5"/>
  <c r="A52" i="1"/>
  <c r="B52" i="1" s="1"/>
  <c r="A60" i="1"/>
  <c r="A54" i="23" s="1"/>
  <c r="B54" i="23" s="1"/>
  <c r="A83" i="1"/>
  <c r="A77" i="23" s="1"/>
  <c r="B77" i="23" s="1"/>
  <c r="B105" i="1"/>
  <c r="A30" i="5"/>
  <c r="A61" i="5"/>
  <c r="A77" i="5"/>
  <c r="A46" i="5"/>
  <c r="B131" i="1"/>
  <c r="A124" i="23"/>
  <c r="B124" i="23" s="1"/>
  <c r="A90" i="1"/>
  <c r="A83" i="23" s="1"/>
  <c r="B83" i="23" s="1"/>
  <c r="A84" i="5"/>
  <c r="A147" i="1"/>
  <c r="B147" i="1" s="1"/>
  <c r="C111" i="5"/>
  <c r="A125" i="5"/>
  <c r="A92" i="5"/>
  <c r="A115" i="1"/>
  <c r="B115" i="1" s="1"/>
  <c r="A12" i="5"/>
  <c r="A123" i="1"/>
  <c r="A116" i="23" s="1"/>
  <c r="B116" i="23" s="1"/>
  <c r="A125" i="3"/>
  <c r="I125" i="3" s="1"/>
  <c r="A92" i="3"/>
  <c r="I92" i="3" s="1"/>
  <c r="B155" i="5"/>
  <c r="A149" i="5"/>
  <c r="A117" i="5"/>
  <c r="A18" i="1"/>
  <c r="A12" i="23" s="1"/>
  <c r="B12" i="23" s="1"/>
  <c r="A155" i="1"/>
  <c r="B155" i="1" s="1"/>
  <c r="A67" i="5"/>
  <c r="C67" i="5" s="1"/>
  <c r="A73" i="1"/>
  <c r="A67" i="23" s="1"/>
  <c r="B67" i="23" s="1"/>
  <c r="A36" i="5"/>
  <c r="A133" i="5"/>
  <c r="A100" i="5"/>
  <c r="A42" i="1"/>
  <c r="A36" i="23" s="1"/>
  <c r="B36" i="23" s="1"/>
  <c r="A72" i="5"/>
  <c r="A78" i="1"/>
  <c r="A72" i="23" s="1"/>
  <c r="B72" i="23" s="1"/>
  <c r="A16" i="5"/>
  <c r="A23" i="1"/>
  <c r="A17" i="23" s="1"/>
  <c r="B17" i="23" s="1"/>
  <c r="A17" i="5"/>
  <c r="C17" i="5" s="1"/>
  <c r="A114" i="3"/>
  <c r="I114" i="3" s="1"/>
  <c r="A22" i="1"/>
  <c r="A16" i="23" s="1"/>
  <c r="B16" i="23" s="1"/>
  <c r="A14" i="1"/>
  <c r="B14" i="1" s="1"/>
  <c r="A61" i="23"/>
  <c r="B61" i="23" s="1"/>
  <c r="C81" i="3"/>
  <c r="A40" i="5"/>
  <c r="C40" i="5" s="1"/>
  <c r="B81" i="5"/>
  <c r="A8" i="5"/>
  <c r="A46" i="1"/>
  <c r="A40" i="23" s="1"/>
  <c r="B40" i="23" s="1"/>
  <c r="A62" i="1"/>
  <c r="B62" i="1" s="1"/>
  <c r="A2" i="5"/>
  <c r="A2" i="3"/>
  <c r="I2" i="3" s="1"/>
  <c r="B34" i="5"/>
  <c r="C57" i="3"/>
  <c r="A24" i="1"/>
  <c r="A18" i="23" s="1"/>
  <c r="B18" i="23" s="1"/>
  <c r="B69" i="5"/>
  <c r="C107" i="3"/>
  <c r="A52" i="3"/>
  <c r="I52" i="3" s="1"/>
  <c r="C69" i="3"/>
  <c r="B107" i="5"/>
  <c r="A18" i="5"/>
  <c r="B98" i="1"/>
  <c r="A34" i="5"/>
  <c r="C34" i="5" s="1"/>
  <c r="A96" i="3"/>
  <c r="I96" i="3" s="1"/>
  <c r="A47" i="1"/>
  <c r="A41" i="23" s="1"/>
  <c r="B41" i="23" s="1"/>
  <c r="B112" i="5"/>
  <c r="A135" i="1"/>
  <c r="A128" i="23" s="1"/>
  <c r="B128" i="23" s="1"/>
  <c r="A56" i="5"/>
  <c r="E42" i="3"/>
  <c r="A49" i="5"/>
  <c r="C49" i="5" s="1"/>
  <c r="A126" i="23"/>
  <c r="B126" i="23" s="1"/>
  <c r="A25" i="5"/>
  <c r="C25" i="5" s="1"/>
  <c r="A56" i="1"/>
  <c r="B56" i="1" s="1"/>
  <c r="C96" i="3"/>
  <c r="A153" i="3"/>
  <c r="I153" i="3" s="1"/>
  <c r="A41" i="5"/>
  <c r="A79" i="23"/>
  <c r="B79" i="23" s="1"/>
  <c r="B85" i="1"/>
  <c r="A74" i="23"/>
  <c r="B74" i="23" s="1"/>
  <c r="A110" i="1"/>
  <c r="B110" i="1" s="1"/>
  <c r="B4" i="17"/>
  <c r="A88" i="5"/>
  <c r="A3" i="5"/>
  <c r="A48" i="1"/>
  <c r="B48" i="1" s="1"/>
  <c r="A26" i="5"/>
  <c r="A159" i="1"/>
  <c r="A152" i="23" s="1"/>
  <c r="B152" i="23" s="1"/>
  <c r="A127" i="1"/>
  <c r="A11" i="5"/>
  <c r="A9" i="1"/>
  <c r="B9" i="1" s="1"/>
  <c r="A137" i="5"/>
  <c r="A70" i="1"/>
  <c r="A64" i="23" s="1"/>
  <c r="B64" i="23" s="1"/>
  <c r="A42" i="5"/>
  <c r="A50" i="5"/>
  <c r="A17" i="1"/>
  <c r="A11" i="23" s="1"/>
  <c r="B11" i="23" s="1"/>
  <c r="A113" i="3"/>
  <c r="I113" i="3" s="1"/>
  <c r="A64" i="5"/>
  <c r="A40" i="1"/>
  <c r="A94" i="1"/>
  <c r="A145" i="5"/>
  <c r="B95" i="1"/>
  <c r="A88" i="23"/>
  <c r="B88" i="23" s="1"/>
  <c r="C122" i="5"/>
  <c r="A153" i="23"/>
  <c r="B153" i="23" s="1"/>
  <c r="B160" i="1"/>
  <c r="C84" i="1"/>
  <c r="D84" i="1" s="1"/>
  <c r="E78" i="3" s="1"/>
  <c r="C78" i="3"/>
  <c r="A31" i="1"/>
  <c r="A45" i="1"/>
  <c r="A12" i="1"/>
  <c r="B64" i="1"/>
  <c r="A103" i="1"/>
  <c r="A97" i="3"/>
  <c r="I97" i="3" s="1"/>
  <c r="A105" i="3"/>
  <c r="I105" i="3" s="1"/>
  <c r="A122" i="3"/>
  <c r="I122" i="3" s="1"/>
  <c r="A114" i="5"/>
  <c r="A6" i="3"/>
  <c r="I6" i="3" s="1"/>
  <c r="A59" i="3"/>
  <c r="I59" i="3" s="1"/>
  <c r="A89" i="3"/>
  <c r="I89" i="3" s="1"/>
  <c r="B33" i="1"/>
  <c r="A128" i="1"/>
  <c r="B108" i="1"/>
  <c r="A146" i="5"/>
  <c r="A111" i="1"/>
  <c r="A104" i="23" s="1"/>
  <c r="B104" i="23" s="1"/>
  <c r="A110" i="23"/>
  <c r="B110" i="23" s="1"/>
  <c r="C83" i="5"/>
  <c r="C103" i="5"/>
  <c r="A130" i="5"/>
  <c r="A154" i="5"/>
  <c r="C102" i="3"/>
  <c r="A59" i="1"/>
  <c r="B59" i="1" s="1"/>
  <c r="A59" i="5"/>
  <c r="A53" i="1"/>
  <c r="B53" i="1" s="1"/>
  <c r="A47" i="5"/>
  <c r="A138" i="5"/>
  <c r="A154" i="3"/>
  <c r="I154" i="3" s="1"/>
  <c r="A138" i="3"/>
  <c r="I138" i="3" s="1"/>
  <c r="C153" i="5"/>
  <c r="C123" i="1"/>
  <c r="B117" i="5"/>
  <c r="C117" i="3"/>
  <c r="B151" i="1"/>
  <c r="A144" i="23"/>
  <c r="B144" i="23" s="1"/>
  <c r="C106" i="1"/>
  <c r="B100" i="5"/>
  <c r="C120" i="1"/>
  <c r="D120" i="1" s="1"/>
  <c r="B114" i="5"/>
  <c r="C114" i="3"/>
  <c r="A109" i="23"/>
  <c r="B109" i="23" s="1"/>
  <c r="B116" i="1"/>
  <c r="C131" i="1"/>
  <c r="B125" i="5"/>
  <c r="C125" i="3"/>
  <c r="E85" i="3"/>
  <c r="B25" i="1"/>
  <c r="C57" i="5"/>
  <c r="A55" i="5"/>
  <c r="A44" i="5"/>
  <c r="A61" i="1"/>
  <c r="B61" i="1" s="1"/>
  <c r="A119" i="1"/>
  <c r="A73" i="5"/>
  <c r="A15" i="1"/>
  <c r="A79" i="1"/>
  <c r="A73" i="23" s="1"/>
  <c r="B73" i="23" s="1"/>
  <c r="A142" i="3"/>
  <c r="I142" i="3" s="1"/>
  <c r="A110" i="3"/>
  <c r="I110" i="3" s="1"/>
  <c r="A121" i="5"/>
  <c r="A104" i="5"/>
  <c r="B57" i="5"/>
  <c r="B148" i="1"/>
  <c r="A68" i="5"/>
  <c r="B120" i="1"/>
  <c r="A26" i="1"/>
  <c r="A32" i="5"/>
  <c r="A55" i="1"/>
  <c r="A49" i="23" s="1"/>
  <c r="B49" i="23" s="1"/>
  <c r="A99" i="1"/>
  <c r="A132" i="1"/>
  <c r="A156" i="1"/>
  <c r="A110" i="5"/>
  <c r="B120" i="5"/>
  <c r="A19" i="1"/>
  <c r="B19" i="1" s="1"/>
  <c r="A38" i="1"/>
  <c r="A164" i="1"/>
  <c r="A134" i="3"/>
  <c r="I134" i="3" s="1"/>
  <c r="A101" i="3"/>
  <c r="I101" i="3" s="1"/>
  <c r="B137" i="5"/>
  <c r="C120" i="3"/>
  <c r="C94" i="3"/>
  <c r="C153" i="2"/>
  <c r="C153" i="3" s="1"/>
  <c r="C157" i="2"/>
  <c r="C163" i="1" s="1"/>
  <c r="A118" i="23"/>
  <c r="B118" i="23" s="1"/>
  <c r="A35" i="1"/>
  <c r="A20" i="5"/>
  <c r="A32" i="1"/>
  <c r="A140" i="1"/>
  <c r="B140" i="1" s="1"/>
  <c r="A50" i="1"/>
  <c r="B50" i="1" s="1"/>
  <c r="A13" i="1"/>
  <c r="A29" i="5"/>
  <c r="A107" i="1"/>
  <c r="A102" i="1"/>
  <c r="B102" i="1" s="1"/>
  <c r="A124" i="1"/>
  <c r="B124" i="1" s="1"/>
  <c r="A41" i="1"/>
  <c r="A143" i="1"/>
  <c r="B67" i="5"/>
  <c r="B85" i="5"/>
  <c r="C137" i="3"/>
  <c r="B154" i="1"/>
  <c r="A7" i="5"/>
  <c r="A9" i="5"/>
  <c r="C9" i="5" s="1"/>
  <c r="A92" i="1"/>
  <c r="A145" i="3"/>
  <c r="I145" i="3" s="1"/>
  <c r="A150" i="3"/>
  <c r="I150" i="3" s="1"/>
  <c r="A93" i="3"/>
  <c r="I93" i="3" s="1"/>
  <c r="A129" i="5"/>
  <c r="C129" i="5" s="1"/>
  <c r="B102" i="5"/>
  <c r="A10" i="1"/>
  <c r="A13" i="5"/>
  <c r="A4" i="5"/>
  <c r="A86" i="5"/>
  <c r="A139" i="23"/>
  <c r="B139" i="23" s="1"/>
  <c r="B146" i="1"/>
  <c r="A106" i="23"/>
  <c r="B106" i="23" s="1"/>
  <c r="B113" i="1"/>
  <c r="A106" i="3"/>
  <c r="I106" i="3" s="1"/>
  <c r="A112" i="1"/>
  <c r="A105" i="23" s="1"/>
  <c r="B105" i="23" s="1"/>
  <c r="C93" i="1"/>
  <c r="D93" i="1" s="1"/>
  <c r="B87" i="5"/>
  <c r="B98" i="2"/>
  <c r="C98" i="2"/>
  <c r="C98" i="3" s="1"/>
  <c r="C119" i="1"/>
  <c r="B113" i="5"/>
  <c r="A34" i="1"/>
  <c r="A28" i="23" s="1"/>
  <c r="B28" i="23" s="1"/>
  <c r="A28" i="5"/>
  <c r="C121" i="1"/>
  <c r="D121" i="1" s="1"/>
  <c r="B115" i="5"/>
  <c r="C115" i="3"/>
  <c r="A16" i="1"/>
  <c r="A10" i="5"/>
  <c r="A33" i="3"/>
  <c r="I33" i="3" s="1"/>
  <c r="A39" i="1"/>
  <c r="B39" i="1" s="1"/>
  <c r="A75" i="3"/>
  <c r="I75" i="3" s="1"/>
  <c r="A81" i="1"/>
  <c r="A75" i="5"/>
  <c r="A123" i="23"/>
  <c r="B123" i="23" s="1"/>
  <c r="C150" i="5"/>
  <c r="C110" i="1"/>
  <c r="D110" i="1" s="1"/>
  <c r="E104" i="3" s="1"/>
  <c r="C104" i="3"/>
  <c r="A91" i="3"/>
  <c r="I91" i="3" s="1"/>
  <c r="A91" i="5"/>
  <c r="A97" i="1"/>
  <c r="A108" i="5"/>
  <c r="A108" i="3"/>
  <c r="I108" i="3" s="1"/>
  <c r="A114" i="1"/>
  <c r="A122" i="1"/>
  <c r="A116" i="5"/>
  <c r="A116" i="3"/>
  <c r="I116" i="3" s="1"/>
  <c r="A132" i="5"/>
  <c r="A132" i="3"/>
  <c r="I132" i="3" s="1"/>
  <c r="A140" i="5"/>
  <c r="A140" i="3"/>
  <c r="I140" i="3" s="1"/>
  <c r="A162" i="1"/>
  <c r="B162" i="1" s="1"/>
  <c r="A156" i="5"/>
  <c r="A156" i="3"/>
  <c r="I156" i="3" s="1"/>
  <c r="C94" i="1"/>
  <c r="D94" i="1" s="1"/>
  <c r="E88" i="3" s="1"/>
  <c r="C88" i="3"/>
  <c r="C95" i="3"/>
  <c r="B95" i="5"/>
  <c r="C117" i="1"/>
  <c r="D117" i="1" s="1"/>
  <c r="B111" i="5"/>
  <c r="C111" i="3"/>
  <c r="A48" i="5"/>
  <c r="A54" i="1"/>
  <c r="A48" i="23" s="1"/>
  <c r="B48" i="23" s="1"/>
  <c r="A66" i="3"/>
  <c r="I66" i="3" s="1"/>
  <c r="A66" i="5"/>
  <c r="A72" i="1"/>
  <c r="A137" i="23"/>
  <c r="B137" i="23" s="1"/>
  <c r="C124" i="5"/>
  <c r="B105" i="5"/>
  <c r="C105" i="3"/>
  <c r="A14" i="3"/>
  <c r="I14" i="3" s="1"/>
  <c r="A20" i="1"/>
  <c r="A30" i="1"/>
  <c r="A24" i="5"/>
  <c r="A2" i="23"/>
  <c r="B2" i="23" s="1"/>
  <c r="B8" i="1"/>
  <c r="A58" i="1"/>
  <c r="C83" i="3"/>
  <c r="B83" i="5"/>
  <c r="C115" i="1"/>
  <c r="B109" i="5"/>
  <c r="C109" i="3"/>
  <c r="A15" i="3"/>
  <c r="I15" i="3" s="1"/>
  <c r="A21" i="1"/>
  <c r="A15" i="5"/>
  <c r="A37" i="3"/>
  <c r="I37" i="3" s="1"/>
  <c r="A43" i="1"/>
  <c r="A37" i="5"/>
  <c r="A81" i="3"/>
  <c r="I81" i="3" s="1"/>
  <c r="A87" i="1"/>
  <c r="A81" i="5"/>
  <c r="C109" i="1"/>
  <c r="D109" i="1" s="1"/>
  <c r="C103" i="3"/>
  <c r="A33" i="5"/>
  <c r="C147" i="1"/>
  <c r="B141" i="5"/>
  <c r="C141" i="3"/>
  <c r="A5" i="3"/>
  <c r="I5" i="3" s="1"/>
  <c r="A5" i="5"/>
  <c r="A11" i="1"/>
  <c r="A10" i="3"/>
  <c r="I10" i="3" s="1"/>
  <c r="A38" i="3"/>
  <c r="I38" i="3" s="1"/>
  <c r="A44" i="1"/>
  <c r="A38" i="5"/>
  <c r="A57" i="3"/>
  <c r="I57" i="3" s="1"/>
  <c r="A63" i="1"/>
  <c r="C131" i="5"/>
  <c r="A147" i="3"/>
  <c r="I147" i="3" s="1"/>
  <c r="A107" i="5"/>
  <c r="A98" i="3"/>
  <c r="I98" i="3" s="1"/>
  <c r="A121" i="1"/>
  <c r="A139" i="5"/>
  <c r="A137" i="1"/>
  <c r="A76" i="1"/>
  <c r="A80" i="5"/>
  <c r="A131" i="3"/>
  <c r="I131" i="3" s="1"/>
  <c r="C156" i="2"/>
  <c r="A86" i="1"/>
  <c r="D132" i="23"/>
  <c r="C80" i="3"/>
  <c r="B136" i="5"/>
  <c r="C136" i="3"/>
  <c r="C145" i="3"/>
  <c r="C133" i="3"/>
  <c r="B133" i="5"/>
  <c r="C155" i="3"/>
  <c r="C21" i="3"/>
  <c r="A51" i="23"/>
  <c r="B51" i="23" s="1"/>
  <c r="B57" i="1"/>
  <c r="B157" i="1"/>
  <c r="A150" i="23"/>
  <c r="B150" i="23" s="1"/>
  <c r="B141" i="1"/>
  <c r="B65" i="1"/>
  <c r="A59" i="23"/>
  <c r="B59" i="23" s="1"/>
  <c r="B101" i="1"/>
  <c r="A94" i="23"/>
  <c r="B94" i="23" s="1"/>
  <c r="A30" i="23"/>
  <c r="B30" i="23" s="1"/>
  <c r="B36" i="1"/>
  <c r="A131" i="23"/>
  <c r="B131" i="23" s="1"/>
  <c r="B138" i="1"/>
  <c r="A63" i="23"/>
  <c r="B63" i="23" s="1"/>
  <c r="B100" i="1"/>
  <c r="C95" i="1"/>
  <c r="B89" i="5"/>
  <c r="C18" i="1"/>
  <c r="D18" i="1" s="1"/>
  <c r="E12" i="3" s="1"/>
  <c r="C12" i="3"/>
  <c r="C24" i="1"/>
  <c r="D24" i="1" s="1"/>
  <c r="D18" i="23" s="1"/>
  <c r="B18" i="5"/>
  <c r="C26" i="1"/>
  <c r="D26" i="1" s="1"/>
  <c r="B20" i="5"/>
  <c r="C28" i="1"/>
  <c r="B22" i="5"/>
  <c r="C30" i="1"/>
  <c r="D30" i="1" s="1"/>
  <c r="D24" i="23" s="1"/>
  <c r="B24" i="5"/>
  <c r="C46" i="1"/>
  <c r="D46" i="1" s="1"/>
  <c r="E40" i="3" s="1"/>
  <c r="B40" i="5"/>
  <c r="C153" i="1"/>
  <c r="C147" i="3"/>
  <c r="C151" i="1"/>
  <c r="A82" i="23"/>
  <c r="B82" i="23" s="1"/>
  <c r="C125" i="1"/>
  <c r="D125" i="1" s="1"/>
  <c r="B119" i="5"/>
  <c r="C65" i="1"/>
  <c r="C59" i="3"/>
  <c r="B59" i="5"/>
  <c r="C67" i="1"/>
  <c r="D67" i="1" s="1"/>
  <c r="B61" i="5"/>
  <c r="C69" i="1"/>
  <c r="D69" i="1" s="1"/>
  <c r="B63" i="5"/>
  <c r="C71" i="1"/>
  <c r="D71" i="1" s="1"/>
  <c r="D65" i="23" s="1"/>
  <c r="B65" i="5"/>
  <c r="C74" i="3"/>
  <c r="C80" i="1"/>
  <c r="B74" i="5"/>
  <c r="C133" i="1"/>
  <c r="D133" i="1" s="1"/>
  <c r="C127" i="3"/>
  <c r="C18" i="3"/>
  <c r="C33" i="1"/>
  <c r="D33" i="1" s="1"/>
  <c r="B27" i="5"/>
  <c r="C34" i="3"/>
  <c r="C41" i="3"/>
  <c r="C47" i="1"/>
  <c r="D47" i="1" s="1"/>
  <c r="E41" i="3" s="1"/>
  <c r="C99" i="1"/>
  <c r="D99" i="1" s="1"/>
  <c r="B93" i="5"/>
  <c r="C145" i="1"/>
  <c r="D145" i="1" s="1"/>
  <c r="C139" i="3"/>
  <c r="A79" i="3"/>
  <c r="I79" i="3" s="1"/>
  <c r="A79" i="5"/>
  <c r="C24" i="3"/>
  <c r="B16" i="5"/>
  <c r="C22" i="1"/>
  <c r="C50" i="1"/>
  <c r="D50" i="1" s="1"/>
  <c r="D44" i="23" s="1"/>
  <c r="C44" i="3"/>
  <c r="C52" i="1"/>
  <c r="B46" i="5"/>
  <c r="C54" i="1"/>
  <c r="D54" i="1" s="1"/>
  <c r="D48" i="23" s="1"/>
  <c r="B48" i="5"/>
  <c r="B149" i="1"/>
  <c r="B26" i="5"/>
  <c r="C20" i="3"/>
  <c r="C36" i="1"/>
  <c r="D36" i="1" s="1"/>
  <c r="C30" i="3"/>
  <c r="C34" i="1"/>
  <c r="D34" i="1" s="1"/>
  <c r="B28" i="5"/>
  <c r="C44" i="1"/>
  <c r="D44" i="1" s="1"/>
  <c r="E38" i="3" s="1"/>
  <c r="B38" i="5"/>
  <c r="B91" i="5"/>
  <c r="C91" i="3"/>
  <c r="C137" i="1"/>
  <c r="C131" i="3"/>
  <c r="A71" i="3"/>
  <c r="I71" i="3" s="1"/>
  <c r="A77" i="1"/>
  <c r="C20" i="1"/>
  <c r="B14" i="5"/>
  <c r="C38" i="1"/>
  <c r="C32" i="3"/>
  <c r="B35" i="5"/>
  <c r="C35" i="3"/>
  <c r="C60" i="1"/>
  <c r="D60" i="1" s="1"/>
  <c r="E54" i="3" s="1"/>
  <c r="B54" i="5"/>
  <c r="C72" i="1"/>
  <c r="C66" i="3"/>
  <c r="C103" i="1"/>
  <c r="C97" i="3"/>
  <c r="C149" i="1"/>
  <c r="B143" i="5"/>
  <c r="C48" i="3"/>
  <c r="B12" i="5"/>
  <c r="C22" i="3"/>
  <c r="B147" i="5"/>
  <c r="C65" i="3"/>
  <c r="B5" i="17"/>
  <c r="B9" i="2"/>
  <c r="C29" i="3"/>
  <c r="C35" i="1"/>
  <c r="D35" i="1" s="1"/>
  <c r="D29" i="23" s="1"/>
  <c r="C45" i="1"/>
  <c r="C39" i="3"/>
  <c r="C129" i="1"/>
  <c r="B123" i="5"/>
  <c r="B129" i="5"/>
  <c r="C135" i="1"/>
  <c r="D135" i="1" s="1"/>
  <c r="D128" i="23" s="1"/>
  <c r="A63" i="3"/>
  <c r="I63" i="3" s="1"/>
  <c r="A63" i="5"/>
  <c r="A163" i="1"/>
  <c r="A157" i="3"/>
  <c r="I157" i="3" s="1"/>
  <c r="A157" i="5"/>
  <c r="C143" i="3"/>
  <c r="C82" i="1"/>
  <c r="B76" i="5"/>
  <c r="C141" i="1"/>
  <c r="B135" i="5"/>
  <c r="C158" i="2"/>
  <c r="C158" i="3" s="1"/>
  <c r="C150" i="1"/>
  <c r="C127" i="1"/>
  <c r="C85" i="3"/>
  <c r="C118" i="1"/>
  <c r="D118" i="1" s="1"/>
  <c r="E112" i="3" s="1"/>
  <c r="C89" i="1"/>
  <c r="D89" i="1" s="1"/>
  <c r="C100" i="3"/>
  <c r="B130" i="5"/>
  <c r="B88" i="5"/>
  <c r="B121" i="5"/>
  <c r="B78" i="5"/>
  <c r="C111" i="1"/>
  <c r="C19" i="1"/>
  <c r="D19" i="1" s="1"/>
  <c r="C13" i="3"/>
  <c r="B13" i="5"/>
  <c r="C8" i="1"/>
  <c r="D8" i="1" s="1"/>
  <c r="B2" i="5"/>
  <c r="C2" i="3"/>
  <c r="C11" i="3"/>
  <c r="C17" i="1"/>
  <c r="D17" i="1" s="1"/>
  <c r="B11" i="5"/>
  <c r="E75" i="3"/>
  <c r="D75" i="23"/>
  <c r="D136" i="23"/>
  <c r="E137" i="3"/>
  <c r="C39" i="1"/>
  <c r="C33" i="3"/>
  <c r="B33" i="5"/>
  <c r="D80" i="23"/>
  <c r="E80" i="3"/>
  <c r="C37" i="1"/>
  <c r="D37" i="1" s="1"/>
  <c r="C31" i="3"/>
  <c r="B31" i="5"/>
  <c r="C11" i="1"/>
  <c r="B5" i="5"/>
  <c r="C5" i="3"/>
  <c r="B15" i="5"/>
  <c r="C21" i="1"/>
  <c r="D21" i="1" s="1"/>
  <c r="C15" i="3"/>
  <c r="B17" i="5"/>
  <c r="C23" i="1"/>
  <c r="D23" i="1" s="1"/>
  <c r="C17" i="3"/>
  <c r="C70" i="1"/>
  <c r="B64" i="5"/>
  <c r="C154" i="1"/>
  <c r="C148" i="3"/>
  <c r="C53" i="3"/>
  <c r="B53" i="5"/>
  <c r="C59" i="1"/>
  <c r="D59" i="1" s="1"/>
  <c r="C96" i="1"/>
  <c r="D96" i="1" s="1"/>
  <c r="C90" i="3"/>
  <c r="B148" i="5"/>
  <c r="B7" i="5"/>
  <c r="B128" i="5"/>
  <c r="C42" i="1"/>
  <c r="D42" i="1" s="1"/>
  <c r="B36" i="5"/>
  <c r="B56" i="5"/>
  <c r="C62" i="1"/>
  <c r="D62" i="1" s="1"/>
  <c r="C84" i="3"/>
  <c r="C90" i="1"/>
  <c r="D90" i="1" s="1"/>
  <c r="C86" i="3"/>
  <c r="C92" i="1"/>
  <c r="D92" i="1" s="1"/>
  <c r="B126" i="5"/>
  <c r="C132" i="1"/>
  <c r="D132" i="1" s="1"/>
  <c r="B142" i="5"/>
  <c r="C148" i="1"/>
  <c r="C149" i="3"/>
  <c r="C155" i="1"/>
  <c r="D155" i="1" s="1"/>
  <c r="C112" i="1"/>
  <c r="B106" i="5"/>
  <c r="C106" i="3"/>
  <c r="C66" i="1"/>
  <c r="C27" i="1"/>
  <c r="C13" i="1"/>
  <c r="C58" i="3"/>
  <c r="C64" i="1"/>
  <c r="B42" i="5"/>
  <c r="B146" i="5"/>
  <c r="B29" i="5"/>
  <c r="B94" i="5"/>
  <c r="C26" i="3"/>
  <c r="C14" i="1"/>
  <c r="D14" i="1" s="1"/>
  <c r="C8" i="3"/>
  <c r="C51" i="3"/>
  <c r="C57" i="1"/>
  <c r="D57" i="1" s="1"/>
  <c r="B51" i="5"/>
  <c r="C130" i="1"/>
  <c r="C124" i="3"/>
  <c r="C146" i="1"/>
  <c r="D146" i="1" s="1"/>
  <c r="C140" i="3"/>
  <c r="B152" i="5"/>
  <c r="C152" i="3"/>
  <c r="C160" i="1"/>
  <c r="D160" i="1" s="1"/>
  <c r="B154" i="5"/>
  <c r="C16" i="1"/>
  <c r="D16" i="1" s="1"/>
  <c r="C62" i="3"/>
  <c r="C68" i="1"/>
  <c r="B62" i="5"/>
  <c r="C74" i="1"/>
  <c r="D74" i="1" s="1"/>
  <c r="B68" i="5"/>
  <c r="E146" i="3"/>
  <c r="B58" i="5"/>
  <c r="C146" i="3"/>
  <c r="C68" i="3"/>
  <c r="C3" i="3"/>
  <c r="B3" i="5"/>
  <c r="C9" i="1"/>
  <c r="D9" i="1" s="1"/>
  <c r="B6" i="5"/>
  <c r="C12" i="1"/>
  <c r="D12" i="1" s="1"/>
  <c r="C49" i="1"/>
  <c r="D49" i="1" s="1"/>
  <c r="B43" i="5"/>
  <c r="C45" i="3"/>
  <c r="B45" i="5"/>
  <c r="C51" i="1"/>
  <c r="D51" i="1" s="1"/>
  <c r="C53" i="1"/>
  <c r="D53" i="1" s="1"/>
  <c r="C47" i="3"/>
  <c r="C49" i="3"/>
  <c r="C55" i="1"/>
  <c r="D55" i="1" s="1"/>
  <c r="B72" i="5"/>
  <c r="C78" i="1"/>
  <c r="C79" i="3"/>
  <c r="B79" i="5"/>
  <c r="C85" i="1"/>
  <c r="D85" i="1" s="1"/>
  <c r="C128" i="1"/>
  <c r="D128" i="1" s="1"/>
  <c r="B122" i="5"/>
  <c r="C144" i="1"/>
  <c r="D144" i="1" s="1"/>
  <c r="B138" i="5"/>
  <c r="A88" i="1"/>
  <c r="A82" i="5"/>
  <c r="C134" i="1"/>
  <c r="D134" i="1" s="1"/>
  <c r="C41" i="1"/>
  <c r="D41" i="1" s="1"/>
  <c r="C56" i="1"/>
  <c r="C50" i="3"/>
  <c r="C130" i="3"/>
  <c r="C71" i="3"/>
  <c r="C77" i="1"/>
  <c r="B10" i="5"/>
  <c r="C64" i="3"/>
  <c r="B96" i="5"/>
  <c r="C43" i="1"/>
  <c r="C37" i="3"/>
  <c r="C27" i="3"/>
  <c r="C83" i="1"/>
  <c r="B77" i="5"/>
  <c r="C156" i="1"/>
  <c r="B150" i="5"/>
  <c r="C92" i="3"/>
  <c r="B60" i="5"/>
  <c r="B90" i="5"/>
  <c r="B144" i="5"/>
  <c r="C10" i="1"/>
  <c r="D10" i="1" s="1"/>
  <c r="B4" i="5"/>
  <c r="C15" i="1"/>
  <c r="D15" i="1" s="1"/>
  <c r="B9" i="5"/>
  <c r="B19" i="5"/>
  <c r="C25" i="1"/>
  <c r="D25" i="1" s="1"/>
  <c r="C29" i="1"/>
  <c r="D29" i="1" s="1"/>
  <c r="C23" i="3"/>
  <c r="C25" i="3"/>
  <c r="C31" i="1"/>
  <c r="D31" i="1" s="1"/>
  <c r="B52" i="5"/>
  <c r="C58" i="1"/>
  <c r="C70" i="3"/>
  <c r="C76" i="1"/>
  <c r="D76" i="1" s="1"/>
  <c r="B70" i="5"/>
  <c r="B75" i="5"/>
  <c r="C75" i="3"/>
  <c r="C107" i="1"/>
  <c r="D107" i="1" s="1"/>
  <c r="B101" i="5"/>
  <c r="C114" i="1"/>
  <c r="D114" i="1" s="1"/>
  <c r="C108" i="3"/>
  <c r="B110" i="5"/>
  <c r="C116" i="1"/>
  <c r="C116" i="3"/>
  <c r="C122" i="1"/>
  <c r="D122" i="1" s="1"/>
  <c r="B116" i="5"/>
  <c r="C124" i="1"/>
  <c r="D124" i="1" s="1"/>
  <c r="B118" i="5"/>
  <c r="C140" i="1"/>
  <c r="B134" i="5"/>
  <c r="B82" i="5"/>
  <c r="C82" i="3"/>
  <c r="C158" i="1"/>
  <c r="D158" i="1" s="1"/>
  <c r="C73" i="1"/>
  <c r="D73" i="1" s="1"/>
  <c r="B50" i="5"/>
  <c r="B92" i="5"/>
  <c r="C151" i="3"/>
  <c r="C42" i="3"/>
  <c r="B55" i="5"/>
  <c r="C61" i="1"/>
  <c r="D61" i="1" s="1"/>
  <c r="C79" i="1"/>
  <c r="D79" i="1" s="1"/>
  <c r="B73" i="5"/>
  <c r="C105" i="1"/>
  <c r="C99" i="3"/>
  <c r="C132" i="3"/>
  <c r="C138" i="1"/>
  <c r="D138" i="1" s="1"/>
  <c r="B132" i="5"/>
  <c r="B80" i="5"/>
  <c r="B32" i="5"/>
  <c r="C14" i="3"/>
  <c r="C87" i="3"/>
  <c r="C101" i="1"/>
  <c r="D101" i="1" s="1"/>
  <c r="C61" i="3"/>
  <c r="B30" i="5"/>
  <c r="C97" i="1"/>
  <c r="K15" i="26"/>
  <c r="K16" i="26" s="1"/>
  <c r="B3" i="26" s="1"/>
  <c r="B4" i="26" s="1"/>
  <c r="D179" i="10" l="1"/>
  <c r="C189" i="10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8" i="10"/>
  <c r="J108" i="10"/>
  <c r="J107" i="10"/>
  <c r="M107" i="10"/>
  <c r="J106" i="10"/>
  <c r="M106" i="10"/>
  <c r="M105" i="10"/>
  <c r="J105" i="10"/>
  <c r="J109" i="10"/>
  <c r="M109" i="10"/>
  <c r="M115" i="10"/>
  <c r="J115" i="10"/>
  <c r="M120" i="10"/>
  <c r="J120" i="10"/>
  <c r="M97" i="10"/>
  <c r="G123" i="10" s="1"/>
  <c r="E176" i="10" s="1"/>
  <c r="J97" i="10"/>
  <c r="D123" i="10" s="1"/>
  <c r="D176" i="10" s="1"/>
  <c r="J113" i="10"/>
  <c r="M113" i="10"/>
  <c r="M110" i="10"/>
  <c r="J110" i="10"/>
  <c r="M98" i="10"/>
  <c r="J98" i="10"/>
  <c r="J99" i="10"/>
  <c r="M99" i="10"/>
  <c r="G173" i="10"/>
  <c r="K173" i="10" s="1"/>
  <c r="G179" i="10"/>
  <c r="J179" i="10" s="1"/>
  <c r="G177" i="10"/>
  <c r="K177" i="10" s="1"/>
  <c r="G172" i="10"/>
  <c r="G176" i="10"/>
  <c r="G178" i="10"/>
  <c r="K178" i="10" s="1"/>
  <c r="G174" i="10"/>
  <c r="K174" i="10" s="1"/>
  <c r="G175" i="10"/>
  <c r="M45" i="10"/>
  <c r="J45" i="10"/>
  <c r="M52" i="10"/>
  <c r="J52" i="10"/>
  <c r="L41" i="10"/>
  <c r="K41" i="10"/>
  <c r="J41" i="10"/>
  <c r="M41" i="10"/>
  <c r="J46" i="10"/>
  <c r="M46" i="10"/>
  <c r="J39" i="10"/>
  <c r="M39" i="10"/>
  <c r="J42" i="10"/>
  <c r="M42" i="10"/>
  <c r="J36" i="10"/>
  <c r="M36" i="10"/>
  <c r="M54" i="10"/>
  <c r="J54" i="10"/>
  <c r="J40" i="10"/>
  <c r="M40" i="10"/>
  <c r="M53" i="10"/>
  <c r="J53" i="10"/>
  <c r="M51" i="10"/>
  <c r="J51" i="10"/>
  <c r="M49" i="10"/>
  <c r="J49" i="10"/>
  <c r="J55" i="10"/>
  <c r="M55" i="10"/>
  <c r="M37" i="10"/>
  <c r="J37" i="10"/>
  <c r="J48" i="10"/>
  <c r="M48" i="10"/>
  <c r="J32" i="10"/>
  <c r="M32" i="10"/>
  <c r="I56" i="10"/>
  <c r="M44" i="10"/>
  <c r="J44" i="10"/>
  <c r="J33" i="10"/>
  <c r="M33" i="10"/>
  <c r="J50" i="10"/>
  <c r="M50" i="10"/>
  <c r="J47" i="10"/>
  <c r="M47" i="10"/>
  <c r="M38" i="10"/>
  <c r="J38" i="10"/>
  <c r="J5" i="10"/>
  <c r="M5" i="10"/>
  <c r="J9" i="10"/>
  <c r="M9" i="10"/>
  <c r="J19" i="10"/>
  <c r="M19" i="10"/>
  <c r="M26" i="10"/>
  <c r="J26" i="10"/>
  <c r="M28" i="10"/>
  <c r="J28" i="10"/>
  <c r="J23" i="10"/>
  <c r="M23" i="10"/>
  <c r="M30" i="10"/>
  <c r="J30" i="10"/>
  <c r="J11" i="10"/>
  <c r="M11" i="10"/>
  <c r="J18" i="10"/>
  <c r="M18" i="10"/>
  <c r="J20" i="10"/>
  <c r="M20" i="10"/>
  <c r="J22" i="10"/>
  <c r="M22" i="10"/>
  <c r="M24" i="10"/>
  <c r="J24" i="10"/>
  <c r="M10" i="10"/>
  <c r="J10" i="10"/>
  <c r="J12" i="10"/>
  <c r="M12" i="10"/>
  <c r="J177" i="10"/>
  <c r="J14" i="10"/>
  <c r="M14" i="10"/>
  <c r="M16" i="10"/>
  <c r="J16" i="10"/>
  <c r="M2" i="10"/>
  <c r="J2" i="10"/>
  <c r="I31" i="10"/>
  <c r="J4" i="10"/>
  <c r="M4" i="10"/>
  <c r="M25" i="10"/>
  <c r="J25" i="10"/>
  <c r="M6" i="10"/>
  <c r="J6" i="10"/>
  <c r="M8" i="10"/>
  <c r="J8" i="10"/>
  <c r="M15" i="10"/>
  <c r="J15" i="10"/>
  <c r="M27" i="10"/>
  <c r="J27" i="10"/>
  <c r="J29" i="10"/>
  <c r="M29" i="10"/>
  <c r="J7" i="10"/>
  <c r="M7" i="10"/>
  <c r="M17" i="10"/>
  <c r="J17" i="10"/>
  <c r="M3" i="10"/>
  <c r="J3" i="10"/>
  <c r="M21" i="10"/>
  <c r="J21" i="10"/>
  <c r="J13" i="10"/>
  <c r="M13" i="10"/>
  <c r="D153" i="3"/>
  <c r="D153" i="5"/>
  <c r="D71" i="5"/>
  <c r="D143" i="5"/>
  <c r="D25" i="3"/>
  <c r="D25" i="5"/>
  <c r="D17" i="3"/>
  <c r="D17" i="5"/>
  <c r="G23" i="1" s="1"/>
  <c r="I23" i="1" s="1"/>
  <c r="H23" i="1" s="1"/>
  <c r="D111" i="3"/>
  <c r="D111" i="5"/>
  <c r="D45" i="3"/>
  <c r="D45" i="5"/>
  <c r="D9" i="3"/>
  <c r="D9" i="5"/>
  <c r="D34" i="3"/>
  <c r="D34" i="5"/>
  <c r="G40" i="1" s="1"/>
  <c r="I40" i="1" s="1"/>
  <c r="H40" i="1" s="1"/>
  <c r="D74" i="5"/>
  <c r="D43" i="5"/>
  <c r="D103" i="3"/>
  <c r="D103" i="5"/>
  <c r="D122" i="3"/>
  <c r="D122" i="5"/>
  <c r="D49" i="3"/>
  <c r="D49" i="5"/>
  <c r="G55" i="1" s="1"/>
  <c r="I55" i="1" s="1"/>
  <c r="H55" i="1" s="1"/>
  <c r="D40" i="3"/>
  <c r="D40" i="5"/>
  <c r="D83" i="3"/>
  <c r="D83" i="5"/>
  <c r="D67" i="3"/>
  <c r="D67" i="5"/>
  <c r="D152" i="5"/>
  <c r="D147" i="5"/>
  <c r="G153" i="1" s="1"/>
  <c r="I153" i="1" s="1"/>
  <c r="H153" i="1" s="1"/>
  <c r="D129" i="3"/>
  <c r="D129" i="5"/>
  <c r="D124" i="3"/>
  <c r="D124" i="5"/>
  <c r="D150" i="3"/>
  <c r="D150" i="5"/>
  <c r="D57" i="3"/>
  <c r="D57" i="5"/>
  <c r="G63" i="1" s="1"/>
  <c r="I63" i="1" s="1"/>
  <c r="H63" i="1" s="1"/>
  <c r="A89" i="23"/>
  <c r="B89" i="23" s="1"/>
  <c r="D95" i="3"/>
  <c r="D95" i="5"/>
  <c r="D128" i="5"/>
  <c r="D115" i="5"/>
  <c r="E57" i="3"/>
  <c r="D131" i="3"/>
  <c r="D131" i="5"/>
  <c r="G137" i="1" s="1"/>
  <c r="I137" i="1" s="1"/>
  <c r="H137" i="1" s="1"/>
  <c r="D78" i="3"/>
  <c r="D78" i="5"/>
  <c r="E120" i="3"/>
  <c r="D119" i="23"/>
  <c r="D70" i="1"/>
  <c r="D140" i="1"/>
  <c r="D105" i="1"/>
  <c r="D78" i="1"/>
  <c r="F78" i="1" s="1"/>
  <c r="D66" i="1"/>
  <c r="D83" i="1"/>
  <c r="E77" i="3" s="1"/>
  <c r="D127" i="1"/>
  <c r="D120" i="23" s="1"/>
  <c r="D72" i="1"/>
  <c r="E66" i="3" s="1"/>
  <c r="D123" i="1"/>
  <c r="E155" i="3"/>
  <c r="D154" i="23"/>
  <c r="D69" i="23"/>
  <c r="E69" i="3"/>
  <c r="D148" i="1"/>
  <c r="D141" i="23" s="1"/>
  <c r="D156" i="1"/>
  <c r="F156" i="1" s="1"/>
  <c r="D68" i="1"/>
  <c r="D27" i="1"/>
  <c r="D11" i="1"/>
  <c r="D88" i="1"/>
  <c r="D111" i="1"/>
  <c r="D104" i="23" s="1"/>
  <c r="D97" i="1"/>
  <c r="E91" i="3" s="1"/>
  <c r="D116" i="1"/>
  <c r="D112" i="1"/>
  <c r="D147" i="1"/>
  <c r="E102" i="3"/>
  <c r="C14" i="25"/>
  <c r="C201" i="1" s="1"/>
  <c r="K21" i="1" s="1"/>
  <c r="D131" i="1" s="1"/>
  <c r="C2" i="25"/>
  <c r="C189" i="1" s="1"/>
  <c r="K9" i="1" s="1"/>
  <c r="D56" i="1" s="1"/>
  <c r="D43" i="1"/>
  <c r="F43" i="1" s="1"/>
  <c r="D64" i="1"/>
  <c r="D58" i="23" s="1"/>
  <c r="D150" i="1"/>
  <c r="D143" i="23" s="1"/>
  <c r="D153" i="1"/>
  <c r="E81" i="3"/>
  <c r="D136" i="1"/>
  <c r="F136" i="1" s="1"/>
  <c r="D65" i="1"/>
  <c r="D102" i="1"/>
  <c r="D154" i="1"/>
  <c r="E148" i="3" s="1"/>
  <c r="D141" i="1"/>
  <c r="D134" i="23" s="1"/>
  <c r="D98" i="1"/>
  <c r="D149" i="1"/>
  <c r="E143" i="3" s="1"/>
  <c r="D137" i="1"/>
  <c r="D119" i="1"/>
  <c r="D112" i="23" s="1"/>
  <c r="D93" i="23"/>
  <c r="D82" i="1"/>
  <c r="D76" i="23" s="1"/>
  <c r="D106" i="1"/>
  <c r="D99" i="23" s="1"/>
  <c r="D34" i="23"/>
  <c r="D103" i="1"/>
  <c r="E97" i="3" s="1"/>
  <c r="D22" i="1"/>
  <c r="D16" i="23" s="1"/>
  <c r="D151" i="1"/>
  <c r="D28" i="1"/>
  <c r="F28" i="1" s="1"/>
  <c r="E151" i="3"/>
  <c r="E136" i="3"/>
  <c r="D26" i="23"/>
  <c r="D106" i="23"/>
  <c r="C90" i="5"/>
  <c r="A22" i="23"/>
  <c r="B22" i="23" s="1"/>
  <c r="A99" i="23"/>
  <c r="B99" i="23" s="1"/>
  <c r="A86" i="23"/>
  <c r="B86" i="23" s="1"/>
  <c r="B27" i="1"/>
  <c r="A145" i="23"/>
  <c r="B145" i="23" s="1"/>
  <c r="C123" i="5"/>
  <c r="A154" i="23"/>
  <c r="B154" i="23" s="1"/>
  <c r="B71" i="1"/>
  <c r="A76" i="23"/>
  <c r="B76" i="23" s="1"/>
  <c r="C118" i="5"/>
  <c r="B51" i="1"/>
  <c r="C158" i="5"/>
  <c r="B153" i="1"/>
  <c r="B83" i="1"/>
  <c r="C120" i="5"/>
  <c r="B158" i="1"/>
  <c r="B91" i="1"/>
  <c r="B42" i="1"/>
  <c r="B18" i="1"/>
  <c r="A138" i="23"/>
  <c r="B138" i="23" s="1"/>
  <c r="C53" i="5"/>
  <c r="B139" i="1"/>
  <c r="C54" i="5"/>
  <c r="A119" i="23"/>
  <c r="B119" i="23" s="1"/>
  <c r="A60" i="23"/>
  <c r="B60" i="23" s="1"/>
  <c r="A140" i="23"/>
  <c r="B140" i="23" s="1"/>
  <c r="B24" i="1"/>
  <c r="A68" i="23"/>
  <c r="B68" i="23" s="1"/>
  <c r="A111" i="23"/>
  <c r="B111" i="23" s="1"/>
  <c r="B84" i="1"/>
  <c r="B23" i="1"/>
  <c r="B90" i="1"/>
  <c r="B29" i="1"/>
  <c r="G51" i="1"/>
  <c r="I51" i="1" s="1"/>
  <c r="H51" i="1" s="1"/>
  <c r="B136" i="1"/>
  <c r="A13" i="23"/>
  <c r="B13" i="23" s="1"/>
  <c r="A122" i="23"/>
  <c r="B122" i="23" s="1"/>
  <c r="A31" i="23"/>
  <c r="B31" i="23" s="1"/>
  <c r="C159" i="1"/>
  <c r="D159" i="1" s="1"/>
  <c r="F159" i="1" s="1"/>
  <c r="B111" i="1"/>
  <c r="C109" i="5"/>
  <c r="A53" i="23"/>
  <c r="B53" i="23" s="1"/>
  <c r="C117" i="5"/>
  <c r="A102" i="23"/>
  <c r="B102" i="23" s="1"/>
  <c r="B68" i="1"/>
  <c r="B47" i="1"/>
  <c r="C100" i="5"/>
  <c r="A42" i="23"/>
  <c r="B42" i="23" s="1"/>
  <c r="B60" i="1"/>
  <c r="B150" i="1"/>
  <c r="B104" i="1"/>
  <c r="C65" i="5"/>
  <c r="G101" i="1"/>
  <c r="I101" i="1" s="1"/>
  <c r="H101" i="1" s="1"/>
  <c r="A46" i="23"/>
  <c r="B46" i="23" s="1"/>
  <c r="B134" i="1"/>
  <c r="A108" i="23"/>
  <c r="B108" i="23" s="1"/>
  <c r="B142" i="1"/>
  <c r="B73" i="1"/>
  <c r="C114" i="5"/>
  <c r="B22" i="1"/>
  <c r="D87" i="23"/>
  <c r="C69" i="5"/>
  <c r="A69" i="23"/>
  <c r="B69" i="23" s="1"/>
  <c r="C72" i="5"/>
  <c r="G46" i="1"/>
  <c r="I46" i="1" s="1"/>
  <c r="H46" i="1" s="1"/>
  <c r="C77" i="5"/>
  <c r="G84" i="1"/>
  <c r="I84" i="1" s="1"/>
  <c r="H84" i="1" s="1"/>
  <c r="G135" i="1"/>
  <c r="I135" i="1" s="1"/>
  <c r="H135" i="1" s="1"/>
  <c r="B159" i="1"/>
  <c r="A56" i="23"/>
  <c r="B56" i="23" s="1"/>
  <c r="A148" i="23"/>
  <c r="B148" i="23" s="1"/>
  <c r="B123" i="1"/>
  <c r="B79" i="1"/>
  <c r="C2" i="5"/>
  <c r="C125" i="5"/>
  <c r="G73" i="1"/>
  <c r="I73" i="1" s="1"/>
  <c r="H73" i="1" s="1"/>
  <c r="B78" i="1"/>
  <c r="A3" i="23"/>
  <c r="B3" i="23" s="1"/>
  <c r="B55" i="1"/>
  <c r="G100" i="1"/>
  <c r="I100" i="1" s="1"/>
  <c r="H100" i="1" s="1"/>
  <c r="A8" i="23"/>
  <c r="B8" i="23" s="1"/>
  <c r="C29" i="5"/>
  <c r="G31" i="1"/>
  <c r="I31" i="1" s="1"/>
  <c r="H31" i="1" s="1"/>
  <c r="C66" i="5"/>
  <c r="D103" i="23"/>
  <c r="B46" i="1"/>
  <c r="A47" i="23"/>
  <c r="B47" i="23" s="1"/>
  <c r="B70" i="1"/>
  <c r="B135" i="1"/>
  <c r="B6" i="17"/>
  <c r="B17" i="1"/>
  <c r="B54" i="1"/>
  <c r="A50" i="23"/>
  <c r="B50" i="23" s="1"/>
  <c r="A103" i="23"/>
  <c r="B103" i="23" s="1"/>
  <c r="A117" i="23"/>
  <c r="B117" i="23" s="1"/>
  <c r="C50" i="5"/>
  <c r="A55" i="23"/>
  <c r="B55" i="23" s="1"/>
  <c r="C64" i="5"/>
  <c r="A34" i="23"/>
  <c r="B34" i="23" s="1"/>
  <c r="B40" i="1"/>
  <c r="A133" i="23"/>
  <c r="B133" i="23" s="1"/>
  <c r="A87" i="23"/>
  <c r="B87" i="23" s="1"/>
  <c r="B94" i="1"/>
  <c r="B157" i="5"/>
  <c r="C157" i="3"/>
  <c r="B112" i="1"/>
  <c r="D78" i="23"/>
  <c r="D111" i="23"/>
  <c r="B127" i="1"/>
  <c r="A120" i="23"/>
  <c r="B120" i="23" s="1"/>
  <c r="B128" i="1"/>
  <c r="A121" i="23"/>
  <c r="B121" i="23" s="1"/>
  <c r="C32" i="5"/>
  <c r="A44" i="23"/>
  <c r="B44" i="23" s="1"/>
  <c r="B103" i="1"/>
  <c r="A96" i="23"/>
  <c r="B96" i="23" s="1"/>
  <c r="C104" i="5"/>
  <c r="C59" i="5"/>
  <c r="A6" i="23"/>
  <c r="B6" i="23" s="1"/>
  <c r="B12" i="1"/>
  <c r="B34" i="1"/>
  <c r="D40" i="23"/>
  <c r="E65" i="3"/>
  <c r="C146" i="5"/>
  <c r="B45" i="1"/>
  <c r="A39" i="23"/>
  <c r="B39" i="23" s="1"/>
  <c r="E18" i="3"/>
  <c r="C154" i="5"/>
  <c r="C138" i="5"/>
  <c r="B31" i="1"/>
  <c r="A25" i="23"/>
  <c r="B25" i="23" s="1"/>
  <c r="C86" i="5"/>
  <c r="A125" i="23"/>
  <c r="B125" i="23" s="1"/>
  <c r="B132" i="1"/>
  <c r="C68" i="5"/>
  <c r="C44" i="5"/>
  <c r="E129" i="3"/>
  <c r="A100" i="23"/>
  <c r="B100" i="23" s="1"/>
  <c r="B107" i="1"/>
  <c r="A26" i="23"/>
  <c r="B26" i="23" s="1"/>
  <c r="B32" i="1"/>
  <c r="A92" i="23"/>
  <c r="B92" i="23" s="1"/>
  <c r="B99" i="1"/>
  <c r="A95" i="23"/>
  <c r="B95" i="23" s="1"/>
  <c r="C13" i="5"/>
  <c r="A85" i="23"/>
  <c r="B85" i="23" s="1"/>
  <c r="B92" i="1"/>
  <c r="A9" i="23"/>
  <c r="B9" i="23" s="1"/>
  <c r="B15" i="1"/>
  <c r="A29" i="23"/>
  <c r="B29" i="23" s="1"/>
  <c r="B35" i="1"/>
  <c r="A136" i="23"/>
  <c r="B136" i="23" s="1"/>
  <c r="B143" i="1"/>
  <c r="D38" i="23"/>
  <c r="A33" i="23"/>
  <c r="B33" i="23" s="1"/>
  <c r="G15" i="1"/>
  <c r="I15" i="1" s="1"/>
  <c r="A35" i="23"/>
  <c r="B35" i="23" s="1"/>
  <c r="B41" i="1"/>
  <c r="D116" i="23"/>
  <c r="E117" i="3"/>
  <c r="D12" i="23"/>
  <c r="B153" i="5"/>
  <c r="B164" i="1"/>
  <c r="A157" i="23"/>
  <c r="B157" i="23" s="1"/>
  <c r="C110" i="5"/>
  <c r="A20" i="23"/>
  <c r="B20" i="23" s="1"/>
  <c r="B26" i="1"/>
  <c r="C121" i="5"/>
  <c r="B119" i="1"/>
  <c r="A112" i="23"/>
  <c r="B112" i="23" s="1"/>
  <c r="E114" i="3"/>
  <c r="D113" i="23"/>
  <c r="A4" i="23"/>
  <c r="B4" i="23" s="1"/>
  <c r="B10" i="1"/>
  <c r="B13" i="1"/>
  <c r="A7" i="23"/>
  <c r="B7" i="23" s="1"/>
  <c r="E24" i="3"/>
  <c r="E44" i="3"/>
  <c r="B38" i="1"/>
  <c r="A32" i="23"/>
  <c r="B32" i="23" s="1"/>
  <c r="B156" i="1"/>
  <c r="A149" i="23"/>
  <c r="B149" i="23" s="1"/>
  <c r="D102" i="23"/>
  <c r="E103" i="3"/>
  <c r="A107" i="23"/>
  <c r="B107" i="23" s="1"/>
  <c r="B114" i="1"/>
  <c r="A10" i="23"/>
  <c r="B10" i="23" s="1"/>
  <c r="B16" i="1"/>
  <c r="G87" i="1"/>
  <c r="I87" i="1" s="1"/>
  <c r="H87" i="1" s="1"/>
  <c r="E135" i="3"/>
  <c r="D66" i="23"/>
  <c r="D54" i="23"/>
  <c r="A70" i="23"/>
  <c r="B70" i="23" s="1"/>
  <c r="B76" i="1"/>
  <c r="A5" i="23"/>
  <c r="B5" i="23" s="1"/>
  <c r="B11" i="1"/>
  <c r="A81" i="23"/>
  <c r="B81" i="23" s="1"/>
  <c r="B87" i="1"/>
  <c r="B30" i="1"/>
  <c r="A24" i="23"/>
  <c r="B24" i="23" s="1"/>
  <c r="C48" i="5"/>
  <c r="C108" i="5"/>
  <c r="C104" i="1"/>
  <c r="D104" i="1" s="1"/>
  <c r="D97" i="23" s="1"/>
  <c r="A130" i="23"/>
  <c r="B130" i="23" s="1"/>
  <c r="B137" i="1"/>
  <c r="C5" i="5"/>
  <c r="B20" i="1"/>
  <c r="A14" i="23"/>
  <c r="B14" i="23" s="1"/>
  <c r="A90" i="23"/>
  <c r="B90" i="23" s="1"/>
  <c r="B97" i="1"/>
  <c r="A75" i="23"/>
  <c r="B75" i="23" s="1"/>
  <c r="B81" i="1"/>
  <c r="D114" i="23"/>
  <c r="E115" i="3"/>
  <c r="E87" i="3"/>
  <c r="D86" i="23"/>
  <c r="B21" i="1"/>
  <c r="A15" i="23"/>
  <c r="B15" i="23" s="1"/>
  <c r="B98" i="5"/>
  <c r="A155" i="23"/>
  <c r="B155" i="23" s="1"/>
  <c r="G147" i="1"/>
  <c r="I147" i="1" s="1"/>
  <c r="H147" i="1" s="1"/>
  <c r="C139" i="5"/>
  <c r="A57" i="23"/>
  <c r="B57" i="23" s="1"/>
  <c r="B63" i="1"/>
  <c r="C132" i="5"/>
  <c r="C28" i="5"/>
  <c r="B43" i="1"/>
  <c r="A37" i="23"/>
  <c r="B37" i="23" s="1"/>
  <c r="D110" i="23"/>
  <c r="E111" i="3"/>
  <c r="E144" i="3"/>
  <c r="B86" i="1"/>
  <c r="A80" i="23"/>
  <c r="B80" i="23" s="1"/>
  <c r="B121" i="1"/>
  <c r="A114" i="23"/>
  <c r="B114" i="23" s="1"/>
  <c r="C38" i="5"/>
  <c r="C33" i="5"/>
  <c r="A66" i="23"/>
  <c r="B66" i="23" s="1"/>
  <c r="B72" i="1"/>
  <c r="C116" i="5"/>
  <c r="C162" i="1"/>
  <c r="D162" i="1" s="1"/>
  <c r="F162" i="1" s="1"/>
  <c r="C156" i="3"/>
  <c r="B156" i="5"/>
  <c r="A38" i="23"/>
  <c r="B38" i="23" s="1"/>
  <c r="B44" i="1"/>
  <c r="D140" i="23"/>
  <c r="E141" i="3"/>
  <c r="A115" i="23"/>
  <c r="B115" i="23" s="1"/>
  <c r="B122" i="1"/>
  <c r="C10" i="5"/>
  <c r="C80" i="5"/>
  <c r="C107" i="5"/>
  <c r="A52" i="23"/>
  <c r="B52" i="23" s="1"/>
  <c r="B58" i="1"/>
  <c r="C24" i="5"/>
  <c r="E29" i="3"/>
  <c r="E48" i="3"/>
  <c r="C63" i="5"/>
  <c r="E131" i="3"/>
  <c r="D130" i="23"/>
  <c r="E30" i="3"/>
  <c r="D30" i="23"/>
  <c r="D146" i="23"/>
  <c r="E147" i="3"/>
  <c r="D20" i="23"/>
  <c r="E20" i="3"/>
  <c r="E76" i="3"/>
  <c r="E121" i="3"/>
  <c r="G125" i="1"/>
  <c r="I125" i="1" s="1"/>
  <c r="H125" i="1" s="1"/>
  <c r="G159" i="1"/>
  <c r="I159" i="1" s="1"/>
  <c r="H159" i="1" s="1"/>
  <c r="G27" i="1"/>
  <c r="I27" i="1" s="1"/>
  <c r="H27" i="1" s="1"/>
  <c r="G82" i="1"/>
  <c r="I82" i="1" s="1"/>
  <c r="H82" i="1" s="1"/>
  <c r="G45" i="1"/>
  <c r="I45" i="1" s="1"/>
  <c r="H45" i="1" s="1"/>
  <c r="G95" i="1"/>
  <c r="I95" i="1" s="1"/>
  <c r="H95" i="1" s="1"/>
  <c r="G28" i="1"/>
  <c r="I28" i="1" s="1"/>
  <c r="H28" i="1" s="1"/>
  <c r="G29" i="1"/>
  <c r="I29" i="1" s="1"/>
  <c r="H29" i="1" s="1"/>
  <c r="G142" i="1"/>
  <c r="I142" i="1" s="1"/>
  <c r="H142" i="1" s="1"/>
  <c r="G25" i="1"/>
  <c r="I25" i="1" s="1"/>
  <c r="H25" i="1" s="1"/>
  <c r="G91" i="1"/>
  <c r="I91" i="1" s="1"/>
  <c r="H91" i="1" s="1"/>
  <c r="G33" i="1"/>
  <c r="I33" i="1" s="1"/>
  <c r="H33" i="1" s="1"/>
  <c r="G109" i="1"/>
  <c r="I109" i="1" s="1"/>
  <c r="H109" i="1" s="1"/>
  <c r="G108" i="1"/>
  <c r="I108" i="1" s="1"/>
  <c r="H108" i="1" s="1"/>
  <c r="G156" i="1"/>
  <c r="I156" i="1" s="1"/>
  <c r="H156" i="1" s="1"/>
  <c r="G139" i="1"/>
  <c r="I139" i="1" s="1"/>
  <c r="H139" i="1" s="1"/>
  <c r="G76" i="1"/>
  <c r="I76" i="1" s="1"/>
  <c r="H76" i="1" s="1"/>
  <c r="G162" i="1"/>
  <c r="I162" i="1" s="1"/>
  <c r="H162" i="1" s="1"/>
  <c r="G149" i="1"/>
  <c r="I149" i="1" s="1"/>
  <c r="H149" i="1" s="1"/>
  <c r="G134" i="1"/>
  <c r="I134" i="1" s="1"/>
  <c r="H134" i="1" s="1"/>
  <c r="G121" i="1"/>
  <c r="I121" i="1" s="1"/>
  <c r="H121" i="1" s="1"/>
  <c r="G132" i="1"/>
  <c r="I132" i="1" s="1"/>
  <c r="H132" i="1" s="1"/>
  <c r="G21" i="1"/>
  <c r="I21" i="1" s="1"/>
  <c r="H21" i="1" s="1"/>
  <c r="G12" i="1"/>
  <c r="I12" i="1" s="1"/>
  <c r="H12" i="1" s="1"/>
  <c r="G43" i="1"/>
  <c r="I43" i="1" s="1"/>
  <c r="H43" i="1" s="1"/>
  <c r="G64" i="1"/>
  <c r="I64" i="1" s="1"/>
  <c r="H64" i="1" s="1"/>
  <c r="G58" i="1"/>
  <c r="I58" i="1" s="1"/>
  <c r="H58" i="1" s="1"/>
  <c r="G47" i="1"/>
  <c r="I47" i="1" s="1"/>
  <c r="H47" i="1" s="1"/>
  <c r="G154" i="1"/>
  <c r="I154" i="1" s="1"/>
  <c r="H154" i="1" s="1"/>
  <c r="G9" i="1"/>
  <c r="I9" i="1" s="1"/>
  <c r="H9" i="1" s="1"/>
  <c r="G151" i="1"/>
  <c r="I151" i="1" s="1"/>
  <c r="H151" i="1" s="1"/>
  <c r="G17" i="1"/>
  <c r="I17" i="1" s="1"/>
  <c r="H17" i="1" s="1"/>
  <c r="G62" i="1"/>
  <c r="I62" i="1" s="1"/>
  <c r="H62" i="1" s="1"/>
  <c r="G10" i="1"/>
  <c r="I10" i="1" s="1"/>
  <c r="H10" i="1" s="1"/>
  <c r="G36" i="1"/>
  <c r="I36" i="1" s="1"/>
  <c r="H36" i="1" s="1"/>
  <c r="G130" i="1"/>
  <c r="I130" i="1" s="1"/>
  <c r="H130" i="1" s="1"/>
  <c r="G146" i="1"/>
  <c r="I146" i="1" s="1"/>
  <c r="H146" i="1" s="1"/>
  <c r="G18" i="1"/>
  <c r="I18" i="1" s="1"/>
  <c r="H18" i="1" s="1"/>
  <c r="G111" i="1"/>
  <c r="I111" i="1" s="1"/>
  <c r="H111" i="1" s="1"/>
  <c r="G158" i="1"/>
  <c r="I158" i="1" s="1"/>
  <c r="H158" i="1" s="1"/>
  <c r="G157" i="1"/>
  <c r="I157" i="1" s="1"/>
  <c r="H157" i="1" s="1"/>
  <c r="G48" i="1"/>
  <c r="I48" i="1" s="1"/>
  <c r="H48" i="1" s="1"/>
  <c r="G112" i="1"/>
  <c r="I112" i="1" s="1"/>
  <c r="H112" i="1" s="1"/>
  <c r="G143" i="1"/>
  <c r="I143" i="1" s="1"/>
  <c r="H143" i="1" s="1"/>
  <c r="G24" i="1"/>
  <c r="I24" i="1" s="1"/>
  <c r="H24" i="1" s="1"/>
  <c r="G107" i="1"/>
  <c r="I107" i="1" s="1"/>
  <c r="H107" i="1" s="1"/>
  <c r="G80" i="1"/>
  <c r="I80" i="1" s="1"/>
  <c r="H80" i="1" s="1"/>
  <c r="G67" i="1"/>
  <c r="I67" i="1" s="1"/>
  <c r="H67" i="1" s="1"/>
  <c r="G99" i="1"/>
  <c r="I99" i="1" s="1"/>
  <c r="H99" i="1" s="1"/>
  <c r="G97" i="1"/>
  <c r="I97" i="1" s="1"/>
  <c r="H97" i="1" s="1"/>
  <c r="G148" i="1"/>
  <c r="I148" i="1" s="1"/>
  <c r="H148" i="1" s="1"/>
  <c r="G117" i="1"/>
  <c r="I117" i="1" s="1"/>
  <c r="H117" i="1" s="1"/>
  <c r="G37" i="1"/>
  <c r="I37" i="1" s="1"/>
  <c r="H37" i="1" s="1"/>
  <c r="G89" i="1"/>
  <c r="I89" i="1" s="1"/>
  <c r="H89" i="1" s="1"/>
  <c r="G94" i="1"/>
  <c r="I94" i="1" s="1"/>
  <c r="H94" i="1" s="1"/>
  <c r="G66" i="1"/>
  <c r="I66" i="1" s="1"/>
  <c r="H66" i="1" s="1"/>
  <c r="G128" i="1"/>
  <c r="I128" i="1" s="1"/>
  <c r="H128" i="1" s="1"/>
  <c r="G155" i="1"/>
  <c r="I155" i="1" s="1"/>
  <c r="H155" i="1" s="1"/>
  <c r="G32" i="1"/>
  <c r="I32" i="1" s="1"/>
  <c r="H32" i="1" s="1"/>
  <c r="G103" i="1"/>
  <c r="I103" i="1" s="1"/>
  <c r="H103" i="1" s="1"/>
  <c r="G41" i="1"/>
  <c r="I41" i="1" s="1"/>
  <c r="H41" i="1" s="1"/>
  <c r="G22" i="1"/>
  <c r="I22" i="1" s="1"/>
  <c r="H22" i="1" s="1"/>
  <c r="G136" i="1"/>
  <c r="I136" i="1" s="1"/>
  <c r="H136" i="1" s="1"/>
  <c r="G161" i="1"/>
  <c r="I161" i="1" s="1"/>
  <c r="H161" i="1" s="1"/>
  <c r="G79" i="1"/>
  <c r="I79" i="1" s="1"/>
  <c r="H79" i="1" s="1"/>
  <c r="G90" i="1"/>
  <c r="I90" i="1" s="1"/>
  <c r="H90" i="1" s="1"/>
  <c r="G133" i="1"/>
  <c r="I133" i="1" s="1"/>
  <c r="H133" i="1" s="1"/>
  <c r="G49" i="1"/>
  <c r="I49" i="1" s="1"/>
  <c r="H49" i="1" s="1"/>
  <c r="G68" i="1"/>
  <c r="I68" i="1" s="1"/>
  <c r="H68" i="1" s="1"/>
  <c r="G81" i="1"/>
  <c r="I81" i="1" s="1"/>
  <c r="H81" i="1" s="1"/>
  <c r="G61" i="1"/>
  <c r="I61" i="1" s="1"/>
  <c r="H61" i="1" s="1"/>
  <c r="G13" i="1"/>
  <c r="I13" i="1" s="1"/>
  <c r="H13" i="1" s="1"/>
  <c r="G93" i="1"/>
  <c r="I93" i="1" s="1"/>
  <c r="H93" i="1" s="1"/>
  <c r="G98" i="1"/>
  <c r="I98" i="1" s="1"/>
  <c r="H98" i="1" s="1"/>
  <c r="G57" i="1"/>
  <c r="I57" i="1" s="1"/>
  <c r="H57" i="1" s="1"/>
  <c r="G104" i="1"/>
  <c r="I104" i="1" s="1"/>
  <c r="H104" i="1" s="1"/>
  <c r="G105" i="1"/>
  <c r="I105" i="1" s="1"/>
  <c r="H105" i="1" s="1"/>
  <c r="G150" i="1"/>
  <c r="I150" i="1" s="1"/>
  <c r="H150" i="1" s="1"/>
  <c r="G102" i="1"/>
  <c r="I102" i="1" s="1"/>
  <c r="H102" i="1" s="1"/>
  <c r="G14" i="1"/>
  <c r="I14" i="1" s="1"/>
  <c r="H14" i="1" s="1"/>
  <c r="C79" i="5"/>
  <c r="G20" i="1"/>
  <c r="I20" i="1" s="1"/>
  <c r="H20" i="1" s="1"/>
  <c r="G53" i="1"/>
  <c r="I53" i="1" s="1"/>
  <c r="H53" i="1" s="1"/>
  <c r="G119" i="1"/>
  <c r="I119" i="1" s="1"/>
  <c r="H119" i="1" s="1"/>
  <c r="G118" i="1"/>
  <c r="I118" i="1" s="1"/>
  <c r="H118" i="1" s="1"/>
  <c r="E82" i="3"/>
  <c r="E83" i="3"/>
  <c r="D82" i="23"/>
  <c r="D59" i="23"/>
  <c r="E59" i="3"/>
  <c r="G42" i="1"/>
  <c r="I42" i="1" s="1"/>
  <c r="H42" i="1" s="1"/>
  <c r="G141" i="1"/>
  <c r="I141" i="1" s="1"/>
  <c r="H141" i="1" s="1"/>
  <c r="A156" i="23"/>
  <c r="B156" i="23" s="1"/>
  <c r="B163" i="1"/>
  <c r="D27" i="23"/>
  <c r="E27" i="3"/>
  <c r="C164" i="1"/>
  <c r="D164" i="1" s="1"/>
  <c r="E158" i="3" s="1"/>
  <c r="D41" i="23"/>
  <c r="E139" i="3"/>
  <c r="D138" i="23"/>
  <c r="E119" i="3"/>
  <c r="D118" i="23"/>
  <c r="E61" i="3"/>
  <c r="D61" i="23"/>
  <c r="C157" i="5"/>
  <c r="B77" i="1"/>
  <c r="G77" i="1"/>
  <c r="I77" i="1" s="1"/>
  <c r="H77" i="1" s="1"/>
  <c r="A71" i="23"/>
  <c r="B71" i="23" s="1"/>
  <c r="E63" i="3"/>
  <c r="D63" i="23"/>
  <c r="G140" i="1"/>
  <c r="I140" i="1" s="1"/>
  <c r="H140" i="1" s="1"/>
  <c r="B158" i="5"/>
  <c r="E28" i="3"/>
  <c r="D28" i="23"/>
  <c r="D92" i="23"/>
  <c r="E93" i="3"/>
  <c r="E127" i="3"/>
  <c r="D126" i="23"/>
  <c r="D144" i="23"/>
  <c r="E145" i="3"/>
  <c r="E22" i="3"/>
  <c r="G52" i="1"/>
  <c r="I52" i="1" s="1"/>
  <c r="H52" i="1" s="1"/>
  <c r="G26" i="1"/>
  <c r="I26" i="1" s="1"/>
  <c r="H26" i="1" s="1"/>
  <c r="E5" i="3"/>
  <c r="D5" i="23"/>
  <c r="E118" i="3"/>
  <c r="D117" i="23"/>
  <c r="E9" i="3"/>
  <c r="D9" i="23"/>
  <c r="B9" i="17"/>
  <c r="E35" i="3"/>
  <c r="D35" i="23"/>
  <c r="E79" i="3"/>
  <c r="D79" i="23"/>
  <c r="D47" i="23"/>
  <c r="E47" i="3"/>
  <c r="D3" i="23"/>
  <c r="E3" i="3"/>
  <c r="E68" i="3"/>
  <c r="D68" i="23"/>
  <c r="D60" i="23"/>
  <c r="E60" i="3"/>
  <c r="E126" i="3"/>
  <c r="D125" i="23"/>
  <c r="D89" i="23"/>
  <c r="E90" i="3"/>
  <c r="E64" i="3"/>
  <c r="D64" i="23"/>
  <c r="E21" i="3"/>
  <c r="D21" i="23"/>
  <c r="E25" i="3"/>
  <c r="D25" i="23"/>
  <c r="E128" i="3"/>
  <c r="D127" i="23"/>
  <c r="D45" i="23"/>
  <c r="E45" i="3"/>
  <c r="D8" i="23"/>
  <c r="E8" i="3"/>
  <c r="E36" i="3"/>
  <c r="D36" i="23"/>
  <c r="E53" i="3"/>
  <c r="D53" i="23"/>
  <c r="D2" i="23"/>
  <c r="E2" i="3"/>
  <c r="D107" i="23"/>
  <c r="E108" i="3"/>
  <c r="D73" i="23"/>
  <c r="E73" i="3"/>
  <c r="E152" i="3"/>
  <c r="D151" i="23"/>
  <c r="E4" i="3"/>
  <c r="D4" i="23"/>
  <c r="D62" i="23"/>
  <c r="E62" i="3"/>
  <c r="E140" i="3"/>
  <c r="D139" i="23"/>
  <c r="E86" i="3"/>
  <c r="D85" i="23"/>
  <c r="D17" i="23"/>
  <c r="E17" i="3"/>
  <c r="E31" i="3"/>
  <c r="D31" i="23"/>
  <c r="E55" i="3"/>
  <c r="D55" i="23"/>
  <c r="D115" i="23"/>
  <c r="E116" i="3"/>
  <c r="E132" i="3"/>
  <c r="D131" i="23"/>
  <c r="B88" i="1"/>
  <c r="G88" i="1"/>
  <c r="I88" i="1" s="1"/>
  <c r="H88" i="1" s="1"/>
  <c r="D105" i="23"/>
  <c r="E106" i="3"/>
  <c r="E122" i="3"/>
  <c r="D121" i="23"/>
  <c r="E110" i="3"/>
  <c r="D109" i="23"/>
  <c r="E10" i="3"/>
  <c r="D10" i="23"/>
  <c r="E149" i="3"/>
  <c r="D148" i="23"/>
  <c r="D83" i="23"/>
  <c r="E84" i="3"/>
  <c r="E13" i="3"/>
  <c r="D13" i="23"/>
  <c r="D100" i="23"/>
  <c r="E101" i="3"/>
  <c r="E95" i="3"/>
  <c r="D94" i="23"/>
  <c r="E70" i="3"/>
  <c r="D70" i="23"/>
  <c r="E19" i="3"/>
  <c r="D19" i="23"/>
  <c r="E138" i="3"/>
  <c r="D137" i="23"/>
  <c r="D49" i="23"/>
  <c r="E49" i="3"/>
  <c r="E43" i="3"/>
  <c r="D43" i="23"/>
  <c r="E15" i="3"/>
  <c r="D15" i="23"/>
  <c r="E11" i="3"/>
  <c r="D11" i="23"/>
  <c r="D67" i="23"/>
  <c r="E67" i="3"/>
  <c r="D23" i="23"/>
  <c r="E23" i="3"/>
  <c r="D98" i="23"/>
  <c r="E99" i="3"/>
  <c r="D133" i="23"/>
  <c r="E134" i="3"/>
  <c r="D6" i="23"/>
  <c r="E6" i="3"/>
  <c r="E154" i="3"/>
  <c r="D153" i="23"/>
  <c r="E51" i="3"/>
  <c r="D51" i="23"/>
  <c r="E56" i="3"/>
  <c r="D56" i="23"/>
  <c r="K11" i="23"/>
  <c r="K16" i="23"/>
  <c r="L149" i="10"/>
  <c r="K4" i="23"/>
  <c r="E180" i="23" s="1"/>
  <c r="K94" i="10"/>
  <c r="K12" i="23"/>
  <c r="E5" i="1"/>
  <c r="L91" i="10"/>
  <c r="K5" i="23"/>
  <c r="E164" i="23" s="1"/>
  <c r="K121" i="10"/>
  <c r="K13" i="23"/>
  <c r="K14" i="23"/>
  <c r="L27" i="10"/>
  <c r="K9" i="23"/>
  <c r="E172" i="23" s="1"/>
  <c r="G172" i="23" s="1"/>
  <c r="K3" i="23"/>
  <c r="E177" i="23" s="1"/>
  <c r="L132" i="10"/>
  <c r="K6" i="23"/>
  <c r="L57" i="10"/>
  <c r="L87" i="10"/>
  <c r="K36" i="10"/>
  <c r="K10" i="23"/>
  <c r="L20" i="10"/>
  <c r="L40" i="10"/>
  <c r="K84" i="10"/>
  <c r="K146" i="10"/>
  <c r="K33" i="10"/>
  <c r="K138" i="10"/>
  <c r="K73" i="10"/>
  <c r="L154" i="10"/>
  <c r="L163" i="10"/>
  <c r="K104" i="10"/>
  <c r="L166" i="10"/>
  <c r="L64" i="10"/>
  <c r="K8" i="23"/>
  <c r="K100" i="10"/>
  <c r="K142" i="10"/>
  <c r="K24" i="10"/>
  <c r="L103" i="10"/>
  <c r="L134" i="10"/>
  <c r="K144" i="10"/>
  <c r="K4" i="10"/>
  <c r="K72" i="10"/>
  <c r="K107" i="10"/>
  <c r="L143" i="10"/>
  <c r="K9" i="10"/>
  <c r="K43" i="10"/>
  <c r="L112" i="10"/>
  <c r="L148" i="10"/>
  <c r="K8" i="10"/>
  <c r="K42" i="10"/>
  <c r="K77" i="10"/>
  <c r="L111" i="10"/>
  <c r="K147" i="10"/>
  <c r="K13" i="10"/>
  <c r="K47" i="10"/>
  <c r="K82" i="10"/>
  <c r="L116" i="10"/>
  <c r="K152" i="10"/>
  <c r="K53" i="10"/>
  <c r="K88" i="10"/>
  <c r="L124" i="10"/>
  <c r="L158" i="10"/>
  <c r="K12" i="10"/>
  <c r="L46" i="10"/>
  <c r="L81" i="10"/>
  <c r="K115" i="10"/>
  <c r="L151" i="10"/>
  <c r="L17" i="10"/>
  <c r="K51" i="10"/>
  <c r="L86" i="10"/>
  <c r="L120" i="10"/>
  <c r="K156" i="10"/>
  <c r="K14" i="10"/>
  <c r="K48" i="10"/>
  <c r="L83" i="10"/>
  <c r="L117" i="10"/>
  <c r="L153" i="10"/>
  <c r="K7" i="23"/>
  <c r="L23" i="10"/>
  <c r="L58" i="10"/>
  <c r="K92" i="10"/>
  <c r="L128" i="10"/>
  <c r="K162" i="10"/>
  <c r="K16" i="10"/>
  <c r="K50" i="10"/>
  <c r="K119" i="10"/>
  <c r="K155" i="10"/>
  <c r="K21" i="10"/>
  <c r="K55" i="10"/>
  <c r="K90" i="10"/>
  <c r="K126" i="10"/>
  <c r="K160" i="10"/>
  <c r="K89" i="10"/>
  <c r="K125" i="10"/>
  <c r="L159" i="10"/>
  <c r="K25" i="10"/>
  <c r="K61" i="10"/>
  <c r="L96" i="10"/>
  <c r="K130" i="10"/>
  <c r="K17" i="23"/>
  <c r="K15" i="23"/>
  <c r="L101" i="10"/>
  <c r="K101" i="10"/>
  <c r="K76" i="10"/>
  <c r="L76" i="10"/>
  <c r="L35" i="10"/>
  <c r="K35" i="10"/>
  <c r="K80" i="10"/>
  <c r="L80" i="10"/>
  <c r="K15" i="10"/>
  <c r="L15" i="10"/>
  <c r="K49" i="10"/>
  <c r="L49" i="10"/>
  <c r="K118" i="10"/>
  <c r="L118" i="10"/>
  <c r="L30" i="10"/>
  <c r="K30" i="10"/>
  <c r="L70" i="10"/>
  <c r="K70" i="10"/>
  <c r="K45" i="10"/>
  <c r="L45" i="10"/>
  <c r="K19" i="10"/>
  <c r="L19" i="10"/>
  <c r="F10" i="1"/>
  <c r="F81" i="1"/>
  <c r="F59" i="1"/>
  <c r="F121" i="1"/>
  <c r="F40" i="1"/>
  <c r="F89" i="1"/>
  <c r="F27" i="1"/>
  <c r="F84" i="1"/>
  <c r="F61" i="1"/>
  <c r="F8" i="1"/>
  <c r="F23" i="1"/>
  <c r="F145" i="1"/>
  <c r="F107" i="1"/>
  <c r="F76" i="1"/>
  <c r="F14" i="1"/>
  <c r="F47" i="1"/>
  <c r="F49" i="1"/>
  <c r="F35" i="1"/>
  <c r="F155" i="1"/>
  <c r="F44" i="1"/>
  <c r="F87" i="1"/>
  <c r="F48" i="1"/>
  <c r="F127" i="1"/>
  <c r="F126" i="1"/>
  <c r="F88" i="1"/>
  <c r="E88" i="1" s="1"/>
  <c r="F100" i="1"/>
  <c r="F74" i="1"/>
  <c r="F12" i="1"/>
  <c r="F36" i="1"/>
  <c r="F72" i="1"/>
  <c r="F79" i="1"/>
  <c r="F66" i="1"/>
  <c r="F15" i="1"/>
  <c r="F37" i="1"/>
  <c r="F65" i="1"/>
  <c r="F29" i="1"/>
  <c r="F86" i="1"/>
  <c r="F133" i="1"/>
  <c r="F85" i="1"/>
  <c r="F63" i="1"/>
  <c r="F123" i="1"/>
  <c r="F124" i="1"/>
  <c r="F91" i="1"/>
  <c r="F105" i="1"/>
  <c r="F50" i="1"/>
  <c r="F113" i="1"/>
  <c r="F17" i="1"/>
  <c r="F18" i="1"/>
  <c r="F146" i="1"/>
  <c r="F125" i="1"/>
  <c r="F112" i="1"/>
  <c r="F19" i="1"/>
  <c r="F32" i="1"/>
  <c r="F120" i="1"/>
  <c r="F138" i="1"/>
  <c r="F30" i="1"/>
  <c r="F51" i="1"/>
  <c r="F82" i="1"/>
  <c r="F116" i="1"/>
  <c r="F70" i="1"/>
  <c r="F122" i="1"/>
  <c r="F108" i="1"/>
  <c r="F54" i="1"/>
  <c r="F134" i="1"/>
  <c r="F137" i="1"/>
  <c r="F135" i="1"/>
  <c r="F92" i="1"/>
  <c r="F102" i="1"/>
  <c r="F90" i="1"/>
  <c r="F26" i="1"/>
  <c r="F96" i="1"/>
  <c r="F21" i="1"/>
  <c r="F142" i="1"/>
  <c r="F31" i="1"/>
  <c r="F157" i="1"/>
  <c r="F158" i="1"/>
  <c r="F9" i="1"/>
  <c r="F161" i="1"/>
  <c r="F71" i="1"/>
  <c r="F160" i="1"/>
  <c r="F93" i="1"/>
  <c r="F150" i="1"/>
  <c r="F110" i="1"/>
  <c r="F139" i="1"/>
  <c r="F69" i="1"/>
  <c r="F118" i="1"/>
  <c r="F128" i="1"/>
  <c r="F101" i="1"/>
  <c r="F60" i="1"/>
  <c r="F143" i="1"/>
  <c r="F68" i="1"/>
  <c r="F73" i="1"/>
  <c r="F117" i="1"/>
  <c r="F62" i="1"/>
  <c r="F25" i="1"/>
  <c r="F41" i="1"/>
  <c r="F98" i="1"/>
  <c r="F152" i="1"/>
  <c r="F75" i="1"/>
  <c r="F34" i="1"/>
  <c r="F16" i="1"/>
  <c r="F99" i="1"/>
  <c r="F109" i="1"/>
  <c r="F53" i="1"/>
  <c r="F46" i="1"/>
  <c r="F24" i="1"/>
  <c r="F114" i="1"/>
  <c r="F153" i="1"/>
  <c r="F42" i="1"/>
  <c r="F144" i="1"/>
  <c r="F132" i="1"/>
  <c r="F151" i="1"/>
  <c r="F33" i="1"/>
  <c r="F22" i="1"/>
  <c r="F140" i="1"/>
  <c r="F55" i="1"/>
  <c r="F147" i="1"/>
  <c r="F94" i="1"/>
  <c r="F67" i="1"/>
  <c r="F11" i="1"/>
  <c r="F57" i="1"/>
  <c r="K5" i="10"/>
  <c r="L5" i="10"/>
  <c r="K2" i="10"/>
  <c r="L2" i="10"/>
  <c r="K11" i="10"/>
  <c r="L11" i="10"/>
  <c r="L37" i="10"/>
  <c r="K6" i="10"/>
  <c r="L6" i="10"/>
  <c r="L145" i="10"/>
  <c r="K145" i="10"/>
  <c r="L79" i="10"/>
  <c r="K79" i="10"/>
  <c r="L113" i="10"/>
  <c r="K113" i="10"/>
  <c r="K58" i="10"/>
  <c r="K85" i="10"/>
  <c r="L85" i="10"/>
  <c r="K7" i="10"/>
  <c r="L7" i="10"/>
  <c r="L114" i="10"/>
  <c r="K114" i="10"/>
  <c r="K78" i="10"/>
  <c r="L78" i="10"/>
  <c r="L109" i="10"/>
  <c r="K109" i="10"/>
  <c r="L52" i="10"/>
  <c r="K52" i="10"/>
  <c r="K98" i="10"/>
  <c r="L98" i="10"/>
  <c r="K20" i="10"/>
  <c r="K54" i="10"/>
  <c r="L54" i="10"/>
  <c r="K96" i="10"/>
  <c r="L164" i="10"/>
  <c r="K164" i="10"/>
  <c r="L66" i="10"/>
  <c r="K66" i="10"/>
  <c r="K68" i="10"/>
  <c r="L68" i="10"/>
  <c r="K38" i="10"/>
  <c r="L38" i="10"/>
  <c r="L141" i="10"/>
  <c r="K141" i="10"/>
  <c r="K112" i="10"/>
  <c r="L39" i="10"/>
  <c r="K10" i="10"/>
  <c r="L10" i="10"/>
  <c r="K18" i="10"/>
  <c r="L18" i="10"/>
  <c r="L121" i="10"/>
  <c r="L157" i="10"/>
  <c r="K157" i="10"/>
  <c r="L63" i="10"/>
  <c r="K63" i="10"/>
  <c r="K22" i="10"/>
  <c r="L22" i="10"/>
  <c r="L127" i="10"/>
  <c r="K127" i="10"/>
  <c r="L161" i="10"/>
  <c r="K161" i="10"/>
  <c r="K32" i="10"/>
  <c r="L32" i="10"/>
  <c r="K67" i="10"/>
  <c r="L67" i="10"/>
  <c r="L102" i="10"/>
  <c r="K102" i="10"/>
  <c r="K136" i="10"/>
  <c r="L136" i="10"/>
  <c r="K59" i="10"/>
  <c r="L59" i="10"/>
  <c r="K129" i="10"/>
  <c r="L129" i="10"/>
  <c r="K163" i="10"/>
  <c r="K29" i="10"/>
  <c r="L29" i="10"/>
  <c r="L65" i="10"/>
  <c r="K65" i="10"/>
  <c r="L135" i="10"/>
  <c r="K135" i="10"/>
  <c r="K110" i="10"/>
  <c r="L110" i="10"/>
  <c r="K108" i="10"/>
  <c r="L108" i="10"/>
  <c r="L105" i="10"/>
  <c r="K105" i="10"/>
  <c r="K150" i="10"/>
  <c r="L150" i="10"/>
  <c r="L74" i="10"/>
  <c r="K74" i="10"/>
  <c r="L44" i="10"/>
  <c r="K44" i="10"/>
  <c r="E176" i="23"/>
  <c r="E179" i="23"/>
  <c r="E178" i="23"/>
  <c r="K26" i="10"/>
  <c r="L26" i="10"/>
  <c r="L62" i="10"/>
  <c r="K62" i="10"/>
  <c r="L97" i="10"/>
  <c r="K97" i="10"/>
  <c r="L131" i="10"/>
  <c r="K131" i="10"/>
  <c r="L165" i="10"/>
  <c r="K165" i="10"/>
  <c r="K3" i="10"/>
  <c r="L3" i="10"/>
  <c r="L71" i="10"/>
  <c r="K71" i="10"/>
  <c r="K106" i="10"/>
  <c r="L106" i="10"/>
  <c r="K28" i="10"/>
  <c r="L28" i="10"/>
  <c r="K99" i="10"/>
  <c r="L99" i="10"/>
  <c r="K133" i="10"/>
  <c r="L133" i="10"/>
  <c r="E163" i="23"/>
  <c r="K69" i="10"/>
  <c r="L69" i="10"/>
  <c r="K179" i="10" l="1"/>
  <c r="J173" i="10"/>
  <c r="J176" i="10"/>
  <c r="K176" i="10"/>
  <c r="D189" i="10"/>
  <c r="J174" i="10"/>
  <c r="J178" i="10"/>
  <c r="J175" i="10"/>
  <c r="K175" i="10"/>
  <c r="G56" i="10"/>
  <c r="E172" i="10" s="1"/>
  <c r="K172" i="10" s="1"/>
  <c r="D56" i="10"/>
  <c r="D172" i="10" s="1"/>
  <c r="J172" i="10" s="1"/>
  <c r="D31" i="10"/>
  <c r="D171" i="10" s="1"/>
  <c r="G31" i="10"/>
  <c r="E171" i="10" s="1"/>
  <c r="D154" i="3"/>
  <c r="D154" i="5"/>
  <c r="G160" i="1" s="1"/>
  <c r="I160" i="1" s="1"/>
  <c r="H160" i="1" s="1"/>
  <c r="D132" i="3"/>
  <c r="D132" i="5"/>
  <c r="G138" i="1" s="1"/>
  <c r="I138" i="1" s="1"/>
  <c r="H138" i="1" s="1"/>
  <c r="D121" i="3"/>
  <c r="D121" i="5"/>
  <c r="G127" i="1" s="1"/>
  <c r="I127" i="1" s="1"/>
  <c r="H127" i="1" s="1"/>
  <c r="D66" i="3"/>
  <c r="D66" i="5"/>
  <c r="G72" i="1" s="1"/>
  <c r="I72" i="1" s="1"/>
  <c r="H72" i="1" s="1"/>
  <c r="D65" i="3"/>
  <c r="D65" i="5"/>
  <c r="G71" i="1" s="1"/>
  <c r="I71" i="1" s="1"/>
  <c r="H71" i="1" s="1"/>
  <c r="D53" i="3"/>
  <c r="D53" i="5"/>
  <c r="G59" i="1" s="1"/>
  <c r="I59" i="1" s="1"/>
  <c r="H59" i="1" s="1"/>
  <c r="D157" i="3"/>
  <c r="D157" i="5"/>
  <c r="G163" i="1" s="1"/>
  <c r="I163" i="1" s="1"/>
  <c r="H163" i="1" s="1"/>
  <c r="D80" i="3"/>
  <c r="D80" i="5"/>
  <c r="G86" i="1" s="1"/>
  <c r="I86" i="1" s="1"/>
  <c r="H86" i="1" s="1"/>
  <c r="D86" i="3"/>
  <c r="D86" i="5"/>
  <c r="G92" i="1" s="1"/>
  <c r="I92" i="1" s="1"/>
  <c r="H92" i="1" s="1"/>
  <c r="D32" i="3"/>
  <c r="D32" i="5"/>
  <c r="G38" i="1" s="1"/>
  <c r="I38" i="1" s="1"/>
  <c r="H38" i="1" s="1"/>
  <c r="D64" i="3"/>
  <c r="D64" i="5"/>
  <c r="G70" i="1" s="1"/>
  <c r="I70" i="1" s="1"/>
  <c r="H70" i="1" s="1"/>
  <c r="D125" i="3"/>
  <c r="D125" i="5"/>
  <c r="G131" i="1" s="1"/>
  <c r="I131" i="1" s="1"/>
  <c r="H131" i="1" s="1"/>
  <c r="D114" i="3"/>
  <c r="D114" i="5"/>
  <c r="G120" i="1" s="1"/>
  <c r="I120" i="1" s="1"/>
  <c r="H120" i="1" s="1"/>
  <c r="D158" i="3"/>
  <c r="D158" i="5"/>
  <c r="G164" i="1" s="1"/>
  <c r="I164" i="1" s="1"/>
  <c r="H164" i="1" s="1"/>
  <c r="D123" i="3"/>
  <c r="D123" i="5"/>
  <c r="G129" i="1" s="1"/>
  <c r="I129" i="1" s="1"/>
  <c r="H129" i="1" s="1"/>
  <c r="F111" i="1"/>
  <c r="D24" i="3"/>
  <c r="D24" i="5"/>
  <c r="G30" i="1" s="1"/>
  <c r="I30" i="1" s="1"/>
  <c r="H30" i="1" s="1"/>
  <c r="D10" i="3"/>
  <c r="D10" i="5"/>
  <c r="G16" i="1" s="1"/>
  <c r="I16" i="1" s="1"/>
  <c r="H16" i="1" s="1"/>
  <c r="D33" i="3"/>
  <c r="D33" i="5"/>
  <c r="G39" i="1" s="1"/>
  <c r="I39" i="1" s="1"/>
  <c r="H39" i="1" s="1"/>
  <c r="D13" i="3"/>
  <c r="D13" i="5"/>
  <c r="G19" i="1" s="1"/>
  <c r="I19" i="1" s="1"/>
  <c r="H19" i="1" s="1"/>
  <c r="D29" i="3"/>
  <c r="D29" i="5"/>
  <c r="G35" i="1" s="1"/>
  <c r="I35" i="1" s="1"/>
  <c r="H35" i="1" s="1"/>
  <c r="D2" i="3"/>
  <c r="D2" i="5"/>
  <c r="G8" i="1" s="1"/>
  <c r="I8" i="1" s="1"/>
  <c r="H8" i="1" s="1"/>
  <c r="D77" i="3"/>
  <c r="D77" i="5"/>
  <c r="G83" i="1" s="1"/>
  <c r="I83" i="1" s="1"/>
  <c r="H83" i="1" s="1"/>
  <c r="D117" i="3"/>
  <c r="D117" i="5"/>
  <c r="G123" i="1" s="1"/>
  <c r="I123" i="1" s="1"/>
  <c r="H123" i="1" s="1"/>
  <c r="D38" i="3"/>
  <c r="D38" i="5"/>
  <c r="G44" i="1" s="1"/>
  <c r="I44" i="1" s="1"/>
  <c r="H44" i="1" s="1"/>
  <c r="D108" i="3"/>
  <c r="D108" i="5"/>
  <c r="G114" i="1" s="1"/>
  <c r="I114" i="1" s="1"/>
  <c r="H114" i="1" s="1"/>
  <c r="D118" i="3"/>
  <c r="D118" i="5"/>
  <c r="G124" i="1" s="1"/>
  <c r="I124" i="1" s="1"/>
  <c r="H124" i="1" s="1"/>
  <c r="D28" i="3"/>
  <c r="D28" i="5"/>
  <c r="G34" i="1" s="1"/>
  <c r="I34" i="1" s="1"/>
  <c r="H34" i="1" s="1"/>
  <c r="F106" i="1"/>
  <c r="G100" i="3" s="1"/>
  <c r="E72" i="3"/>
  <c r="F154" i="1"/>
  <c r="D139" i="3"/>
  <c r="D139" i="5"/>
  <c r="G145" i="1" s="1"/>
  <c r="I145" i="1" s="1"/>
  <c r="H145" i="1" s="1"/>
  <c r="D110" i="3"/>
  <c r="D110" i="5"/>
  <c r="G116" i="1" s="1"/>
  <c r="I116" i="1" s="1"/>
  <c r="H116" i="1" s="1"/>
  <c r="D146" i="3"/>
  <c r="D146" i="5"/>
  <c r="G152" i="1" s="1"/>
  <c r="I152" i="1" s="1"/>
  <c r="H152" i="1" s="1"/>
  <c r="D59" i="3"/>
  <c r="D59" i="5"/>
  <c r="G65" i="1" s="1"/>
  <c r="I65" i="1" s="1"/>
  <c r="H65" i="1" s="1"/>
  <c r="D50" i="3"/>
  <c r="D50" i="5"/>
  <c r="G56" i="1" s="1"/>
  <c r="I56" i="1" s="1"/>
  <c r="H56" i="1" s="1"/>
  <c r="D72" i="3"/>
  <c r="D72" i="5"/>
  <c r="G78" i="1" s="1"/>
  <c r="I78" i="1" s="1"/>
  <c r="H78" i="1" s="1"/>
  <c r="D109" i="3"/>
  <c r="D109" i="5"/>
  <c r="G115" i="1" s="1"/>
  <c r="I115" i="1" s="1"/>
  <c r="H115" i="1" s="1"/>
  <c r="D72" i="23"/>
  <c r="D116" i="3"/>
  <c r="D116" i="5"/>
  <c r="G122" i="1" s="1"/>
  <c r="I122" i="1" s="1"/>
  <c r="H122" i="1" s="1"/>
  <c r="D48" i="3"/>
  <c r="D48" i="5"/>
  <c r="G54" i="1" s="1"/>
  <c r="I54" i="1" s="1"/>
  <c r="H54" i="1" s="1"/>
  <c r="D44" i="3"/>
  <c r="D44" i="5"/>
  <c r="G50" i="1" s="1"/>
  <c r="I50" i="1" s="1"/>
  <c r="H50" i="1" s="1"/>
  <c r="D104" i="3"/>
  <c r="D104" i="5"/>
  <c r="G110" i="1" s="1"/>
  <c r="I110" i="1" s="1"/>
  <c r="H110" i="1" s="1"/>
  <c r="D90" i="3"/>
  <c r="D90" i="5"/>
  <c r="G96" i="1" s="1"/>
  <c r="I96" i="1" s="1"/>
  <c r="H96" i="1" s="1"/>
  <c r="D79" i="3"/>
  <c r="D79" i="5"/>
  <c r="G85" i="1" s="1"/>
  <c r="I85" i="1" s="1"/>
  <c r="H85" i="1" s="1"/>
  <c r="D63" i="3"/>
  <c r="D63" i="5"/>
  <c r="G69" i="1" s="1"/>
  <c r="I69" i="1" s="1"/>
  <c r="H69" i="1" s="1"/>
  <c r="D107" i="3"/>
  <c r="D107" i="5"/>
  <c r="G113" i="1" s="1"/>
  <c r="I113" i="1" s="1"/>
  <c r="H113" i="1" s="1"/>
  <c r="D5" i="3"/>
  <c r="D5" i="5"/>
  <c r="G11" i="1" s="1"/>
  <c r="I11" i="1" s="1"/>
  <c r="H11" i="1" s="1"/>
  <c r="D68" i="3"/>
  <c r="D68" i="5"/>
  <c r="G74" i="1" s="1"/>
  <c r="I74" i="1" s="1"/>
  <c r="H74" i="1" s="1"/>
  <c r="D138" i="3"/>
  <c r="D138" i="5"/>
  <c r="G144" i="1" s="1"/>
  <c r="I144" i="1" s="1"/>
  <c r="H144" i="1" s="1"/>
  <c r="D69" i="3"/>
  <c r="D69" i="5"/>
  <c r="G75" i="1" s="1"/>
  <c r="I75" i="1" s="1"/>
  <c r="H75" i="1" s="1"/>
  <c r="D100" i="3"/>
  <c r="D100" i="5"/>
  <c r="G106" i="1" s="1"/>
  <c r="I106" i="1" s="1"/>
  <c r="H106" i="1" s="1"/>
  <c r="D54" i="3"/>
  <c r="D54" i="5"/>
  <c r="G60" i="1" s="1"/>
  <c r="I60" i="1" s="1"/>
  <c r="H60" i="1" s="1"/>
  <c r="D120" i="3"/>
  <c r="D120" i="5"/>
  <c r="G126" i="1" s="1"/>
  <c r="I126" i="1" s="1"/>
  <c r="H126" i="1" s="1"/>
  <c r="E167" i="23"/>
  <c r="G167" i="23" s="1"/>
  <c r="E162" i="23"/>
  <c r="G162" i="23" s="1"/>
  <c r="E169" i="23"/>
  <c r="G169" i="23" s="1"/>
  <c r="E175" i="23"/>
  <c r="G175" i="23" s="1"/>
  <c r="E171" i="23"/>
  <c r="G171" i="23" s="1"/>
  <c r="D177" i="1" s="1"/>
  <c r="E173" i="23"/>
  <c r="C179" i="1" s="1"/>
  <c r="C173" i="1"/>
  <c r="C178" i="1"/>
  <c r="E100" i="3"/>
  <c r="E142" i="3"/>
  <c r="E58" i="3"/>
  <c r="D163" i="1"/>
  <c r="F163" i="1" s="1"/>
  <c r="F64" i="1"/>
  <c r="F141" i="1"/>
  <c r="D147" i="23"/>
  <c r="F83" i="1"/>
  <c r="E83" i="1" s="1"/>
  <c r="F148" i="1"/>
  <c r="G142" i="3" s="1"/>
  <c r="D77" i="23"/>
  <c r="D90" i="23"/>
  <c r="E105" i="3"/>
  <c r="D50" i="23"/>
  <c r="F56" i="1"/>
  <c r="G50" i="3" s="1"/>
  <c r="E50" i="3"/>
  <c r="F131" i="1"/>
  <c r="D124" i="23"/>
  <c r="E125" i="3"/>
  <c r="D149" i="23"/>
  <c r="D22" i="23"/>
  <c r="E113" i="3"/>
  <c r="D115" i="1"/>
  <c r="D130" i="1"/>
  <c r="E150" i="3"/>
  <c r="D37" i="23"/>
  <c r="D95" i="1"/>
  <c r="D39" i="1"/>
  <c r="D13" i="1"/>
  <c r="F119" i="1"/>
  <c r="E37" i="3"/>
  <c r="D80" i="1"/>
  <c r="D38" i="1"/>
  <c r="D58" i="1"/>
  <c r="D20" i="1"/>
  <c r="D77" i="1"/>
  <c r="D129" i="1"/>
  <c r="D45" i="1"/>
  <c r="D52" i="1"/>
  <c r="F97" i="1"/>
  <c r="G91" i="3" s="1"/>
  <c r="D91" i="23"/>
  <c r="E92" i="3"/>
  <c r="E16" i="3"/>
  <c r="E96" i="3"/>
  <c r="D95" i="23"/>
  <c r="F103" i="1"/>
  <c r="G97" i="3" s="1"/>
  <c r="F149" i="1"/>
  <c r="E149" i="1" s="1"/>
  <c r="D142" i="23"/>
  <c r="D96" i="23"/>
  <c r="D129" i="23"/>
  <c r="E130" i="3"/>
  <c r="E170" i="23"/>
  <c r="G170" i="23" s="1"/>
  <c r="E153" i="3"/>
  <c r="D152" i="23"/>
  <c r="F164" i="1"/>
  <c r="E164" i="1" s="1"/>
  <c r="F104" i="1"/>
  <c r="G98" i="3" s="1"/>
  <c r="E98" i="3"/>
  <c r="D157" i="23"/>
  <c r="E156" i="3"/>
  <c r="D155" i="23"/>
  <c r="K57" i="10"/>
  <c r="K27" i="10"/>
  <c r="E161" i="23"/>
  <c r="C167" i="1" s="1"/>
  <c r="L162" i="10"/>
  <c r="K132" i="10"/>
  <c r="K83" i="10"/>
  <c r="L36" i="10"/>
  <c r="E165" i="23"/>
  <c r="G165" i="23" s="1"/>
  <c r="C188" i="10"/>
  <c r="E168" i="23"/>
  <c r="C174" i="1" s="1"/>
  <c r="L94" i="10"/>
  <c r="K91" i="10"/>
  <c r="L61" i="10"/>
  <c r="L90" i="10"/>
  <c r="K149" i="10"/>
  <c r="L139" i="10"/>
  <c r="F140" i="10" s="1"/>
  <c r="C178" i="10" s="1"/>
  <c r="I178" i="10" s="1"/>
  <c r="K87" i="10"/>
  <c r="L138" i="10"/>
  <c r="E174" i="23"/>
  <c r="G174" i="23" s="1"/>
  <c r="E166" i="23"/>
  <c r="C172" i="1" s="1"/>
  <c r="L4" i="10"/>
  <c r="K40" i="10"/>
  <c r="L89" i="10"/>
  <c r="L142" i="10"/>
  <c r="K23" i="10"/>
  <c r="L119" i="10"/>
  <c r="F60" i="10"/>
  <c r="C173" i="10" s="1"/>
  <c r="I173" i="10" s="1"/>
  <c r="E60" i="10"/>
  <c r="B173" i="10" s="1"/>
  <c r="B185" i="10" s="1"/>
  <c r="L47" i="10"/>
  <c r="L155" i="10"/>
  <c r="L24" i="10"/>
  <c r="K148" i="10"/>
  <c r="L104" i="10"/>
  <c r="K159" i="10"/>
  <c r="K120" i="10"/>
  <c r="L125" i="10"/>
  <c r="K103" i="10"/>
  <c r="L156" i="10"/>
  <c r="L14" i="10"/>
  <c r="L92" i="10"/>
  <c r="L107" i="10"/>
  <c r="L84" i="10"/>
  <c r="L34" i="10"/>
  <c r="L82" i="10"/>
  <c r="K166" i="10"/>
  <c r="L55" i="10"/>
  <c r="K64" i="10"/>
  <c r="E75" i="10" s="1"/>
  <c r="B174" i="10" s="1"/>
  <c r="H174" i="10" s="1"/>
  <c r="L21" i="10"/>
  <c r="K46" i="10"/>
  <c r="K128" i="10"/>
  <c r="L146" i="10"/>
  <c r="L12" i="10"/>
  <c r="L42" i="10"/>
  <c r="L33" i="10"/>
  <c r="L25" i="10"/>
  <c r="L8" i="10"/>
  <c r="L48" i="10"/>
  <c r="L100" i="10"/>
  <c r="L72" i="10"/>
  <c r="K81" i="10"/>
  <c r="K154" i="10"/>
  <c r="L73" i="10"/>
  <c r="K116" i="10"/>
  <c r="L13" i="10"/>
  <c r="K117" i="10"/>
  <c r="K158" i="10"/>
  <c r="K86" i="10"/>
  <c r="L53" i="10"/>
  <c r="K134" i="10"/>
  <c r="L50" i="10"/>
  <c r="L160" i="10"/>
  <c r="L16" i="10"/>
  <c r="L51" i="10"/>
  <c r="L130" i="10"/>
  <c r="L126" i="10"/>
  <c r="K17" i="10"/>
  <c r="E31" i="10" s="1"/>
  <c r="B171" i="10" s="1"/>
  <c r="L88" i="10"/>
  <c r="L9" i="10"/>
  <c r="L144" i="10"/>
  <c r="K151" i="10"/>
  <c r="K143" i="10"/>
  <c r="L152" i="10"/>
  <c r="K124" i="10"/>
  <c r="L43" i="10"/>
  <c r="L147" i="10"/>
  <c r="K111" i="10"/>
  <c r="K153" i="10"/>
  <c r="L115" i="10"/>
  <c r="L77" i="10"/>
  <c r="K39" i="10"/>
  <c r="B187" i="10"/>
  <c r="G141" i="3"/>
  <c r="E147" i="1"/>
  <c r="E144" i="1"/>
  <c r="G138" i="3"/>
  <c r="E24" i="1"/>
  <c r="G18" i="3"/>
  <c r="G28" i="3"/>
  <c r="E34" i="1"/>
  <c r="E117" i="1"/>
  <c r="G111" i="3"/>
  <c r="G112" i="3"/>
  <c r="E118" i="1"/>
  <c r="E71" i="1"/>
  <c r="G65" i="3"/>
  <c r="E21" i="1"/>
  <c r="G15" i="3"/>
  <c r="E134" i="1"/>
  <c r="G128" i="3"/>
  <c r="E30" i="1"/>
  <c r="G24" i="3"/>
  <c r="E125" i="1"/>
  <c r="G119" i="3"/>
  <c r="G44" i="3"/>
  <c r="E50" i="1"/>
  <c r="G79" i="3"/>
  <c r="E85" i="1"/>
  <c r="E111" i="1"/>
  <c r="G105" i="3"/>
  <c r="E56" i="1"/>
  <c r="G43" i="3"/>
  <c r="E49" i="1"/>
  <c r="E136" i="1"/>
  <c r="G130" i="3"/>
  <c r="G4" i="3"/>
  <c r="E10" i="1"/>
  <c r="G49" i="3"/>
  <c r="E55" i="1"/>
  <c r="G36" i="3"/>
  <c r="E42" i="1"/>
  <c r="G67" i="3"/>
  <c r="E73" i="1"/>
  <c r="G63" i="3"/>
  <c r="E69" i="1"/>
  <c r="G144" i="3"/>
  <c r="E150" i="1"/>
  <c r="E161" i="1"/>
  <c r="G155" i="3"/>
  <c r="E26" i="1"/>
  <c r="G20" i="3"/>
  <c r="E54" i="1"/>
  <c r="G48" i="3"/>
  <c r="E138" i="1"/>
  <c r="G132" i="3"/>
  <c r="G140" i="3"/>
  <c r="E146" i="1"/>
  <c r="G99" i="3"/>
  <c r="E105" i="1"/>
  <c r="E133" i="1"/>
  <c r="G127" i="3"/>
  <c r="G23" i="3"/>
  <c r="E29" i="1"/>
  <c r="E79" i="1"/>
  <c r="G73" i="3"/>
  <c r="G121" i="3"/>
  <c r="E127" i="1"/>
  <c r="E145" i="1"/>
  <c r="G139" i="3"/>
  <c r="G21" i="3"/>
  <c r="E27" i="1"/>
  <c r="D173" i="1"/>
  <c r="D167" i="23"/>
  <c r="E173" i="1" s="1"/>
  <c r="K34" i="10"/>
  <c r="B193" i="10"/>
  <c r="C185" i="1"/>
  <c r="G179" i="23"/>
  <c r="G51" i="3"/>
  <c r="E57" i="1"/>
  <c r="G134" i="3"/>
  <c r="E140" i="1"/>
  <c r="E153" i="1"/>
  <c r="G147" i="3"/>
  <c r="G40" i="3"/>
  <c r="E46" i="1"/>
  <c r="G69" i="3"/>
  <c r="E75" i="1"/>
  <c r="G62" i="3"/>
  <c r="E68" i="1"/>
  <c r="G133" i="3"/>
  <c r="E139" i="1"/>
  <c r="E93" i="1"/>
  <c r="G87" i="3"/>
  <c r="G3" i="3"/>
  <c r="E9" i="1"/>
  <c r="E108" i="1"/>
  <c r="G102" i="3"/>
  <c r="G114" i="3"/>
  <c r="E120" i="1"/>
  <c r="G85" i="3"/>
  <c r="E91" i="1"/>
  <c r="E86" i="1"/>
  <c r="G80" i="3"/>
  <c r="E141" i="1"/>
  <c r="G135" i="3"/>
  <c r="E72" i="1"/>
  <c r="G66" i="3"/>
  <c r="G42" i="3"/>
  <c r="E48" i="1"/>
  <c r="G41" i="3"/>
  <c r="E47" i="1"/>
  <c r="G17" i="3"/>
  <c r="E23" i="1"/>
  <c r="E89" i="1"/>
  <c r="G83" i="3"/>
  <c r="G82" i="3"/>
  <c r="B23" i="17"/>
  <c r="G176" i="23"/>
  <c r="C182" i="1"/>
  <c r="E28" i="1"/>
  <c r="G22" i="3"/>
  <c r="G16" i="3"/>
  <c r="E22" i="1"/>
  <c r="E43" i="1"/>
  <c r="G37" i="3"/>
  <c r="G47" i="3"/>
  <c r="E53" i="1"/>
  <c r="G146" i="3"/>
  <c r="E152" i="1"/>
  <c r="G137" i="3"/>
  <c r="E143" i="1"/>
  <c r="G104" i="3"/>
  <c r="E110" i="1"/>
  <c r="E90" i="1"/>
  <c r="G84" i="3"/>
  <c r="G116" i="3"/>
  <c r="E122" i="1"/>
  <c r="E154" i="1"/>
  <c r="G148" i="3"/>
  <c r="G58" i="3"/>
  <c r="E64" i="1"/>
  <c r="G113" i="3"/>
  <c r="E119" i="1"/>
  <c r="G59" i="3"/>
  <c r="E65" i="1"/>
  <c r="E36" i="1"/>
  <c r="G30" i="3"/>
  <c r="G77" i="3"/>
  <c r="G81" i="3"/>
  <c r="E87" i="1"/>
  <c r="G8" i="3"/>
  <c r="E14" i="1"/>
  <c r="E156" i="1"/>
  <c r="G150" i="3"/>
  <c r="G34" i="3"/>
  <c r="E40" i="1"/>
  <c r="E162" i="1"/>
  <c r="G156" i="3"/>
  <c r="D172" i="23"/>
  <c r="E178" i="1" s="1"/>
  <c r="D178" i="1"/>
  <c r="G5" i="3"/>
  <c r="E11" i="1"/>
  <c r="G27" i="3"/>
  <c r="E33" i="1"/>
  <c r="E109" i="1"/>
  <c r="G103" i="3"/>
  <c r="E98" i="1"/>
  <c r="G92" i="3"/>
  <c r="G54" i="3"/>
  <c r="E60" i="1"/>
  <c r="G72" i="3"/>
  <c r="E78" i="1"/>
  <c r="G152" i="3"/>
  <c r="E158" i="1"/>
  <c r="E102" i="1"/>
  <c r="G96" i="3"/>
  <c r="G64" i="3"/>
  <c r="E70" i="1"/>
  <c r="E32" i="1"/>
  <c r="G26" i="3"/>
  <c r="E163" i="1"/>
  <c r="G157" i="3"/>
  <c r="E37" i="1"/>
  <c r="G31" i="3"/>
  <c r="E44" i="1"/>
  <c r="G38" i="3"/>
  <c r="G70" i="3"/>
  <c r="E76" i="1"/>
  <c r="G125" i="3"/>
  <c r="E131" i="1"/>
  <c r="B13" i="17"/>
  <c r="H15" i="1"/>
  <c r="B14" i="17" s="1"/>
  <c r="B7" i="17"/>
  <c r="E121" i="1"/>
  <c r="G115" i="3"/>
  <c r="B31" i="17"/>
  <c r="G178" i="23"/>
  <c r="C184" i="1"/>
  <c r="C169" i="1"/>
  <c r="G163" i="23"/>
  <c r="G177" i="23"/>
  <c r="C183" i="1"/>
  <c r="G61" i="3"/>
  <c r="E67" i="1"/>
  <c r="G145" i="3"/>
  <c r="E151" i="1"/>
  <c r="G108" i="3"/>
  <c r="E114" i="1"/>
  <c r="G93" i="3"/>
  <c r="E99" i="1"/>
  <c r="G35" i="3"/>
  <c r="E41" i="1"/>
  <c r="E157" i="1"/>
  <c r="G151" i="3"/>
  <c r="G86" i="3"/>
  <c r="E92" i="1"/>
  <c r="E116" i="1"/>
  <c r="G110" i="3"/>
  <c r="E19" i="1"/>
  <c r="G13" i="3"/>
  <c r="E18" i="1"/>
  <c r="G12" i="3"/>
  <c r="E124" i="1"/>
  <c r="G118" i="3"/>
  <c r="G6" i="3"/>
  <c r="E12" i="1"/>
  <c r="E155" i="1"/>
  <c r="G149" i="3"/>
  <c r="E107" i="1"/>
  <c r="G101" i="3"/>
  <c r="G2" i="3"/>
  <c r="E8" i="1"/>
  <c r="E59" i="1"/>
  <c r="G53" i="3"/>
  <c r="C186" i="1"/>
  <c r="G180" i="23"/>
  <c r="E94" i="1"/>
  <c r="G88" i="3"/>
  <c r="G10" i="3"/>
  <c r="E16" i="1"/>
  <c r="G19" i="3"/>
  <c r="E25" i="1"/>
  <c r="G95" i="3"/>
  <c r="E101" i="1"/>
  <c r="G153" i="3"/>
  <c r="E159" i="1"/>
  <c r="G25" i="3"/>
  <c r="E31" i="1"/>
  <c r="E135" i="1"/>
  <c r="G129" i="3"/>
  <c r="G76" i="3"/>
  <c r="E82" i="1"/>
  <c r="G11" i="3"/>
  <c r="E17" i="1"/>
  <c r="E123" i="1"/>
  <c r="G117" i="3"/>
  <c r="B10" i="17"/>
  <c r="G9" i="3"/>
  <c r="E15" i="1"/>
  <c r="G68" i="3"/>
  <c r="E74" i="1"/>
  <c r="E35" i="1"/>
  <c r="G29" i="3"/>
  <c r="G55" i="3"/>
  <c r="E61" i="1"/>
  <c r="G164" i="23"/>
  <c r="C170" i="1"/>
  <c r="B188" i="10"/>
  <c r="K139" i="10"/>
  <c r="E140" i="10" s="1"/>
  <c r="B178" i="10" s="1"/>
  <c r="H178" i="10" s="1"/>
  <c r="C175" i="1"/>
  <c r="K37" i="10"/>
  <c r="B192" i="10"/>
  <c r="G126" i="3"/>
  <c r="E132" i="1"/>
  <c r="E62" i="1"/>
  <c r="G56" i="3"/>
  <c r="G122" i="3"/>
  <c r="E128" i="1"/>
  <c r="G154" i="3"/>
  <c r="E160" i="1"/>
  <c r="E142" i="1"/>
  <c r="G136" i="3"/>
  <c r="G90" i="3"/>
  <c r="E96" i="1"/>
  <c r="E137" i="1"/>
  <c r="G131" i="3"/>
  <c r="G45" i="3"/>
  <c r="E51" i="1"/>
  <c r="E112" i="1"/>
  <c r="G106" i="3"/>
  <c r="E113" i="1"/>
  <c r="G107" i="3"/>
  <c r="E63" i="1"/>
  <c r="G57" i="3"/>
  <c r="G60" i="3"/>
  <c r="E66" i="1"/>
  <c r="G94" i="3"/>
  <c r="E100" i="1"/>
  <c r="G120" i="3"/>
  <c r="E126" i="1"/>
  <c r="G78" i="3"/>
  <c r="E84" i="1"/>
  <c r="G75" i="3"/>
  <c r="E81" i="1"/>
  <c r="C181" i="1"/>
  <c r="F95" i="10" l="1"/>
  <c r="C175" i="10" s="1"/>
  <c r="I175" i="10" s="1"/>
  <c r="H173" i="10"/>
  <c r="D184" i="10"/>
  <c r="K171" i="10"/>
  <c r="E180" i="10" s="1"/>
  <c r="D194" i="10" s="1"/>
  <c r="D190" i="10"/>
  <c r="C184" i="10"/>
  <c r="J171" i="10"/>
  <c r="D180" i="10" s="1"/>
  <c r="C194" i="10" s="1"/>
  <c r="E106" i="1"/>
  <c r="G143" i="3"/>
  <c r="G173" i="23"/>
  <c r="D171" i="23"/>
  <c r="E177" i="1" s="1"/>
  <c r="C168" i="1"/>
  <c r="G168" i="23"/>
  <c r="D174" i="1" s="1"/>
  <c r="G166" i="23"/>
  <c r="C177" i="1"/>
  <c r="C180" i="1"/>
  <c r="G161" i="23"/>
  <c r="D167" i="1" s="1"/>
  <c r="C176" i="1"/>
  <c r="E103" i="1"/>
  <c r="E97" i="1"/>
  <c r="D156" i="23"/>
  <c r="E148" i="1"/>
  <c r="F142" i="3" s="1"/>
  <c r="E157" i="3"/>
  <c r="E52" i="3"/>
  <c r="D52" i="23"/>
  <c r="F58" i="1"/>
  <c r="D32" i="23"/>
  <c r="F38" i="1"/>
  <c r="E32" i="3"/>
  <c r="D88" i="23"/>
  <c r="E89" i="3"/>
  <c r="F95" i="1"/>
  <c r="E74" i="3"/>
  <c r="D74" i="23"/>
  <c r="F80" i="1"/>
  <c r="E124" i="3"/>
  <c r="F130" i="1"/>
  <c r="D123" i="23"/>
  <c r="D46" i="23"/>
  <c r="F52" i="1"/>
  <c r="E46" i="3"/>
  <c r="F115" i="1"/>
  <c r="E109" i="3"/>
  <c r="D108" i="23"/>
  <c r="F45" i="1"/>
  <c r="E39" i="3"/>
  <c r="D39" i="23"/>
  <c r="E123" i="3"/>
  <c r="D122" i="23"/>
  <c r="F129" i="1"/>
  <c r="F13" i="1"/>
  <c r="E7" i="3"/>
  <c r="D7" i="23"/>
  <c r="D14" i="23"/>
  <c r="E14" i="3"/>
  <c r="F20" i="1"/>
  <c r="E71" i="3"/>
  <c r="F77" i="1"/>
  <c r="D71" i="23"/>
  <c r="F39" i="1"/>
  <c r="E33" i="3"/>
  <c r="D33" i="23"/>
  <c r="G158" i="3"/>
  <c r="E167" i="10"/>
  <c r="B179" i="10" s="1"/>
  <c r="H179" i="10" s="1"/>
  <c r="E123" i="10"/>
  <c r="B176" i="10" s="1"/>
  <c r="H176" i="10" s="1"/>
  <c r="E104" i="1"/>
  <c r="F98" i="3" s="1"/>
  <c r="F167" i="10"/>
  <c r="C179" i="10" s="1"/>
  <c r="I179" i="10" s="1"/>
  <c r="E95" i="10"/>
  <c r="B175" i="10" s="1"/>
  <c r="H175" i="10" s="1"/>
  <c r="F137" i="10"/>
  <c r="C177" i="10" s="1"/>
  <c r="I177" i="10" s="1"/>
  <c r="E56" i="10"/>
  <c r="B172" i="10" s="1"/>
  <c r="B191" i="10" s="1"/>
  <c r="C191" i="10" s="1"/>
  <c r="F123" i="10"/>
  <c r="C176" i="10" s="1"/>
  <c r="I176" i="10" s="1"/>
  <c r="F31" i="10"/>
  <c r="C171" i="10" s="1"/>
  <c r="I171" i="10" s="1"/>
  <c r="C171" i="1"/>
  <c r="L75" i="10"/>
  <c r="F56" i="10"/>
  <c r="C172" i="10" s="1"/>
  <c r="I172" i="10" s="1"/>
  <c r="B189" i="10"/>
  <c r="H171" i="10"/>
  <c r="B186" i="10"/>
  <c r="C186" i="10" s="1"/>
  <c r="E137" i="10"/>
  <c r="B177" i="10" s="1"/>
  <c r="H177" i="10" s="1"/>
  <c r="B22" i="17"/>
  <c r="F75" i="10"/>
  <c r="C174" i="10" s="1"/>
  <c r="I174" i="10" s="1"/>
  <c r="D162" i="23"/>
  <c r="E168" i="1" s="1"/>
  <c r="D168" i="1"/>
  <c r="F154" i="3"/>
  <c r="C153" i="23"/>
  <c r="E153" i="23" s="1"/>
  <c r="G153" i="23" s="1"/>
  <c r="C128" i="23"/>
  <c r="E128" i="23" s="1"/>
  <c r="G128" i="23" s="1"/>
  <c r="F129" i="3"/>
  <c r="D180" i="1"/>
  <c r="D174" i="23"/>
  <c r="E180" i="1" s="1"/>
  <c r="C157" i="23"/>
  <c r="E157" i="23" s="1"/>
  <c r="G157" i="23" s="1"/>
  <c r="F158" i="3"/>
  <c r="F110" i="3"/>
  <c r="C109" i="23"/>
  <c r="E109" i="23" s="1"/>
  <c r="G109" i="23" s="1"/>
  <c r="F157" i="3"/>
  <c r="C156" i="23"/>
  <c r="E156" i="23" s="1"/>
  <c r="G156" i="23" s="1"/>
  <c r="C102" i="23"/>
  <c r="E102" i="23" s="1"/>
  <c r="G102" i="23" s="1"/>
  <c r="F103" i="3"/>
  <c r="D176" i="1"/>
  <c r="D170" i="23"/>
  <c r="E176" i="1" s="1"/>
  <c r="C149" i="23"/>
  <c r="E149" i="23" s="1"/>
  <c r="G149" i="23" s="1"/>
  <c r="F150" i="3"/>
  <c r="C30" i="23"/>
  <c r="E30" i="23" s="1"/>
  <c r="G30" i="23" s="1"/>
  <c r="F30" i="3"/>
  <c r="C147" i="23"/>
  <c r="E147" i="23" s="1"/>
  <c r="G147" i="23" s="1"/>
  <c r="F148" i="3"/>
  <c r="D173" i="23"/>
  <c r="E179" i="1" s="1"/>
  <c r="D179" i="1"/>
  <c r="C42" i="23"/>
  <c r="E42" i="23" s="1"/>
  <c r="G42" i="23" s="1"/>
  <c r="F42" i="3"/>
  <c r="C84" i="23"/>
  <c r="E84" i="23" s="1"/>
  <c r="G84" i="23" s="1"/>
  <c r="F85" i="3"/>
  <c r="C3" i="23"/>
  <c r="E3" i="23" s="1"/>
  <c r="G3" i="23" s="1"/>
  <c r="F3" i="3"/>
  <c r="C69" i="23"/>
  <c r="E69" i="23" s="1"/>
  <c r="G69" i="23" s="1"/>
  <c r="F69" i="3"/>
  <c r="C51" i="23"/>
  <c r="E51" i="23" s="1"/>
  <c r="G51" i="23" s="1"/>
  <c r="F51" i="3"/>
  <c r="C63" i="23"/>
  <c r="E63" i="23" s="1"/>
  <c r="G63" i="23" s="1"/>
  <c r="F63" i="3"/>
  <c r="F36" i="3"/>
  <c r="C36" i="23"/>
  <c r="E36" i="23" s="1"/>
  <c r="G36" i="23" s="1"/>
  <c r="F43" i="3"/>
  <c r="C43" i="23"/>
  <c r="E43" i="23" s="1"/>
  <c r="G43" i="23" s="1"/>
  <c r="C44" i="23"/>
  <c r="E44" i="23" s="1"/>
  <c r="G44" i="23" s="1"/>
  <c r="F44" i="3"/>
  <c r="D169" i="23"/>
  <c r="E175" i="1" s="1"/>
  <c r="D175" i="1"/>
  <c r="D180" i="23"/>
  <c r="E186" i="1" s="1"/>
  <c r="D186" i="1"/>
  <c r="F86" i="3"/>
  <c r="C85" i="23"/>
  <c r="E85" i="23" s="1"/>
  <c r="G85" i="23" s="1"/>
  <c r="C92" i="23"/>
  <c r="E92" i="23" s="1"/>
  <c r="G92" i="23" s="1"/>
  <c r="F93" i="3"/>
  <c r="C114" i="23"/>
  <c r="E114" i="23" s="1"/>
  <c r="G114" i="23" s="1"/>
  <c r="F115" i="3"/>
  <c r="C72" i="23"/>
  <c r="E72" i="23" s="1"/>
  <c r="G72" i="23" s="1"/>
  <c r="F72" i="3"/>
  <c r="C8" i="23"/>
  <c r="E8" i="23" s="1"/>
  <c r="G8" i="23" s="1"/>
  <c r="F8" i="3"/>
  <c r="C59" i="23"/>
  <c r="E59" i="23" s="1"/>
  <c r="G59" i="23" s="1"/>
  <c r="F59" i="3"/>
  <c r="C115" i="23"/>
  <c r="E115" i="23" s="1"/>
  <c r="G115" i="23" s="1"/>
  <c r="F116" i="3"/>
  <c r="C103" i="23"/>
  <c r="E103" i="23" s="1"/>
  <c r="G103" i="23" s="1"/>
  <c r="F104" i="3"/>
  <c r="C126" i="23"/>
  <c r="E126" i="23" s="1"/>
  <c r="G126" i="23" s="1"/>
  <c r="F127" i="3"/>
  <c r="C48" i="23"/>
  <c r="E48" i="23" s="1"/>
  <c r="G48" i="23" s="1"/>
  <c r="F48" i="3"/>
  <c r="C127" i="23"/>
  <c r="E127" i="23" s="1"/>
  <c r="G127" i="23" s="1"/>
  <c r="F128" i="3"/>
  <c r="C18" i="23"/>
  <c r="E18" i="23" s="1"/>
  <c r="G18" i="23" s="1"/>
  <c r="F18" i="3"/>
  <c r="F45" i="3"/>
  <c r="C45" i="23"/>
  <c r="E45" i="23" s="1"/>
  <c r="G45" i="23" s="1"/>
  <c r="C38" i="23"/>
  <c r="E38" i="23" s="1"/>
  <c r="G38" i="23" s="1"/>
  <c r="F38" i="3"/>
  <c r="F26" i="3"/>
  <c r="C26" i="23"/>
  <c r="E26" i="23" s="1"/>
  <c r="G26" i="23" s="1"/>
  <c r="C37" i="23"/>
  <c r="E37" i="23" s="1"/>
  <c r="G37" i="23" s="1"/>
  <c r="F37" i="3"/>
  <c r="F114" i="3"/>
  <c r="C113" i="23"/>
  <c r="E113" i="23" s="1"/>
  <c r="G113" i="23" s="1"/>
  <c r="F40" i="3"/>
  <c r="C40" i="23"/>
  <c r="E40" i="23" s="1"/>
  <c r="G40" i="23" s="1"/>
  <c r="D179" i="23"/>
  <c r="E185" i="1" s="1"/>
  <c r="D185" i="1"/>
  <c r="C120" i="23"/>
  <c r="E120" i="23" s="1"/>
  <c r="G120" i="23" s="1"/>
  <c r="F121" i="3"/>
  <c r="C98" i="23"/>
  <c r="E98" i="23" s="1"/>
  <c r="G98" i="23" s="1"/>
  <c r="F99" i="3"/>
  <c r="C67" i="23"/>
  <c r="E67" i="23" s="1"/>
  <c r="G67" i="23" s="1"/>
  <c r="F67" i="3"/>
  <c r="C49" i="23"/>
  <c r="E49" i="23" s="1"/>
  <c r="G49" i="23" s="1"/>
  <c r="F49" i="3"/>
  <c r="C50" i="23"/>
  <c r="E50" i="23" s="1"/>
  <c r="G50" i="23" s="1"/>
  <c r="F50" i="3"/>
  <c r="F112" i="3"/>
  <c r="C111" i="23"/>
  <c r="E111" i="23" s="1"/>
  <c r="G111" i="23" s="1"/>
  <c r="F11" i="3"/>
  <c r="C11" i="23"/>
  <c r="E11" i="23" s="1"/>
  <c r="G11" i="23" s="1"/>
  <c r="C27" i="23"/>
  <c r="E27" i="23" s="1"/>
  <c r="G27" i="23" s="1"/>
  <c r="F27" i="3"/>
  <c r="F81" i="3"/>
  <c r="C81" i="23"/>
  <c r="E81" i="23" s="1"/>
  <c r="G81" i="23" s="1"/>
  <c r="C112" i="23"/>
  <c r="E112" i="23" s="1"/>
  <c r="G112" i="23" s="1"/>
  <c r="F113" i="3"/>
  <c r="C136" i="23"/>
  <c r="E136" i="23" s="1"/>
  <c r="G136" i="23" s="1"/>
  <c r="F137" i="3"/>
  <c r="C16" i="23"/>
  <c r="E16" i="23" s="1"/>
  <c r="G16" i="23" s="1"/>
  <c r="F16" i="3"/>
  <c r="D182" i="1"/>
  <c r="D176" i="23"/>
  <c r="E182" i="1" s="1"/>
  <c r="F82" i="3"/>
  <c r="C82" i="23"/>
  <c r="E82" i="23" s="1"/>
  <c r="G82" i="23" s="1"/>
  <c r="F83" i="3"/>
  <c r="F66" i="3"/>
  <c r="C66" i="23"/>
  <c r="E66" i="23" s="1"/>
  <c r="G66" i="23" s="1"/>
  <c r="C86" i="23"/>
  <c r="E86" i="23" s="1"/>
  <c r="G86" i="23" s="1"/>
  <c r="F87" i="3"/>
  <c r="F20" i="3"/>
  <c r="C20" i="23"/>
  <c r="E20" i="23" s="1"/>
  <c r="G20" i="23" s="1"/>
  <c r="F119" i="3"/>
  <c r="C118" i="23"/>
  <c r="E118" i="23" s="1"/>
  <c r="G118" i="23" s="1"/>
  <c r="F138" i="3"/>
  <c r="C137" i="23"/>
  <c r="E137" i="23" s="1"/>
  <c r="G137" i="23" s="1"/>
  <c r="C60" i="23"/>
  <c r="E60" i="23" s="1"/>
  <c r="G60" i="23" s="1"/>
  <c r="F60" i="3"/>
  <c r="F88" i="3"/>
  <c r="C87" i="23"/>
  <c r="E87" i="23" s="1"/>
  <c r="G87" i="23" s="1"/>
  <c r="C19" i="23"/>
  <c r="E19" i="23" s="1"/>
  <c r="G19" i="23" s="1"/>
  <c r="F19" i="3"/>
  <c r="C125" i="23"/>
  <c r="E125" i="23" s="1"/>
  <c r="G125" i="23" s="1"/>
  <c r="F126" i="3"/>
  <c r="C100" i="23"/>
  <c r="E100" i="23" s="1"/>
  <c r="G100" i="23" s="1"/>
  <c r="F101" i="3"/>
  <c r="F10" i="3"/>
  <c r="C10" i="23"/>
  <c r="E10" i="23" s="1"/>
  <c r="G10" i="23" s="1"/>
  <c r="D163" i="23"/>
  <c r="E169" i="1" s="1"/>
  <c r="D169" i="1"/>
  <c r="D181" i="1"/>
  <c r="D175" i="23"/>
  <c r="E181" i="1" s="1"/>
  <c r="C121" i="23"/>
  <c r="E121" i="23" s="1"/>
  <c r="G121" i="23" s="1"/>
  <c r="F122" i="3"/>
  <c r="C9" i="23"/>
  <c r="E9" i="23" s="1"/>
  <c r="G9" i="23" s="1"/>
  <c r="B11" i="17"/>
  <c r="F9" i="3"/>
  <c r="F12" i="3"/>
  <c r="C12" i="23"/>
  <c r="E12" i="23" s="1"/>
  <c r="G12" i="23" s="1"/>
  <c r="C142" i="23"/>
  <c r="E142" i="23" s="1"/>
  <c r="G142" i="23" s="1"/>
  <c r="F143" i="3"/>
  <c r="F156" i="3"/>
  <c r="C155" i="23"/>
  <c r="E155" i="23" s="1"/>
  <c r="G155" i="23" s="1"/>
  <c r="C83" i="23"/>
  <c r="E83" i="23" s="1"/>
  <c r="G83" i="23" s="1"/>
  <c r="F84" i="3"/>
  <c r="C17" i="23"/>
  <c r="E17" i="23" s="1"/>
  <c r="G17" i="23" s="1"/>
  <c r="F17" i="3"/>
  <c r="F133" i="3"/>
  <c r="C132" i="23"/>
  <c r="E132" i="23" s="1"/>
  <c r="G132" i="23" s="1"/>
  <c r="F21" i="3"/>
  <c r="C21" i="23"/>
  <c r="E21" i="23" s="1"/>
  <c r="G21" i="23" s="1"/>
  <c r="F140" i="3"/>
  <c r="C139" i="23"/>
  <c r="E139" i="23" s="1"/>
  <c r="G139" i="23" s="1"/>
  <c r="C90" i="23"/>
  <c r="E90" i="23" s="1"/>
  <c r="G90" i="23" s="1"/>
  <c r="F91" i="3"/>
  <c r="F4" i="3"/>
  <c r="C4" i="23"/>
  <c r="E4" i="23" s="1"/>
  <c r="G4" i="23" s="1"/>
  <c r="C140" i="23"/>
  <c r="E140" i="23" s="1"/>
  <c r="G140" i="23" s="1"/>
  <c r="F141" i="3"/>
  <c r="D168" i="23"/>
  <c r="E174" i="1" s="1"/>
  <c r="F57" i="3"/>
  <c r="C57" i="23"/>
  <c r="E57" i="23" s="1"/>
  <c r="G57" i="23" s="1"/>
  <c r="D164" i="23"/>
  <c r="E170" i="1" s="1"/>
  <c r="D170" i="1"/>
  <c r="C64" i="23"/>
  <c r="E64" i="23" s="1"/>
  <c r="G64" i="23" s="1"/>
  <c r="F64" i="3"/>
  <c r="F125" i="3"/>
  <c r="C124" i="23"/>
  <c r="E124" i="23" s="1"/>
  <c r="G124" i="23" s="1"/>
  <c r="F5" i="3"/>
  <c r="C5" i="23"/>
  <c r="E5" i="23" s="1"/>
  <c r="G5" i="23" s="1"/>
  <c r="F34" i="3"/>
  <c r="C34" i="23"/>
  <c r="E34" i="23" s="1"/>
  <c r="G34" i="23" s="1"/>
  <c r="C58" i="23"/>
  <c r="E58" i="23" s="1"/>
  <c r="G58" i="23" s="1"/>
  <c r="F58" i="3"/>
  <c r="F146" i="3"/>
  <c r="C145" i="23"/>
  <c r="E145" i="23" s="1"/>
  <c r="G145" i="23" s="1"/>
  <c r="F135" i="3"/>
  <c r="C134" i="23"/>
  <c r="E134" i="23" s="1"/>
  <c r="G134" i="23" s="1"/>
  <c r="F102" i="3"/>
  <c r="C101" i="23"/>
  <c r="E101" i="23" s="1"/>
  <c r="G101" i="23" s="1"/>
  <c r="F147" i="3"/>
  <c r="C146" i="23"/>
  <c r="E146" i="23" s="1"/>
  <c r="G146" i="23" s="1"/>
  <c r="C73" i="23"/>
  <c r="E73" i="23" s="1"/>
  <c r="G73" i="23" s="1"/>
  <c r="F73" i="3"/>
  <c r="C154" i="23"/>
  <c r="E154" i="23" s="1"/>
  <c r="G154" i="23" s="1"/>
  <c r="F155" i="3"/>
  <c r="C104" i="23"/>
  <c r="E104" i="23" s="1"/>
  <c r="G104" i="23" s="1"/>
  <c r="F105" i="3"/>
  <c r="C24" i="23"/>
  <c r="E24" i="23" s="1"/>
  <c r="G24" i="23" s="1"/>
  <c r="F24" i="3"/>
  <c r="F15" i="3"/>
  <c r="C15" i="23"/>
  <c r="E15" i="23" s="1"/>
  <c r="G15" i="23" s="1"/>
  <c r="F111" i="3"/>
  <c r="C110" i="23"/>
  <c r="E110" i="23" s="1"/>
  <c r="G110" i="23" s="1"/>
  <c r="F78" i="3"/>
  <c r="C78" i="23"/>
  <c r="E78" i="23" s="1"/>
  <c r="G78" i="23" s="1"/>
  <c r="F29" i="3"/>
  <c r="C29" i="23"/>
  <c r="E29" i="23" s="1"/>
  <c r="G29" i="23" s="1"/>
  <c r="F68" i="3"/>
  <c r="C68" i="23"/>
  <c r="E68" i="23" s="1"/>
  <c r="G68" i="23" s="1"/>
  <c r="C117" i="23"/>
  <c r="E117" i="23" s="1"/>
  <c r="G117" i="23" s="1"/>
  <c r="F118" i="3"/>
  <c r="F120" i="3"/>
  <c r="C119" i="23"/>
  <c r="E119" i="23" s="1"/>
  <c r="G119" i="23" s="1"/>
  <c r="C150" i="23"/>
  <c r="E150" i="23" s="1"/>
  <c r="G150" i="23" s="1"/>
  <c r="F151" i="3"/>
  <c r="C76" i="23"/>
  <c r="E76" i="23" s="1"/>
  <c r="G76" i="23" s="1"/>
  <c r="F76" i="3"/>
  <c r="C75" i="23"/>
  <c r="E75" i="23" s="1"/>
  <c r="G75" i="23" s="1"/>
  <c r="F75" i="3"/>
  <c r="F55" i="3"/>
  <c r="C55" i="23"/>
  <c r="E55" i="23" s="1"/>
  <c r="G55" i="23" s="1"/>
  <c r="D171" i="1"/>
  <c r="D165" i="23"/>
  <c r="E171" i="1" s="1"/>
  <c r="C53" i="23"/>
  <c r="E53" i="23" s="1"/>
  <c r="G53" i="23" s="1"/>
  <c r="F53" i="3"/>
  <c r="C13" i="23"/>
  <c r="E13" i="23" s="1"/>
  <c r="G13" i="23" s="1"/>
  <c r="F13" i="3"/>
  <c r="D184" i="1"/>
  <c r="D178" i="23"/>
  <c r="E184" i="1" s="1"/>
  <c r="C31" i="23"/>
  <c r="E31" i="23" s="1"/>
  <c r="G31" i="23" s="1"/>
  <c r="F31" i="3"/>
  <c r="C95" i="23"/>
  <c r="E95" i="23" s="1"/>
  <c r="G95" i="23" s="1"/>
  <c r="F96" i="3"/>
  <c r="C91" i="23"/>
  <c r="E91" i="23" s="1"/>
  <c r="G91" i="23" s="1"/>
  <c r="F92" i="3"/>
  <c r="F77" i="3"/>
  <c r="C77" i="23"/>
  <c r="E77" i="23" s="1"/>
  <c r="G77" i="23" s="1"/>
  <c r="C22" i="23"/>
  <c r="E22" i="23" s="1"/>
  <c r="G22" i="23" s="1"/>
  <c r="F22" i="3"/>
  <c r="C41" i="23"/>
  <c r="E41" i="23" s="1"/>
  <c r="G41" i="23" s="1"/>
  <c r="F41" i="3"/>
  <c r="C99" i="23"/>
  <c r="E99" i="23" s="1"/>
  <c r="G99" i="23" s="1"/>
  <c r="F100" i="3"/>
  <c r="C62" i="23"/>
  <c r="E62" i="23" s="1"/>
  <c r="G62" i="23" s="1"/>
  <c r="F62" i="3"/>
  <c r="C133" i="23"/>
  <c r="E133" i="23" s="1"/>
  <c r="G133" i="23" s="1"/>
  <c r="F134" i="3"/>
  <c r="C23" i="23"/>
  <c r="E23" i="23" s="1"/>
  <c r="G23" i="23" s="1"/>
  <c r="F23" i="3"/>
  <c r="C143" i="23"/>
  <c r="E143" i="23" s="1"/>
  <c r="G143" i="23" s="1"/>
  <c r="F144" i="3"/>
  <c r="C79" i="23"/>
  <c r="E79" i="23" s="1"/>
  <c r="G79" i="23" s="1"/>
  <c r="F79" i="3"/>
  <c r="C28" i="23"/>
  <c r="E28" i="23" s="1"/>
  <c r="G28" i="23" s="1"/>
  <c r="F28" i="3"/>
  <c r="C116" i="23"/>
  <c r="E116" i="23" s="1"/>
  <c r="G116" i="23" s="1"/>
  <c r="F117" i="3"/>
  <c r="D172" i="1"/>
  <c r="D166" i="23"/>
  <c r="E172" i="1" s="1"/>
  <c r="D183" i="1"/>
  <c r="D177" i="23"/>
  <c r="E183" i="1" s="1"/>
  <c r="C130" i="23"/>
  <c r="E130" i="23" s="1"/>
  <c r="G130" i="23" s="1"/>
  <c r="F131" i="3"/>
  <c r="C25" i="23"/>
  <c r="E25" i="23" s="1"/>
  <c r="G25" i="23" s="1"/>
  <c r="F25" i="3"/>
  <c r="C107" i="23"/>
  <c r="E107" i="23" s="1"/>
  <c r="G107" i="23" s="1"/>
  <c r="F108" i="3"/>
  <c r="C54" i="23"/>
  <c r="E54" i="23" s="1"/>
  <c r="G54" i="23" s="1"/>
  <c r="F54" i="3"/>
  <c r="C89" i="23"/>
  <c r="E89" i="23" s="1"/>
  <c r="G89" i="23" s="1"/>
  <c r="F90" i="3"/>
  <c r="F149" i="3"/>
  <c r="C148" i="23"/>
  <c r="E148" i="23" s="1"/>
  <c r="G148" i="23" s="1"/>
  <c r="C106" i="23"/>
  <c r="E106" i="23" s="1"/>
  <c r="G106" i="23" s="1"/>
  <c r="F107" i="3"/>
  <c r="C152" i="23"/>
  <c r="E152" i="23" s="1"/>
  <c r="G152" i="23" s="1"/>
  <c r="F153" i="3"/>
  <c r="C6" i="23"/>
  <c r="E6" i="23" s="1"/>
  <c r="G6" i="23" s="1"/>
  <c r="F6" i="3"/>
  <c r="C144" i="23"/>
  <c r="E144" i="23" s="1"/>
  <c r="G144" i="23" s="1"/>
  <c r="F145" i="3"/>
  <c r="C93" i="23"/>
  <c r="E93" i="23" s="1"/>
  <c r="G93" i="23" s="1"/>
  <c r="F94" i="3"/>
  <c r="F106" i="3"/>
  <c r="C105" i="23"/>
  <c r="E105" i="23" s="1"/>
  <c r="G105" i="23" s="1"/>
  <c r="C135" i="23"/>
  <c r="E135" i="23" s="1"/>
  <c r="G135" i="23" s="1"/>
  <c r="F136" i="3"/>
  <c r="C56" i="23"/>
  <c r="E56" i="23" s="1"/>
  <c r="G56" i="23" s="1"/>
  <c r="F56" i="3"/>
  <c r="C94" i="23"/>
  <c r="E94" i="23" s="1"/>
  <c r="G94" i="23" s="1"/>
  <c r="F95" i="3"/>
  <c r="F2" i="3"/>
  <c r="C2" i="23"/>
  <c r="E2" i="23" s="1"/>
  <c r="G2" i="23" s="1"/>
  <c r="C35" i="23"/>
  <c r="E35" i="23" s="1"/>
  <c r="G35" i="23" s="1"/>
  <c r="F35" i="3"/>
  <c r="C61" i="23"/>
  <c r="E61" i="23" s="1"/>
  <c r="G61" i="23" s="1"/>
  <c r="F61" i="3"/>
  <c r="C70" i="23"/>
  <c r="E70" i="23" s="1"/>
  <c r="G70" i="23" s="1"/>
  <c r="F70" i="3"/>
  <c r="F152" i="3"/>
  <c r="C151" i="23"/>
  <c r="E151" i="23" s="1"/>
  <c r="G151" i="23" s="1"/>
  <c r="C47" i="23"/>
  <c r="E47" i="23" s="1"/>
  <c r="G47" i="23" s="1"/>
  <c r="F47" i="3"/>
  <c r="F80" i="3"/>
  <c r="C80" i="23"/>
  <c r="E80" i="23" s="1"/>
  <c r="G80" i="23" s="1"/>
  <c r="C138" i="23"/>
  <c r="E138" i="23" s="1"/>
  <c r="G138" i="23" s="1"/>
  <c r="F139" i="3"/>
  <c r="F132" i="3"/>
  <c r="C131" i="23"/>
  <c r="E131" i="23" s="1"/>
  <c r="G131" i="23" s="1"/>
  <c r="F97" i="3"/>
  <c r="C96" i="23"/>
  <c r="E96" i="23" s="1"/>
  <c r="G96" i="23" s="1"/>
  <c r="C129" i="23"/>
  <c r="E129" i="23" s="1"/>
  <c r="G129" i="23" s="1"/>
  <c r="F130" i="3"/>
  <c r="C65" i="23"/>
  <c r="E65" i="23" s="1"/>
  <c r="G65" i="23" s="1"/>
  <c r="F65" i="3"/>
  <c r="C180" i="10" l="1"/>
  <c r="C141" i="23"/>
  <c r="E141" i="23" s="1"/>
  <c r="G141" i="23" s="1"/>
  <c r="D161" i="23"/>
  <c r="E167" i="1" s="1"/>
  <c r="C97" i="23"/>
  <c r="E97" i="23" s="1"/>
  <c r="G97" i="23" s="1"/>
  <c r="E45" i="1"/>
  <c r="G39" i="3"/>
  <c r="G124" i="3"/>
  <c r="E130" i="1"/>
  <c r="G33" i="3"/>
  <c r="E39" i="1"/>
  <c r="E38" i="1"/>
  <c r="G32" i="3"/>
  <c r="G7" i="3"/>
  <c r="E13" i="1"/>
  <c r="G74" i="3"/>
  <c r="E80" i="1"/>
  <c r="G71" i="3"/>
  <c r="E77" i="1"/>
  <c r="G123" i="3"/>
  <c r="E129" i="1"/>
  <c r="E115" i="1"/>
  <c r="G109" i="3"/>
  <c r="G52" i="3"/>
  <c r="E58" i="1"/>
  <c r="E20" i="1"/>
  <c r="G14" i="3"/>
  <c r="G46" i="3"/>
  <c r="E52" i="1"/>
  <c r="G89" i="3"/>
  <c r="E95" i="1"/>
  <c r="B190" i="10"/>
  <c r="C190" i="10" s="1"/>
  <c r="B184" i="10"/>
  <c r="H172" i="10"/>
  <c r="B180" i="10" s="1"/>
  <c r="B194" i="10" s="1"/>
  <c r="C122" i="23" l="1"/>
  <c r="E122" i="23" s="1"/>
  <c r="G122" i="23" s="1"/>
  <c r="F123" i="3"/>
  <c r="C32" i="23"/>
  <c r="E32" i="23" s="1"/>
  <c r="G32" i="23" s="1"/>
  <c r="F32" i="3"/>
  <c r="C33" i="23"/>
  <c r="E33" i="23" s="1"/>
  <c r="G33" i="23" s="1"/>
  <c r="F33" i="3"/>
  <c r="C46" i="23"/>
  <c r="E46" i="23" s="1"/>
  <c r="G46" i="23" s="1"/>
  <c r="F46" i="3"/>
  <c r="C74" i="23"/>
  <c r="E74" i="23" s="1"/>
  <c r="G74" i="23" s="1"/>
  <c r="F74" i="3"/>
  <c r="C88" i="23"/>
  <c r="E88" i="23" s="1"/>
  <c r="G88" i="23" s="1"/>
  <c r="F89" i="3"/>
  <c r="F7" i="3"/>
  <c r="C7" i="23"/>
  <c r="E7" i="23" s="1"/>
  <c r="G7" i="23" s="1"/>
  <c r="C71" i="23"/>
  <c r="E71" i="23" s="1"/>
  <c r="G71" i="23" s="1"/>
  <c r="F71" i="3"/>
  <c r="F14" i="3"/>
  <c r="C14" i="23"/>
  <c r="E14" i="23" s="1"/>
  <c r="G14" i="23" s="1"/>
  <c r="F52" i="3"/>
  <c r="C52" i="23"/>
  <c r="E52" i="23" s="1"/>
  <c r="G52" i="23" s="1"/>
  <c r="C123" i="23"/>
  <c r="E123" i="23" s="1"/>
  <c r="G123" i="23" s="1"/>
  <c r="F124" i="3"/>
  <c r="F109" i="3"/>
  <c r="C108" i="23"/>
  <c r="E108" i="23" s="1"/>
  <c r="G108" i="23" s="1"/>
  <c r="F39" i="3"/>
  <c r="C39" i="23"/>
  <c r="E39" i="23" s="1"/>
  <c r="G39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<sst xmlns="http://schemas.openxmlformats.org/spreadsheetml/2006/main" count="3630" uniqueCount="605">
  <si>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</si>
  <si>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</si>
  <si>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</si>
  <si>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</si>
  <si>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</si>
  <si>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</si>
  <si>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</si>
  <si>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</si>
  <si>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</si>
  <si>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</si>
  <si>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</si>
  <si>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</si>
  <si>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</si>
  <si>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</si>
  <si>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</si>
  <si>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</si>
  <si>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</si>
  <si>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</si>
  <si>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</si>
  <si>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</si>
  <si>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</si>
  <si>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</si>
  <si>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</si>
  <si>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</si>
  <si>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</si>
  <si>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</si>
  <si>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</si>
  <si>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</si>
  <si>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</si>
  <si>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</si>
  <si>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</si>
  <si>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</si>
  <si>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</si>
  <si>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</si>
  <si>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</si>
  <si>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</si>
  <si>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</si>
  <si>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</si>
  <si>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</si>
  <si>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</si>
  <si>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</si>
  <si>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</si>
  <si>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</si>
  <si>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</si>
  <si>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</si>
  <si>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</si>
  <si>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</si>
  <si>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</si>
  <si>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</si>
  <si>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</si>
  <si>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</si>
  <si>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</si>
  <si>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</si>
  <si>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</si>
  <si>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</si>
  <si>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</si>
  <si>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</si>
  <si>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</si>
  <si>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</si>
  <si>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</si>
  <si>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</si>
  <si>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</si>
  <si>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</si>
  <si>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</si>
  <si>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</si>
  <si>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</si>
  <si>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</si>
  <si>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</si>
  <si>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</si>
  <si>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</si>
  <si>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</si>
  <si>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</si>
  <si>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</si>
  <si>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</si>
  <si>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</si>
  <si>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</si>
  <si>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</si>
  <si>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</si>
  <si>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</si>
  <si>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</si>
  <si>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</si>
  <si>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</si>
  <si>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</si>
  <si>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</si>
  <si>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</si>
  <si>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</si>
  <si>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</si>
  <si>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</si>
  <si>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</si>
  <si>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</si>
  <si>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</si>
  <si>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</si>
  <si>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</si>
  <si>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</si>
  <si>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</si>
  <si>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</si>
  <si>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</si>
  <si>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</si>
  <si>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</si>
  <si>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</si>
  <si>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</si>
  <si>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</si>
  <si>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</si>
  <si>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</si>
  <si>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</si>
  <si>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</si>
  <si>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</si>
  <si>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</si>
  <si>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</si>
  <si>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</si>
  <si>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</si>
  <si>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</si>
  <si>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</si>
  <si>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</si>
  <si>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</si>
  <si>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</si>
  <si>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</si>
  <si>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</si>
  <si>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</si>
  <si>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</si>
  <si>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</si>
  <si>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</si>
  <si>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</si>
  <si>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</si>
  <si>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</si>
  <si>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</si>
  <si>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</si>
  <si>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</si>
  <si>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</si>
  <si>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</si>
  <si>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</si>
  <si>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</si>
  <si>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</si>
  <si>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</si>
  <si>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</si>
  <si>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</si>
  <si>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</si>
  <si>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</si>
  <si>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</si>
  <si>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</si>
  <si>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</si>
  <si>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</si>
  <si>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</si>
  <si>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</si>
  <si>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</si>
  <si>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</si>
  <si>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</si>
  <si>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</si>
  <si>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</si>
  <si>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</si>
  <si>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</si>
  <si>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</si>
  <si>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</si>
  <si>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</si>
  <si>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</si>
  <si>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</si>
  <si>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</si>
  <si>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</si>
  <si>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</si>
  <si>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</si>
  <si>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</si>
  <si>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</si>
  <si>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</si>
  <si>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</si>
  <si>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</si>
  <si>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</si>
  <si>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</si>
  <si>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</si>
  <si>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</si>
  <si>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</si>
  <si>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</si>
  <si>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</si>
  <si>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</si>
  <si>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</si>
  <si>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</si>
  <si>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</si>
  <si>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</si>
  <si>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</si>
  <si>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</si>
  <si>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</si>
  <si>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</si>
  <si>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</si>
  <si>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</si>
  <si>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</si>
  <si>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</si>
  <si>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</si>
  <si>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</si>
  <si>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</si>
  <si>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</si>
  <si>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</si>
  <si>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</si>
  <si>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</si>
  <si>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</si>
  <si>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</si>
  <si>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</si>
  <si>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</si>
  <si>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</si>
  <si>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</si>
  <si>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</si>
  <si>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</si>
  <si>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</si>
  <si>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</si>
  <si>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</si>
  <si>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</si>
  <si>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</si>
  <si>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</si>
  <si>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</si>
  <si>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</si>
  <si>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</si>
  <si>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</si>
  <si>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</si>
  <si>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</si>
  <si>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</si>
  <si>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</si>
  <si>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</si>
  <si>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</si>
  <si>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</si>
  <si>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</si>
  <si>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</si>
  <si>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</si>
  <si>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</si>
  <si>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</si>
  <si>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</si>
  <si>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</si>
  <si>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</si>
  <si>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</si>
  <si>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</si>
  <si>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</si>
  <si>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</si>
  <si>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</si>
  <si>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</si>
  <si>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</si>
  <si>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</si>
  <si>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</si>
  <si>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</si>
  <si>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</si>
  <si>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</si>
  <si>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</si>
  <si>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</si>
  <si>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</si>
  <si>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</si>
  <si>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</si>
  <si>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</si>
  <si>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</si>
  <si>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</si>
  <si>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</si>
  <si>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</si>
  <si>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</si>
  <si>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</si>
  <si>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</si>
  <si>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</si>
  <si>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</si>
  <si>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</si>
  <si>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</si>
  <si>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</si>
  <si>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</si>
  <si>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</si>
  <si>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</si>
  <si>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</si>
  <si>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</si>
  <si>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</si>
  <si>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</si>
  <si>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</si>
  <si>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</si>
  <si>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</si>
  <si>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</si>
  <si>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</si>
  <si>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</si>
  <si>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</si>
  <si>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</si>
  <si>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</si>
  <si>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</si>
  <si>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</si>
  <si>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</si>
  <si>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</si>
  <si>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</si>
  <si>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</si>
  <si>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</si>
  <si>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</si>
  <si>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</si>
  <si>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</si>
  <si>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</si>
  <si>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</si>
  <si>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</si>
  <si>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</si>
  <si>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</si>
  <si>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</si>
  <si>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</si>
  <si>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</si>
  <si>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</si>
  <si>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</si>
  <si>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</si>
  <si>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</si>
  <si>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</si>
  <si>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</si>
  <si>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</si>
  <si>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</si>
  <si>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</si>
  <si>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</si>
  <si>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</si>
  <si>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</si>
  <si>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</si>
  <si>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</si>
  <si>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</si>
  <si>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</si>
  <si>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</si>
  <si>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</si>
  <si>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</si>
  <si>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</si>
  <si>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</si>
  <si>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</si>
  <si>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</si>
  <si>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</si>
  <si>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</si>
  <si>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</si>
  <si>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</si>
  <si>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</si>
  <si>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</si>
  <si>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</si>
  <si>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</si>
  <si>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</si>
  <si>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</si>
  <si>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</si>
  <si>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</si>
  <si>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</si>
  <si>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</si>
  <si>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</si>
  <si>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</si>
  <si>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</si>
  <si>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</si>
  <si>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</si>
  <si>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</si>
  <si>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</si>
  <si>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</si>
  <si>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</si>
  <si>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</si>
  <si>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</si>
  <si>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</si>
  <si>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</si>
  <si>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</si>
  <si>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</si>
  <si>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</si>
  <si>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</si>
  <si>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</si>
  <si>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</si>
  <si>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</si>
  <si>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</si>
  <si>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</si>
  <si>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</si>
  <si>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</si>
  <si>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</si>
  <si>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</si>
  <si>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</si>
  <si>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</si>
  <si>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</si>
  <si>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</si>
  <si>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</si>
  <si>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</si>
  <si>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</si>
  <si>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</si>
  <si>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</si>
  <si>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</si>
  <si>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</si>
  <si>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</si>
  <si>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</si>
  <si>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</si>
  <si>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</si>
  <si>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</si>
  <si>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</si>
  <si>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</si>
  <si>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</si>
  <si>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</si>
  <si>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</si>
  <si>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</si>
  <si>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</si>
  <si>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</si>
  <si>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</si>
  <si>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</si>
  <si>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</si>
  <si>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</si>
  <si>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</si>
  <si>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</si>
  <si>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</si>
  <si>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</si>
  <si>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</si>
  <si>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</si>
  <si>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</si>
  <si>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</si>
  <si>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</si>
  <si>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</si>
  <si>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</si>
  <si>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</si>
  <si>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</si>
  <si>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</si>
  <si>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</si>
  <si>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</si>
  <si>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</si>
  <si>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</si>
  <si>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</si>
  <si>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</si>
  <si>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</si>
  <si>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</si>
  <si>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</si>
  <si>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t>Korea, Rep.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</si>
  <si>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</si>
  <si>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</si>
  <si>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</si>
  <si>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</si>
  <si>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</si>
  <si>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</si>
  <si>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</si>
  <si>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</si>
  <si>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</si>
  <si>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</si>
  <si>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</si>
  <si>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</si>
  <si>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</si>
  <si>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</si>
  <si>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</si>
  <si>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</si>
  <si>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</si>
  <si>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</si>
  <si>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</si>
  <si>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</si>
  <si>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</si>
  <si>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</si>
  <si>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</si>
  <si>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</si>
  <si>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</si>
  <si>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</si>
  <si>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</si>
  <si>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</si>
  <si>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</si>
  <si>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</si>
  <si>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</si>
  <si>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</si>
  <si>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</si>
  <si>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</si>
  <si>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</si>
  <si>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</si>
  <si>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</si>
  <si>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</si>
  <si>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</si>
  <si>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</si>
  <si>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</si>
  <si>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</si>
  <si>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</si>
  <si>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</si>
  <si>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</si>
  <si>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</si>
  <si>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</si>
  <si>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</si>
  <si>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</si>
  <si>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</si>
  <si>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</si>
  <si>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</si>
  <si>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</si>
  <si>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</si>
  <si>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</si>
  <si>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</si>
  <si>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</si>
  <si>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</si>
  <si>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</si>
  <si>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</si>
  <si>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</si>
  <si>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</si>
  <si>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</si>
  <si>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</si>
  <si>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</si>
  <si>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</si>
  <si>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</si>
  <si>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</si>
  <si>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</si>
  <si>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</si>
  <si>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</si>
  <si>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</si>
  <si>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</si>
  <si>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</si>
  <si>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</si>
  <si>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</si>
  <si>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</si>
  <si>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</si>
  <si>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</si>
  <si>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</si>
  <si>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</si>
  <si>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</si>
  <si>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</si>
  <si>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</si>
  <si>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</si>
  <si>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</si>
  <si>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</si>
  <si>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</si>
  <si>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</si>
  <si>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</si>
  <si>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</si>
  <si>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</si>
  <si>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</si>
  <si>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</si>
  <si>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</si>
  <si>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</si>
  <si>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</si>
  <si>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</si>
  <si>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</si>
  <si>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</si>
  <si>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</si>
  <si>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</si>
  <si>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</si>
  <si>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</si>
  <si>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</si>
  <si>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</si>
  <si>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</si>
  <si>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</si>
  <si>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</si>
  <si>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</si>
  <si>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</si>
  <si>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</si>
  <si>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</si>
  <si>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</si>
  <si>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</si>
  <si>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</si>
  <si>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</si>
  <si>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</si>
  <si>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</si>
  <si>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</si>
  <si>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</si>
  <si>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</si>
  <si>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</si>
  <si>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</si>
  <si>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</si>
  <si>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</si>
  <si>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</si>
  <si>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</si>
  <si>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</si>
  <si>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</si>
  <si>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</si>
  <si>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</si>
  <si>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</si>
  <si>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</si>
  <si>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</si>
  <si>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</si>
  <si>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</si>
  <si>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</si>
  <si>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</si>
  <si>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</si>
  <si>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</si>
  <si>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</si>
  <si>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</si>
  <si>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</si>
  <si>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</si>
  <si>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</si>
  <si>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</si>
  <si>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</si>
  <si>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</si>
  <si>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</si>
  <si>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</si>
  <si>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</si>
  <si>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</si>
  <si>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</si>
  <si>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</si>
  <si>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</si>
  <si>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</si>
  <si>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</si>
  <si>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</si>
  <si>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SD</t>
  </si>
  <si>
    <t>GDP in 2018</t>
  </si>
  <si>
    <t>North Macedonia</t>
  </si>
  <si>
    <t>GDP in 2017</t>
  </si>
  <si>
    <t>GDP (in billions) in 2018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</si>
  <si>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</si>
  <si>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</si>
  <si>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</si>
  <si>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</si>
  <si>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</si>
  <si>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</si>
  <si>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</si>
  <si>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</si>
  <si>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https://papers.ssrn.com/sol3/papers.cfm?abstract_id=3550293</t>
  </si>
  <si>
    <t>CDS Spread (4/1/20)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</si>
  <si>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</si>
  <si>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</si>
  <si>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</si>
  <si>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</si>
  <si>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</si>
  <si>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</si>
  <si>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</si>
  <si>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</si>
  <si>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</si>
  <si>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</si>
  <si>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</si>
  <si>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</si>
  <si>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</si>
  <si>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</si>
  <si>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</si>
  <si>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</si>
  <si>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</si>
  <si>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</si>
  <si>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</si>
  <si>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Local currency ratings (LT/outlook/ST)</t>
  </si>
  <si>
    <t>Congo (DRC)</t>
  </si>
  <si>
    <t>Congo-Brazzaville</t>
  </si>
  <si>
    <t>Ras Al Khaimah</t>
  </si>
  <si>
    <t>Updated July 1, 2020</t>
  </si>
  <si>
    <t>CDS Spread (7/1/20)</t>
  </si>
  <si>
    <t>Default Spread (4/1/20)</t>
  </si>
  <si>
    <t>Updated Default Spread (7/1/20)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</si>
</sst>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70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sz val="12"/>
      <color rgb="FFFF0000"/>
      <name val="Calibri"/>
      <family val="2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charset val="2"/>
    </font>
    <font>
      <i/>
      <vertAlign val="subscript"/>
      <sz val="12"/>
      <color rgb="FF000000"/>
      <name val="Symbol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b/>
      <sz val="12"/>
      <color rgb="FF666666"/>
      <name val="Lucida Grande"/>
      <family val="2"/>
    </font>
    <font>
      <sz val="12"/>
      <color rgb="FF333333"/>
      <name val="Lucida Grande"/>
      <family val="2"/>
    </font>
    <font>
      <i/>
      <sz val="12"/>
      <name val="Times Roman"/>
    </font>
    <font>
      <sz val="12"/>
      <name val="Times Roman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8" fillId="4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5" fillId="0" borderId="0" applyFont="0" applyFill="0" applyBorder="0" applyAlignment="0" applyProtection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0" fontId="7" fillId="0" borderId="1" xfId="4" applyNumberFormat="1" applyFont="1" applyBorder="1"/>
    <xf numFmtId="10" fontId="7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10" fontId="7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2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7" fillId="0" borderId="0" xfId="4" applyNumberFormat="1" applyFont="1" applyBorder="1"/>
    <xf numFmtId="10" fontId="7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3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19" fillId="0" borderId="0" xfId="0" applyFont="1" applyBorder="1"/>
    <xf numFmtId="0" fontId="36" fillId="0" borderId="0" xfId="0" applyFont="1"/>
    <xf numFmtId="0" fontId="0" fillId="0" borderId="0" xfId="0" applyAlignment="1"/>
    <xf numFmtId="0" fontId="32" fillId="0" borderId="1" xfId="3" applyFont="1" applyFill="1" applyBorder="1"/>
    <xf numFmtId="0" fontId="32" fillId="0" borderId="1" xfId="3" applyFont="1" applyFill="1" applyBorder="1" applyAlignment="1">
      <alignment horizontal="left"/>
    </xf>
    <xf numFmtId="0" fontId="37" fillId="0" borderId="0" xfId="0" applyFont="1"/>
    <xf numFmtId="0" fontId="17" fillId="0" borderId="1" xfId="3" applyFont="1" applyFill="1" applyBorder="1" applyAlignment="1">
      <alignment horizontal="left"/>
    </xf>
    <xf numFmtId="0" fontId="7" fillId="0" borderId="1" xfId="0" applyFont="1" applyFill="1" applyBorder="1"/>
    <xf numFmtId="165" fontId="38" fillId="0" borderId="1" xfId="0" applyNumberFormat="1" applyFont="1" applyBorder="1"/>
    <xf numFmtId="0" fontId="32" fillId="3" borderId="1" xfId="0" applyFont="1" applyFill="1" applyBorder="1" applyAlignment="1">
      <alignment vertical="center"/>
    </xf>
    <xf numFmtId="165" fontId="32" fillId="3" borderId="1" xfId="0" applyNumberFormat="1" applyFont="1" applyFill="1" applyBorder="1" applyAlignment="1">
      <alignment vertical="center"/>
    </xf>
    <xf numFmtId="0" fontId="39" fillId="0" borderId="0" xfId="0" applyFont="1"/>
    <xf numFmtId="0" fontId="32" fillId="0" borderId="0" xfId="0" applyFont="1"/>
    <xf numFmtId="0" fontId="32" fillId="6" borderId="1" xfId="0" applyFont="1" applyFill="1" applyBorder="1"/>
    <xf numFmtId="0" fontId="32" fillId="0" borderId="0" xfId="0" applyFont="1" applyAlignment="1">
      <alignment horizontal="center"/>
    </xf>
    <xf numFmtId="0" fontId="32" fillId="7" borderId="1" xfId="0" applyFont="1" applyFill="1" applyBorder="1" applyAlignment="1">
      <alignment horizontal="center"/>
    </xf>
    <xf numFmtId="10" fontId="32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5" fillId="7" borderId="1" xfId="4" applyNumberFormat="1" applyFont="1" applyFill="1" applyBorder="1"/>
    <xf numFmtId="0" fontId="32" fillId="0" borderId="3" xfId="0" applyFont="1" applyBorder="1"/>
    <xf numFmtId="0" fontId="32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0" fillId="8" borderId="0" xfId="0" applyFont="1" applyFill="1" applyAlignment="1">
      <alignment horizontal="left" vertical="center" wrapText="1"/>
    </xf>
    <xf numFmtId="0" fontId="18" fillId="0" borderId="3" xfId="0" applyFont="1" applyBorder="1"/>
    <xf numFmtId="165" fontId="31" fillId="3" borderId="1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vertical="center"/>
    </xf>
    <xf numFmtId="0" fontId="40" fillId="0" borderId="1" xfId="0" applyFont="1" applyBorder="1"/>
    <xf numFmtId="0" fontId="21" fillId="0" borderId="1" xfId="0" applyFont="1" applyBorder="1"/>
    <xf numFmtId="0" fontId="0" fillId="0" borderId="0" xfId="0" applyFont="1"/>
    <xf numFmtId="0" fontId="21" fillId="0" borderId="2" xfId="0" applyFont="1" applyBorder="1" applyAlignment="1">
      <alignment horizontal="center"/>
    </xf>
    <xf numFmtId="0" fontId="21" fillId="0" borderId="1" xfId="0" applyFont="1" applyFill="1" applyBorder="1"/>
    <xf numFmtId="0" fontId="36" fillId="0" borderId="1" xfId="0" applyFont="1" applyBorder="1" applyAlignment="1">
      <alignment horizontal="center"/>
    </xf>
    <xf numFmtId="10" fontId="36" fillId="0" borderId="1" xfId="4" applyNumberFormat="1" applyFont="1" applyBorder="1" applyAlignment="1">
      <alignment horizontal="center"/>
    </xf>
    <xf numFmtId="10" fontId="36" fillId="0" borderId="2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0" fontId="32" fillId="0" borderId="1" xfId="4" applyNumberFormat="1" applyFont="1" applyBorder="1" applyAlignment="1">
      <alignment horizontal="center"/>
    </xf>
    <xf numFmtId="0" fontId="36" fillId="0" borderId="1" xfId="0" applyFont="1" applyBorder="1"/>
    <xf numFmtId="0" fontId="38" fillId="0" borderId="0" xfId="0" applyFont="1"/>
    <xf numFmtId="10" fontId="32" fillId="0" borderId="0" xfId="4" applyNumberFormat="1" applyFont="1"/>
    <xf numFmtId="10" fontId="36" fillId="0" borderId="0" xfId="0" applyNumberFormat="1" applyFont="1"/>
    <xf numFmtId="10" fontId="36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36" fillId="8" borderId="1" xfId="0" applyFont="1" applyFill="1" applyBorder="1" applyAlignment="1">
      <alignment horizontal="left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5" fillId="0" borderId="0" xfId="0" applyFont="1"/>
    <xf numFmtId="0" fontId="43" fillId="0" borderId="0" xfId="0" applyFont="1"/>
    <xf numFmtId="165" fontId="24" fillId="0" borderId="0" xfId="0" applyNumberFormat="1" applyFont="1" applyAlignment="1">
      <alignment horizontal="center"/>
    </xf>
    <xf numFmtId="10" fontId="32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6" fillId="0" borderId="0" xfId="0" applyFont="1"/>
    <xf numFmtId="14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0" fontId="29" fillId="0" borderId="1" xfId="4" applyNumberFormat="1" applyFont="1" applyBorder="1" applyAlignment="1">
      <alignment wrapText="1"/>
    </xf>
    <xf numFmtId="10" fontId="29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2" fillId="0" borderId="0" xfId="0" applyFont="1" applyAlignment="1">
      <alignment horizontal="left"/>
    </xf>
    <xf numFmtId="2" fontId="5" fillId="7" borderId="1" xfId="4" applyNumberFormat="1" applyFont="1" applyFill="1" applyBorder="1" applyAlignment="1">
      <alignment horizontal="center"/>
    </xf>
    <xf numFmtId="10" fontId="5" fillId="7" borderId="1" xfId="4" applyNumberFormat="1" applyFont="1" applyFill="1" applyBorder="1" applyAlignment="1">
      <alignment horizontal="center"/>
    </xf>
    <xf numFmtId="0" fontId="27" fillId="0" borderId="0" xfId="0" applyFont="1"/>
    <xf numFmtId="0" fontId="18" fillId="0" borderId="0" xfId="0" applyFont="1"/>
    <xf numFmtId="0" fontId="7" fillId="0" borderId="5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0" fontId="7" fillId="0" borderId="6" xfId="0" applyNumberFormat="1" applyFont="1" applyBorder="1" applyAlignment="1">
      <alignment horizontal="center"/>
    </xf>
    <xf numFmtId="10" fontId="29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3" fillId="5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1" fillId="0" borderId="1" xfId="0" applyFont="1" applyBorder="1"/>
    <xf numFmtId="10" fontId="32" fillId="0" borderId="1" xfId="0" applyNumberFormat="1" applyFont="1" applyBorder="1"/>
    <xf numFmtId="167" fontId="0" fillId="0" borderId="1" xfId="0" applyNumberFormat="1" applyBorder="1"/>
    <xf numFmtId="10" fontId="21" fillId="0" borderId="0" xfId="0" applyNumberFormat="1" applyFont="1" applyBorder="1" applyAlignment="1">
      <alignment horizontal="center"/>
    </xf>
    <xf numFmtId="0" fontId="8" fillId="0" borderId="0" xfId="2" applyAlignment="1" applyProtection="1"/>
    <xf numFmtId="165" fontId="29" fillId="3" borderId="1" xfId="0" applyNumberFormat="1" applyFont="1" applyFill="1" applyBorder="1" applyAlignment="1">
      <alignment vertical="center"/>
    </xf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  <xf numFmtId="165" fontId="18" fillId="0" borderId="6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0" fontId="7" fillId="0" borderId="5" xfId="4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0" fontId="30" fillId="0" borderId="1" xfId="0" applyFont="1" applyBorder="1"/>
    <xf numFmtId="10" fontId="30" fillId="0" borderId="1" xfId="0" applyNumberFormat="1" applyFont="1" applyBorder="1" applyAlignment="1">
      <alignment horizontal="center"/>
    </xf>
    <xf numFmtId="0" fontId="29" fillId="3" borderId="1" xfId="0" applyFont="1" applyFill="1" applyBorder="1" applyAlignment="1">
      <alignment vertical="center"/>
    </xf>
    <xf numFmtId="0" fontId="0" fillId="0" borderId="6" xfId="0" applyFill="1" applyBorder="1" applyAlignment="1">
      <alignment horizontal="center"/>
    </xf>
    <xf numFmtId="0" fontId="0" fillId="0" borderId="6" xfId="0" applyBorder="1"/>
    <xf numFmtId="0" fontId="36" fillId="0" borderId="1" xfId="0" applyFont="1" applyFill="1" applyBorder="1" applyAlignment="1">
      <alignment horizontal="center" vertical="center" wrapText="1"/>
    </xf>
    <xf numFmtId="10" fontId="32" fillId="0" borderId="1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36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2" fontId="32" fillId="3" borderId="1" xfId="0" applyNumberFormat="1" applyFont="1" applyFill="1" applyBorder="1" applyAlignment="1">
      <alignment vertical="center"/>
    </xf>
    <xf numFmtId="2" fontId="18" fillId="8" borderId="1" xfId="0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1" fillId="0" borderId="1" xfId="0" applyNumberFormat="1" applyFont="1" applyBorder="1"/>
    <xf numFmtId="2" fontId="32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/>
    </xf>
    <xf numFmtId="2" fontId="32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2" fontId="53" fillId="0" borderId="0" xfId="0" applyNumberFormat="1" applyFont="1"/>
    <xf numFmtId="2" fontId="51" fillId="0" borderId="0" xfId="0" applyNumberFormat="1" applyFont="1"/>
    <xf numFmtId="0" fontId="2" fillId="0" borderId="1" xfId="0" applyFont="1" applyBorder="1"/>
    <xf numFmtId="14" fontId="36" fillId="0" borderId="1" xfId="4" applyNumberFormat="1" applyFont="1" applyBorder="1" applyAlignment="1">
      <alignment horizontal="center" vertical="center" wrapText="1"/>
    </xf>
    <xf numFmtId="10" fontId="29" fillId="0" borderId="1" xfId="4" applyNumberFormat="1" applyFont="1" applyBorder="1"/>
    <xf numFmtId="10" fontId="31" fillId="0" borderId="1" xfId="4" applyNumberFormat="1" applyFont="1" applyBorder="1"/>
    <xf numFmtId="10" fontId="2" fillId="0" borderId="1" xfId="4" applyNumberFormat="1" applyFont="1" applyBorder="1"/>
    <xf numFmtId="10" fontId="45" fillId="0" borderId="1" xfId="4" applyNumberFormat="1" applyFont="1" applyBorder="1"/>
    <xf numFmtId="10" fontId="37" fillId="0" borderId="1" xfId="4" applyNumberFormat="1" applyFont="1" applyBorder="1"/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0" fillId="0" borderId="0" xfId="4" applyNumberFormat="1" applyFont="1" applyFill="1" applyBorder="1" applyAlignment="1">
      <alignment horizontal="center"/>
    </xf>
    <xf numFmtId="0" fontId="4" fillId="0" borderId="1" xfId="0" applyFont="1" applyBorder="1"/>
    <xf numFmtId="0" fontId="0" fillId="12" borderId="0" xfId="0" applyFill="1"/>
    <xf numFmtId="0" fontId="7" fillId="0" borderId="1" xfId="0" applyFont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7" fillId="13" borderId="1" xfId="0" applyFont="1" applyFill="1" applyBorder="1" applyAlignment="1">
      <alignment horizontal="center"/>
    </xf>
    <xf numFmtId="10" fontId="7" fillId="13" borderId="1" xfId="4" applyNumberFormat="1" applyFont="1" applyFill="1" applyBorder="1" applyAlignment="1">
      <alignment horizontal="center"/>
    </xf>
    <xf numFmtId="10" fontId="7" fillId="13" borderId="1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2" fillId="0" borderId="1" xfId="0" applyFont="1" applyFill="1" applyBorder="1"/>
    <xf numFmtId="10" fontId="53" fillId="0" borderId="0" xfId="4" applyNumberFormat="1" applyFont="1"/>
    <xf numFmtId="0" fontId="1" fillId="0" borderId="1" xfId="0" applyFont="1" applyBorder="1"/>
    <xf numFmtId="2" fontId="18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0" borderId="0" xfId="0" applyFont="1"/>
    <xf numFmtId="2" fontId="55" fillId="0" borderId="3" xfId="0" applyNumberFormat="1" applyFont="1" applyBorder="1" applyAlignment="1">
      <alignment horizontal="center"/>
    </xf>
    <xf numFmtId="0" fontId="18" fillId="0" borderId="3" xfId="0" quotePrefix="1" applyFont="1" applyBorder="1"/>
    <xf numFmtId="17" fontId="7" fillId="6" borderId="1" xfId="0" applyNumberFormat="1" applyFont="1" applyFill="1" applyBorder="1" applyAlignment="1">
      <alignment horizontal="center"/>
    </xf>
    <xf numFmtId="166" fontId="29" fillId="0" borderId="4" xfId="4" applyNumberFormat="1" applyFont="1" applyBorder="1"/>
    <xf numFmtId="0" fontId="33" fillId="0" borderId="1" xfId="0" applyFont="1" applyBorder="1" applyAlignment="1">
      <alignment vertical="center"/>
    </xf>
    <xf numFmtId="10" fontId="33" fillId="0" borderId="1" xfId="4" applyNumberFormat="1" applyFont="1" applyBorder="1" applyAlignment="1">
      <alignment horizontal="center" vertical="center" wrapText="1"/>
    </xf>
    <xf numFmtId="10" fontId="56" fillId="0" borderId="1" xfId="4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10" fontId="35" fillId="0" borderId="1" xfId="4" applyNumberFormat="1" applyFont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10" fontId="35" fillId="0" borderId="5" xfId="4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5" fillId="0" borderId="17" xfId="0" applyFont="1" applyBorder="1" applyAlignment="1">
      <alignment vertical="center"/>
    </xf>
    <xf numFmtId="10" fontId="35" fillId="0" borderId="6" xfId="4" applyNumberFormat="1" applyFont="1" applyBorder="1" applyAlignment="1">
      <alignment horizontal="center" vertical="center"/>
    </xf>
    <xf numFmtId="10" fontId="35" fillId="0" borderId="18" xfId="4" applyNumberFormat="1" applyFont="1" applyBorder="1" applyAlignment="1">
      <alignment horizontal="center" vertical="center"/>
    </xf>
    <xf numFmtId="2" fontId="35" fillId="0" borderId="18" xfId="0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5" fillId="0" borderId="16" xfId="0" applyNumberFormat="1" applyFont="1" applyBorder="1" applyAlignment="1">
      <alignment horizontal="center" vertical="center"/>
    </xf>
    <xf numFmtId="0" fontId="35" fillId="0" borderId="19" xfId="0" applyFont="1" applyBorder="1" applyAlignment="1">
      <alignment vertical="center"/>
    </xf>
    <xf numFmtId="10" fontId="0" fillId="0" borderId="20" xfId="4" applyNumberFormat="1" applyFont="1" applyBorder="1"/>
    <xf numFmtId="2" fontId="0" fillId="0" borderId="20" xfId="0" applyNumberFormat="1" applyBorder="1" applyAlignment="1">
      <alignment horizontal="center"/>
    </xf>
    <xf numFmtId="0" fontId="0" fillId="0" borderId="20" xfId="0" applyBorder="1"/>
    <xf numFmtId="10" fontId="63" fillId="0" borderId="20" xfId="4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35" fillId="0" borderId="22" xfId="0" applyFont="1" applyBorder="1" applyAlignment="1">
      <alignment vertical="center"/>
    </xf>
    <xf numFmtId="10" fontId="0" fillId="0" borderId="23" xfId="4" applyNumberFormat="1" applyFont="1" applyBorder="1"/>
    <xf numFmtId="2" fontId="0" fillId="0" borderId="23" xfId="0" applyNumberFormat="1" applyBorder="1" applyAlignment="1">
      <alignment horizontal="center"/>
    </xf>
    <xf numFmtId="0" fontId="0" fillId="0" borderId="23" xfId="0" applyBorder="1"/>
    <xf numFmtId="10" fontId="63" fillId="0" borderId="23" xfId="4" applyNumberFormat="1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64" fillId="0" borderId="1" xfId="0" applyFont="1" applyBorder="1" applyAlignment="1">
      <alignment horizontal="left"/>
    </xf>
    <xf numFmtId="17" fontId="64" fillId="0" borderId="1" xfId="0" applyNumberFormat="1" applyFont="1" applyBorder="1"/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/>
    <xf numFmtId="0" fontId="65" fillId="0" borderId="0" xfId="0" applyFont="1"/>
    <xf numFmtId="0" fontId="18" fillId="0" borderId="0" xfId="0" applyFont="1" applyFill="1" applyBorder="1"/>
    <xf numFmtId="0" fontId="7" fillId="0" borderId="17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5" borderId="1" xfId="3" applyFont="1" applyFill="1" applyBorder="1" applyAlignment="1">
      <alignment horizontal="center" vertical="center"/>
    </xf>
    <xf numFmtId="0" fontId="44" fillId="3" borderId="1" xfId="3" applyFont="1" applyFill="1" applyBorder="1" applyAlignment="1">
      <alignment horizontal="left" vertical="center"/>
    </xf>
    <xf numFmtId="0" fontId="66" fillId="0" borderId="0" xfId="0" applyFont="1"/>
    <xf numFmtId="0" fontId="67" fillId="0" borderId="0" xfId="0" applyFont="1"/>
    <xf numFmtId="0" fontId="68" fillId="0" borderId="1" xfId="0" applyFont="1" applyBorder="1" applyAlignment="1">
      <alignment horizontal="center" wrapText="1"/>
    </xf>
    <xf numFmtId="49" fontId="68" fillId="0" borderId="7" xfId="0" applyNumberFormat="1" applyFont="1" applyBorder="1" applyAlignment="1">
      <alignment horizontal="center"/>
    </xf>
    <xf numFmtId="0" fontId="69" fillId="0" borderId="6" xfId="0" applyFont="1" applyBorder="1"/>
    <xf numFmtId="165" fontId="69" fillId="0" borderId="8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Continuous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0" xfId="2" applyAlignment="1" applyProtection="1">
      <alignment horizontal="left" wrapText="1"/>
    </xf>
    <xf numFmtId="0" fontId="54" fillId="0" borderId="0" xfId="2" applyFont="1" applyAlignment="1" applyProtection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13" borderId="0" xfId="3" applyFont="1" applyFill="1" applyBorder="1" applyAlignment="1">
      <alignment horizontal="center"/>
    </xf>
    <xf numFmtId="164" fontId="14" fillId="13" borderId="0" xfId="3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4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563.463692708334" createdVersion="6" refreshedVersion="6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Zambia" u="1"/>
        <s v="Vietnam" u="1"/>
        <s v="Venezuela" u="1"/>
      </sharedItems>
    </cacheField>
    <cacheField name="GDP (in billions) in 2018" numFmtId="2">
      <sharedItems containsSemiMixedTypes="0" containsString="0" containsNumber="1" minValue="0.5" maxValue="20544.343456936502"/>
    </cacheField>
    <cacheField name="Moody's rating" numFmtId="0">
      <sharedItems/>
    </cacheField>
    <cacheField name="Sovereign CDS" numFmtId="10">
      <sharedItems containsMixedTypes="1" containsNumber="1" minValue="2E-3" maxValue="0.1046"/>
    </cacheField>
    <cacheField name="Adj. Default Spread" numFmtId="10">
      <sharedItems containsSemiMixedTypes="0" containsString="0" containsNumber="1" minValue="0" maxValue="0.14080977055382476"/>
    </cacheField>
    <cacheField name="Equity Risk Premium" numFmtId="10">
      <sharedItems containsSemiMixedTypes="0" containsString="0" containsNumber="1" minValue="5.2299999999999999E-2" maxValue="0.22860247021165525"/>
    </cacheField>
    <cacheField name="Country Risk Premium" numFmtId="10">
      <sharedItems containsSemiMixedTypes="0" containsString="0" containsNumber="1" minValue="0" maxValue="0.17630247021165524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253"/>
    <s v="Aa2"/>
    <n v="9.7000000000000003E-3"/>
    <n v="5.8229604364363613E-3"/>
    <n v="5.9590703655369198E-2"/>
    <n v="7.2907036553691998E-3"/>
    <n v="0.55000000000000004"/>
    <x v="0"/>
  </r>
  <r>
    <x v="1"/>
    <n v="15.102500898237972"/>
    <s v="B1"/>
    <s v="NA"/>
    <n v="5.2830131959668084E-2"/>
    <n v="0.11844656589144056"/>
    <n v="6.6146565891440565E-2"/>
    <n v="0.15"/>
    <x v="1"/>
  </r>
  <r>
    <x v="2"/>
    <n v="3.2365439093484416"/>
    <s v="Baa2"/>
    <s v="NA"/>
    <n v="2.2338993674328587E-2"/>
    <n v="8.0269790386961845E-2"/>
    <n v="2.7969790386961842E-2"/>
    <n v="0.1"/>
    <x v="2"/>
  </r>
  <r>
    <x v="3"/>
    <n v="105.75098761862991"/>
    <s v="B3"/>
    <n v="0.1046"/>
    <n v="7.6333717721283945E-2"/>
    <n v="0.14787449700947625"/>
    <n v="9.5574497009476247E-2"/>
    <n v="0.3"/>
    <x v="3"/>
  </r>
  <r>
    <x v="4"/>
    <n v="519.87151980779504"/>
    <s v="Ca"/>
    <s v="NA"/>
    <n v="0.14080977055382476"/>
    <n v="0.22860247021165525"/>
    <n v="0.17630247021165524"/>
    <n v="0.3"/>
    <x v="4"/>
  </r>
  <r>
    <x v="5"/>
    <n v="12.433089919045941"/>
    <s v="Ba3"/>
    <s v="NA"/>
    <n v="4.2242931166147427E-2"/>
    <n v="0.10519074106349657"/>
    <n v="5.2890741063496567E-2"/>
    <n v="0.2"/>
    <x v="1"/>
  </r>
  <r>
    <x v="6"/>
    <n v="2.7005586592178767"/>
    <s v="Baa1"/>
    <s v="NA"/>
    <n v="1.8739345404531565E-2"/>
    <n v="7.5762809945460891E-2"/>
    <n v="2.3462809945460884E-2"/>
    <n v="0.25"/>
    <x v="5"/>
  </r>
  <r>
    <x v="7"/>
    <n v="1433.9043485001162"/>
    <s v="Aaa"/>
    <n v="3.2000000000000002E-3"/>
    <n v="0"/>
    <n v="5.2299999999999999E-2"/>
    <n v="0"/>
    <n v="0.3"/>
    <x v="6"/>
  </r>
  <r>
    <x v="8"/>
    <n v="455.28581803512486"/>
    <s v="Aa1"/>
    <n v="2.2000000000000001E-3"/>
    <n v="4.6583683491490885E-3"/>
    <n v="5.8132562924295361E-2"/>
    <n v="5.8325629242953593E-3"/>
    <n v="0.25"/>
    <x v="2"/>
  </r>
  <r>
    <x v="9"/>
    <n v="46.93952941176471"/>
    <s v="Ba2"/>
    <s v="NA"/>
    <n v="3.5255378642423785E-2"/>
    <n v="9.6441896677053524E-2"/>
    <n v="4.4141896677053517E-2"/>
    <n v="0.2"/>
    <x v="1"/>
  </r>
  <r>
    <x v="10"/>
    <n v="12.424499999999998"/>
    <s v="Ba2"/>
    <s v="NA"/>
    <n v="3.5255378642423785E-2"/>
    <n v="9.6441896677053524E-2"/>
    <n v="4.4141896677053517E-2"/>
    <n v="0"/>
    <x v="5"/>
  </r>
  <r>
    <x v="11"/>
    <n v="37.746196808510632"/>
    <s v="B2"/>
    <n v="4.1099999999999998E-2"/>
    <n v="6.4581924840476007E-2"/>
    <n v="0.13316053145045842"/>
    <n v="8.0860531450458406E-2"/>
    <n v="0"/>
    <x v="0"/>
  </r>
  <r>
    <x v="12"/>
    <n v="274.02495896589176"/>
    <s v="Ba3"/>
    <s v="NA"/>
    <n v="4.2242931166147427E-2"/>
    <n v="0.10519074106349657"/>
    <n v="5.2890741063496567E-2"/>
    <n v="0.25"/>
    <x v="7"/>
  </r>
  <r>
    <x v="13"/>
    <n v="5.1449999999999996"/>
    <s v="Caa1"/>
    <s v="NA"/>
    <n v="8.7979638594156681E-2"/>
    <n v="0.16245590432021467"/>
    <n v="0.11015590432021467"/>
    <n v="5.5E-2"/>
    <x v="5"/>
  </r>
  <r>
    <x v="14"/>
    <n v="59.662495092265409"/>
    <s v="B3"/>
    <s v="NA"/>
    <n v="7.6333717721283945E-2"/>
    <n v="0.14787449700947625"/>
    <n v="9.5574497009476247E-2"/>
    <n v="0.18"/>
    <x v="1"/>
  </r>
  <r>
    <x v="15"/>
    <n v="542.76109210346851"/>
    <s v="Aa3"/>
    <n v="3.0999999999999999E-3"/>
    <n v="7.0934245316588403E-3"/>
    <n v="6.1181402634722479E-2"/>
    <n v="8.8814026347224795E-3"/>
    <n v="0.28999999999999998"/>
    <x v="2"/>
  </r>
  <r>
    <x v="16"/>
    <n v="1.8712031640827449"/>
    <s v="Caa1"/>
    <s v="NA"/>
    <n v="8.7979638594156681E-2"/>
    <n v="0.16245590432021467"/>
    <n v="0.11015590432021467"/>
    <n v="0.3236"/>
    <x v="4"/>
  </r>
  <r>
    <x v="17"/>
    <n v="10.354274634910833"/>
    <s v="B2"/>
    <s v="NA"/>
    <n v="6.4581924840476007E-2"/>
    <n v="0.13316053145045842"/>
    <n v="8.0860531450458406E-2"/>
    <n v="0.3"/>
    <x v="3"/>
  </r>
  <r>
    <x v="18"/>
    <n v="5.5737100000000002"/>
    <s v="A2"/>
    <s v="NA"/>
    <n v="9.9519687459094178E-3"/>
    <n v="6.4760475338267356E-2"/>
    <n v="1.2460475338267361E-2"/>
    <n v="0"/>
    <x v="5"/>
  </r>
  <r>
    <x v="19"/>
    <n v="40.287647756874094"/>
    <s v="B1"/>
    <s v="NA"/>
    <n v="5.2830131959668084E-2"/>
    <n v="0.11844656589144056"/>
    <n v="6.6146565891440565E-2"/>
    <n v="0.25"/>
    <x v="4"/>
  </r>
  <r>
    <x v="20"/>
    <n v="20.161865419432711"/>
    <s v="B3"/>
    <s v="NA"/>
    <n v="7.6333717721283945E-2"/>
    <n v="0.14787449700947625"/>
    <n v="9.5574497009476247E-2"/>
    <n v="0.1"/>
    <x v="1"/>
  </r>
  <r>
    <x v="21"/>
    <n v="18.616018903443408"/>
    <s v="A2"/>
    <s v="NA"/>
    <n v="9.9519687459094178E-3"/>
    <n v="6.4760475338267356E-2"/>
    <n v="1.2460475338267361E-2"/>
    <n v="0.22"/>
    <x v="3"/>
  </r>
  <r>
    <x v="22"/>
    <n v="1868.6260879084787"/>
    <s v="Ba2"/>
    <n v="3.0099999999999998E-2"/>
    <n v="3.5255378642423785E-2"/>
    <n v="9.6441896677053524E-2"/>
    <n v="4.4141896677053517E-2"/>
    <n v="0.34"/>
    <x v="4"/>
  </r>
  <r>
    <x v="23"/>
    <n v="65.132951116475553"/>
    <s v="Baa2"/>
    <n v="9.1000000000000004E-3"/>
    <n v="2.2338993674328587E-2"/>
    <n v="8.0269790386961845E-2"/>
    <n v="2.7969790386961842E-2"/>
    <n v="0.1"/>
    <x v="1"/>
  </r>
  <r>
    <x v="24"/>
    <n v="14.124775068568976"/>
    <s v="B2"/>
    <s v="NA"/>
    <n v="6.4581924840476007E-2"/>
    <n v="0.13316053145045842"/>
    <n v="8.0860531450458406E-2"/>
    <n v="0.28000000000000003"/>
    <x v="3"/>
  </r>
  <r>
    <x v="25"/>
    <n v="24.542474061242604"/>
    <s v="B2"/>
    <s v="NA"/>
    <n v="6.4581924840476007E-2"/>
    <n v="0.13316053145045842"/>
    <n v="8.0860531450458406E-2"/>
    <n v="0.2"/>
    <x v="7"/>
  </r>
  <r>
    <x v="26"/>
    <n v="38.675205293046218"/>
    <s v="B2"/>
    <n v="8.4099999999999994E-2"/>
    <n v="6.4581924840476007E-2"/>
    <n v="0.13316053145045842"/>
    <n v="8.0860531450458406E-2"/>
    <n v="0.33"/>
    <x v="3"/>
  </r>
  <r>
    <x v="27"/>
    <n v="1713.3417048770118"/>
    <s v="Aaa"/>
    <n v="3.7000000000000002E-3"/>
    <n v="0"/>
    <n v="5.2299999999999999E-2"/>
    <n v="0"/>
    <n v="0.26500000000000001"/>
    <x v="8"/>
  </r>
  <r>
    <x v="28"/>
    <n v="1.9"/>
    <s v="B2"/>
    <s v="NA"/>
    <n v="6.4581924840476007E-2"/>
    <n v="0.13316053145045842"/>
    <n v="8.0860531450458406E-2"/>
    <n v="0"/>
    <x v="3"/>
  </r>
  <r>
    <x v="29"/>
    <n v="5.1418339133565327"/>
    <s v="Aa3"/>
    <s v="NA"/>
    <n v="7.0934245316588403E-3"/>
    <n v="6.1181402634722479E-2"/>
    <n v="8.8814026347224795E-3"/>
    <n v="0"/>
    <x v="5"/>
  </r>
  <r>
    <x v="30"/>
    <n v="298.23113353274857"/>
    <s v="A1"/>
    <n v="1.2699999999999999E-2"/>
    <n v="8.2580166189461131E-3"/>
    <n v="6.2639543365796316E-2"/>
    <n v="1.0339543365796322E-2"/>
    <n v="0.27"/>
    <x v="4"/>
  </r>
  <r>
    <x v="31"/>
    <n v="13608.151864637854"/>
    <s v="A1"/>
    <n v="8.0000000000000002E-3"/>
    <n v="8.2580166189461131E-3"/>
    <n v="6.2639543365796316E-2"/>
    <n v="1.0339543365796322E-2"/>
    <n v="0.25"/>
    <x v="7"/>
  </r>
  <r>
    <x v="32"/>
    <n v="331.04704008787752"/>
    <s v="Baa2"/>
    <n v="2.0199999999999999E-2"/>
    <n v="2.2338993674328587E-2"/>
    <n v="8.0269790386961845E-2"/>
    <n v="2.7969790386961842E-2"/>
    <n v="0.33"/>
    <x v="4"/>
  </r>
  <r>
    <x v="33"/>
    <n v="47.227535290921828"/>
    <s v="Caa1"/>
    <s v="NA"/>
    <n v="8.7979638594156681E-2"/>
    <n v="0.16245590432021467"/>
    <n v="0.11015590432021467"/>
    <n v="0.35"/>
    <x v="3"/>
  </r>
  <r>
    <x v="34"/>
    <n v="11.263682694039259"/>
    <s v="Caa2"/>
    <s v="NA"/>
    <n v="0.10566026391933617"/>
    <n v="0.18459313178288111"/>
    <n v="0.13229313178288113"/>
    <n v="0.3236"/>
    <x v="3"/>
  </r>
  <r>
    <x v="35"/>
    <n v="1.2"/>
    <s v="B1"/>
    <s v="NA"/>
    <n v="5.2830131959668084E-2"/>
    <n v="0.11844656589144056"/>
    <n v="6.6146565891440565E-2"/>
    <n v="0.2843"/>
    <x v="6"/>
  </r>
  <r>
    <x v="36"/>
    <n v="60.130106115629424"/>
    <s v="B2"/>
    <n v="5.6399999999999999E-2"/>
    <n v="6.4581924840476007E-2"/>
    <n v="0.13316053145045842"/>
    <n v="8.0860531450458406E-2"/>
    <n v="0.3"/>
    <x v="4"/>
  </r>
  <r>
    <x v="37"/>
    <n v="43.007047821754135"/>
    <s v="Ba3"/>
    <s v="NA"/>
    <n v="4.2242931166147427E-2"/>
    <n v="0.10519074106349657"/>
    <n v="5.2890741063496567E-2"/>
    <n v="0.25"/>
    <x v="3"/>
  </r>
  <r>
    <x v="38"/>
    <n v="60.971699315177574"/>
    <s v="Ba2"/>
    <n v="1.0800000000000001E-2"/>
    <n v="3.5255378642423785E-2"/>
    <n v="9.6441896677053524E-2"/>
    <n v="4.4141896677053517E-2"/>
    <n v="0.18"/>
    <x v="1"/>
  </r>
  <r>
    <x v="39"/>
    <n v="100.023"/>
    <s v="Caa2"/>
    <s v="NA"/>
    <n v="0.10566026391933617"/>
    <n v="0.18459313178288111"/>
    <n v="0.13229313178288113"/>
    <n v="0.27239999999999998"/>
    <x v="5"/>
  </r>
  <r>
    <x v="40"/>
    <n v="3.1279080378591844"/>
    <s v="Baa2"/>
    <s v="NA"/>
    <n v="2.2338993674328587E-2"/>
    <n v="8.0269790386961845E-2"/>
    <n v="2.7969790386961842E-2"/>
    <n v="0.22"/>
    <x v="5"/>
  </r>
  <r>
    <x v="41"/>
    <n v="24.961988663202643"/>
    <s v="Ba2"/>
    <n v="1.18E-2"/>
    <n v="3.5255378642423785E-2"/>
    <n v="9.6441896677053524E-2"/>
    <n v="4.4141896677053517E-2"/>
    <n v="0.125"/>
    <x v="2"/>
  </r>
  <r>
    <x v="42"/>
    <n v="245.22588290337018"/>
    <s v="Aa3"/>
    <n v="5.4999999999999997E-3"/>
    <n v="7.0934245316588403E-3"/>
    <n v="6.1181402634722479E-2"/>
    <n v="8.8814026347224795E-3"/>
    <n v="0.19"/>
    <x v="1"/>
  </r>
  <r>
    <x v="43"/>
    <n v="355.67532908595155"/>
    <s v="Aaa"/>
    <n v="2.0999999999999999E-3"/>
    <n v="0"/>
    <n v="5.2299999999999999E-2"/>
    <n v="0"/>
    <n v="0.22"/>
    <x v="2"/>
  </r>
  <r>
    <x v="44"/>
    <n v="85.555390387035516"/>
    <s v="Ba3"/>
    <s v="NA"/>
    <n v="4.2242931166147427E-2"/>
    <n v="0.10519074106349657"/>
    <n v="5.2890741063496567E-2"/>
    <n v="0.27"/>
    <x v="5"/>
  </r>
  <r>
    <x v="45"/>
    <n v="108.39805800000001"/>
    <s v="Caa3"/>
    <s v="NA"/>
    <n v="0.1173061847922089"/>
    <n v="0.19917453909361954"/>
    <n v="0.14687453909361955"/>
    <n v="0.25"/>
    <x v="4"/>
  </r>
  <r>
    <x v="46"/>
    <n v="250.89476035123232"/>
    <s v="B2"/>
    <n v="6.4000000000000001E-2"/>
    <n v="6.4581924840476007E-2"/>
    <n v="0.13316053145045842"/>
    <n v="8.0860531450458406E-2"/>
    <n v="0.22500000000000001"/>
    <x v="3"/>
  </r>
  <r>
    <x v="47"/>
    <n v="26.056999999999999"/>
    <s v="B3"/>
    <n v="8.43E-2"/>
    <n v="7.6333717721283945E-2"/>
    <n v="0.14787449700947625"/>
    <n v="9.5574497009476247E-2"/>
    <n v="0.3"/>
    <x v="4"/>
  </r>
  <r>
    <x v="48"/>
    <n v="30.732144528979521"/>
    <s v="A1"/>
    <n v="7.0000000000000001E-3"/>
    <n v="8.2580166189461131E-3"/>
    <n v="6.2639543365796316E-2"/>
    <n v="1.0339543365796322E-2"/>
    <n v="0.2"/>
    <x v="1"/>
  </r>
  <r>
    <x v="49"/>
    <n v="84.355604752529857"/>
    <s v="B2"/>
    <s v="NA"/>
    <n v="6.4581924840476007E-2"/>
    <n v="0.13316053145045842"/>
    <n v="8.0860531450458406E-2"/>
    <n v="0.3"/>
    <x v="3"/>
  </r>
  <r>
    <x v="50"/>
    <n v="5.5367596588701247"/>
    <s v="Ba3"/>
    <s v="NA"/>
    <n v="4.2242931166147427E-2"/>
    <n v="0.10519074106349657"/>
    <n v="5.2890741063496567E-2"/>
    <n v="0.2"/>
    <x v="7"/>
  </r>
  <r>
    <x v="51"/>
    <n v="276.74312051576396"/>
    <s v="Aa1"/>
    <n v="2.7000000000000001E-3"/>
    <n v="4.6583683491490885E-3"/>
    <n v="5.8132562924295361E-2"/>
    <n v="5.8325629242953593E-3"/>
    <n v="0.2"/>
    <x v="2"/>
  </r>
  <r>
    <x v="52"/>
    <n v="2777.5352392779751"/>
    <s v="Aa2"/>
    <n v="3.8E-3"/>
    <n v="5.8229604364363613E-3"/>
    <n v="5.9590703655369198E-2"/>
    <n v="7.2907036553691998E-3"/>
    <n v="0.31"/>
    <x v="2"/>
  </r>
  <r>
    <x v="53"/>
    <n v="16.853589311413938"/>
    <s v="Caa1"/>
    <s v="NA"/>
    <n v="8.7979638594156681E-2"/>
    <n v="0.16245590432021467"/>
    <n v="0.11015590432021467"/>
    <n v="0.3"/>
    <x v="3"/>
  </r>
  <r>
    <x v="54"/>
    <n v="17.599660629020164"/>
    <s v="Ba2"/>
    <s v="NA"/>
    <n v="3.5255378642423785E-2"/>
    <n v="9.6441896677053524E-2"/>
    <n v="4.4141896677053517E-2"/>
    <n v="0.15"/>
    <x v="1"/>
  </r>
  <r>
    <x v="55"/>
    <n v="3947.6201625029566"/>
    <s v="Aaa"/>
    <n v="2.5999999999999999E-3"/>
    <n v="0"/>
    <n v="5.2299999999999999E-2"/>
    <n v="0"/>
    <n v="0.3"/>
    <x v="2"/>
  </r>
  <r>
    <x v="56"/>
    <n v="65.55646404815387"/>
    <s v="B3"/>
    <s v="NA"/>
    <n v="7.6333717721283945E-2"/>
    <n v="0.14787449700947625"/>
    <n v="9.5574497009476247E-2"/>
    <n v="0.25"/>
    <x v="3"/>
  </r>
  <r>
    <x v="57"/>
    <n v="218.03184458399377"/>
    <s v="B1"/>
    <n v="1.9300000000000001E-2"/>
    <n v="5.2830131959668084E-2"/>
    <n v="0.11844656589144056"/>
    <n v="6.6146565891440565E-2"/>
    <n v="0.28000000000000003"/>
    <x v="2"/>
  </r>
  <r>
    <x v="58"/>
    <n v="78.460447919991495"/>
    <s v="Ba1"/>
    <s v="NA"/>
    <n v="2.9326546198052226E-2"/>
    <n v="8.9018634773404881E-2"/>
    <n v="3.6718634773404889E-2"/>
    <n v="0.25"/>
    <x v="4"/>
  </r>
  <r>
    <x v="59"/>
    <n v="0.5"/>
    <s v="Aa3"/>
    <s v="NA"/>
    <n v="7.0934245316588403E-3"/>
    <n v="6.1181402634722479E-2"/>
    <n v="8.8814026347224795E-3"/>
    <n v="0"/>
    <x v="2"/>
  </r>
  <r>
    <x v="60"/>
    <n v="23.969890430788155"/>
    <s v="B1"/>
    <s v="NA"/>
    <n v="5.2830131959668084E-2"/>
    <n v="0.11844656589144056"/>
    <n v="6.6146565891440565E-2"/>
    <n v="0.25"/>
    <x v="4"/>
  </r>
  <r>
    <x v="61"/>
    <n v="362.68201824328639"/>
    <s v="Aa3"/>
    <n v="7.6E-3"/>
    <n v="7.0934245316588403E-3"/>
    <n v="6.1181402634722479E-2"/>
    <n v="8.8814026347224795E-3"/>
    <n v="0.16500000000000001"/>
    <x v="7"/>
  </r>
  <r>
    <x v="62"/>
    <n v="157.88291277825391"/>
    <s v="Baa3"/>
    <n v="1.11E-2"/>
    <n v="2.5832769936190408E-2"/>
    <n v="8.464421258018337E-2"/>
    <n v="3.2344212580183364E-2"/>
    <n v="0.09"/>
    <x v="1"/>
  </r>
  <r>
    <x v="63"/>
    <n v="25.878475760113137"/>
    <s v="A2"/>
    <n v="9.7999999999999997E-3"/>
    <n v="9.9519687459094178E-3"/>
    <n v="6.4760475338267356E-2"/>
    <n v="1.2460475338267361E-2"/>
    <n v="0.2"/>
    <x v="2"/>
  </r>
  <r>
    <x v="64"/>
    <n v="2718.7322312575707"/>
    <s v="Baa3"/>
    <n v="1.6899999999999998E-2"/>
    <n v="2.5832769936190408E-2"/>
    <n v="8.464421258018337E-2"/>
    <n v="3.2344212580183364E-2"/>
    <n v="0.3"/>
    <x v="7"/>
  </r>
  <r>
    <x v="65"/>
    <n v="1042.1733006255529"/>
    <s v="Baa2"/>
    <n v="1.8700000000000001E-2"/>
    <n v="2.2338993674328587E-2"/>
    <n v="8.0269790386961845E-2"/>
    <n v="2.7969790386961842E-2"/>
    <n v="0.25"/>
    <x v="7"/>
  </r>
  <r>
    <x v="66"/>
    <n v="224.22801047788917"/>
    <s v="Caa1"/>
    <n v="8.5900000000000004E-2"/>
    <n v="8.7979638594156681E-2"/>
    <n v="0.16245590432021467"/>
    <n v="0.11015590432021467"/>
    <n v="0.15"/>
    <x v="0"/>
  </r>
  <r>
    <x v="67"/>
    <n v="382.48749053247872"/>
    <s v="A2"/>
    <n v="4.3E-3"/>
    <n v="9.9519687459094178E-3"/>
    <n v="6.4760475338267356E-2"/>
    <n v="1.2460475338267361E-2"/>
    <n v="0.125"/>
    <x v="2"/>
  </r>
  <r>
    <x v="68"/>
    <n v="6.7705328185328169"/>
    <s v="Aa2"/>
    <s v="NA"/>
    <n v="5.8229604364363613E-3"/>
    <n v="5.9590703655369198E-2"/>
    <n v="7.2907036553691998E-3"/>
    <n v="0"/>
    <x v="2"/>
  </r>
  <r>
    <x v="69"/>
    <n v="370.58797715358321"/>
    <s v="A1"/>
    <n v="8.6E-3"/>
    <n v="8.2580166189461131E-3"/>
    <n v="6.2639543365796316E-2"/>
    <n v="1.0339543365796322E-2"/>
    <n v="0.23"/>
    <x v="0"/>
  </r>
  <r>
    <x v="70"/>
    <n v="2083.8642596226487"/>
    <s v="Baa3"/>
    <n v="1.9699999999999999E-2"/>
    <n v="2.5832769936190408E-2"/>
    <n v="8.464421258018337E-2"/>
    <n v="3.2344212580183364E-2"/>
    <n v="0.24"/>
    <x v="2"/>
  </r>
  <r>
    <x v="71"/>
    <n v="15.713908816146317"/>
    <s v="B2"/>
    <s v="NA"/>
    <n v="6.4581924840476007E-2"/>
    <n v="0.13316053145045842"/>
    <n v="8.0860531450458406E-2"/>
    <n v="0.25"/>
    <x v="5"/>
  </r>
  <r>
    <x v="72"/>
    <n v="4971.3230797718697"/>
    <s v="A1"/>
    <n v="2.8999999999999998E-3"/>
    <n v="8.2580166189461131E-3"/>
    <n v="6.2639543365796316E-2"/>
    <n v="1.0339543365796322E-2"/>
    <n v="0.30620000000000003"/>
    <x v="7"/>
  </r>
  <r>
    <x v="73"/>
    <n v="1"/>
    <s v="Aa3"/>
    <s v="NA"/>
    <n v="7.0934245316588403E-3"/>
    <n v="6.1181402634722479E-2"/>
    <n v="8.8814026347224795E-3"/>
    <n v="0"/>
    <x v="2"/>
  </r>
  <r>
    <x v="74"/>
    <n v="42.23129577464789"/>
    <s v="B1"/>
    <s v="NA"/>
    <n v="5.2830131959668084E-2"/>
    <n v="0.11844656589144056"/>
    <n v="6.6146565891440565E-2"/>
    <n v="0.2"/>
    <x v="0"/>
  </r>
  <r>
    <x v="75"/>
    <n v="179.33999485938446"/>
    <s v="Baa3"/>
    <n v="1.5699999999999999E-2"/>
    <n v="2.5832769936190408E-2"/>
    <n v="8.464421258018337E-2"/>
    <n v="3.2344212580183364E-2"/>
    <n v="0.2"/>
    <x v="1"/>
  </r>
  <r>
    <x v="76"/>
    <n v="87.908262519916363"/>
    <s v="B2"/>
    <n v="6.2100000000000002E-2"/>
    <n v="6.4581924840476007E-2"/>
    <n v="0.13316053145045842"/>
    <n v="8.0860531450458406E-2"/>
    <n v="0.3"/>
    <x v="3"/>
  </r>
  <r>
    <x v="77"/>
    <n v="1619.42"/>
    <s v="Aa2"/>
    <n v="4.4999999999999997E-3"/>
    <n v="5.8229604364363613E-3"/>
    <n v="5.9590703655369198E-2"/>
    <n v="7.2907036553691998E-3"/>
    <n v="0.25"/>
    <x v="7"/>
  </r>
  <r>
    <x v="78"/>
    <n v="140.64536423841062"/>
    <s v="Aa2"/>
    <n v="1.14E-2"/>
    <n v="5.8229604364363613E-3"/>
    <n v="5.9590703655369198E-2"/>
    <n v="7.2907036553691998E-3"/>
    <n v="0.15"/>
    <x v="0"/>
  </r>
  <r>
    <x v="79"/>
    <n v="8.0928366087887476"/>
    <s v="B2"/>
    <s v="NA"/>
    <n v="6.4581924840476007E-2"/>
    <n v="0.13316053145045842"/>
    <n v="8.0860531450458406E-2"/>
    <n v="0.1"/>
    <x v="1"/>
  </r>
  <r>
    <x v="80"/>
    <n v="17.953786416143096"/>
    <s v="B3"/>
    <s v="NA"/>
    <n v="1.4080977055382476E-2"/>
    <n v="6.9930247021165515E-2"/>
    <n v="1.7630247021165522E-2"/>
    <n v="0.3019"/>
    <x v="7"/>
  </r>
  <r>
    <x v="81"/>
    <n v="34.409229177910504"/>
    <s v="A3"/>
    <n v="9.7000000000000003E-3"/>
    <n v="1.4080977055382476E-2"/>
    <n v="6.9930247021165515E-2"/>
    <n v="1.7630247021165522E-2"/>
    <n v="0.2"/>
    <x v="1"/>
  </r>
  <r>
    <x v="82"/>
    <n v="56.639155555555547"/>
    <s v="Ca"/>
    <s v="NA"/>
    <n v="0.14080977055382476"/>
    <n v="0.22860247021165525"/>
    <n v="0.17630247021165524"/>
    <n v="0.17"/>
    <x v="0"/>
  </r>
  <r>
    <x v="83"/>
    <n v="6.2146336513091125"/>
    <s v="Aaa"/>
    <s v="NA"/>
    <n v="0"/>
    <n v="5.2299999999999999E-2"/>
    <n v="0"/>
    <n v="0.125"/>
    <x v="2"/>
  </r>
  <r>
    <x v="84"/>
    <n v="53.429066429125086"/>
    <s v="A3"/>
    <n v="8.8999999999999999E-3"/>
    <n v="1.4080977055382476E-2"/>
    <n v="6.9930247021165515E-2"/>
    <n v="1.7630247021165522E-2"/>
    <n v="0.15"/>
    <x v="1"/>
  </r>
  <r>
    <x v="85"/>
    <n v="70.885325883094083"/>
    <s v="Aaa"/>
    <s v="NA"/>
    <n v="0"/>
    <n v="5.2299999999999999E-2"/>
    <n v="0"/>
    <n v="0.2601"/>
    <x v="2"/>
  </r>
  <r>
    <x v="86"/>
    <n v="55.084050789718177"/>
    <s v="Aa3"/>
    <s v="NA"/>
    <n v="7.0934245316588403E-3"/>
    <n v="6.1181402634722479E-2"/>
    <n v="8.8814026347224795E-3"/>
    <n v="0.12"/>
    <x v="7"/>
  </r>
  <r>
    <x v="87"/>
    <n v="12.67"/>
    <s v="Ba3"/>
    <s v="NA"/>
    <n v="4.2242931166147427E-2"/>
    <n v="0.10519074106349657"/>
    <n v="5.2890741063496567E-2"/>
    <n v="0.1"/>
    <x v="1"/>
  </r>
  <r>
    <x v="88"/>
    <n v="358.58194344625912"/>
    <s v="A3"/>
    <n v="1.11E-2"/>
    <n v="1.4080977055382476E-2"/>
    <n v="6.9930247021165515E-2"/>
    <n v="1.7630247021165522E-2"/>
    <n v="0.24"/>
    <x v="7"/>
  </r>
  <r>
    <x v="89"/>
    <n v="5.3274571497258103"/>
    <s v="B3"/>
    <s v="NA"/>
    <n v="7.6333717721283945E-2"/>
    <n v="0.14787449700947625"/>
    <n v="9.5574497009476247E-2"/>
    <n v="0.3019"/>
    <x v="7"/>
  </r>
  <r>
    <x v="90"/>
    <n v="17.163432832095715"/>
    <s v="B3"/>
    <s v="NA"/>
    <n v="7.6333717721283945E-2"/>
    <n v="0.14787449700947625"/>
    <n v="9.5574497009476247E-2"/>
    <n v="0.28239999999999998"/>
    <x v="3"/>
  </r>
  <r>
    <x v="91"/>
    <n v="14.553422928883089"/>
    <s v="A2"/>
    <s v="NA"/>
    <n v="9.9519687459094178E-3"/>
    <n v="6.4760475338267356E-2"/>
    <n v="1.2460475338267361E-2"/>
    <n v="0.35"/>
    <x v="2"/>
  </r>
  <r>
    <x v="92"/>
    <n v="14.220348672733275"/>
    <s v="Baa1"/>
    <s v="NA"/>
    <n v="1.8739345404531565E-2"/>
    <n v="7.5762809945460891E-2"/>
    <n v="2.3462809945460884E-2"/>
    <n v="0.15"/>
    <x v="7"/>
  </r>
  <r>
    <x v="93"/>
    <n v="1220.6994798459802"/>
    <s v="Baa1"/>
    <n v="2.0299999999999999E-2"/>
    <n v="1.8739345404531565E-2"/>
    <n v="7.5762809945460891E-2"/>
    <n v="2.3462809945460884E-2"/>
    <n v="0.3"/>
    <x v="4"/>
  </r>
  <r>
    <x v="94"/>
    <n v="11.443671435902417"/>
    <s v="B3"/>
    <s v="NA"/>
    <n v="7.6333717721283945E-2"/>
    <n v="0.14787449700947625"/>
    <n v="9.5574497009476247E-2"/>
    <n v="0.12"/>
    <x v="1"/>
  </r>
  <r>
    <x v="95"/>
    <n v="13.066749138326108"/>
    <s v="B3"/>
    <s v="NA"/>
    <n v="7.6333717721283945E-2"/>
    <n v="0.14787449700947625"/>
    <n v="9.5574497009476247E-2"/>
    <n v="0.25"/>
    <x v="7"/>
  </r>
  <r>
    <x v="96"/>
    <n v="5.5041666666666673"/>
    <s v="B1"/>
    <s v="NA"/>
    <n v="5.2830131959668084E-2"/>
    <n v="0.11844656589144056"/>
    <n v="6.6146565891440565E-2"/>
    <n v="0.09"/>
    <x v="1"/>
  </r>
  <r>
    <x v="97"/>
    <n v="1.5"/>
    <s v="Baa3"/>
    <s v="NA"/>
    <n v="2.5832769936190408E-2"/>
    <n v="8.464421258018337E-2"/>
    <n v="3.2344212580183364E-2"/>
    <n v="0.27239999999999998"/>
    <x v="5"/>
  </r>
  <r>
    <x v="98"/>
    <n v="117.92139440236093"/>
    <s v="Ba1"/>
    <n v="1.77E-2"/>
    <n v="2.9326546198052226E-2"/>
    <n v="8.9018634773404881E-2"/>
    <n v="3.6718634773404889E-2"/>
    <n v="0.31"/>
    <x v="3"/>
  </r>
  <r>
    <x v="99"/>
    <n v="14.717223206900039"/>
    <s v="Caa2"/>
    <s v="NA"/>
    <n v="0.10566026391933617"/>
    <n v="0.18459313178288111"/>
    <n v="0.13229313178288113"/>
    <n v="0.32"/>
    <x v="3"/>
  </r>
  <r>
    <x v="100"/>
    <n v="14.521711633953341"/>
    <s v="Ba2"/>
    <s v="NA"/>
    <n v="3.5255378642423785E-2"/>
    <n v="9.6441896677053524E-2"/>
    <n v="4.4141896677053517E-2"/>
    <n v="0.32"/>
    <x v="3"/>
  </r>
  <r>
    <x v="101"/>
    <n v="913.65846570912493"/>
    <s v="Aaa"/>
    <n v="2.2000000000000001E-3"/>
    <n v="0"/>
    <n v="5.2299999999999999E-2"/>
    <n v="0"/>
    <n v="0.25"/>
    <x v="2"/>
  </r>
  <r>
    <x v="102"/>
    <n v="204.92391786935485"/>
    <s v="Aaa"/>
    <n v="3.3999999999999998E-3"/>
    <n v="0"/>
    <n v="5.2299999999999999E-2"/>
    <n v="0"/>
    <n v="0.28000000000000003"/>
    <x v="6"/>
  </r>
  <r>
    <x v="103"/>
    <n v="13.117845416629692"/>
    <s v="B3"/>
    <s v="NA"/>
    <n v="7.6333717721283945E-2"/>
    <n v="0.14787449700947625"/>
    <n v="9.5574497009476247E-2"/>
    <n v="0.3"/>
    <x v="4"/>
  </r>
  <r>
    <x v="104"/>
    <n v="9.2909384572883038"/>
    <s v="B3"/>
    <s v="NA"/>
    <n v="7.6333717721283945E-2"/>
    <n v="0.14787449700947625"/>
    <n v="9.5574497009476247E-2"/>
    <n v="0.3236"/>
    <x v="3"/>
  </r>
  <r>
    <x v="105"/>
    <n v="397.26961608090772"/>
    <s v="B2"/>
    <n v="6.3200000000000006E-2"/>
    <n v="6.4581924840476007E-2"/>
    <n v="0.13316053145045842"/>
    <n v="8.0860531450458406E-2"/>
    <n v="0.3"/>
    <x v="3"/>
  </r>
  <r>
    <x v="106"/>
    <n v="434.16661543190901"/>
    <s v="Aaa"/>
    <n v="2.5000000000000001E-3"/>
    <n v="0"/>
    <n v="5.2299999999999999E-2"/>
    <n v="0"/>
    <n v="0.22"/>
    <x v="2"/>
  </r>
  <r>
    <x v="107"/>
    <n v="79.27672301690508"/>
    <s v="Ba3"/>
    <n v="5.0999999999999997E-2"/>
    <n v="4.2242931166147427E-2"/>
    <n v="0.10519074106349657"/>
    <n v="5.2890741063496567E-2"/>
    <n v="0.15"/>
    <x v="0"/>
  </r>
  <r>
    <x v="108"/>
    <n v="314.58821050106275"/>
    <s v="B3"/>
    <n v="5.6399999999999999E-2"/>
    <n v="7.6333717721283945E-2"/>
    <n v="0.14787449700947625"/>
    <n v="9.5574497009476247E-2"/>
    <n v="0.3"/>
    <x v="7"/>
  </r>
  <r>
    <x v="109"/>
    <n v="65.055099999999996"/>
    <s v="Baa1"/>
    <n v="1.5100000000000001E-2"/>
    <n v="1.8739345404531565E-2"/>
    <n v="7.5762809945460891E-2"/>
    <n v="2.3462809945460884E-2"/>
    <n v="0.25"/>
    <x v="4"/>
  </r>
  <r>
    <x v="110"/>
    <n v="23.497607690117839"/>
    <s v="B2"/>
    <s v="NA"/>
    <n v="6.4581924840476007E-2"/>
    <n v="0.13316053145045842"/>
    <n v="8.0860531450458406E-2"/>
    <n v="0.3"/>
    <x v="7"/>
  </r>
  <r>
    <x v="111"/>
    <n v="40.496953779070957"/>
    <s v="Ba1"/>
    <s v="NA"/>
    <n v="2.9326546198052226E-2"/>
    <n v="8.9018634773404881E-2"/>
    <n v="3.6718634773404889E-2"/>
    <n v="0.1"/>
    <x v="4"/>
  </r>
  <r>
    <x v="112"/>
    <n v="222.04497048621676"/>
    <s v="A3"/>
    <n v="1.3100000000000001E-2"/>
    <n v="1.4080977055382476E-2"/>
    <n v="6.9930247021165515E-2"/>
    <n v="1.7630247021165522E-2"/>
    <n v="0.29499999999999998"/>
    <x v="4"/>
  </r>
  <r>
    <x v="113"/>
    <n v="330.91034361095603"/>
    <s v="Baa2"/>
    <n v="9.9000000000000008E-3"/>
    <n v="2.2338993674328587E-2"/>
    <n v="8.0269790386961845E-2"/>
    <n v="2.7969790386961842E-2"/>
    <n v="0.3"/>
    <x v="7"/>
  </r>
  <r>
    <x v="114"/>
    <n v="585.66381482404404"/>
    <s v="A2"/>
    <n v="8.9999999999999993E-3"/>
    <n v="9.9519687459094178E-3"/>
    <n v="6.4760475338267356E-2"/>
    <n v="1.2460475338267361E-2"/>
    <n v="0.19"/>
    <x v="1"/>
  </r>
  <r>
    <x v="115"/>
    <n v="240.67452446424036"/>
    <s v="Baa3"/>
    <n v="9.1999999999999998E-3"/>
    <n v="2.5832769936190408E-2"/>
    <n v="8.464421258018337E-2"/>
    <n v="3.2344212580183364E-2"/>
    <n v="0.21"/>
    <x v="2"/>
  </r>
  <r>
    <x v="116"/>
    <n v="191.3620879120879"/>
    <s v="Aa3"/>
    <n v="9.7999999999999997E-3"/>
    <n v="7.0934245316588403E-3"/>
    <n v="6.1181402634722479E-2"/>
    <n v="8.8814026347224795E-3"/>
    <n v="0.1"/>
    <x v="0"/>
  </r>
  <r>
    <x v="117"/>
    <n v="5.2"/>
    <s v="A2"/>
    <s v="NA"/>
    <n v="9.9519687459094178E-3"/>
    <n v="6.4760475338267356E-2"/>
    <n v="1.2460475338267361E-2"/>
    <n v="0"/>
    <x v="0"/>
  </r>
  <r>
    <x v="118"/>
    <n v="239.55251674446922"/>
    <s v="Baa3"/>
    <n v="1.8700000000000001E-2"/>
    <n v="2.5832769936190408E-2"/>
    <n v="8.464421258018337E-2"/>
    <n v="3.2344212580183364E-2"/>
    <n v="0.16"/>
    <x v="1"/>
  </r>
  <r>
    <x v="119"/>
    <n v="1657.5546471498735"/>
    <s v="Baa3"/>
    <n v="1.52E-2"/>
    <n v="2.5832769936190408E-2"/>
    <n v="8.464421258018337E-2"/>
    <n v="3.2344212580183364E-2"/>
    <n v="0.2"/>
    <x v="1"/>
  </r>
  <r>
    <x v="120"/>
    <n v="9.5087155964368009"/>
    <s v="B2"/>
    <n v="6.9599999999999995E-2"/>
    <n v="6.4581924840476007E-2"/>
    <n v="0.13316053145045842"/>
    <n v="8.0860531450458406E-2"/>
    <n v="0.3"/>
    <x v="3"/>
  </r>
  <r>
    <x v="121"/>
    <n v="786.52183157195725"/>
    <s v="A1"/>
    <n v="1.34E-2"/>
    <n v="8.2580166189461131E-3"/>
    <n v="6.2639543365796316E-2"/>
    <n v="1.0339543365796322E-2"/>
    <n v="0.2"/>
    <x v="0"/>
  </r>
  <r>
    <x v="122"/>
    <n v="24.129599551786896"/>
    <s v="Ba3"/>
    <n v="4.9099999999999998E-2"/>
    <n v="4.2242931166147427E-2"/>
    <n v="0.10519074106349657"/>
    <n v="5.2890741063496567E-2"/>
    <n v="0.3"/>
    <x v="3"/>
  </r>
  <r>
    <x v="123"/>
    <n v="50.597289146704128"/>
    <s v="Ba3"/>
    <n v="1.5800000000000002E-2"/>
    <n v="4.2242931166147427E-2"/>
    <n v="0.10519074106349657"/>
    <n v="5.2890741063496567E-2"/>
    <n v="0.15"/>
    <x v="1"/>
  </r>
  <r>
    <x v="124"/>
    <n v="5"/>
    <s v="Baa2"/>
    <s v="NA"/>
    <n v="2.2338993674328587E-2"/>
    <n v="8.0269790386961845E-2"/>
    <n v="2.7969790386961842E-2"/>
    <n v="0"/>
    <x v="0"/>
  </r>
  <r>
    <x v="125"/>
    <n v="364.15665776986953"/>
    <s v="Aaa"/>
    <s v="NA"/>
    <n v="0"/>
    <n v="5.2299999999999999E-2"/>
    <n v="0"/>
    <n v="0.17"/>
    <x v="7"/>
  </r>
  <r>
    <x v="126"/>
    <n v="105.90463215575471"/>
    <s v="A2"/>
    <n v="7.7999999999999996E-3"/>
    <n v="9.9519687459094178E-3"/>
    <n v="6.4760475338267356E-2"/>
    <n v="1.2460475338267361E-2"/>
    <n v="0.21"/>
    <x v="1"/>
  </r>
  <r>
    <x v="127"/>
    <n v="54.007972106462852"/>
    <s v="Baa1"/>
    <n v="1.1599999999999999E-2"/>
    <n v="1.8739345404531565E-2"/>
    <n v="7.5762809945460891E-2"/>
    <n v="2.3462809945460884E-2"/>
    <n v="0.19"/>
    <x v="1"/>
  </r>
  <r>
    <x v="128"/>
    <n v="1.395608472013254"/>
    <s v="B3"/>
    <s v="NA"/>
    <n v="7.6333717721283945E-2"/>
    <n v="0.14787449700947625"/>
    <n v="9.5574497009476247E-2"/>
    <n v="0.3"/>
    <x v="7"/>
  </r>
  <r>
    <x v="129"/>
    <n v="368.28893976832228"/>
    <s v="Ba1"/>
    <n v="3.4500000000000003E-2"/>
    <n v="2.9326546198052226E-2"/>
    <n v="8.9018634773404881E-2"/>
    <n v="3.6718634773404889E-2"/>
    <n v="0.28000000000000003"/>
    <x v="3"/>
  </r>
  <r>
    <x v="130"/>
    <n v="1419.0419499098234"/>
    <s v="Baa1"/>
    <n v="1.0500000000000001E-2"/>
    <n v="1.8739345404531565E-2"/>
    <n v="7.5762809945460891E-2"/>
    <n v="2.3462809945460884E-2"/>
    <n v="0.25"/>
    <x v="2"/>
  </r>
  <r>
    <x v="131"/>
    <n v="88.900770857635052"/>
    <s v="B2"/>
    <s v="NA"/>
    <n v="6.4581924840476007E-2"/>
    <n v="0.13316053145045842"/>
    <n v="8.0860531450458406E-2"/>
    <n v="0.28000000000000003"/>
    <x v="7"/>
  </r>
  <r>
    <x v="132"/>
    <n v="1.5"/>
    <s v="Baa3"/>
    <s v="NA"/>
    <n v="2.5832769936190408E-2"/>
    <n v="8.464421258018337E-2"/>
    <n v="3.2344212580183364E-2"/>
    <n v="0.35"/>
    <x v="5"/>
  </r>
  <r>
    <x v="133"/>
    <n v="0.92"/>
    <s v="B3"/>
    <s v="NA"/>
    <n v="7.6333717721283945E-2"/>
    <n v="0.14787449700947625"/>
    <n v="9.5574497009476247E-2"/>
    <n v="0.3"/>
    <x v="5"/>
  </r>
  <r>
    <x v="134"/>
    <n v="3.590753768844221"/>
    <s v="B3"/>
    <s v="NA"/>
    <n v="7.6333717721283945E-2"/>
    <n v="0.14787449700947625"/>
    <n v="9.5574497009476247E-2"/>
    <n v="0.36"/>
    <x v="4"/>
  </r>
  <r>
    <x v="135"/>
    <n v="4.71"/>
    <s v="B2"/>
    <s v="NA"/>
    <n v="6.4581924840476007E-2"/>
    <n v="0.13316053145045842"/>
    <n v="8.0860531450458406E-2"/>
    <n v="0.27500000000000002"/>
    <x v="3"/>
  </r>
  <r>
    <x v="136"/>
    <n v="556.08648893655879"/>
    <s v="Aaa"/>
    <n v="2.3E-3"/>
    <n v="0"/>
    <n v="5.2299999999999999E-2"/>
    <n v="0"/>
    <n v="0.214"/>
    <x v="2"/>
  </r>
  <r>
    <x v="137"/>
    <n v="705.14035416631191"/>
    <s v="Aaa"/>
    <n v="2E-3"/>
    <n v="0"/>
    <n v="5.2299999999999999E-2"/>
    <n v="0"/>
    <n v="0.18"/>
    <x v="2"/>
  </r>
  <r>
    <x v="138"/>
    <n v="646"/>
    <s v="Aa3"/>
    <s v="NA"/>
    <n v="7.0934245316588403E-3"/>
    <n v="6.1181402634722479E-2"/>
    <n v="8.8814026347224795E-3"/>
    <n v="0.2"/>
    <x v="7"/>
  </r>
  <r>
    <x v="139"/>
    <n v="7.522947810123263"/>
    <s v="B3"/>
    <s v="NA"/>
    <n v="7.6333717721283945E-2"/>
    <n v="0.14787449700947625"/>
    <n v="9.5574497009476247E-2"/>
    <n v="0.3019"/>
    <x v="1"/>
  </r>
  <r>
    <x v="140"/>
    <n v="58.001200572396456"/>
    <s v="B1"/>
    <s v="NA"/>
    <n v="5.2830131959668084E-2"/>
    <n v="0.11844656589144056"/>
    <n v="6.6146565891440565E-2"/>
    <n v="0.3"/>
    <x v="3"/>
  </r>
  <r>
    <x v="141"/>
    <n v="504.99275770499713"/>
    <s v="Baa1"/>
    <n v="7.3000000000000001E-3"/>
    <n v="1.8739345404531565E-2"/>
    <n v="7.5762809945460891E-2"/>
    <n v="2.3462809945460884E-2"/>
    <n v="0.2"/>
    <x v="7"/>
  </r>
  <r>
    <x v="142"/>
    <n v="5.3587229827089331"/>
    <s v="B3"/>
    <s v="NA"/>
    <n v="7.6333717721283945E-2"/>
    <n v="0.14787449700947625"/>
    <n v="9.5574497009476247E-2"/>
    <n v="0.3236"/>
    <x v="3"/>
  </r>
  <r>
    <x v="143"/>
    <n v="23.808146747799373"/>
    <s v="Ba1"/>
    <s v="NA"/>
    <n v="2.9326546198052226E-2"/>
    <n v="8.9018634773404881E-2"/>
    <n v="3.6718634773404889E-2"/>
    <n v="0.25"/>
    <x v="5"/>
  </r>
  <r>
    <x v="144"/>
    <n v="39.871132267936076"/>
    <s v="B2"/>
    <n v="8.3400000000000002E-2"/>
    <n v="6.4581924840476007E-2"/>
    <n v="0.13316053145045842"/>
    <n v="8.0860531450458406E-2"/>
    <n v="0.25"/>
    <x v="3"/>
  </r>
  <r>
    <x v="145"/>
    <n v="771.35033045526677"/>
    <s v="B1"/>
    <n v="4.8399999999999999E-2"/>
    <n v="5.2830131959668084E-2"/>
    <n v="0.11844656589144056"/>
    <n v="6.6146565891440565E-2"/>
    <n v="0.22"/>
    <x v="2"/>
  </r>
  <r>
    <x v="146"/>
    <n v="1.02231201"/>
    <s v="Baa1"/>
    <s v="NA"/>
    <n v="1.8739345404531565E-2"/>
    <n v="7.5762809945460891E-2"/>
    <n v="2.3462809945460884E-2"/>
    <n v="0"/>
    <x v="5"/>
  </r>
  <r>
    <x v="147"/>
    <n v="27.461440192354868"/>
    <s v="B2"/>
    <s v="NA"/>
    <n v="6.4581924840476007E-2"/>
    <n v="0.13316053145045842"/>
    <n v="8.0860531450458406E-2"/>
    <n v="0.3"/>
    <x v="3"/>
  </r>
  <r>
    <x v="148"/>
    <n v="130.83237440488224"/>
    <s v="B3"/>
    <n v="5.6500000000000002E-2"/>
    <n v="7.6333717721283945E-2"/>
    <n v="0.14787449700947625"/>
    <n v="9.5574497009476247E-2"/>
    <n v="0.18"/>
    <x v="1"/>
  </r>
  <r>
    <x v="149"/>
    <n v="414.1789425924793"/>
    <s v="Aa2"/>
    <s v="NA"/>
    <n v="5.8229604364363613E-3"/>
    <n v="5.9590703655369198E-2"/>
    <n v="7.2907036553691998E-3"/>
    <n v="0.55000000000000004"/>
    <x v="0"/>
  </r>
  <r>
    <x v="150"/>
    <n v="2855.2967315219639"/>
    <s v="Aa2"/>
    <n v="4.1999999999999997E-3"/>
    <n v="5.8229604364363613E-3"/>
    <n v="5.9590703655369198E-2"/>
    <n v="7.2907036553691998E-3"/>
    <n v="0.19"/>
    <x v="2"/>
  </r>
  <r>
    <x v="151"/>
    <n v="20544.343456936502"/>
    <s v="Aaa"/>
    <n v="2.5999999999999999E-3"/>
    <n v="0"/>
    <n v="5.2299999999999999E-2"/>
    <n v="0"/>
    <n v="0.25"/>
    <x v="8"/>
  </r>
  <r>
    <x v="152"/>
    <n v="59.596885024348659"/>
    <s v="Baa2"/>
    <n v="1.43E-2"/>
    <n v="2.2338993674328587E-2"/>
    <n v="8.0269790386961845E-2"/>
    <n v="2.7969790386961842E-2"/>
    <n v="0.25"/>
    <x v="4"/>
  </r>
  <r>
    <x v="153"/>
    <n v="50.499921557510454"/>
    <s v="B1"/>
    <s v="NA"/>
    <n v="5.2830131959668084E-2"/>
    <n v="0.11844656589144056"/>
    <n v="6.6146565891440565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6"/>
        <item m="1" x="155"/>
        <item m="1" x="154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3" dataDxfId="21" headerRowBorderDxfId="22" tableBorderDxfId="20" totalsRowBorderDxfId="19">
  <autoFilter ref="A7:I160" xr:uid="{00000000-0009-0000-0100-000001000000}"/>
  <tableColumns count="9">
    <tableColumn id="1" xr3:uid="{00000000-0010-0000-0000-000001000000}" name="Country" dataDxfId="18"/>
    <tableColumn id="2" xr3:uid="{00000000-0010-0000-0000-000002000000}" name="Africa" dataDxfId="17"/>
    <tableColumn id="3" xr3:uid="{00000000-0010-0000-0000-000003000000}" name="Moody's rating" dataDxfId="16"/>
    <tableColumn id="4" xr3:uid="{00000000-0010-0000-0000-000004000000}" name="Rating-based Default Spread" dataDxfId="15" dataCellStyle="Percent"/>
    <tableColumn id="5" xr3:uid="{00000000-0010-0000-0000-000005000000}" name="Total Equity Risk Premium" dataDxfId="14" dataCellStyle="Percent"/>
    <tableColumn id="6" xr3:uid="{00000000-0010-0000-0000-000006000000}" name="Country Risk Premium" dataDxfId="13"/>
    <tableColumn id="7" xr3:uid="{00000000-0010-0000-0000-000007000000}" name="Sovereign CDS, net of US" dataDxfId="12"/>
    <tableColumn id="8" xr3:uid="{00000000-0010-0000-0000-000008000000}" name="Total Equity Risk Premium2" dataDxfId="11"/>
    <tableColumn id="9" xr3:uid="{00000000-0010-0000-0000-000009000000}" name="Country Risk Premium3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9" tableBorderDxfId="8">
  <autoFilter ref="A166:E186" xr:uid="{00000000-0009-0000-0100-000002000000}"/>
  <tableColumns count="5">
    <tableColumn id="1" xr3:uid="{00000000-0010-0000-0100-000001000000}" name="Country" dataDxfId="7"/>
    <tableColumn id="2" xr3:uid="{00000000-0010-0000-0100-000002000000}" name="PRS Composite Risk Score" dataDxfId="6"/>
    <tableColumn id="3" xr3:uid="{00000000-0010-0000-0100-000003000000}" name="ERP" dataDxfId="5" dataCellStyle="Percent"/>
    <tableColumn id="4" xr3:uid="{00000000-0010-0000-0100-000004000000}" name="CRP" dataDxfId="4" dataCellStyle="Percent"/>
    <tableColumn id="5" xr3:uid="{00000000-0010-0000-0100-000005000000}" name="Default Spread" dataDxfId="3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E28" sqref="E28"/>
    </sheetView>
  </sheetViews>
  <sheetFormatPr baseColWidth="10" defaultRowHeight="12"/>
  <cols>
    <col min="1" max="1" width="24.6640625" customWidth="1"/>
  </cols>
  <sheetData>
    <row r="1" spans="1:4" s="47" customFormat="1" ht="16">
      <c r="A1" s="36" t="s">
        <v>150</v>
      </c>
    </row>
    <row r="2" spans="1:4" s="47" customFormat="1" ht="16">
      <c r="A2" s="47" t="s">
        <v>151</v>
      </c>
    </row>
    <row r="3" spans="1:4" s="47" customFormat="1" ht="16">
      <c r="A3" s="47" t="s">
        <v>269</v>
      </c>
    </row>
    <row r="4" spans="1:4" s="47" customFormat="1" ht="16"/>
    <row r="5" spans="1:4" s="73" customFormat="1" ht="16">
      <c r="A5" s="84" t="s">
        <v>152</v>
      </c>
    </row>
    <row r="6" spans="1:4" s="47" customFormat="1" ht="16">
      <c r="A6" s="47" t="s">
        <v>153</v>
      </c>
    </row>
    <row r="7" spans="1:4" s="47" customFormat="1" ht="16">
      <c r="A7" s="47" t="s">
        <v>155</v>
      </c>
      <c r="B7" s="85" t="s">
        <v>154</v>
      </c>
    </row>
    <row r="8" spans="1:4" s="47" customFormat="1" ht="16">
      <c r="A8" s="47" t="s">
        <v>156</v>
      </c>
      <c r="B8" s="85" t="s">
        <v>157</v>
      </c>
    </row>
    <row r="9" spans="1:4" s="47" customFormat="1" ht="16"/>
    <row r="10" spans="1:4" s="73" customFormat="1" ht="16">
      <c r="A10" s="84" t="s">
        <v>158</v>
      </c>
    </row>
    <row r="11" spans="1:4" s="47" customFormat="1" ht="16">
      <c r="A11" s="47" t="s">
        <v>159</v>
      </c>
      <c r="B11" s="85" t="s">
        <v>163</v>
      </c>
      <c r="D11" s="47" t="s">
        <v>164</v>
      </c>
    </row>
    <row r="12" spans="1:4" s="47" customFormat="1" ht="16">
      <c r="A12" s="47" t="s">
        <v>160</v>
      </c>
      <c r="B12" s="47" t="s">
        <v>165</v>
      </c>
    </row>
    <row r="13" spans="1:4" s="47" customFormat="1" ht="16">
      <c r="A13" s="47" t="s">
        <v>161</v>
      </c>
      <c r="B13" s="47" t="s">
        <v>162</v>
      </c>
    </row>
    <row r="14" spans="1:4" s="47" customFormat="1" ht="16">
      <c r="A14" s="87" t="s">
        <v>342</v>
      </c>
    </row>
    <row r="15" spans="1:4" s="47" customFormat="1" ht="16">
      <c r="A15" s="1"/>
    </row>
    <row r="16" spans="1:4" s="73" customFormat="1" ht="16">
      <c r="A16" s="84" t="s">
        <v>166</v>
      </c>
    </row>
    <row r="17" spans="1:9" s="73" customFormat="1" ht="16">
      <c r="A17" s="73" t="s">
        <v>194</v>
      </c>
    </row>
    <row r="18" spans="1:9" s="47" customFormat="1" ht="16">
      <c r="A18" s="47" t="s">
        <v>304</v>
      </c>
    </row>
    <row r="19" spans="1:9" s="47" customFormat="1" ht="16">
      <c r="A19" s="107" t="s">
        <v>391</v>
      </c>
    </row>
    <row r="20" spans="1:9" s="47" customFormat="1" ht="16">
      <c r="A20" s="47" t="s">
        <v>390</v>
      </c>
    </row>
    <row r="21" spans="1:9" s="73" customFormat="1" ht="16">
      <c r="A21" s="73" t="s">
        <v>195</v>
      </c>
    </row>
    <row r="22" spans="1:9" s="47" customFormat="1" ht="16">
      <c r="A22" s="47" t="s">
        <v>305</v>
      </c>
    </row>
    <row r="23" spans="1:9" s="47" customFormat="1" ht="16">
      <c r="A23" s="47" t="s">
        <v>562</v>
      </c>
    </row>
    <row r="24" spans="1:9" s="47" customFormat="1" ht="16">
      <c r="A24" s="107" t="s">
        <v>554</v>
      </c>
    </row>
    <row r="25" spans="1:9" s="47" customFormat="1" ht="16">
      <c r="A25" s="47" t="s">
        <v>251</v>
      </c>
    </row>
    <row r="26" spans="1:9" s="47" customFormat="1" ht="16"/>
    <row r="27" spans="1:9" s="73" customFormat="1" ht="16">
      <c r="A27" s="84" t="s">
        <v>247</v>
      </c>
    </row>
    <row r="28" spans="1:9" s="47" customFormat="1" ht="16">
      <c r="A28" s="47" t="s">
        <v>167</v>
      </c>
    </row>
    <row r="29" spans="1:9" s="47" customFormat="1" ht="16"/>
    <row r="30" spans="1:9" s="84" customFormat="1" ht="16">
      <c r="A30" s="84" t="s">
        <v>248</v>
      </c>
    </row>
    <row r="31" spans="1:9" s="47" customFormat="1" ht="16">
      <c r="A31" s="47" t="s">
        <v>249</v>
      </c>
    </row>
    <row r="32" spans="1:9" s="47" customFormat="1" ht="16">
      <c r="A32" s="47" t="s">
        <v>250</v>
      </c>
      <c r="I32" s="85" t="s">
        <v>395</v>
      </c>
    </row>
    <row r="33" spans="1:12" s="47" customFormat="1" ht="16"/>
    <row r="34" spans="1:12" s="47" customFormat="1" ht="16">
      <c r="A34" s="47" t="s">
        <v>168</v>
      </c>
    </row>
    <row r="35" spans="1:12" s="47" customFormat="1" ht="22" customHeight="1">
      <c r="A35" s="73" t="s">
        <v>169</v>
      </c>
      <c r="E35" s="266" t="s">
        <v>576</v>
      </c>
      <c r="F35" s="267"/>
      <c r="G35" s="267"/>
      <c r="H35" s="267"/>
      <c r="I35" s="267"/>
      <c r="J35" s="267"/>
      <c r="K35" s="267"/>
      <c r="L35" s="267"/>
    </row>
    <row r="36" spans="1:12" s="47" customFormat="1" ht="16">
      <c r="A36" s="73" t="s">
        <v>560</v>
      </c>
      <c r="E36" s="85" t="s">
        <v>561</v>
      </c>
    </row>
    <row r="37" spans="1:12" s="47" customFormat="1" ht="16">
      <c r="A37" s="73" t="s">
        <v>170</v>
      </c>
      <c r="E37" s="85" t="s">
        <v>555</v>
      </c>
    </row>
    <row r="38" spans="1:12" s="47" customFormat="1" ht="16">
      <c r="E38" s="85" t="s">
        <v>556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2"/>
  <sheetViews>
    <sheetView workbookViewId="0">
      <selection sqref="A1:C21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59"/>
  </cols>
  <sheetData>
    <row r="1" spans="1:12" ht="34">
      <c r="A1" s="20" t="s">
        <v>39</v>
      </c>
      <c r="B1" s="17" t="s">
        <v>603</v>
      </c>
      <c r="C1" s="17" t="s">
        <v>604</v>
      </c>
      <c r="E1" s="80" t="s">
        <v>75</v>
      </c>
      <c r="F1" s="81" t="s">
        <v>271</v>
      </c>
      <c r="G1" s="160" t="s">
        <v>577</v>
      </c>
      <c r="H1" s="177" t="s">
        <v>602</v>
      </c>
      <c r="I1" s="81" t="s">
        <v>471</v>
      </c>
      <c r="K1" s="80" t="s">
        <v>75</v>
      </c>
      <c r="L1" s="177">
        <v>42551</v>
      </c>
    </row>
    <row r="2" spans="1:12" ht="16">
      <c r="A2" s="5" t="s">
        <v>41</v>
      </c>
      <c r="B2" s="92">
        <v>104.34613130570297</v>
      </c>
      <c r="C2" s="92">
        <f t="shared" ref="C2:C21" si="0">B2*(1+$I$81)</f>
        <v>82.580166189461139</v>
      </c>
      <c r="E2" s="55" t="s">
        <v>272</v>
      </c>
      <c r="F2" s="70" t="s">
        <v>45</v>
      </c>
      <c r="G2" s="57">
        <v>1.5965E-2</v>
      </c>
      <c r="H2" s="57">
        <v>9.7000000000000003E-3</v>
      </c>
      <c r="I2" s="86">
        <f t="shared" ref="I2:I63" si="1">IF(H2="NA","NA",H2/G2-1)</f>
        <v>-0.39242092076417157</v>
      </c>
      <c r="K2" s="55" t="s">
        <v>272</v>
      </c>
      <c r="L2" s="57">
        <v>9.7000000000000003E-3</v>
      </c>
    </row>
    <row r="3" spans="1:12" ht="16">
      <c r="A3" s="5" t="s">
        <v>42</v>
      </c>
      <c r="B3" s="92">
        <v>125.75046593251382</v>
      </c>
      <c r="C3" s="92">
        <f t="shared" si="0"/>
        <v>99.519687459094172</v>
      </c>
      <c r="E3" s="55" t="s">
        <v>338</v>
      </c>
      <c r="F3" s="70" t="s">
        <v>143</v>
      </c>
      <c r="G3" s="57">
        <v>1.5274000000000001E-2</v>
      </c>
      <c r="H3" s="57">
        <v>1.2999999999999999E-2</v>
      </c>
      <c r="I3" s="86">
        <f t="shared" si="1"/>
        <v>-0.14888045043865406</v>
      </c>
      <c r="K3" s="55" t="s">
        <v>338</v>
      </c>
      <c r="L3" s="57">
        <v>1.2999999999999999E-2</v>
      </c>
    </row>
    <row r="4" spans="1:12" ht="16">
      <c r="A4" s="5" t="s">
        <v>43</v>
      </c>
      <c r="B4" s="92">
        <v>177.92353158536534</v>
      </c>
      <c r="C4" s="92">
        <f t="shared" si="0"/>
        <v>140.80977055382476</v>
      </c>
      <c r="E4" s="55" t="s">
        <v>131</v>
      </c>
      <c r="F4" s="70" t="s">
        <v>78</v>
      </c>
      <c r="G4" s="57">
        <v>7.2700000000000001E-2</v>
      </c>
      <c r="H4" s="57">
        <v>0.1046</v>
      </c>
      <c r="I4" s="86">
        <f t="shared" si="1"/>
        <v>0.43878954607977994</v>
      </c>
      <c r="K4" s="55" t="s">
        <v>131</v>
      </c>
      <c r="L4" s="57">
        <v>0.1046</v>
      </c>
    </row>
    <row r="5" spans="1:12" ht="16">
      <c r="A5" s="5" t="s">
        <v>44</v>
      </c>
      <c r="B5" s="92">
        <v>58.861920223729868</v>
      </c>
      <c r="C5" s="92">
        <f t="shared" si="0"/>
        <v>46.583683491490888</v>
      </c>
      <c r="E5" s="55" t="s">
        <v>85</v>
      </c>
      <c r="F5" s="70" t="s">
        <v>47</v>
      </c>
      <c r="G5" s="57">
        <v>5.96E-3</v>
      </c>
      <c r="H5" s="57">
        <v>3.2000000000000002E-3</v>
      </c>
      <c r="I5" s="86">
        <f t="shared" si="1"/>
        <v>-0.46308724832214765</v>
      </c>
      <c r="K5" s="55" t="s">
        <v>85</v>
      </c>
      <c r="L5" s="57">
        <v>3.2000000000000002E-3</v>
      </c>
    </row>
    <row r="6" spans="1:12" ht="16">
      <c r="A6" s="5" t="s">
        <v>45</v>
      </c>
      <c r="B6" s="92">
        <v>73.577400279662342</v>
      </c>
      <c r="C6" s="92">
        <f t="shared" si="0"/>
        <v>58.229604364363617</v>
      </c>
      <c r="E6" s="55" t="s">
        <v>176</v>
      </c>
      <c r="F6" s="70" t="s">
        <v>44</v>
      </c>
      <c r="G6" s="57">
        <v>3.5820000000000001E-3</v>
      </c>
      <c r="H6" s="57">
        <v>2.2000000000000001E-3</v>
      </c>
      <c r="I6" s="86">
        <f t="shared" si="1"/>
        <v>-0.38581797878280288</v>
      </c>
      <c r="K6" s="55" t="s">
        <v>176</v>
      </c>
      <c r="L6" s="57">
        <v>2.2000000000000001E-3</v>
      </c>
    </row>
    <row r="7" spans="1:12" ht="16">
      <c r="A7" s="5" t="s">
        <v>46</v>
      </c>
      <c r="B7" s="92">
        <v>89.630651249770494</v>
      </c>
      <c r="C7" s="92">
        <f t="shared" si="0"/>
        <v>70.934245316588402</v>
      </c>
      <c r="E7" s="55" t="s">
        <v>87</v>
      </c>
      <c r="F7" s="70" t="s">
        <v>49</v>
      </c>
      <c r="G7" s="57">
        <v>4.9024999999999999E-2</v>
      </c>
      <c r="H7" s="57">
        <v>4.1099999999999998E-2</v>
      </c>
      <c r="I7" s="86">
        <f t="shared" si="1"/>
        <v>-0.16165221825599185</v>
      </c>
      <c r="K7" s="55" t="s">
        <v>87</v>
      </c>
      <c r="L7" s="57">
        <v>4.1099999999999998E-2</v>
      </c>
    </row>
    <row r="8" spans="1:12" ht="16">
      <c r="A8" s="5" t="s">
        <v>47</v>
      </c>
      <c r="B8" s="92">
        <v>0</v>
      </c>
      <c r="C8" s="92">
        <f t="shared" si="0"/>
        <v>0</v>
      </c>
      <c r="E8" s="55" t="s">
        <v>177</v>
      </c>
      <c r="F8" s="70" t="s">
        <v>46</v>
      </c>
      <c r="G8" s="57">
        <v>6.038E-3</v>
      </c>
      <c r="H8" s="57">
        <v>3.0999999999999999E-3</v>
      </c>
      <c r="I8" s="86">
        <f t="shared" si="1"/>
        <v>-0.48658496190791656</v>
      </c>
      <c r="K8" s="55" t="s">
        <v>177</v>
      </c>
      <c r="L8" s="57">
        <v>3.0999999999999999E-3</v>
      </c>
    </row>
    <row r="9" spans="1:12" ht="16">
      <c r="A9" s="5" t="s">
        <v>48</v>
      </c>
      <c r="B9" s="92">
        <v>667.54768617366392</v>
      </c>
      <c r="C9" s="92">
        <f t="shared" si="0"/>
        <v>528.30131959668086</v>
      </c>
      <c r="E9" s="55" t="s">
        <v>92</v>
      </c>
      <c r="F9" s="70" t="s">
        <v>80</v>
      </c>
      <c r="G9" s="57">
        <v>3.4694000000000003E-2</v>
      </c>
      <c r="H9" s="57">
        <v>3.0099999999999998E-2</v>
      </c>
      <c r="I9" s="86">
        <f t="shared" si="1"/>
        <v>-0.13241482677119976</v>
      </c>
      <c r="K9" s="55" t="s">
        <v>92</v>
      </c>
      <c r="L9" s="57">
        <v>3.0099999999999998E-2</v>
      </c>
    </row>
    <row r="10" spans="1:12" ht="16">
      <c r="A10" s="5" t="s">
        <v>49</v>
      </c>
      <c r="B10" s="92">
        <v>816.04025764716414</v>
      </c>
      <c r="C10" s="92">
        <f t="shared" si="0"/>
        <v>645.81924840476006</v>
      </c>
      <c r="E10" s="55" t="s">
        <v>94</v>
      </c>
      <c r="F10" s="70" t="s">
        <v>83</v>
      </c>
      <c r="G10" s="57">
        <v>9.1459999999999996E-3</v>
      </c>
      <c r="H10" s="57">
        <v>9.1000000000000004E-3</v>
      </c>
      <c r="I10" s="86">
        <f t="shared" si="1"/>
        <v>-5.0295211021210706E-3</v>
      </c>
      <c r="K10" s="55" t="s">
        <v>94</v>
      </c>
      <c r="L10" s="57">
        <v>9.1000000000000004E-3</v>
      </c>
    </row>
    <row r="11" spans="1:12" ht="16">
      <c r="A11" s="5" t="s">
        <v>78</v>
      </c>
      <c r="B11" s="92">
        <v>964.53282912066447</v>
      </c>
      <c r="C11" s="92">
        <f t="shared" si="0"/>
        <v>763.33717721283938</v>
      </c>
      <c r="E11" s="55" t="s">
        <v>212</v>
      </c>
      <c r="F11" s="70" t="s">
        <v>49</v>
      </c>
      <c r="G11" s="57">
        <v>5.2776999999999998E-2</v>
      </c>
      <c r="H11" s="57">
        <v>8.4099999999999994E-2</v>
      </c>
      <c r="I11" s="86">
        <f t="shared" si="1"/>
        <v>0.59349716732667646</v>
      </c>
      <c r="K11" s="55" t="s">
        <v>212</v>
      </c>
      <c r="L11" s="57">
        <v>8.4099999999999994E-2</v>
      </c>
    </row>
    <row r="12" spans="1:12" ht="16">
      <c r="A12" s="5" t="s">
        <v>79</v>
      </c>
      <c r="B12" s="92">
        <v>370.56254322666314</v>
      </c>
      <c r="C12" s="92">
        <f t="shared" si="0"/>
        <v>293.26546198052228</v>
      </c>
      <c r="E12" s="55" t="s">
        <v>95</v>
      </c>
      <c r="F12" s="70" t="s">
        <v>47</v>
      </c>
      <c r="G12" s="57">
        <v>4.9100000000000003E-3</v>
      </c>
      <c r="H12" s="57">
        <v>3.7000000000000002E-3</v>
      </c>
      <c r="I12" s="86">
        <f t="shared" si="1"/>
        <v>-0.24643584521384931</v>
      </c>
      <c r="K12" s="55" t="s">
        <v>95</v>
      </c>
      <c r="L12" s="57">
        <v>3.7000000000000002E-3</v>
      </c>
    </row>
    <row r="13" spans="1:12" ht="16">
      <c r="A13" s="5" t="s">
        <v>80</v>
      </c>
      <c r="B13" s="92">
        <v>445.47771442050106</v>
      </c>
      <c r="C13" s="92">
        <f t="shared" si="0"/>
        <v>352.55378642423784</v>
      </c>
      <c r="E13" s="55" t="s">
        <v>96</v>
      </c>
      <c r="F13" s="70" t="s">
        <v>41</v>
      </c>
      <c r="G13" s="57">
        <v>1.7450999999999998E-2</v>
      </c>
      <c r="H13" s="57">
        <v>1.2699999999999999E-2</v>
      </c>
      <c r="I13" s="86">
        <f t="shared" si="1"/>
        <v>-0.27224800871010246</v>
      </c>
      <c r="K13" s="55" t="s">
        <v>96</v>
      </c>
      <c r="L13" s="57">
        <v>1.2699999999999999E-2</v>
      </c>
    </row>
    <row r="14" spans="1:12" ht="16">
      <c r="A14" s="5" t="s">
        <v>81</v>
      </c>
      <c r="B14" s="92">
        <v>533.77059475609599</v>
      </c>
      <c r="C14" s="92">
        <f t="shared" si="0"/>
        <v>422.42931166147429</v>
      </c>
      <c r="E14" s="55" t="s">
        <v>97</v>
      </c>
      <c r="F14" s="70" t="s">
        <v>41</v>
      </c>
      <c r="G14" s="57">
        <v>1.0135999999999999E-2</v>
      </c>
      <c r="H14" s="57">
        <v>8.0000000000000002E-3</v>
      </c>
      <c r="I14" s="86">
        <f t="shared" si="1"/>
        <v>-0.21073401736385156</v>
      </c>
      <c r="K14" s="55" t="s">
        <v>97</v>
      </c>
      <c r="L14" s="57">
        <v>8.0000000000000002E-3</v>
      </c>
    </row>
    <row r="15" spans="1:12" ht="16">
      <c r="A15" s="5" t="s">
        <v>82</v>
      </c>
      <c r="B15" s="92">
        <v>236.78545180909521</v>
      </c>
      <c r="C15" s="92">
        <f t="shared" si="0"/>
        <v>187.39345404531565</v>
      </c>
      <c r="E15" s="55" t="s">
        <v>50</v>
      </c>
      <c r="F15" s="70" t="s">
        <v>83</v>
      </c>
      <c r="G15" s="57">
        <v>2.938E-2</v>
      </c>
      <c r="H15" s="57">
        <v>2.0199999999999999E-2</v>
      </c>
      <c r="I15" s="86">
        <f t="shared" si="1"/>
        <v>-0.31245745405037439</v>
      </c>
      <c r="K15" s="55" t="s">
        <v>50</v>
      </c>
      <c r="L15" s="57">
        <v>2.0199999999999999E-2</v>
      </c>
    </row>
    <row r="16" spans="1:12" ht="16">
      <c r="A16" s="5" t="s">
        <v>83</v>
      </c>
      <c r="B16" s="92">
        <v>282.26966289106826</v>
      </c>
      <c r="C16" s="92">
        <f t="shared" si="0"/>
        <v>223.38993674328589</v>
      </c>
      <c r="E16" s="55" t="s">
        <v>56</v>
      </c>
      <c r="F16" s="70" t="s">
        <v>48</v>
      </c>
      <c r="G16" s="57">
        <v>5.5758000000000002E-2</v>
      </c>
      <c r="H16" s="57">
        <v>5.6399999999999999E-2</v>
      </c>
      <c r="I16" s="86">
        <f t="shared" si="1"/>
        <v>1.1514042827935E-2</v>
      </c>
      <c r="K16" s="55" t="s">
        <v>56</v>
      </c>
      <c r="L16" s="57">
        <v>5.6399999999999999E-2</v>
      </c>
    </row>
    <row r="17" spans="1:12" ht="16">
      <c r="A17" s="5" t="s">
        <v>124</v>
      </c>
      <c r="B17" s="92">
        <v>326.4161030588657</v>
      </c>
      <c r="C17" s="92">
        <f t="shared" si="0"/>
        <v>258.32769936190408</v>
      </c>
      <c r="E17" s="55" t="s">
        <v>98</v>
      </c>
      <c r="F17" s="70" t="s">
        <v>80</v>
      </c>
      <c r="G17" s="57">
        <v>1.2E-2</v>
      </c>
      <c r="H17" s="57">
        <v>1.0800000000000001E-2</v>
      </c>
      <c r="I17" s="86">
        <f t="shared" si="1"/>
        <v>-9.9999999999999978E-2</v>
      </c>
      <c r="K17" s="55" t="s">
        <v>98</v>
      </c>
      <c r="L17" s="57">
        <v>1.0800000000000001E-2</v>
      </c>
    </row>
    <row r="18" spans="1:12" ht="16">
      <c r="A18" s="8" t="s">
        <v>347</v>
      </c>
      <c r="B18" s="92">
        <v>1779.235315853653</v>
      </c>
      <c r="C18" s="92">
        <f t="shared" si="0"/>
        <v>1408.0977055382475</v>
      </c>
      <c r="E18" s="55" t="s">
        <v>178</v>
      </c>
      <c r="F18" s="70" t="s">
        <v>80</v>
      </c>
      <c r="G18" s="57">
        <v>1.3878999999999999E-2</v>
      </c>
      <c r="H18" s="57">
        <v>1.18E-2</v>
      </c>
      <c r="I18" s="86">
        <f t="shared" si="1"/>
        <v>-0.14979465379350088</v>
      </c>
      <c r="K18" s="55" t="s">
        <v>178</v>
      </c>
      <c r="L18" s="57">
        <v>1.18E-2</v>
      </c>
    </row>
    <row r="19" spans="1:12" ht="16">
      <c r="A19" s="5" t="s">
        <v>100</v>
      </c>
      <c r="B19" s="92">
        <v>1111.6876296799894</v>
      </c>
      <c r="C19" s="92">
        <f t="shared" si="0"/>
        <v>879.79638594156677</v>
      </c>
      <c r="E19" s="55" t="s">
        <v>101</v>
      </c>
      <c r="F19" s="70" t="s">
        <v>41</v>
      </c>
      <c r="G19" s="57">
        <v>7.306E-3</v>
      </c>
      <c r="H19" s="57">
        <v>5.4999999999999997E-3</v>
      </c>
      <c r="I19" s="86">
        <f t="shared" si="1"/>
        <v>-0.24719408705173829</v>
      </c>
      <c r="K19" s="55" t="s">
        <v>101</v>
      </c>
      <c r="L19" s="57">
        <v>5.4999999999999997E-3</v>
      </c>
    </row>
    <row r="20" spans="1:12" ht="16">
      <c r="A20" s="8" t="s">
        <v>58</v>
      </c>
      <c r="B20" s="92">
        <v>1335.0953723473278</v>
      </c>
      <c r="C20" s="92">
        <f t="shared" si="0"/>
        <v>1056.6026391933617</v>
      </c>
      <c r="E20" s="55" t="s">
        <v>102</v>
      </c>
      <c r="F20" s="70" t="s">
        <v>47</v>
      </c>
      <c r="G20" s="57">
        <v>3.0500000000000002E-3</v>
      </c>
      <c r="H20" s="57">
        <v>2.0999999999999999E-3</v>
      </c>
      <c r="I20" s="86">
        <f t="shared" si="1"/>
        <v>-0.3114754098360657</v>
      </c>
      <c r="K20" s="55" t="s">
        <v>102</v>
      </c>
      <c r="L20" s="57">
        <v>2.0999999999999999E-3</v>
      </c>
    </row>
    <row r="21" spans="1:12" ht="16">
      <c r="A21" s="8" t="s">
        <v>62</v>
      </c>
      <c r="B21" s="92">
        <v>1482.2501729066526</v>
      </c>
      <c r="C21" s="92">
        <f t="shared" si="0"/>
        <v>1173.0618479220891</v>
      </c>
      <c r="E21" s="55" t="s">
        <v>538</v>
      </c>
      <c r="F21" s="70" t="s">
        <v>45</v>
      </c>
      <c r="G21" s="57">
        <v>3.3792000000000003E-2</v>
      </c>
      <c r="H21" s="57">
        <v>2.12E-2</v>
      </c>
      <c r="I21" s="86">
        <f t="shared" si="1"/>
        <v>-0.3726325757575758</v>
      </c>
      <c r="K21" s="55" t="s">
        <v>538</v>
      </c>
      <c r="L21" s="57">
        <v>2.12E-2</v>
      </c>
    </row>
    <row r="22" spans="1:12" ht="16">
      <c r="A22" s="142" t="s">
        <v>277</v>
      </c>
      <c r="B22" s="143" t="s">
        <v>143</v>
      </c>
      <c r="C22" s="143" t="s">
        <v>143</v>
      </c>
      <c r="E22" s="55" t="s">
        <v>105</v>
      </c>
      <c r="F22" s="70" t="s">
        <v>49</v>
      </c>
      <c r="G22" s="57">
        <v>6.8317000000000003E-2</v>
      </c>
      <c r="H22" s="57">
        <v>6.4000000000000001E-2</v>
      </c>
      <c r="I22" s="86">
        <f t="shared" si="1"/>
        <v>-6.3190713877951388E-2</v>
      </c>
      <c r="K22" s="55" t="s">
        <v>105</v>
      </c>
      <c r="L22" s="57">
        <v>6.4000000000000001E-2</v>
      </c>
    </row>
    <row r="23" spans="1:12" ht="16">
      <c r="E23" s="55" t="s">
        <v>31</v>
      </c>
      <c r="F23" s="70" t="s">
        <v>78</v>
      </c>
      <c r="G23" s="57">
        <v>7.8052999999999997E-2</v>
      </c>
      <c r="H23" s="57">
        <v>8.43E-2</v>
      </c>
      <c r="I23" s="86">
        <f t="shared" si="1"/>
        <v>8.0035360588318172E-2</v>
      </c>
      <c r="K23" s="55" t="s">
        <v>31</v>
      </c>
      <c r="L23" s="57">
        <v>8.43E-2</v>
      </c>
    </row>
    <row r="24" spans="1:12" ht="16">
      <c r="E24" s="55" t="s">
        <v>106</v>
      </c>
      <c r="F24" s="70" t="s">
        <v>41</v>
      </c>
      <c r="G24" s="57">
        <v>8.4499999999999992E-3</v>
      </c>
      <c r="H24" s="57">
        <v>7.0000000000000001E-3</v>
      </c>
      <c r="I24" s="86">
        <f t="shared" si="1"/>
        <v>-0.17159763313609455</v>
      </c>
      <c r="K24" s="55" t="s">
        <v>106</v>
      </c>
      <c r="L24" s="57">
        <v>7.0000000000000001E-3</v>
      </c>
    </row>
    <row r="25" spans="1:12" ht="16">
      <c r="E25" s="55" t="s">
        <v>179</v>
      </c>
      <c r="F25" s="70" t="s">
        <v>44</v>
      </c>
      <c r="G25" s="57">
        <v>3.5700000000000003E-3</v>
      </c>
      <c r="H25" s="57">
        <v>2.7000000000000001E-3</v>
      </c>
      <c r="I25" s="86">
        <f t="shared" si="1"/>
        <v>-0.24369747899159666</v>
      </c>
      <c r="K25" s="55" t="s">
        <v>179</v>
      </c>
      <c r="L25" s="57">
        <v>2.7000000000000001E-3</v>
      </c>
    </row>
    <row r="26" spans="1:12" ht="16">
      <c r="E26" s="55" t="s">
        <v>180</v>
      </c>
      <c r="F26" s="70" t="s">
        <v>45</v>
      </c>
      <c r="G26" s="57">
        <v>6.1460000000000004E-3</v>
      </c>
      <c r="H26" s="57">
        <v>3.8E-3</v>
      </c>
      <c r="I26" s="86">
        <f t="shared" si="1"/>
        <v>-0.38171168239505371</v>
      </c>
      <c r="K26" s="55" t="s">
        <v>180</v>
      </c>
      <c r="L26" s="57">
        <v>3.8E-3</v>
      </c>
    </row>
    <row r="27" spans="1:12" ht="16">
      <c r="E27" s="55" t="s">
        <v>181</v>
      </c>
      <c r="F27" s="70" t="s">
        <v>47</v>
      </c>
      <c r="G27" s="57">
        <v>3.6189999999999998E-3</v>
      </c>
      <c r="H27" s="57">
        <v>2.5999999999999999E-3</v>
      </c>
      <c r="I27" s="86">
        <f t="shared" si="1"/>
        <v>-0.28156949433545175</v>
      </c>
      <c r="K27" s="55" t="s">
        <v>181</v>
      </c>
      <c r="L27" s="57">
        <v>2.5999999999999999E-3</v>
      </c>
    </row>
    <row r="28" spans="1:12" ht="16">
      <c r="E28" s="55" t="s">
        <v>182</v>
      </c>
      <c r="F28" s="70" t="s">
        <v>48</v>
      </c>
      <c r="G28" s="57">
        <v>2.3188E-2</v>
      </c>
      <c r="H28" s="57">
        <v>1.9300000000000001E-2</v>
      </c>
      <c r="I28" s="86">
        <f t="shared" si="1"/>
        <v>-0.16767293427634977</v>
      </c>
      <c r="K28" s="55" t="s">
        <v>182</v>
      </c>
      <c r="L28" s="57">
        <v>1.9300000000000001E-2</v>
      </c>
    </row>
    <row r="29" spans="1:12" ht="16">
      <c r="E29" s="55" t="s">
        <v>107</v>
      </c>
      <c r="F29" s="70" t="s">
        <v>79</v>
      </c>
      <c r="G29" s="57">
        <v>4.2686000000000002E-2</v>
      </c>
      <c r="H29" s="57">
        <v>3.6700000000000003E-2</v>
      </c>
      <c r="I29" s="86">
        <f t="shared" si="1"/>
        <v>-0.14023333177154096</v>
      </c>
      <c r="K29" s="55" t="s">
        <v>550</v>
      </c>
      <c r="L29" s="57">
        <v>3.6700000000000003E-2</v>
      </c>
    </row>
    <row r="30" spans="1:12" ht="16">
      <c r="E30" s="55" t="s">
        <v>59</v>
      </c>
      <c r="F30" s="70" t="s">
        <v>45</v>
      </c>
      <c r="G30" s="57">
        <v>6.5870000000000008E-3</v>
      </c>
      <c r="H30" s="57">
        <v>7.6E-3</v>
      </c>
      <c r="I30" s="86">
        <f t="shared" si="1"/>
        <v>0.15378776377713654</v>
      </c>
      <c r="K30" s="55" t="s">
        <v>59</v>
      </c>
      <c r="L30" s="57">
        <v>7.6E-3</v>
      </c>
    </row>
    <row r="31" spans="1:12" ht="16">
      <c r="E31" s="55" t="s">
        <v>109</v>
      </c>
      <c r="F31" s="70" t="s">
        <v>124</v>
      </c>
      <c r="G31" s="57">
        <v>1.1882999999999999E-2</v>
      </c>
      <c r="H31" s="57">
        <v>1.11E-2</v>
      </c>
      <c r="I31" s="86">
        <f t="shared" si="1"/>
        <v>-6.5892451401161289E-2</v>
      </c>
      <c r="K31" s="55" t="s">
        <v>109</v>
      </c>
      <c r="L31" s="57">
        <v>1.11E-2</v>
      </c>
    </row>
    <row r="32" spans="1:12" ht="16">
      <c r="E32" s="55" t="s">
        <v>110</v>
      </c>
      <c r="F32" s="70" t="s">
        <v>43</v>
      </c>
      <c r="G32" s="57">
        <v>9.9109999999999997E-3</v>
      </c>
      <c r="H32" s="57">
        <v>9.7999999999999997E-3</v>
      </c>
      <c r="I32" s="86">
        <f t="shared" si="1"/>
        <v>-1.1199677126425223E-2</v>
      </c>
      <c r="K32" s="55" t="s">
        <v>110</v>
      </c>
      <c r="L32" s="57">
        <v>9.7999999999999997E-3</v>
      </c>
    </row>
    <row r="33" spans="5:12" ht="16">
      <c r="E33" s="55" t="s">
        <v>111</v>
      </c>
      <c r="F33" s="70" t="s">
        <v>83</v>
      </c>
      <c r="G33" s="57">
        <v>3.0117000000000001E-2</v>
      </c>
      <c r="H33" s="57">
        <v>1.6899999999999998E-2</v>
      </c>
      <c r="I33" s="86">
        <f t="shared" si="1"/>
        <v>-0.43885513165321921</v>
      </c>
      <c r="K33" s="55" t="s">
        <v>111</v>
      </c>
      <c r="L33" s="57">
        <v>1.6899999999999998E-2</v>
      </c>
    </row>
    <row r="34" spans="5:12" ht="16">
      <c r="E34" s="55" t="s">
        <v>112</v>
      </c>
      <c r="F34" s="70" t="s">
        <v>83</v>
      </c>
      <c r="G34" s="57">
        <v>3.0987000000000001E-2</v>
      </c>
      <c r="H34" s="57">
        <v>1.8700000000000001E-2</v>
      </c>
      <c r="I34" s="86">
        <f t="shared" si="1"/>
        <v>-0.39652112176073839</v>
      </c>
      <c r="K34" s="55" t="s">
        <v>112</v>
      </c>
      <c r="L34" s="57">
        <v>1.8700000000000001E-2</v>
      </c>
    </row>
    <row r="35" spans="5:12" ht="16">
      <c r="E35" s="55" t="s">
        <v>332</v>
      </c>
      <c r="F35" s="70" t="s">
        <v>100</v>
      </c>
      <c r="G35" s="57">
        <v>9.9683000000000008E-2</v>
      </c>
      <c r="H35" s="57">
        <v>8.5900000000000004E-2</v>
      </c>
      <c r="I35" s="86">
        <f t="shared" si="1"/>
        <v>-0.1382683105444259</v>
      </c>
      <c r="K35" s="55" t="s">
        <v>332</v>
      </c>
      <c r="L35" s="57">
        <v>8.5900000000000004E-2</v>
      </c>
    </row>
    <row r="36" spans="5:12" ht="16">
      <c r="E36" s="55" t="s">
        <v>183</v>
      </c>
      <c r="F36" s="70" t="s">
        <v>42</v>
      </c>
      <c r="G36" s="57">
        <v>6.7620000000000006E-3</v>
      </c>
      <c r="H36" s="57">
        <v>4.3E-3</v>
      </c>
      <c r="I36" s="86">
        <f t="shared" si="1"/>
        <v>-0.3640934634723455</v>
      </c>
      <c r="K36" s="55" t="s">
        <v>183</v>
      </c>
      <c r="L36" s="57">
        <v>4.3E-3</v>
      </c>
    </row>
    <row r="37" spans="5:12" ht="16">
      <c r="E37" s="55" t="s">
        <v>114</v>
      </c>
      <c r="F37" s="70" t="s">
        <v>41</v>
      </c>
      <c r="G37" s="57">
        <v>1.1045999999999999E-2</v>
      </c>
      <c r="H37" s="57">
        <v>8.6E-3</v>
      </c>
      <c r="I37" s="86">
        <f t="shared" si="1"/>
        <v>-0.22143762447944948</v>
      </c>
      <c r="K37" s="55" t="s">
        <v>114</v>
      </c>
      <c r="L37" s="57">
        <v>8.6E-3</v>
      </c>
    </row>
    <row r="38" spans="5:12" ht="16">
      <c r="E38" s="55" t="s">
        <v>145</v>
      </c>
      <c r="F38" s="70" t="s">
        <v>124</v>
      </c>
      <c r="G38" s="57">
        <v>2.2974000000000001E-2</v>
      </c>
      <c r="H38" s="57">
        <v>1.9699999999999999E-2</v>
      </c>
      <c r="I38" s="86">
        <f t="shared" si="1"/>
        <v>-0.14250892313049546</v>
      </c>
      <c r="K38" s="55" t="s">
        <v>145</v>
      </c>
      <c r="L38" s="57">
        <v>1.9699999999999999E-2</v>
      </c>
    </row>
    <row r="39" spans="5:12" ht="16">
      <c r="E39" s="55" t="s">
        <v>116</v>
      </c>
      <c r="F39" s="70" t="s">
        <v>41</v>
      </c>
      <c r="G39" s="57">
        <v>7.8890000000000002E-3</v>
      </c>
      <c r="H39" s="57">
        <v>2.8999999999999998E-3</v>
      </c>
      <c r="I39" s="86">
        <f t="shared" si="1"/>
        <v>-0.63239954366839912</v>
      </c>
      <c r="K39" s="55" t="s">
        <v>116</v>
      </c>
      <c r="L39" s="57">
        <v>2.8999999999999998E-3</v>
      </c>
    </row>
    <row r="40" spans="5:12" ht="16">
      <c r="E40" s="55" t="s">
        <v>118</v>
      </c>
      <c r="F40" s="70" t="s">
        <v>124</v>
      </c>
      <c r="G40" s="57">
        <v>1.7731E-2</v>
      </c>
      <c r="H40" s="57">
        <v>1.5699999999999999E-2</v>
      </c>
      <c r="I40" s="86">
        <f t="shared" si="1"/>
        <v>-0.11454514691782758</v>
      </c>
      <c r="K40" s="55" t="s">
        <v>118</v>
      </c>
      <c r="L40" s="57">
        <v>1.5699999999999999E-2</v>
      </c>
    </row>
    <row r="41" spans="5:12" ht="16">
      <c r="E41" s="55" t="s">
        <v>184</v>
      </c>
      <c r="F41" s="70" t="s">
        <v>49</v>
      </c>
      <c r="G41" s="57">
        <v>7.2930999999999996E-2</v>
      </c>
      <c r="H41" s="57">
        <v>6.2100000000000002E-2</v>
      </c>
      <c r="I41" s="86">
        <f t="shared" si="1"/>
        <v>-0.14851023570223898</v>
      </c>
      <c r="K41" s="55" t="s">
        <v>184</v>
      </c>
      <c r="L41" s="57">
        <v>6.2100000000000002E-2</v>
      </c>
    </row>
    <row r="42" spans="5:12" ht="16">
      <c r="E42" s="55" t="s">
        <v>119</v>
      </c>
      <c r="F42" s="70" t="s">
        <v>45</v>
      </c>
      <c r="G42" s="57">
        <v>6.8859999999999998E-3</v>
      </c>
      <c r="H42" s="57">
        <v>4.4999999999999997E-3</v>
      </c>
      <c r="I42" s="86">
        <f t="shared" si="1"/>
        <v>-0.34650014522218997</v>
      </c>
      <c r="K42" s="55" t="s">
        <v>119</v>
      </c>
      <c r="L42" s="57">
        <v>4.4999999999999997E-3</v>
      </c>
    </row>
    <row r="43" spans="5:12" ht="16">
      <c r="E43" s="55" t="s">
        <v>120</v>
      </c>
      <c r="F43" s="70" t="s">
        <v>45</v>
      </c>
      <c r="G43" s="57">
        <v>1.7715000000000002E-2</v>
      </c>
      <c r="H43" s="57">
        <v>1.14E-2</v>
      </c>
      <c r="I43" s="86">
        <f t="shared" si="1"/>
        <v>-0.35647756138865372</v>
      </c>
      <c r="K43" s="55" t="s">
        <v>120</v>
      </c>
      <c r="L43" s="57">
        <v>1.14E-2</v>
      </c>
    </row>
    <row r="44" spans="5:12" ht="16">
      <c r="E44" s="55" t="s">
        <v>121</v>
      </c>
      <c r="F44" s="70" t="s">
        <v>43</v>
      </c>
      <c r="G44" s="57">
        <v>1.0323000000000001E-2</v>
      </c>
      <c r="H44" s="57">
        <v>9.7000000000000003E-3</v>
      </c>
      <c r="I44" s="86">
        <f t="shared" si="1"/>
        <v>-6.035067325389909E-2</v>
      </c>
      <c r="K44" s="55" t="s">
        <v>121</v>
      </c>
      <c r="L44" s="57">
        <v>9.7000000000000003E-3</v>
      </c>
    </row>
    <row r="45" spans="5:12" ht="16">
      <c r="E45" s="55" t="s">
        <v>13</v>
      </c>
      <c r="F45" s="70" t="s">
        <v>43</v>
      </c>
      <c r="G45" s="57">
        <v>9.4409999999999997E-3</v>
      </c>
      <c r="H45" s="57">
        <v>8.8999999999999999E-3</v>
      </c>
      <c r="I45" s="86">
        <f t="shared" si="1"/>
        <v>-5.73032517741765E-2</v>
      </c>
      <c r="K45" s="55" t="s">
        <v>13</v>
      </c>
      <c r="L45" s="57">
        <v>8.8999999999999999E-3</v>
      </c>
    </row>
    <row r="46" spans="5:12" ht="16">
      <c r="E46" s="55" t="s">
        <v>14</v>
      </c>
      <c r="F46" s="70" t="s">
        <v>43</v>
      </c>
      <c r="G46" s="57">
        <v>1.7649999999999999E-2</v>
      </c>
      <c r="H46" s="57">
        <v>1.11E-2</v>
      </c>
      <c r="I46" s="86">
        <f t="shared" si="1"/>
        <v>-0.37110481586402255</v>
      </c>
      <c r="K46" s="55" t="s">
        <v>14</v>
      </c>
      <c r="L46" s="57">
        <v>1.11E-2</v>
      </c>
    </row>
    <row r="47" spans="5:12" ht="16">
      <c r="E47" s="55" t="s">
        <v>16</v>
      </c>
      <c r="F47" s="70" t="s">
        <v>43</v>
      </c>
      <c r="G47" s="57">
        <v>3.0014999999999997E-2</v>
      </c>
      <c r="H47" s="57">
        <v>2.0299999999999999E-2</v>
      </c>
      <c r="I47" s="86">
        <f t="shared" si="1"/>
        <v>-0.32367149758454106</v>
      </c>
      <c r="K47" s="55" t="s">
        <v>16</v>
      </c>
      <c r="L47" s="57">
        <v>2.0299999999999999E-2</v>
      </c>
    </row>
    <row r="48" spans="5:12" ht="16">
      <c r="E48" s="55" t="s">
        <v>18</v>
      </c>
      <c r="F48" s="70" t="s">
        <v>79</v>
      </c>
      <c r="G48" s="57">
        <v>2.8104000000000001E-2</v>
      </c>
      <c r="H48" s="57">
        <v>1.77E-2</v>
      </c>
      <c r="I48" s="86">
        <f t="shared" si="1"/>
        <v>-0.37019641332194708</v>
      </c>
      <c r="K48" s="55" t="s">
        <v>18</v>
      </c>
      <c r="L48" s="57">
        <v>1.77E-2</v>
      </c>
    </row>
    <row r="49" spans="5:12" ht="16">
      <c r="E49" s="55" t="s">
        <v>187</v>
      </c>
      <c r="F49" s="70" t="s">
        <v>47</v>
      </c>
      <c r="G49" s="57">
        <v>3.3590000000000004E-3</v>
      </c>
      <c r="H49" s="57">
        <v>2.2000000000000001E-3</v>
      </c>
      <c r="I49" s="86">
        <f t="shared" si="1"/>
        <v>-0.34504316760940756</v>
      </c>
      <c r="K49" s="55" t="s">
        <v>187</v>
      </c>
      <c r="L49" s="57">
        <v>2.2000000000000001E-3</v>
      </c>
    </row>
    <row r="50" spans="5:12" ht="16">
      <c r="E50" s="55" t="s">
        <v>21</v>
      </c>
      <c r="F50" s="70" t="s">
        <v>47</v>
      </c>
      <c r="G50" s="57">
        <v>6.5719999999999997E-3</v>
      </c>
      <c r="H50" s="57">
        <v>3.3999999999999998E-3</v>
      </c>
      <c r="I50" s="86">
        <f t="shared" si="1"/>
        <v>-0.4826536822884967</v>
      </c>
      <c r="K50" s="55" t="s">
        <v>21</v>
      </c>
      <c r="L50" s="57">
        <v>3.3999999999999998E-3</v>
      </c>
    </row>
    <row r="51" spans="5:12" ht="16">
      <c r="E51" s="55" t="s">
        <v>188</v>
      </c>
      <c r="F51" s="70" t="s">
        <v>49</v>
      </c>
      <c r="G51" s="57">
        <v>9.9833000000000005E-2</v>
      </c>
      <c r="H51" s="57">
        <v>6.3200000000000006E-2</v>
      </c>
      <c r="I51" s="86">
        <f t="shared" si="1"/>
        <v>-0.36694279446675948</v>
      </c>
      <c r="K51" s="55" t="s">
        <v>188</v>
      </c>
      <c r="L51" s="57">
        <v>6.3200000000000006E-2</v>
      </c>
    </row>
    <row r="52" spans="5:12" ht="16">
      <c r="E52" s="55" t="s">
        <v>23</v>
      </c>
      <c r="F52" s="70" t="s">
        <v>47</v>
      </c>
      <c r="G52" s="57">
        <v>3.3319999999999999E-3</v>
      </c>
      <c r="H52" s="57">
        <v>2.5000000000000001E-3</v>
      </c>
      <c r="I52" s="86">
        <f t="shared" si="1"/>
        <v>-0.24969987995198073</v>
      </c>
      <c r="K52" s="55" t="s">
        <v>23</v>
      </c>
      <c r="L52" s="57">
        <v>2.5000000000000001E-3</v>
      </c>
    </row>
    <row r="53" spans="5:12" ht="16">
      <c r="E53" s="55" t="s">
        <v>24</v>
      </c>
      <c r="F53" s="70" t="s">
        <v>79</v>
      </c>
      <c r="G53" s="57">
        <v>7.0927000000000004E-2</v>
      </c>
      <c r="H53" s="57">
        <v>5.0999999999999997E-2</v>
      </c>
      <c r="I53" s="86">
        <f t="shared" si="1"/>
        <v>-0.28095083677583998</v>
      </c>
      <c r="K53" s="55" t="s">
        <v>24</v>
      </c>
      <c r="L53" s="57">
        <v>5.0999999999999997E-2</v>
      </c>
    </row>
    <row r="54" spans="5:12" ht="16">
      <c r="E54" s="55" t="s">
        <v>25</v>
      </c>
      <c r="F54" s="70" t="s">
        <v>78</v>
      </c>
      <c r="G54" s="57">
        <v>6.9338999999999998E-2</v>
      </c>
      <c r="H54" s="57">
        <v>5.6399999999999999E-2</v>
      </c>
      <c r="I54" s="86">
        <f t="shared" si="1"/>
        <v>-0.18660494094232682</v>
      </c>
      <c r="K54" s="55" t="s">
        <v>25</v>
      </c>
      <c r="L54" s="57">
        <v>5.6399999999999999E-2</v>
      </c>
    </row>
    <row r="55" spans="5:12" ht="16">
      <c r="E55" s="55" t="s">
        <v>26</v>
      </c>
      <c r="F55" s="70" t="s">
        <v>82</v>
      </c>
      <c r="G55" s="57">
        <v>1.8312000000000002E-2</v>
      </c>
      <c r="H55" s="57">
        <v>1.5100000000000001E-2</v>
      </c>
      <c r="I55" s="86">
        <f t="shared" si="1"/>
        <v>-0.1754041065967672</v>
      </c>
      <c r="K55" s="55" t="s">
        <v>26</v>
      </c>
      <c r="L55" s="57">
        <v>1.5100000000000001E-2</v>
      </c>
    </row>
    <row r="56" spans="5:12" ht="16">
      <c r="E56" s="55" t="s">
        <v>28</v>
      </c>
      <c r="F56" s="70" t="s">
        <v>43</v>
      </c>
      <c r="G56" s="57">
        <v>1.7080999999999999E-2</v>
      </c>
      <c r="H56" s="57">
        <v>1.3100000000000001E-2</v>
      </c>
      <c r="I56" s="86">
        <f t="shared" si="1"/>
        <v>-0.23306597974357468</v>
      </c>
      <c r="K56" s="55" t="s">
        <v>28</v>
      </c>
      <c r="L56" s="57">
        <v>1.3100000000000001E-2</v>
      </c>
    </row>
    <row r="57" spans="5:12" ht="16">
      <c r="E57" s="55" t="s">
        <v>29</v>
      </c>
      <c r="F57" s="70" t="s">
        <v>83</v>
      </c>
      <c r="G57" s="57">
        <v>1.8141999999999998E-2</v>
      </c>
      <c r="H57" s="57">
        <v>9.9000000000000008E-3</v>
      </c>
      <c r="I57" s="86">
        <f t="shared" si="1"/>
        <v>-0.45430492779186404</v>
      </c>
      <c r="K57" s="55" t="s">
        <v>29</v>
      </c>
      <c r="L57" s="57">
        <v>9.9000000000000008E-3</v>
      </c>
    </row>
    <row r="58" spans="5:12" ht="16">
      <c r="E58" s="55" t="s">
        <v>30</v>
      </c>
      <c r="F58" s="70" t="s">
        <v>42</v>
      </c>
      <c r="G58" s="57">
        <v>9.4769999999999993E-3</v>
      </c>
      <c r="H58" s="57">
        <v>8.9999999999999993E-3</v>
      </c>
      <c r="I58" s="86">
        <f t="shared" si="1"/>
        <v>-5.0332383665717018E-2</v>
      </c>
      <c r="K58" s="55" t="s">
        <v>30</v>
      </c>
      <c r="L58" s="57">
        <v>8.9999999999999993E-3</v>
      </c>
    </row>
    <row r="59" spans="5:12" ht="16">
      <c r="E59" s="55" t="s">
        <v>189</v>
      </c>
      <c r="F59" s="70" t="s">
        <v>124</v>
      </c>
      <c r="G59" s="57">
        <v>1.3124E-2</v>
      </c>
      <c r="H59" s="57">
        <v>9.1999999999999998E-3</v>
      </c>
      <c r="I59" s="86">
        <f t="shared" si="1"/>
        <v>-0.29899420908259677</v>
      </c>
      <c r="K59" s="55" t="s">
        <v>189</v>
      </c>
      <c r="L59" s="57">
        <v>9.1999999999999998E-3</v>
      </c>
    </row>
    <row r="60" spans="5:12" ht="16">
      <c r="E60" s="55" t="s">
        <v>74</v>
      </c>
      <c r="F60" s="70" t="s">
        <v>46</v>
      </c>
      <c r="G60" s="57">
        <v>1.8294000000000001E-2</v>
      </c>
      <c r="H60" s="57">
        <v>9.7999999999999997E-3</v>
      </c>
      <c r="I60" s="86">
        <f t="shared" si="1"/>
        <v>-0.46430523668962509</v>
      </c>
      <c r="K60" s="55" t="s">
        <v>74</v>
      </c>
      <c r="L60" s="57">
        <v>9.7999999999999997E-3</v>
      </c>
    </row>
    <row r="61" spans="5:12" ht="16">
      <c r="E61" s="55" t="s">
        <v>0</v>
      </c>
      <c r="F61" s="70" t="s">
        <v>124</v>
      </c>
      <c r="G61" s="57">
        <v>1.7062000000000001E-2</v>
      </c>
      <c r="H61" s="57">
        <v>1.8700000000000001E-2</v>
      </c>
      <c r="I61" s="86">
        <f t="shared" si="1"/>
        <v>9.6002813269253418E-2</v>
      </c>
      <c r="K61" s="55" t="s">
        <v>0</v>
      </c>
      <c r="L61" s="57">
        <v>1.8700000000000001E-2</v>
      </c>
    </row>
    <row r="62" spans="5:12" ht="16">
      <c r="E62" s="55" t="s">
        <v>1</v>
      </c>
      <c r="F62" s="70" t="s">
        <v>124</v>
      </c>
      <c r="G62" s="57">
        <v>2.7479000000000003E-2</v>
      </c>
      <c r="H62" s="57">
        <v>1.52E-2</v>
      </c>
      <c r="I62" s="86">
        <f t="shared" si="1"/>
        <v>-0.44685032206412179</v>
      </c>
      <c r="K62" s="55" t="s">
        <v>1</v>
      </c>
      <c r="L62" s="57">
        <v>1.52E-2</v>
      </c>
    </row>
    <row r="63" spans="5:12" ht="16">
      <c r="E63" s="55" t="s">
        <v>227</v>
      </c>
      <c r="F63" s="70" t="s">
        <v>49</v>
      </c>
      <c r="G63" s="57">
        <v>8.1319000000000002E-2</v>
      </c>
      <c r="H63" s="57">
        <v>6.9599999999999995E-2</v>
      </c>
      <c r="I63" s="86">
        <f t="shared" si="1"/>
        <v>-0.14411146226589122</v>
      </c>
      <c r="K63" s="55" t="s">
        <v>227</v>
      </c>
      <c r="L63" s="57">
        <v>6.9599999999999995E-2</v>
      </c>
    </row>
    <row r="64" spans="5:12" ht="16">
      <c r="E64" s="55" t="s">
        <v>2</v>
      </c>
      <c r="F64" s="70" t="s">
        <v>41</v>
      </c>
      <c r="G64" s="57">
        <v>2.3168000000000001E-2</v>
      </c>
      <c r="H64" s="57">
        <v>1.34E-2</v>
      </c>
      <c r="I64" s="86">
        <f t="shared" ref="I64:I80" si="2">IF(H64="NA","NA",H64/G64-1)</f>
        <v>-0.42161602209944748</v>
      </c>
      <c r="K64" s="55" t="s">
        <v>2</v>
      </c>
      <c r="L64" s="57">
        <v>1.34E-2</v>
      </c>
    </row>
    <row r="65" spans="5:12" ht="16">
      <c r="E65" s="55" t="s">
        <v>135</v>
      </c>
      <c r="F65" s="70" t="s">
        <v>81</v>
      </c>
      <c r="G65" s="57">
        <v>5.6741999999999994E-2</v>
      </c>
      <c r="H65" s="57">
        <v>4.9099999999999998E-2</v>
      </c>
      <c r="I65" s="86">
        <f t="shared" si="2"/>
        <v>-0.13467977864721015</v>
      </c>
      <c r="K65" s="55" t="s">
        <v>135</v>
      </c>
      <c r="L65" s="57">
        <v>4.9099999999999998E-2</v>
      </c>
    </row>
    <row r="66" spans="5:12" ht="16">
      <c r="E66" s="55" t="s">
        <v>147</v>
      </c>
      <c r="F66" s="70" t="s">
        <v>81</v>
      </c>
      <c r="G66" s="57">
        <v>1.3900999999999998E-2</v>
      </c>
      <c r="H66" s="57">
        <v>1.5800000000000002E-2</v>
      </c>
      <c r="I66" s="86">
        <f t="shared" si="2"/>
        <v>0.13660887705920466</v>
      </c>
      <c r="K66" s="55" t="s">
        <v>147</v>
      </c>
      <c r="L66" s="57">
        <v>1.5800000000000002E-2</v>
      </c>
    </row>
    <row r="67" spans="5:12" ht="16">
      <c r="E67" s="55" t="s">
        <v>61</v>
      </c>
      <c r="F67" s="70" t="s">
        <v>42</v>
      </c>
      <c r="G67" s="57">
        <v>8.2769999999999996E-3</v>
      </c>
      <c r="H67" s="57">
        <v>7.7999999999999996E-3</v>
      </c>
      <c r="I67" s="86">
        <f t="shared" si="2"/>
        <v>-5.7629575933309196E-2</v>
      </c>
      <c r="K67" s="55" t="s">
        <v>61</v>
      </c>
      <c r="L67" s="57">
        <v>7.7999999999999996E-3</v>
      </c>
    </row>
    <row r="68" spans="5:12" ht="16">
      <c r="E68" s="55" t="s">
        <v>190</v>
      </c>
      <c r="F68" s="70" t="s">
        <v>82</v>
      </c>
      <c r="G68" s="57">
        <v>1.3390000000000001E-2</v>
      </c>
      <c r="H68" s="57">
        <v>1.1599999999999999E-2</v>
      </c>
      <c r="I68" s="86">
        <f t="shared" si="2"/>
        <v>-0.13368185212845418</v>
      </c>
      <c r="K68" s="55" t="s">
        <v>190</v>
      </c>
      <c r="L68" s="57">
        <v>1.1599999999999999E-2</v>
      </c>
    </row>
    <row r="69" spans="5:12" ht="16">
      <c r="E69" s="55" t="s">
        <v>76</v>
      </c>
      <c r="F69" s="70" t="s">
        <v>124</v>
      </c>
      <c r="G69" s="57">
        <v>4.7306000000000001E-2</v>
      </c>
      <c r="H69" s="57">
        <v>3.4500000000000003E-2</v>
      </c>
      <c r="I69" s="86">
        <f t="shared" si="2"/>
        <v>-0.27070561873758081</v>
      </c>
      <c r="K69" s="55" t="s">
        <v>76</v>
      </c>
      <c r="L69" s="57">
        <v>3.4500000000000003E-2</v>
      </c>
    </row>
    <row r="70" spans="5:12" ht="16">
      <c r="E70" s="55" t="s">
        <v>138</v>
      </c>
      <c r="F70" s="70" t="s">
        <v>82</v>
      </c>
      <c r="G70" s="57">
        <v>1.4343E-2</v>
      </c>
      <c r="H70" s="57">
        <v>1.0500000000000001E-2</v>
      </c>
      <c r="I70" s="86">
        <f t="shared" si="2"/>
        <v>-0.2679355783308931</v>
      </c>
      <c r="K70" s="55" t="s">
        <v>138</v>
      </c>
      <c r="L70" s="57">
        <v>1.0500000000000001E-2</v>
      </c>
    </row>
    <row r="71" spans="5:12" ht="16">
      <c r="E71" s="55" t="s">
        <v>34</v>
      </c>
      <c r="F71" s="70" t="s">
        <v>47</v>
      </c>
      <c r="G71" s="57">
        <v>3.2109999999999999E-3</v>
      </c>
      <c r="H71" s="57">
        <v>2.3E-3</v>
      </c>
      <c r="I71" s="86">
        <f t="shared" si="2"/>
        <v>-0.28371223917782618</v>
      </c>
      <c r="K71" s="55" t="s">
        <v>34</v>
      </c>
      <c r="L71" s="57">
        <v>2.3E-3</v>
      </c>
    </row>
    <row r="72" spans="5:12" ht="16">
      <c r="E72" s="55" t="s">
        <v>35</v>
      </c>
      <c r="F72" s="70" t="s">
        <v>47</v>
      </c>
      <c r="G72" s="57">
        <v>2.3440000000000002E-3</v>
      </c>
      <c r="H72" s="57">
        <v>2E-3</v>
      </c>
      <c r="I72" s="86">
        <f t="shared" si="2"/>
        <v>-0.14675767918088745</v>
      </c>
      <c r="K72" s="55" t="s">
        <v>35</v>
      </c>
      <c r="L72" s="57">
        <v>2E-3</v>
      </c>
    </row>
    <row r="73" spans="5:12" ht="16">
      <c r="E73" s="55" t="s">
        <v>65</v>
      </c>
      <c r="F73" s="70" t="s">
        <v>82</v>
      </c>
      <c r="G73" s="57">
        <v>1.2111E-2</v>
      </c>
      <c r="H73" s="57">
        <v>7.3000000000000001E-3</v>
      </c>
      <c r="I73" s="86">
        <f t="shared" si="2"/>
        <v>-0.39724217653372962</v>
      </c>
      <c r="K73" s="55" t="s">
        <v>65</v>
      </c>
      <c r="L73" s="57">
        <v>7.3000000000000001E-3</v>
      </c>
    </row>
    <row r="74" spans="5:12" ht="16">
      <c r="E74" s="55" t="s">
        <v>77</v>
      </c>
      <c r="F74" s="70" t="s">
        <v>49</v>
      </c>
      <c r="G74" s="57">
        <v>5.8314999999999999E-2</v>
      </c>
      <c r="H74" s="57">
        <v>8.3400000000000002E-2</v>
      </c>
      <c r="I74" s="86">
        <f t="shared" si="2"/>
        <v>0.43016376575495152</v>
      </c>
      <c r="K74" s="55" t="s">
        <v>77</v>
      </c>
      <c r="L74" s="57">
        <v>8.3400000000000002E-2</v>
      </c>
    </row>
    <row r="75" spans="5:12" ht="16">
      <c r="E75" s="55" t="s">
        <v>66</v>
      </c>
      <c r="F75" s="70" t="s">
        <v>48</v>
      </c>
      <c r="G75" s="57">
        <v>5.4034000000000006E-2</v>
      </c>
      <c r="H75" s="57">
        <v>4.8399999999999999E-2</v>
      </c>
      <c r="I75" s="86">
        <f t="shared" si="2"/>
        <v>-0.10426768331050829</v>
      </c>
      <c r="K75" s="55" t="s">
        <v>66</v>
      </c>
      <c r="L75" s="57">
        <v>4.8399999999999999E-2</v>
      </c>
    </row>
    <row r="76" spans="5:12" ht="16">
      <c r="E76" s="55" t="s">
        <v>68</v>
      </c>
      <c r="F76" s="70" t="s">
        <v>100</v>
      </c>
      <c r="G76" s="57">
        <v>8.4873000000000004E-2</v>
      </c>
      <c r="H76" s="57">
        <v>5.6500000000000002E-2</v>
      </c>
      <c r="I76" s="86">
        <f t="shared" si="2"/>
        <v>-0.33429948275658927</v>
      </c>
      <c r="K76" s="55" t="s">
        <v>68</v>
      </c>
      <c r="L76" s="57">
        <v>5.6500000000000002E-2</v>
      </c>
    </row>
    <row r="77" spans="5:12" ht="16">
      <c r="E77" s="55" t="s">
        <v>57</v>
      </c>
      <c r="F77" s="70" t="s">
        <v>45</v>
      </c>
      <c r="G77" s="57">
        <v>5.7920000000000003E-3</v>
      </c>
      <c r="H77" s="57">
        <v>4.1999999999999997E-3</v>
      </c>
      <c r="I77" s="86">
        <f t="shared" si="2"/>
        <v>-0.27486187845303878</v>
      </c>
      <c r="K77" s="55" t="s">
        <v>57</v>
      </c>
      <c r="L77" s="57">
        <v>4.1999999999999997E-3</v>
      </c>
    </row>
    <row r="78" spans="5:12" ht="16">
      <c r="E78" s="55" t="s">
        <v>357</v>
      </c>
      <c r="F78" s="70" t="s">
        <v>47</v>
      </c>
      <c r="G78" s="57">
        <v>3.9590000000000007E-3</v>
      </c>
      <c r="H78" s="57">
        <v>2.5999999999999999E-3</v>
      </c>
      <c r="I78" s="86">
        <f t="shared" si="2"/>
        <v>-0.34326850214700699</v>
      </c>
      <c r="K78" s="55" t="s">
        <v>357</v>
      </c>
      <c r="L78" s="57">
        <v>2.5999999999999999E-3</v>
      </c>
    </row>
    <row r="79" spans="5:12" ht="16">
      <c r="E79" s="55" t="s">
        <v>69</v>
      </c>
      <c r="F79" s="70" t="s">
        <v>83</v>
      </c>
      <c r="G79" s="57">
        <v>2.2202E-2</v>
      </c>
      <c r="H79" s="57">
        <v>1.43E-2</v>
      </c>
      <c r="I79" s="86">
        <f t="shared" si="2"/>
        <v>-0.35591388163228532</v>
      </c>
      <c r="K79" s="55" t="s">
        <v>69</v>
      </c>
      <c r="L79" s="57">
        <v>1.43E-2</v>
      </c>
    </row>
    <row r="80" spans="5:12" ht="16">
      <c r="E80" s="55" t="s">
        <v>71</v>
      </c>
      <c r="F80" s="70" t="s">
        <v>81</v>
      </c>
      <c r="G80" s="57">
        <v>3.2811E-2</v>
      </c>
      <c r="H80" s="57">
        <v>2.2800000000000001E-2</v>
      </c>
      <c r="I80" s="86">
        <f t="shared" si="2"/>
        <v>-0.30511109079272192</v>
      </c>
      <c r="K80" s="55" t="s">
        <v>71</v>
      </c>
      <c r="L80" s="57">
        <v>2.2800000000000001E-2</v>
      </c>
    </row>
    <row r="81" spans="5:9" ht="16">
      <c r="E81" s="139" t="s">
        <v>148</v>
      </c>
      <c r="F81" s="139"/>
      <c r="G81" s="139"/>
      <c r="H81" s="158"/>
      <c r="I81" s="140">
        <f>AVERAGE(I2:I80)</f>
        <v>-0.20859388694032235</v>
      </c>
    </row>
    <row r="82" spans="5:9" ht="16">
      <c r="E82" s="139" t="s">
        <v>149</v>
      </c>
      <c r="F82" s="139"/>
      <c r="G82" s="139"/>
      <c r="H82" s="158"/>
      <c r="I82" s="140">
        <f>MEDIAN(I2:I80)</f>
        <v>-0.24643584521384931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8"/>
  <sheetViews>
    <sheetView topLeftCell="A134" workbookViewId="0">
      <selection activeCell="D154" sqref="D154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46" customWidth="1"/>
    <col min="4" max="4" width="28.1640625" style="35" customWidth="1"/>
    <col min="8" max="8" width="19.6640625" customWidth="1"/>
    <col min="9" max="9" width="12.1640625" style="56" bestFit="1" customWidth="1"/>
    <col min="10" max="10" width="10.83203125" style="31"/>
  </cols>
  <sheetData>
    <row r="1" spans="1:5" ht="17">
      <c r="A1" s="80" t="s">
        <v>75</v>
      </c>
      <c r="B1" s="81" t="s">
        <v>271</v>
      </c>
      <c r="C1" s="144" t="s">
        <v>577</v>
      </c>
      <c r="D1" s="81" t="s">
        <v>303</v>
      </c>
      <c r="E1" s="88" t="s">
        <v>574</v>
      </c>
    </row>
    <row r="2" spans="1:5" ht="16">
      <c r="A2" s="55" t="str">
        <f>'Sovereign Ratings (Moody''s,S&amp;P)'!A2</f>
        <v>Abu Dhabi</v>
      </c>
      <c r="B2" s="70" t="str">
        <f>'Sovereign Ratings (Moody''s,S&amp;P)'!C2</f>
        <v>Aa2</v>
      </c>
      <c r="C2" s="145">
        <f>VLOOKUP(A2,$H$24:$J$105,2,FALSE)</f>
        <v>9.7000000000000003E-3</v>
      </c>
      <c r="D2" s="71">
        <f t="shared" ref="D2:D65" si="0">IF(C2="NA","NA",IF(C2&gt;$C$153,C2-$C$153,0))</f>
        <v>7.1000000000000004E-3</v>
      </c>
    </row>
    <row r="3" spans="1:5" ht="16">
      <c r="A3" s="55" t="str">
        <f>'Sovereign Ratings (Moody''s,S&amp;P)'!A3</f>
        <v>Albania</v>
      </c>
      <c r="B3" s="70" t="str">
        <f>'Sovereign Ratings (Moody''s,S&amp;P)'!C3</f>
        <v>B1</v>
      </c>
      <c r="C3" s="145" t="s">
        <v>143</v>
      </c>
      <c r="D3" s="71" t="str">
        <f t="shared" si="0"/>
        <v>NA</v>
      </c>
    </row>
    <row r="4" spans="1:5" ht="16">
      <c r="A4" s="55" t="str">
        <f>'Sovereign Ratings (Moody''s,S&amp;P)'!A4</f>
        <v>Andorra (Principality of)</v>
      </c>
      <c r="B4" s="70" t="str">
        <f>'Sovereign Ratings (Moody''s,S&amp;P)'!C4</f>
        <v>Baa2</v>
      </c>
      <c r="C4" s="145" t="s">
        <v>143</v>
      </c>
      <c r="D4" s="71" t="str">
        <f t="shared" si="0"/>
        <v>NA</v>
      </c>
    </row>
    <row r="5" spans="1:5" ht="16">
      <c r="A5" s="55" t="str">
        <f>'Sovereign Ratings (Moody''s,S&amp;P)'!A5</f>
        <v>Angola</v>
      </c>
      <c r="B5" s="70" t="str">
        <f>'Sovereign Ratings (Moody''s,S&amp;P)'!C5</f>
        <v>B3</v>
      </c>
      <c r="C5" s="145">
        <f>VLOOKUP(A5,$H$24:$J$105,2,FALSE)</f>
        <v>0.1046</v>
      </c>
      <c r="D5" s="71">
        <f t="shared" si="0"/>
        <v>0.10199999999999999</v>
      </c>
    </row>
    <row r="6" spans="1:5" ht="16">
      <c r="A6" s="55" t="str">
        <f>'Sovereign Ratings (Moody''s,S&amp;P)'!A6</f>
        <v>Argentina</v>
      </c>
      <c r="B6" s="70" t="str">
        <f>'Sovereign Ratings (Moody''s,S&amp;P)'!C6</f>
        <v>Ca</v>
      </c>
      <c r="C6" s="145" t="s">
        <v>143</v>
      </c>
      <c r="D6" s="71" t="str">
        <f t="shared" si="0"/>
        <v>NA</v>
      </c>
    </row>
    <row r="7" spans="1:5" ht="16">
      <c r="A7" s="55" t="str">
        <f>'Sovereign Ratings (Moody''s,S&amp;P)'!A7</f>
        <v>Armenia</v>
      </c>
      <c r="B7" s="70" t="str">
        <f>'Sovereign Ratings (Moody''s,S&amp;P)'!C7</f>
        <v>Ba3</v>
      </c>
      <c r="C7" s="145" t="s">
        <v>143</v>
      </c>
      <c r="D7" s="71" t="str">
        <f t="shared" si="0"/>
        <v>NA</v>
      </c>
    </row>
    <row r="8" spans="1:5" ht="16">
      <c r="A8" s="55" t="str">
        <f>'Sovereign Ratings (Moody''s,S&amp;P)'!A8</f>
        <v>Aruba</v>
      </c>
      <c r="B8" s="70" t="str">
        <f>'Sovereign Ratings (Moody''s,S&amp;P)'!C8</f>
        <v>Baa1</v>
      </c>
      <c r="C8" s="145" t="s">
        <v>143</v>
      </c>
      <c r="D8" s="71" t="str">
        <f t="shared" si="0"/>
        <v>NA</v>
      </c>
    </row>
    <row r="9" spans="1:5" ht="16">
      <c r="A9" s="55" t="str">
        <f>'Sovereign Ratings (Moody''s,S&amp;P)'!A9</f>
        <v>Australia</v>
      </c>
      <c r="B9" s="70" t="str">
        <f>'Sovereign Ratings (Moody''s,S&amp;P)'!C9</f>
        <v>Aaa</v>
      </c>
      <c r="C9" s="145">
        <f t="shared" ref="C9:C10" si="1">VLOOKUP(A9,$H$24:$J$105,2,FALSE)</f>
        <v>3.2000000000000002E-3</v>
      </c>
      <c r="D9" s="71">
        <f t="shared" si="0"/>
        <v>6.0000000000000027E-4</v>
      </c>
    </row>
    <row r="10" spans="1:5" ht="16">
      <c r="A10" s="55" t="str">
        <f>'Sovereign Ratings (Moody''s,S&amp;P)'!A10</f>
        <v>Austria</v>
      </c>
      <c r="B10" s="70" t="str">
        <f>'Sovereign Ratings (Moody''s,S&amp;P)'!C10</f>
        <v>Aa1</v>
      </c>
      <c r="C10" s="145">
        <f t="shared" si="1"/>
        <v>2.2000000000000001E-3</v>
      </c>
      <c r="D10" s="71">
        <f t="shared" si="0"/>
        <v>0</v>
      </c>
    </row>
    <row r="11" spans="1:5" ht="16">
      <c r="A11" s="55" t="str">
        <f>'Sovereign Ratings (Moody''s,S&amp;P)'!A11</f>
        <v>Azerbaijan</v>
      </c>
      <c r="B11" s="70" t="str">
        <f>'Sovereign Ratings (Moody''s,S&amp;P)'!C11</f>
        <v>Ba2</v>
      </c>
      <c r="C11" s="145" t="s">
        <v>143</v>
      </c>
      <c r="D11" s="71" t="str">
        <f t="shared" si="0"/>
        <v>NA</v>
      </c>
    </row>
    <row r="12" spans="1:5" ht="16">
      <c r="A12" s="55" t="str">
        <f>'Sovereign Ratings (Moody''s,S&amp;P)'!A12</f>
        <v>Bahamas</v>
      </c>
      <c r="B12" s="70" t="str">
        <f>'Sovereign Ratings (Moody''s,S&amp;P)'!C12</f>
        <v>Ba2</v>
      </c>
      <c r="C12" s="145" t="s">
        <v>143</v>
      </c>
      <c r="D12" s="71" t="str">
        <f t="shared" si="0"/>
        <v>NA</v>
      </c>
    </row>
    <row r="13" spans="1:5" ht="16">
      <c r="A13" s="55" t="str">
        <f>'Sovereign Ratings (Moody''s,S&amp;P)'!A13</f>
        <v>Bahrain</v>
      </c>
      <c r="B13" s="70" t="str">
        <f>'Sovereign Ratings (Moody''s,S&amp;P)'!C13</f>
        <v>B2</v>
      </c>
      <c r="C13" s="145">
        <f t="shared" ref="C13" si="2">VLOOKUP(A13,$H$24:$J$105,2,FALSE)</f>
        <v>4.1099999999999998E-2</v>
      </c>
      <c r="D13" s="71">
        <f t="shared" si="0"/>
        <v>3.85E-2</v>
      </c>
    </row>
    <row r="14" spans="1:5" ht="16">
      <c r="A14" s="55" t="str">
        <f>'Sovereign Ratings (Moody''s,S&amp;P)'!A14</f>
        <v>Bangladesh</v>
      </c>
      <c r="B14" s="70" t="str">
        <f>'Sovereign Ratings (Moody''s,S&amp;P)'!C14</f>
        <v>Ba3</v>
      </c>
      <c r="C14" s="145" t="s">
        <v>143</v>
      </c>
      <c r="D14" s="71" t="str">
        <f t="shared" si="0"/>
        <v>NA</v>
      </c>
    </row>
    <row r="15" spans="1:5" ht="16">
      <c r="A15" s="55" t="str">
        <f>'Sovereign Ratings (Moody''s,S&amp;P)'!A15</f>
        <v>Barbados</v>
      </c>
      <c r="B15" s="70" t="str">
        <f>'Sovereign Ratings (Moody''s,S&amp;P)'!C15</f>
        <v>Caa1</v>
      </c>
      <c r="C15" s="145" t="s">
        <v>143</v>
      </c>
      <c r="D15" s="71" t="str">
        <f t="shared" si="0"/>
        <v>NA</v>
      </c>
    </row>
    <row r="16" spans="1:5" ht="16">
      <c r="A16" s="55" t="str">
        <f>'Sovereign Ratings (Moody''s,S&amp;P)'!A16</f>
        <v>Belarus</v>
      </c>
      <c r="B16" s="70" t="str">
        <f>'Sovereign Ratings (Moody''s,S&amp;P)'!C16</f>
        <v>B3</v>
      </c>
      <c r="C16" s="145" t="s">
        <v>143</v>
      </c>
      <c r="D16" s="71" t="str">
        <f t="shared" si="0"/>
        <v>NA</v>
      </c>
    </row>
    <row r="17" spans="1:13" ht="16">
      <c r="A17" s="55" t="str">
        <f>'Sovereign Ratings (Moody''s,S&amp;P)'!A17</f>
        <v>Belgium</v>
      </c>
      <c r="B17" s="70" t="str">
        <f>'Sovereign Ratings (Moody''s,S&amp;P)'!C17</f>
        <v>Aa3</v>
      </c>
      <c r="C17" s="145">
        <f t="shared" ref="C17" si="3">VLOOKUP(A17,$H$24:$J$105,2,FALSE)</f>
        <v>3.0999999999999999E-3</v>
      </c>
      <c r="D17" s="71">
        <f t="shared" si="0"/>
        <v>5.0000000000000001E-4</v>
      </c>
    </row>
    <row r="18" spans="1:13" ht="16">
      <c r="A18" s="55" t="str">
        <f>'Sovereign Ratings (Moody''s,S&amp;P)'!A18</f>
        <v>Belize</v>
      </c>
      <c r="B18" s="70" t="str">
        <f>'Sovereign Ratings (Moody''s,S&amp;P)'!C18</f>
        <v>Caa1</v>
      </c>
      <c r="C18" s="145" t="s">
        <v>143</v>
      </c>
      <c r="D18" s="71" t="str">
        <f t="shared" si="0"/>
        <v>NA</v>
      </c>
    </row>
    <row r="19" spans="1:13" ht="16">
      <c r="A19" s="55" t="str">
        <f>'Sovereign Ratings (Moody''s,S&amp;P)'!A19</f>
        <v>Benin</v>
      </c>
      <c r="B19" s="70" t="str">
        <f>'Sovereign Ratings (Moody''s,S&amp;P)'!C19</f>
        <v>B2</v>
      </c>
      <c r="C19" s="145" t="s">
        <v>143</v>
      </c>
      <c r="D19" s="71" t="str">
        <f t="shared" si="0"/>
        <v>NA</v>
      </c>
    </row>
    <row r="20" spans="1:13" ht="16">
      <c r="A20" s="55" t="str">
        <f>'Sovereign Ratings (Moody''s,S&amp;P)'!A20</f>
        <v>Bermuda</v>
      </c>
      <c r="B20" s="70" t="str">
        <f>'Sovereign Ratings (Moody''s,S&amp;P)'!C20</f>
        <v>A2</v>
      </c>
      <c r="C20" s="145" t="s">
        <v>143</v>
      </c>
      <c r="D20" s="71" t="str">
        <f t="shared" si="0"/>
        <v>NA</v>
      </c>
    </row>
    <row r="21" spans="1:13" ht="16">
      <c r="A21" s="55" t="str">
        <f>'Sovereign Ratings (Moody''s,S&amp;P)'!A21</f>
        <v>Bolivia</v>
      </c>
      <c r="B21" s="70" t="str">
        <f>'Sovereign Ratings (Moody''s,S&amp;P)'!C21</f>
        <v>B1</v>
      </c>
      <c r="C21" s="145" t="s">
        <v>143</v>
      </c>
      <c r="D21" s="71" t="str">
        <f t="shared" si="0"/>
        <v>NA</v>
      </c>
    </row>
    <row r="22" spans="1:13" ht="16">
      <c r="A22" s="55" t="str">
        <f>'Sovereign Ratings (Moody''s,S&amp;P)'!A22</f>
        <v>Bosnia and Herzegovina</v>
      </c>
      <c r="B22" s="70" t="str">
        <f>'Sovereign Ratings (Moody''s,S&amp;P)'!C22</f>
        <v>B3</v>
      </c>
      <c r="C22" s="145" t="s">
        <v>143</v>
      </c>
      <c r="D22" s="71" t="str">
        <f t="shared" si="0"/>
        <v>NA</v>
      </c>
    </row>
    <row r="23" spans="1:13" ht="19" customHeight="1">
      <c r="A23" s="55" t="str">
        <f>'Sovereign Ratings (Moody''s,S&amp;P)'!A23</f>
        <v>Botswana</v>
      </c>
      <c r="B23" s="70" t="str">
        <f>'Sovereign Ratings (Moody''s,S&amp;P)'!C23</f>
        <v>A2</v>
      </c>
      <c r="C23" s="145" t="s">
        <v>143</v>
      </c>
      <c r="D23" s="71" t="str">
        <f t="shared" si="0"/>
        <v>NA</v>
      </c>
      <c r="H23" s="80" t="s">
        <v>75</v>
      </c>
      <c r="I23" s="177">
        <v>42551</v>
      </c>
      <c r="J23" s="147" t="s">
        <v>539</v>
      </c>
      <c r="M23" s="177">
        <v>42460</v>
      </c>
    </row>
    <row r="24" spans="1:13" ht="16">
      <c r="A24" s="55" t="str">
        <f>'Sovereign Ratings (Moody''s,S&amp;P)'!A24</f>
        <v>Brazil</v>
      </c>
      <c r="B24" s="70" t="str">
        <f>'Sovereign Ratings (Moody''s,S&amp;P)'!C24</f>
        <v>Ba2</v>
      </c>
      <c r="C24" s="145">
        <f t="shared" ref="C24:C25" si="4">VLOOKUP(A24,$H$24:$J$105,2,FALSE)</f>
        <v>3.0099999999999998E-2</v>
      </c>
      <c r="D24" s="71">
        <f t="shared" si="0"/>
        <v>2.7499999999999997E-2</v>
      </c>
      <c r="H24" s="55" t="s">
        <v>272</v>
      </c>
      <c r="I24" s="57">
        <v>9.7000000000000003E-3</v>
      </c>
      <c r="J24" s="27">
        <f>IF(I24&lt;$I$102,0,I24-$I$102)</f>
        <v>7.1000000000000004E-3</v>
      </c>
      <c r="M24" s="57">
        <v>1.5965E-2</v>
      </c>
    </row>
    <row r="25" spans="1:13" ht="16">
      <c r="A25" s="55" t="str">
        <f>'Sovereign Ratings (Moody''s,S&amp;P)'!A25</f>
        <v>Bulgaria</v>
      </c>
      <c r="B25" s="70" t="str">
        <f>'Sovereign Ratings (Moody''s,S&amp;P)'!C25</f>
        <v>Baa2</v>
      </c>
      <c r="C25" s="145">
        <f t="shared" si="4"/>
        <v>9.1000000000000004E-3</v>
      </c>
      <c r="D25" s="71">
        <f t="shared" si="0"/>
        <v>6.5000000000000006E-3</v>
      </c>
      <c r="H25" s="151" t="s">
        <v>338</v>
      </c>
      <c r="I25" s="57">
        <v>1.2999999999999999E-2</v>
      </c>
      <c r="J25" s="27">
        <f t="shared" ref="J25:J88" si="5">IF(I25&lt;$I$102,0,I25-$I$102)</f>
        <v>1.04E-2</v>
      </c>
      <c r="M25" s="57">
        <v>1.5274000000000001E-2</v>
      </c>
    </row>
    <row r="26" spans="1:13" ht="16">
      <c r="A26" s="55" t="str">
        <f>'Sovereign Ratings (Moody''s,S&amp;P)'!A26</f>
        <v>Burkina Faso</v>
      </c>
      <c r="B26" s="70" t="str">
        <f>'Sovereign Ratings (Moody''s,S&amp;P)'!C26</f>
        <v>B2</v>
      </c>
      <c r="C26" s="145" t="s">
        <v>143</v>
      </c>
      <c r="D26" s="71" t="str">
        <f t="shared" si="0"/>
        <v>NA</v>
      </c>
      <c r="H26" s="151" t="s">
        <v>131</v>
      </c>
      <c r="I26" s="57">
        <v>0.1046</v>
      </c>
      <c r="J26" s="27">
        <f t="shared" si="5"/>
        <v>0.10199999999999999</v>
      </c>
      <c r="M26" s="57">
        <v>0.21274200000000001</v>
      </c>
    </row>
    <row r="27" spans="1:13" ht="16">
      <c r="A27" s="55" t="str">
        <f>'Sovereign Ratings (Moody''s,S&amp;P)'!A27</f>
        <v>Cambodia</v>
      </c>
      <c r="B27" s="70" t="str">
        <f>'Sovereign Ratings (Moody''s,S&amp;P)'!C27</f>
        <v>B2</v>
      </c>
      <c r="C27" s="145" t="s">
        <v>143</v>
      </c>
      <c r="D27" s="71" t="str">
        <f t="shared" si="0"/>
        <v>NA</v>
      </c>
      <c r="H27" s="55" t="s">
        <v>84</v>
      </c>
      <c r="I27" s="57" t="s">
        <v>143</v>
      </c>
      <c r="J27" s="27" t="e">
        <f t="shared" si="5"/>
        <v>#VALUE!</v>
      </c>
      <c r="M27" s="57" t="s">
        <v>143</v>
      </c>
    </row>
    <row r="28" spans="1:13" ht="16">
      <c r="A28" s="55" t="str">
        <f>'Sovereign Ratings (Moody''s,S&amp;P)'!A28</f>
        <v>Cameroon</v>
      </c>
      <c r="B28" s="70" t="str">
        <f>'Sovereign Ratings (Moody''s,S&amp;P)'!C28</f>
        <v>B2</v>
      </c>
      <c r="C28" s="145">
        <f t="shared" ref="C28:C29" si="6">VLOOKUP(A28,$H$24:$J$105,2,FALSE)</f>
        <v>8.4099999999999994E-2</v>
      </c>
      <c r="D28" s="71">
        <f t="shared" si="0"/>
        <v>8.1499999999999989E-2</v>
      </c>
      <c r="H28" s="55" t="s">
        <v>85</v>
      </c>
      <c r="I28" s="57">
        <v>3.2000000000000002E-3</v>
      </c>
      <c r="J28" s="27">
        <f t="shared" si="5"/>
        <v>6.0000000000000027E-4</v>
      </c>
      <c r="M28" s="57">
        <v>5.96E-3</v>
      </c>
    </row>
    <row r="29" spans="1:13" ht="16">
      <c r="A29" s="55" t="str">
        <f>'Sovereign Ratings (Moody''s,S&amp;P)'!A29</f>
        <v>Canada</v>
      </c>
      <c r="B29" s="70" t="str">
        <f>'Sovereign Ratings (Moody''s,S&amp;P)'!C29</f>
        <v>Aaa</v>
      </c>
      <c r="C29" s="145">
        <f t="shared" si="6"/>
        <v>3.7000000000000002E-3</v>
      </c>
      <c r="D29" s="71">
        <f t="shared" si="0"/>
        <v>1.1000000000000003E-3</v>
      </c>
      <c r="H29" s="55" t="s">
        <v>176</v>
      </c>
      <c r="I29" s="57">
        <v>2.2000000000000001E-3</v>
      </c>
      <c r="J29" s="27">
        <f t="shared" si="5"/>
        <v>0</v>
      </c>
      <c r="M29" s="57">
        <v>3.5820000000000001E-3</v>
      </c>
    </row>
    <row r="30" spans="1:13" ht="16">
      <c r="A30" s="55" t="str">
        <f>'Sovereign Ratings (Moody''s,S&amp;P)'!A30</f>
        <v>Cape Verde</v>
      </c>
      <c r="B30" s="70" t="str">
        <f>'Sovereign Ratings (Moody''s,S&amp;P)'!C30</f>
        <v>B2</v>
      </c>
      <c r="C30" s="145" t="s">
        <v>143</v>
      </c>
      <c r="D30" s="71" t="str">
        <f t="shared" si="0"/>
        <v>NA</v>
      </c>
      <c r="H30" s="55" t="s">
        <v>87</v>
      </c>
      <c r="I30" s="57">
        <v>4.1099999999999998E-2</v>
      </c>
      <c r="J30" s="27">
        <f t="shared" si="5"/>
        <v>3.85E-2</v>
      </c>
      <c r="M30" s="57">
        <v>4.9024999999999999E-2</v>
      </c>
    </row>
    <row r="31" spans="1:13" ht="16">
      <c r="A31" s="55" t="str">
        <f>'Sovereign Ratings (Moody''s,S&amp;P)'!A31</f>
        <v>Cayman Islands</v>
      </c>
      <c r="B31" s="70" t="str">
        <f>'Sovereign Ratings (Moody''s,S&amp;P)'!C31</f>
        <v>Aa3</v>
      </c>
      <c r="C31" s="145" t="s">
        <v>143</v>
      </c>
      <c r="D31" s="71" t="str">
        <f t="shared" si="0"/>
        <v>NA</v>
      </c>
      <c r="H31" s="55" t="s">
        <v>177</v>
      </c>
      <c r="I31" s="57">
        <v>3.0999999999999999E-3</v>
      </c>
      <c r="J31" s="27">
        <f t="shared" si="5"/>
        <v>5.0000000000000001E-4</v>
      </c>
      <c r="M31" s="57">
        <v>6.038E-3</v>
      </c>
    </row>
    <row r="32" spans="1:13" ht="16">
      <c r="A32" s="55" t="str">
        <f>'Sovereign Ratings (Moody''s,S&amp;P)'!A32</f>
        <v>Chile</v>
      </c>
      <c r="B32" s="70" t="str">
        <f>'Sovereign Ratings (Moody''s,S&amp;P)'!C32</f>
        <v>A1</v>
      </c>
      <c r="C32" s="145">
        <f t="shared" ref="C32:C34" si="7">VLOOKUP(A32,$H$24:$J$105,2,FALSE)</f>
        <v>1.2699999999999999E-2</v>
      </c>
      <c r="D32" s="71">
        <f t="shared" si="0"/>
        <v>1.01E-2</v>
      </c>
      <c r="H32" s="55" t="s">
        <v>92</v>
      </c>
      <c r="I32" s="57">
        <v>3.0099999999999998E-2</v>
      </c>
      <c r="J32" s="27">
        <f t="shared" si="5"/>
        <v>2.7499999999999997E-2</v>
      </c>
      <c r="M32" s="57">
        <v>3.4694000000000003E-2</v>
      </c>
    </row>
    <row r="33" spans="1:13" ht="16">
      <c r="A33" s="55" t="str">
        <f>'Sovereign Ratings (Moody''s,S&amp;P)'!A33</f>
        <v>China</v>
      </c>
      <c r="B33" s="70" t="str">
        <f>'Sovereign Ratings (Moody''s,S&amp;P)'!C33</f>
        <v>A1</v>
      </c>
      <c r="C33" s="145">
        <f t="shared" si="7"/>
        <v>8.0000000000000002E-3</v>
      </c>
      <c r="D33" s="71">
        <f t="shared" si="0"/>
        <v>5.4000000000000003E-3</v>
      </c>
      <c r="H33" s="55" t="s">
        <v>94</v>
      </c>
      <c r="I33" s="57">
        <v>9.1000000000000004E-3</v>
      </c>
      <c r="J33" s="27">
        <f t="shared" si="5"/>
        <v>6.5000000000000006E-3</v>
      </c>
      <c r="M33" s="57">
        <v>9.1459999999999996E-3</v>
      </c>
    </row>
    <row r="34" spans="1:13" ht="16">
      <c r="A34" s="55" t="str">
        <f>'Sovereign Ratings (Moody''s,S&amp;P)'!A34</f>
        <v>Colombia</v>
      </c>
      <c r="B34" s="70" t="str">
        <f>'Sovereign Ratings (Moody''s,S&amp;P)'!C34</f>
        <v>Baa2</v>
      </c>
      <c r="C34" s="145">
        <f t="shared" si="7"/>
        <v>2.0199999999999999E-2</v>
      </c>
      <c r="D34" s="71">
        <f t="shared" si="0"/>
        <v>1.7599999999999998E-2</v>
      </c>
      <c r="H34" s="151" t="s">
        <v>212</v>
      </c>
      <c r="I34" s="57">
        <v>8.4099999999999994E-2</v>
      </c>
      <c r="J34" s="27">
        <f t="shared" si="5"/>
        <v>8.1499999999999989E-2</v>
      </c>
      <c r="M34" s="57">
        <v>5.2776999999999998E-2</v>
      </c>
    </row>
    <row r="35" spans="1:13" ht="16">
      <c r="A35" s="55" t="str">
        <f>'Sovereign Ratings (Moody''s,S&amp;P)'!A35</f>
        <v>Congo (Democratic Republic of)</v>
      </c>
      <c r="B35" s="70" t="str">
        <f>'Sovereign Ratings (Moody''s,S&amp;P)'!C35</f>
        <v>Caa1</v>
      </c>
      <c r="C35" s="145" t="s">
        <v>143</v>
      </c>
      <c r="D35" s="71" t="str">
        <f t="shared" si="0"/>
        <v>NA</v>
      </c>
      <c r="H35" s="151" t="s">
        <v>95</v>
      </c>
      <c r="I35" s="57">
        <v>3.7000000000000002E-3</v>
      </c>
      <c r="J35" s="27">
        <f t="shared" si="5"/>
        <v>1.1000000000000003E-3</v>
      </c>
      <c r="M35" s="57">
        <v>4.9100000000000003E-3</v>
      </c>
    </row>
    <row r="36" spans="1:13" ht="16">
      <c r="A36" s="55" t="str">
        <f>'Sovereign Ratings (Moody''s,S&amp;P)'!A36</f>
        <v>Congo (Republic of)</v>
      </c>
      <c r="B36" s="70" t="str">
        <f>'Sovereign Ratings (Moody''s,S&amp;P)'!C36</f>
        <v>Caa2</v>
      </c>
      <c r="C36" s="145" t="s">
        <v>143</v>
      </c>
      <c r="D36" s="71" t="str">
        <f t="shared" si="0"/>
        <v>NA</v>
      </c>
      <c r="H36" s="55" t="s">
        <v>96</v>
      </c>
      <c r="I36" s="57">
        <v>1.2699999999999999E-2</v>
      </c>
      <c r="J36" s="27">
        <f t="shared" si="5"/>
        <v>1.01E-2</v>
      </c>
      <c r="M36" s="57">
        <v>1.7450999999999998E-2</v>
      </c>
    </row>
    <row r="37" spans="1:13" ht="16">
      <c r="A37" s="55" t="str">
        <f>'Sovereign Ratings (Moody''s,S&amp;P)'!A37</f>
        <v>Cook Islands</v>
      </c>
      <c r="B37" s="70" t="str">
        <f>'Sovereign Ratings (Moody''s,S&amp;P)'!C37</f>
        <v>B1</v>
      </c>
      <c r="C37" s="145" t="s">
        <v>143</v>
      </c>
      <c r="D37" s="71" t="str">
        <f t="shared" si="0"/>
        <v>NA</v>
      </c>
      <c r="H37" s="55" t="s">
        <v>97</v>
      </c>
      <c r="I37" s="57">
        <v>8.0000000000000002E-3</v>
      </c>
      <c r="J37" s="27">
        <f t="shared" si="5"/>
        <v>5.4000000000000003E-3</v>
      </c>
      <c r="M37" s="57">
        <v>1.0135999999999999E-2</v>
      </c>
    </row>
    <row r="38" spans="1:13" ht="16">
      <c r="A38" s="55" t="str">
        <f>'Sovereign Ratings (Moody''s,S&amp;P)'!A38</f>
        <v>Costa Rica</v>
      </c>
      <c r="B38" s="70" t="str">
        <f>'Sovereign Ratings (Moody''s,S&amp;P)'!C38</f>
        <v>B2</v>
      </c>
      <c r="C38" s="145">
        <f t="shared" ref="C38" si="8">VLOOKUP(A38,$H$24:$J$105,2,FALSE)</f>
        <v>5.6399999999999999E-2</v>
      </c>
      <c r="D38" s="71">
        <f t="shared" si="0"/>
        <v>5.3800000000000001E-2</v>
      </c>
      <c r="H38" s="55" t="s">
        <v>50</v>
      </c>
      <c r="I38" s="57">
        <v>2.0199999999999999E-2</v>
      </c>
      <c r="J38" s="27">
        <f t="shared" si="5"/>
        <v>1.7599999999999998E-2</v>
      </c>
      <c r="M38" s="57">
        <v>2.938E-2</v>
      </c>
    </row>
    <row r="39" spans="1:13" ht="16">
      <c r="A39" s="55" t="str">
        <f>'Sovereign Ratings (Moody''s,S&amp;P)'!A39</f>
        <v>Côte d'Ivoire</v>
      </c>
      <c r="B39" s="70" t="str">
        <f>'Sovereign Ratings (Moody''s,S&amp;P)'!C39</f>
        <v>Ba3</v>
      </c>
      <c r="C39" s="145" t="s">
        <v>143</v>
      </c>
      <c r="D39" s="71" t="str">
        <f t="shared" si="0"/>
        <v>NA</v>
      </c>
      <c r="H39" s="55" t="s">
        <v>56</v>
      </c>
      <c r="I39" s="57">
        <v>5.6399999999999999E-2</v>
      </c>
      <c r="J39" s="27">
        <f t="shared" si="5"/>
        <v>5.3800000000000001E-2</v>
      </c>
      <c r="M39" s="57">
        <v>5.5758000000000002E-2</v>
      </c>
    </row>
    <row r="40" spans="1:13" ht="16">
      <c r="A40" s="55" t="str">
        <f>'Sovereign Ratings (Moody''s,S&amp;P)'!A40</f>
        <v>Croatia</v>
      </c>
      <c r="B40" s="70" t="str">
        <f>'Sovereign Ratings (Moody''s,S&amp;P)'!C40</f>
        <v>Ba2</v>
      </c>
      <c r="C40" s="145">
        <f t="shared" ref="C40" si="9">VLOOKUP(A40,$H$24:$J$105,2,FALSE)</f>
        <v>1.0800000000000001E-2</v>
      </c>
      <c r="D40" s="71">
        <f t="shared" si="0"/>
        <v>8.2000000000000007E-3</v>
      </c>
      <c r="H40" s="55" t="s">
        <v>98</v>
      </c>
      <c r="I40" s="57">
        <v>1.0800000000000001E-2</v>
      </c>
      <c r="J40" s="27">
        <f t="shared" si="5"/>
        <v>8.2000000000000007E-3</v>
      </c>
      <c r="M40" s="57">
        <v>1.2E-2</v>
      </c>
    </row>
    <row r="41" spans="1:13" ht="16">
      <c r="A41" s="55" t="str">
        <f>'Sovereign Ratings (Moody''s,S&amp;P)'!A41</f>
        <v>Cuba</v>
      </c>
      <c r="B41" s="70" t="str">
        <f>'Sovereign Ratings (Moody''s,S&amp;P)'!C41</f>
        <v>Caa2</v>
      </c>
      <c r="C41" s="145" t="s">
        <v>143</v>
      </c>
      <c r="D41" s="71" t="str">
        <f t="shared" si="0"/>
        <v>NA</v>
      </c>
      <c r="H41" s="55" t="s">
        <v>178</v>
      </c>
      <c r="I41" s="57">
        <v>1.18E-2</v>
      </c>
      <c r="J41" s="27">
        <f t="shared" si="5"/>
        <v>9.1999999999999998E-3</v>
      </c>
      <c r="M41" s="57">
        <v>1.3878999999999999E-2</v>
      </c>
    </row>
    <row r="42" spans="1:13" ht="16">
      <c r="A42" s="55" t="str">
        <f>'Sovereign Ratings (Moody''s,S&amp;P)'!A42</f>
        <v>Curacao</v>
      </c>
      <c r="B42" s="70" t="str">
        <f>'Sovereign Ratings (Moody''s,S&amp;P)'!C42</f>
        <v>Baa2</v>
      </c>
      <c r="C42" s="145" t="s">
        <v>143</v>
      </c>
      <c r="D42" s="71" t="str">
        <f t="shared" si="0"/>
        <v>NA</v>
      </c>
      <c r="H42" s="55" t="s">
        <v>101</v>
      </c>
      <c r="I42" s="57">
        <v>5.4999999999999997E-3</v>
      </c>
      <c r="J42" s="27">
        <f t="shared" si="5"/>
        <v>2.8999999999999998E-3</v>
      </c>
      <c r="M42" s="57">
        <v>7.306E-3</v>
      </c>
    </row>
    <row r="43" spans="1:13" ht="16">
      <c r="A43" s="55" t="str">
        <f>'Sovereign Ratings (Moody''s,S&amp;P)'!A43</f>
        <v>Cyprus</v>
      </c>
      <c r="B43" s="70" t="str">
        <f>'Sovereign Ratings (Moody''s,S&amp;P)'!C43</f>
        <v>Ba2</v>
      </c>
      <c r="C43" s="145">
        <f t="shared" ref="C43:C45" si="10">VLOOKUP(A43,$H$24:$J$105,2,FALSE)</f>
        <v>1.18E-2</v>
      </c>
      <c r="D43" s="71">
        <f t="shared" si="0"/>
        <v>9.1999999999999998E-3</v>
      </c>
      <c r="H43" s="55" t="s">
        <v>102</v>
      </c>
      <c r="I43" s="57">
        <v>2.0999999999999999E-3</v>
      </c>
      <c r="J43" s="27">
        <f t="shared" si="5"/>
        <v>0</v>
      </c>
      <c r="M43" s="57">
        <v>3.0500000000000002E-3</v>
      </c>
    </row>
    <row r="44" spans="1:13" ht="16">
      <c r="A44" s="55" t="str">
        <f>'Sovereign Ratings (Moody''s,S&amp;P)'!A44</f>
        <v>Czech Republic</v>
      </c>
      <c r="B44" s="70" t="str">
        <f>'Sovereign Ratings (Moody''s,S&amp;P)'!C44</f>
        <v>Aa3</v>
      </c>
      <c r="C44" s="145">
        <f t="shared" si="10"/>
        <v>5.4999999999999997E-3</v>
      </c>
      <c r="D44" s="71">
        <f t="shared" si="0"/>
        <v>2.8999999999999998E-3</v>
      </c>
      <c r="H44" s="55" t="s">
        <v>538</v>
      </c>
      <c r="I44" s="57">
        <v>2.12E-2</v>
      </c>
      <c r="J44" s="27">
        <f t="shared" si="5"/>
        <v>1.8599999999999998E-2</v>
      </c>
      <c r="M44" s="57">
        <v>3.3792000000000003E-2</v>
      </c>
    </row>
    <row r="45" spans="1:13" ht="16">
      <c r="A45" s="55" t="str">
        <f>'Sovereign Ratings (Moody''s,S&amp;P)'!A45</f>
        <v>Denmark</v>
      </c>
      <c r="B45" s="70" t="str">
        <f>'Sovereign Ratings (Moody''s,S&amp;P)'!C45</f>
        <v>Aaa</v>
      </c>
      <c r="C45" s="145">
        <f t="shared" si="10"/>
        <v>2.0999999999999999E-3</v>
      </c>
      <c r="D45" s="71">
        <f t="shared" si="0"/>
        <v>0</v>
      </c>
      <c r="H45" s="55" t="s">
        <v>105</v>
      </c>
      <c r="I45" s="57">
        <v>6.4000000000000001E-2</v>
      </c>
      <c r="J45" s="27">
        <f t="shared" si="5"/>
        <v>6.1400000000000003E-2</v>
      </c>
      <c r="M45" s="57">
        <v>6.8317000000000003E-2</v>
      </c>
    </row>
    <row r="46" spans="1:13" ht="16">
      <c r="A46" s="55" t="str">
        <f>'Sovereign Ratings (Moody''s,S&amp;P)'!A46</f>
        <v>Dominican Republic</v>
      </c>
      <c r="B46" s="70" t="str">
        <f>'Sovereign Ratings (Moody''s,S&amp;P)'!C46</f>
        <v>Ba3</v>
      </c>
      <c r="C46" s="145" t="s">
        <v>143</v>
      </c>
      <c r="D46" s="71" t="str">
        <f t="shared" si="0"/>
        <v>NA</v>
      </c>
      <c r="H46" s="151" t="s">
        <v>31</v>
      </c>
      <c r="I46" s="57">
        <v>8.43E-2</v>
      </c>
      <c r="J46" s="27">
        <f t="shared" si="5"/>
        <v>8.1699999999999995E-2</v>
      </c>
      <c r="M46" s="57">
        <v>7.8052999999999997E-2</v>
      </c>
    </row>
    <row r="47" spans="1:13" ht="16">
      <c r="A47" s="55" t="str">
        <f>'Sovereign Ratings (Moody''s,S&amp;P)'!A47</f>
        <v>Ecuador</v>
      </c>
      <c r="B47" s="70" t="str">
        <f>'Sovereign Ratings (Moody''s,S&amp;P)'!C47</f>
        <v>Caa3</v>
      </c>
      <c r="C47" s="145" t="s">
        <v>143</v>
      </c>
      <c r="D47" s="71" t="str">
        <f t="shared" si="0"/>
        <v>NA</v>
      </c>
      <c r="H47" s="55" t="s">
        <v>106</v>
      </c>
      <c r="I47" s="57">
        <v>7.0000000000000001E-3</v>
      </c>
      <c r="J47" s="27">
        <f t="shared" si="5"/>
        <v>4.4000000000000003E-3</v>
      </c>
      <c r="M47" s="57">
        <v>8.4499999999999992E-3</v>
      </c>
    </row>
    <row r="48" spans="1:13" ht="16">
      <c r="A48" s="55" t="str">
        <f>'Sovereign Ratings (Moody''s,S&amp;P)'!A48</f>
        <v>Egypt</v>
      </c>
      <c r="B48" s="70" t="str">
        <f>'Sovereign Ratings (Moody''s,S&amp;P)'!C48</f>
        <v>B2</v>
      </c>
      <c r="C48" s="145">
        <f t="shared" ref="C48:C50" si="11">VLOOKUP(A48,$H$24:$J$105,2,FALSE)</f>
        <v>6.4000000000000001E-2</v>
      </c>
      <c r="D48" s="71">
        <f t="shared" si="0"/>
        <v>6.1400000000000003E-2</v>
      </c>
      <c r="H48" s="55" t="s">
        <v>179</v>
      </c>
      <c r="I48" s="57">
        <v>2.7000000000000001E-3</v>
      </c>
      <c r="J48" s="27">
        <f t="shared" si="5"/>
        <v>1.0000000000000026E-4</v>
      </c>
      <c r="M48" s="57">
        <v>3.5700000000000003E-3</v>
      </c>
    </row>
    <row r="49" spans="1:13" ht="16">
      <c r="A49" s="55" t="str">
        <f>'Sovereign Ratings (Moody''s,S&amp;P)'!A49</f>
        <v>El Salvador</v>
      </c>
      <c r="B49" s="70" t="str">
        <f>'Sovereign Ratings (Moody''s,S&amp;P)'!C49</f>
        <v>B3</v>
      </c>
      <c r="C49" s="145">
        <f t="shared" si="11"/>
        <v>8.43E-2</v>
      </c>
      <c r="D49" s="71">
        <f t="shared" si="0"/>
        <v>8.1699999999999995E-2</v>
      </c>
      <c r="H49" s="55" t="s">
        <v>180</v>
      </c>
      <c r="I49" s="57">
        <v>3.8E-3</v>
      </c>
      <c r="J49" s="27">
        <f t="shared" si="5"/>
        <v>1.2000000000000001E-3</v>
      </c>
      <c r="M49" s="57">
        <v>6.1460000000000004E-3</v>
      </c>
    </row>
    <row r="50" spans="1:13" ht="16">
      <c r="A50" s="55" t="str">
        <f>'Sovereign Ratings (Moody''s,S&amp;P)'!A50</f>
        <v>Estonia</v>
      </c>
      <c r="B50" s="70" t="str">
        <f>'Sovereign Ratings (Moody''s,S&amp;P)'!C50</f>
        <v>A1</v>
      </c>
      <c r="C50" s="145">
        <f t="shared" si="11"/>
        <v>7.0000000000000001E-3</v>
      </c>
      <c r="D50" s="71">
        <f t="shared" si="0"/>
        <v>4.4000000000000003E-3</v>
      </c>
      <c r="H50" s="55" t="s">
        <v>181</v>
      </c>
      <c r="I50" s="57">
        <v>2.5999999999999999E-3</v>
      </c>
      <c r="J50" s="27">
        <f t="shared" si="5"/>
        <v>0</v>
      </c>
      <c r="M50" s="57">
        <v>3.6189999999999998E-3</v>
      </c>
    </row>
    <row r="51" spans="1:13" ht="16">
      <c r="A51" s="55" t="str">
        <f>'Sovereign Ratings (Moody''s,S&amp;P)'!A51</f>
        <v>Ethiopia</v>
      </c>
      <c r="B51" s="70" t="str">
        <f>'Sovereign Ratings (Moody''s,S&amp;P)'!C51</f>
        <v>B2</v>
      </c>
      <c r="C51" s="145" t="s">
        <v>143</v>
      </c>
      <c r="D51" s="71" t="str">
        <f t="shared" si="0"/>
        <v>NA</v>
      </c>
      <c r="H51" s="55" t="s">
        <v>182</v>
      </c>
      <c r="I51" s="57">
        <v>1.9300000000000001E-2</v>
      </c>
      <c r="J51" s="27">
        <f t="shared" si="5"/>
        <v>1.67E-2</v>
      </c>
      <c r="M51" s="57">
        <v>2.3188E-2</v>
      </c>
    </row>
    <row r="52" spans="1:13" ht="16">
      <c r="A52" s="55" t="str">
        <f>'Sovereign Ratings (Moody''s,S&amp;P)'!A52</f>
        <v>Fiji</v>
      </c>
      <c r="B52" s="70" t="str">
        <f>'Sovereign Ratings (Moody''s,S&amp;P)'!C52</f>
        <v>Ba3</v>
      </c>
      <c r="C52" s="145" t="s">
        <v>143</v>
      </c>
      <c r="D52" s="71" t="str">
        <f t="shared" si="0"/>
        <v>NA</v>
      </c>
      <c r="H52" s="151" t="s">
        <v>550</v>
      </c>
      <c r="I52" s="57">
        <v>3.6700000000000003E-2</v>
      </c>
      <c r="J52" s="27">
        <f t="shared" si="5"/>
        <v>3.4100000000000005E-2</v>
      </c>
      <c r="M52" s="57">
        <v>4.2686000000000002E-2</v>
      </c>
    </row>
    <row r="53" spans="1:13" ht="16">
      <c r="A53" s="55" t="str">
        <f>'Sovereign Ratings (Moody''s,S&amp;P)'!A53</f>
        <v>Finland</v>
      </c>
      <c r="B53" s="70" t="str">
        <f>'Sovereign Ratings (Moody''s,S&amp;P)'!C53</f>
        <v>Aa1</v>
      </c>
      <c r="C53" s="145">
        <f t="shared" ref="C53:C54" si="12">VLOOKUP(A53,$H$24:$J$105,2,FALSE)</f>
        <v>2.7000000000000001E-3</v>
      </c>
      <c r="D53" s="71">
        <f t="shared" si="0"/>
        <v>1.0000000000000026E-4</v>
      </c>
      <c r="H53" s="55" t="s">
        <v>59</v>
      </c>
      <c r="I53" s="57">
        <v>7.6E-3</v>
      </c>
      <c r="J53" s="27">
        <f t="shared" si="5"/>
        <v>5.0000000000000001E-3</v>
      </c>
      <c r="M53" s="57">
        <v>6.5870000000000008E-3</v>
      </c>
    </row>
    <row r="54" spans="1:13" ht="16">
      <c r="A54" s="55" t="str">
        <f>'Sovereign Ratings (Moody''s,S&amp;P)'!A54</f>
        <v>France</v>
      </c>
      <c r="B54" s="70" t="str">
        <f>'Sovereign Ratings (Moody''s,S&amp;P)'!C54</f>
        <v>Aa2</v>
      </c>
      <c r="C54" s="145">
        <f t="shared" si="12"/>
        <v>3.8E-3</v>
      </c>
      <c r="D54" s="71">
        <f t="shared" si="0"/>
        <v>1.2000000000000001E-3</v>
      </c>
      <c r="H54" s="55" t="s">
        <v>109</v>
      </c>
      <c r="I54" s="57">
        <v>1.11E-2</v>
      </c>
      <c r="J54" s="27">
        <f t="shared" si="5"/>
        <v>8.5000000000000006E-3</v>
      </c>
      <c r="M54" s="57">
        <v>1.1882999999999999E-2</v>
      </c>
    </row>
    <row r="55" spans="1:13" ht="16">
      <c r="A55" s="55" t="str">
        <f>'Sovereign Ratings (Moody''s,S&amp;P)'!A55</f>
        <v>Gabon</v>
      </c>
      <c r="B55" s="70" t="str">
        <f>'Sovereign Ratings (Moody''s,S&amp;P)'!C55</f>
        <v>Caa1</v>
      </c>
      <c r="C55" s="145" t="s">
        <v>143</v>
      </c>
      <c r="D55" s="71" t="str">
        <f t="shared" si="0"/>
        <v>NA</v>
      </c>
      <c r="H55" s="55" t="s">
        <v>110</v>
      </c>
      <c r="I55" s="57">
        <v>9.7999999999999997E-3</v>
      </c>
      <c r="J55" s="27">
        <f t="shared" si="5"/>
        <v>7.1999999999999998E-3</v>
      </c>
      <c r="M55" s="57">
        <v>9.9109999999999997E-3</v>
      </c>
    </row>
    <row r="56" spans="1:13" ht="16">
      <c r="A56" s="55" t="str">
        <f>'Sovereign Ratings (Moody''s,S&amp;P)'!A56</f>
        <v>Georgia</v>
      </c>
      <c r="B56" s="70" t="str">
        <f>'Sovereign Ratings (Moody''s,S&amp;P)'!C56</f>
        <v>Ba2</v>
      </c>
      <c r="C56" s="145" t="s">
        <v>143</v>
      </c>
      <c r="D56" s="71" t="str">
        <f t="shared" si="0"/>
        <v>NA</v>
      </c>
      <c r="H56" s="55" t="s">
        <v>111</v>
      </c>
      <c r="I56" s="57">
        <v>1.6899999999999998E-2</v>
      </c>
      <c r="J56" s="27">
        <f t="shared" si="5"/>
        <v>1.4299999999999998E-2</v>
      </c>
      <c r="M56" s="57">
        <v>3.0117000000000001E-2</v>
      </c>
    </row>
    <row r="57" spans="1:13" ht="16">
      <c r="A57" s="55" t="str">
        <f>'Sovereign Ratings (Moody''s,S&amp;P)'!A57</f>
        <v>Germany</v>
      </c>
      <c r="B57" s="70" t="str">
        <f>'Sovereign Ratings (Moody''s,S&amp;P)'!C57</f>
        <v>Aaa</v>
      </c>
      <c r="C57" s="145">
        <f t="shared" ref="C57" si="13">VLOOKUP(A57,$H$24:$J$105,2,FALSE)</f>
        <v>2.5999999999999999E-3</v>
      </c>
      <c r="D57" s="71">
        <f t="shared" si="0"/>
        <v>0</v>
      </c>
      <c r="H57" s="55" t="s">
        <v>112</v>
      </c>
      <c r="I57" s="57">
        <v>1.8700000000000001E-2</v>
      </c>
      <c r="J57" s="27">
        <f t="shared" si="5"/>
        <v>1.6100000000000003E-2</v>
      </c>
      <c r="M57" s="57">
        <v>3.0987000000000001E-2</v>
      </c>
    </row>
    <row r="58" spans="1:13" ht="16">
      <c r="A58" s="55" t="str">
        <f>'Sovereign Ratings (Moody''s,S&amp;P)'!A58</f>
        <v>Ghana</v>
      </c>
      <c r="B58" s="70" t="str">
        <f>'Sovereign Ratings (Moody''s,S&amp;P)'!C58</f>
        <v>B3</v>
      </c>
      <c r="C58" s="145" t="s">
        <v>143</v>
      </c>
      <c r="D58" s="71" t="str">
        <f t="shared" si="0"/>
        <v>NA</v>
      </c>
      <c r="H58" s="151" t="s">
        <v>332</v>
      </c>
      <c r="I58" s="57">
        <v>8.5900000000000004E-2</v>
      </c>
      <c r="J58" s="27">
        <f t="shared" si="5"/>
        <v>8.3299999999999999E-2</v>
      </c>
      <c r="M58" s="57">
        <v>9.9683000000000008E-2</v>
      </c>
    </row>
    <row r="59" spans="1:13" ht="16">
      <c r="A59" s="55" t="str">
        <f>'Sovereign Ratings (Moody''s,S&amp;P)'!A59</f>
        <v>Greece</v>
      </c>
      <c r="B59" s="70" t="str">
        <f>'Sovereign Ratings (Moody''s,S&amp;P)'!C59</f>
        <v>B1</v>
      </c>
      <c r="C59" s="145">
        <f t="shared" ref="C59" si="14">VLOOKUP(A59,$H$24:$J$105,2,FALSE)</f>
        <v>1.9300000000000001E-2</v>
      </c>
      <c r="D59" s="71">
        <f t="shared" si="0"/>
        <v>1.67E-2</v>
      </c>
      <c r="H59" s="55" t="s">
        <v>183</v>
      </c>
      <c r="I59" s="57">
        <v>4.3E-3</v>
      </c>
      <c r="J59" s="27">
        <f t="shared" si="5"/>
        <v>1.7000000000000001E-3</v>
      </c>
      <c r="M59" s="57">
        <v>6.7620000000000006E-3</v>
      </c>
    </row>
    <row r="60" spans="1:13" ht="16">
      <c r="A60" s="55" t="str">
        <f>'Sovereign Ratings (Moody''s,S&amp;P)'!A60</f>
        <v>Guatemala</v>
      </c>
      <c r="B60" s="70" t="str">
        <f>'Sovereign Ratings (Moody''s,S&amp;P)'!C60</f>
        <v>Ba1</v>
      </c>
      <c r="C60" s="145" t="s">
        <v>143</v>
      </c>
      <c r="D60" s="71" t="str">
        <f t="shared" si="0"/>
        <v>NA</v>
      </c>
      <c r="H60" s="55" t="s">
        <v>114</v>
      </c>
      <c r="I60" s="57">
        <v>8.6E-3</v>
      </c>
      <c r="J60" s="27">
        <f t="shared" si="5"/>
        <v>6.0000000000000001E-3</v>
      </c>
      <c r="M60" s="57">
        <v>1.1045999999999999E-2</v>
      </c>
    </row>
    <row r="61" spans="1:13" ht="16">
      <c r="A61" s="55" t="str">
        <f>'Sovereign Ratings (Moody''s,S&amp;P)'!A61</f>
        <v>Guernsey (States of)</v>
      </c>
      <c r="B61" s="70" t="str">
        <f>'Sovereign Ratings (Moody''s,S&amp;P)'!C61</f>
        <v>Aa3</v>
      </c>
      <c r="C61" s="145" t="s">
        <v>143</v>
      </c>
      <c r="D61" s="71" t="str">
        <f t="shared" si="0"/>
        <v>NA</v>
      </c>
      <c r="H61" s="55" t="s">
        <v>145</v>
      </c>
      <c r="I61" s="57">
        <v>1.9699999999999999E-2</v>
      </c>
      <c r="J61" s="27">
        <f t="shared" si="5"/>
        <v>1.7099999999999997E-2</v>
      </c>
      <c r="M61" s="57">
        <v>2.2974000000000001E-2</v>
      </c>
    </row>
    <row r="62" spans="1:13" ht="16">
      <c r="A62" s="55" t="str">
        <f>'Sovereign Ratings (Moody''s,S&amp;P)'!A62</f>
        <v>Honduras</v>
      </c>
      <c r="B62" s="70" t="str">
        <f>'Sovereign Ratings (Moody''s,S&amp;P)'!C62</f>
        <v>B1</v>
      </c>
      <c r="C62" s="145" t="s">
        <v>143</v>
      </c>
      <c r="D62" s="71" t="str">
        <f t="shared" si="0"/>
        <v>NA</v>
      </c>
      <c r="H62" s="55" t="s">
        <v>116</v>
      </c>
      <c r="I62" s="57">
        <v>2.8999999999999998E-3</v>
      </c>
      <c r="J62" s="27">
        <f t="shared" si="5"/>
        <v>2.9999999999999992E-4</v>
      </c>
      <c r="M62" s="57">
        <v>7.8890000000000002E-3</v>
      </c>
    </row>
    <row r="63" spans="1:13" ht="16">
      <c r="A63" s="55" t="str">
        <f>'Sovereign Ratings (Moody''s,S&amp;P)'!A63</f>
        <v>Hong Kong</v>
      </c>
      <c r="B63" s="70" t="str">
        <f>'Sovereign Ratings (Moody''s,S&amp;P)'!C63</f>
        <v>Aa3</v>
      </c>
      <c r="C63" s="145">
        <f t="shared" ref="C63:C69" si="15">VLOOKUP(A63,$H$24:$J$105,2,FALSE)</f>
        <v>7.6E-3</v>
      </c>
      <c r="D63" s="71">
        <f t="shared" si="0"/>
        <v>5.0000000000000001E-3</v>
      </c>
      <c r="H63" s="55" t="s">
        <v>118</v>
      </c>
      <c r="I63" s="57">
        <v>1.5699999999999999E-2</v>
      </c>
      <c r="J63" s="27">
        <f t="shared" si="5"/>
        <v>1.3099999999999999E-2</v>
      </c>
      <c r="M63" s="57">
        <v>1.7731E-2</v>
      </c>
    </row>
    <row r="64" spans="1:13" ht="16">
      <c r="A64" s="55" t="str">
        <f>'Sovereign Ratings (Moody''s,S&amp;P)'!A64</f>
        <v>Hungary</v>
      </c>
      <c r="B64" s="70" t="str">
        <f>'Sovereign Ratings (Moody''s,S&amp;P)'!C64</f>
        <v>Baa3</v>
      </c>
      <c r="C64" s="145">
        <f t="shared" si="15"/>
        <v>1.11E-2</v>
      </c>
      <c r="D64" s="71">
        <f t="shared" si="0"/>
        <v>8.5000000000000006E-3</v>
      </c>
      <c r="H64" s="151" t="s">
        <v>184</v>
      </c>
      <c r="I64" s="57">
        <v>6.2100000000000002E-2</v>
      </c>
      <c r="J64" s="27">
        <f t="shared" si="5"/>
        <v>5.9500000000000004E-2</v>
      </c>
      <c r="M64" s="57">
        <v>7.2930999999999996E-2</v>
      </c>
    </row>
    <row r="65" spans="1:13" ht="16">
      <c r="A65" s="55" t="str">
        <f>'Sovereign Ratings (Moody''s,S&amp;P)'!A65</f>
        <v>Iceland</v>
      </c>
      <c r="B65" s="70" t="str">
        <f>'Sovereign Ratings (Moody''s,S&amp;P)'!C65</f>
        <v>A2</v>
      </c>
      <c r="C65" s="145">
        <f t="shared" si="15"/>
        <v>9.7999999999999997E-3</v>
      </c>
      <c r="D65" s="71">
        <f t="shared" si="0"/>
        <v>7.1999999999999998E-3</v>
      </c>
      <c r="H65" s="55" t="s">
        <v>119</v>
      </c>
      <c r="I65" s="57">
        <v>4.4999999999999997E-3</v>
      </c>
      <c r="J65" s="27">
        <f t="shared" si="5"/>
        <v>1.8999999999999998E-3</v>
      </c>
      <c r="M65" s="57">
        <v>6.8859999999999998E-3</v>
      </c>
    </row>
    <row r="66" spans="1:13" ht="16">
      <c r="A66" s="55" t="str">
        <f>'Sovereign Ratings (Moody''s,S&amp;P)'!A66</f>
        <v>India</v>
      </c>
      <c r="B66" s="70" t="str">
        <f>'Sovereign Ratings (Moody''s,S&amp;P)'!C66</f>
        <v>Baa3</v>
      </c>
      <c r="C66" s="145">
        <f t="shared" si="15"/>
        <v>1.6899999999999998E-2</v>
      </c>
      <c r="D66" s="71">
        <f t="shared" ref="D66:D129" si="16">IF(C66="NA","NA",IF(C66&gt;$C$153,C66-$C$153,0))</f>
        <v>1.4299999999999998E-2</v>
      </c>
      <c r="H66" s="55" t="s">
        <v>120</v>
      </c>
      <c r="I66" s="57">
        <v>1.14E-2</v>
      </c>
      <c r="J66" s="27">
        <f t="shared" si="5"/>
        <v>8.8000000000000005E-3</v>
      </c>
      <c r="M66" s="57">
        <v>1.7715000000000002E-2</v>
      </c>
    </row>
    <row r="67" spans="1:13" ht="16">
      <c r="A67" s="55" t="str">
        <f>'Sovereign Ratings (Moody''s,S&amp;P)'!A67</f>
        <v>Indonesia</v>
      </c>
      <c r="B67" s="70" t="str">
        <f>'Sovereign Ratings (Moody''s,S&amp;P)'!C67</f>
        <v>Baa2</v>
      </c>
      <c r="C67" s="145">
        <f t="shared" si="15"/>
        <v>1.8700000000000001E-2</v>
      </c>
      <c r="D67" s="71">
        <f t="shared" si="16"/>
        <v>1.6100000000000003E-2</v>
      </c>
      <c r="H67" s="55" t="s">
        <v>121</v>
      </c>
      <c r="I67" s="57">
        <v>9.7000000000000003E-3</v>
      </c>
      <c r="J67" s="27">
        <f t="shared" si="5"/>
        <v>7.1000000000000004E-3</v>
      </c>
      <c r="M67" s="57">
        <v>1.0323000000000001E-2</v>
      </c>
    </row>
    <row r="68" spans="1:13" ht="16">
      <c r="A68" s="55" t="str">
        <f>'Sovereign Ratings (Moody''s,S&amp;P)'!A68</f>
        <v>Iraq</v>
      </c>
      <c r="B68" s="70" t="str">
        <f>'Sovereign Ratings (Moody''s,S&amp;P)'!C68</f>
        <v>Caa1</v>
      </c>
      <c r="C68" s="145">
        <f t="shared" si="15"/>
        <v>8.5900000000000004E-2</v>
      </c>
      <c r="D68" s="71">
        <f t="shared" si="16"/>
        <v>8.3299999999999999E-2</v>
      </c>
      <c r="H68" s="55" t="s">
        <v>122</v>
      </c>
      <c r="I68" s="57" t="s">
        <v>143</v>
      </c>
      <c r="J68" s="27" t="s">
        <v>143</v>
      </c>
      <c r="M68" s="57" t="s">
        <v>143</v>
      </c>
    </row>
    <row r="69" spans="1:13" ht="16">
      <c r="A69" s="55" t="str">
        <f>'Sovereign Ratings (Moody''s,S&amp;P)'!A69</f>
        <v>Ireland</v>
      </c>
      <c r="B69" s="70" t="str">
        <f>'Sovereign Ratings (Moody''s,S&amp;P)'!C69</f>
        <v>A2</v>
      </c>
      <c r="C69" s="145">
        <f t="shared" si="15"/>
        <v>4.3E-3</v>
      </c>
      <c r="D69" s="71">
        <f t="shared" si="16"/>
        <v>1.7000000000000001E-3</v>
      </c>
      <c r="H69" s="55" t="s">
        <v>13</v>
      </c>
      <c r="I69" s="57">
        <v>8.8999999999999999E-3</v>
      </c>
      <c r="J69" s="27">
        <f t="shared" si="5"/>
        <v>6.3E-3</v>
      </c>
      <c r="M69" s="57">
        <v>9.4409999999999997E-3</v>
      </c>
    </row>
    <row r="70" spans="1:13" ht="16">
      <c r="A70" s="55" t="str">
        <f>'Sovereign Ratings (Moody''s,S&amp;P)'!A70</f>
        <v>Isle of Man</v>
      </c>
      <c r="B70" s="70" t="str">
        <f>'Sovereign Ratings (Moody''s,S&amp;P)'!C70</f>
        <v>Aa2</v>
      </c>
      <c r="C70" s="145" t="s">
        <v>143</v>
      </c>
      <c r="D70" s="71" t="str">
        <f t="shared" si="16"/>
        <v>NA</v>
      </c>
      <c r="H70" s="55" t="s">
        <v>14</v>
      </c>
      <c r="I70" s="57">
        <v>1.11E-2</v>
      </c>
      <c r="J70" s="27">
        <f t="shared" si="5"/>
        <v>8.5000000000000006E-3</v>
      </c>
      <c r="M70" s="57">
        <v>1.7649999999999999E-2</v>
      </c>
    </row>
    <row r="71" spans="1:13" ht="16">
      <c r="A71" s="55" t="str">
        <f>'Sovereign Ratings (Moody''s,S&amp;P)'!A71</f>
        <v>Israel</v>
      </c>
      <c r="B71" s="70" t="str">
        <f>'Sovereign Ratings (Moody''s,S&amp;P)'!C71</f>
        <v>A1</v>
      </c>
      <c r="C71" s="145">
        <f t="shared" ref="C71:C72" si="17">VLOOKUP(A71,$H$24:$J$105,2,FALSE)</f>
        <v>8.6E-3</v>
      </c>
      <c r="D71" s="71">
        <f t="shared" si="16"/>
        <v>6.0000000000000001E-3</v>
      </c>
      <c r="H71" s="55" t="s">
        <v>16</v>
      </c>
      <c r="I71" s="57">
        <v>2.0299999999999999E-2</v>
      </c>
      <c r="J71" s="27">
        <f t="shared" si="5"/>
        <v>1.77E-2</v>
      </c>
      <c r="M71" s="57">
        <v>3.0014999999999997E-2</v>
      </c>
    </row>
    <row r="72" spans="1:13" ht="16">
      <c r="A72" s="55" t="str">
        <f>'Sovereign Ratings (Moody''s,S&amp;P)'!A72</f>
        <v>Italy</v>
      </c>
      <c r="B72" s="70" t="str">
        <f>'Sovereign Ratings (Moody''s,S&amp;P)'!C72</f>
        <v>Baa3</v>
      </c>
      <c r="C72" s="145">
        <f t="shared" si="17"/>
        <v>1.9699999999999999E-2</v>
      </c>
      <c r="D72" s="71">
        <f t="shared" si="16"/>
        <v>1.7099999999999997E-2</v>
      </c>
      <c r="H72" s="55" t="s">
        <v>18</v>
      </c>
      <c r="I72" s="57">
        <v>1.77E-2</v>
      </c>
      <c r="J72" s="27">
        <f t="shared" si="5"/>
        <v>1.5100000000000001E-2</v>
      </c>
      <c r="M72" s="57">
        <v>2.8104000000000001E-2</v>
      </c>
    </row>
    <row r="73" spans="1:13" ht="16">
      <c r="A73" s="55" t="str">
        <f>'Sovereign Ratings (Moody''s,S&amp;P)'!A73</f>
        <v>Jamaica</v>
      </c>
      <c r="B73" s="70" t="str">
        <f>'Sovereign Ratings (Moody''s,S&amp;P)'!C73</f>
        <v>B2</v>
      </c>
      <c r="C73" s="145" t="s">
        <v>143</v>
      </c>
      <c r="D73" s="71" t="str">
        <f t="shared" si="16"/>
        <v>NA</v>
      </c>
      <c r="H73" s="55" t="s">
        <v>187</v>
      </c>
      <c r="I73" s="57">
        <v>2.2000000000000001E-3</v>
      </c>
      <c r="J73" s="27">
        <f t="shared" si="5"/>
        <v>0</v>
      </c>
      <c r="M73" s="57">
        <v>3.3590000000000004E-3</v>
      </c>
    </row>
    <row r="74" spans="1:13" ht="16">
      <c r="A74" s="55" t="str">
        <f>'Sovereign Ratings (Moody''s,S&amp;P)'!A74</f>
        <v>Japan</v>
      </c>
      <c r="B74" s="70" t="str">
        <f>'Sovereign Ratings (Moody''s,S&amp;P)'!C74</f>
        <v>A1</v>
      </c>
      <c r="C74" s="145">
        <f t="shared" ref="C74" si="18">VLOOKUP(A74,$H$24:$J$105,2,FALSE)</f>
        <v>2.8999999999999998E-3</v>
      </c>
      <c r="D74" s="71">
        <f t="shared" si="16"/>
        <v>2.9999999999999992E-4</v>
      </c>
      <c r="H74" s="55" t="s">
        <v>21</v>
      </c>
      <c r="I74" s="57">
        <v>3.3999999999999998E-3</v>
      </c>
      <c r="J74" s="27">
        <f t="shared" si="5"/>
        <v>7.9999999999999993E-4</v>
      </c>
      <c r="M74" s="57">
        <v>6.5719999999999997E-3</v>
      </c>
    </row>
    <row r="75" spans="1:13" ht="16">
      <c r="A75" s="55" t="str">
        <f>'Sovereign Ratings (Moody''s,S&amp;P)'!A75</f>
        <v>Jersey (States of)</v>
      </c>
      <c r="B75" s="70" t="str">
        <f>'Sovereign Ratings (Moody''s,S&amp;P)'!C75</f>
        <v>Aa3</v>
      </c>
      <c r="C75" s="145" t="s">
        <v>143</v>
      </c>
      <c r="D75" s="71" t="str">
        <f t="shared" si="16"/>
        <v>NA</v>
      </c>
      <c r="H75" s="55" t="s">
        <v>188</v>
      </c>
      <c r="I75" s="57">
        <v>6.3200000000000006E-2</v>
      </c>
      <c r="J75" s="27">
        <f t="shared" si="5"/>
        <v>6.0600000000000008E-2</v>
      </c>
      <c r="M75" s="57">
        <v>9.9833000000000005E-2</v>
      </c>
    </row>
    <row r="76" spans="1:13" ht="16">
      <c r="A76" s="55" t="str">
        <f>'Sovereign Ratings (Moody''s,S&amp;P)'!A76</f>
        <v>Jordan</v>
      </c>
      <c r="B76" s="70" t="str">
        <f>'Sovereign Ratings (Moody''s,S&amp;P)'!C76</f>
        <v>B1</v>
      </c>
      <c r="C76" s="145" t="s">
        <v>143</v>
      </c>
      <c r="D76" s="71" t="str">
        <f t="shared" si="16"/>
        <v>NA</v>
      </c>
      <c r="H76" s="55" t="s">
        <v>23</v>
      </c>
      <c r="I76" s="57">
        <v>2.5000000000000001E-3</v>
      </c>
      <c r="J76" s="27">
        <f t="shared" si="5"/>
        <v>0</v>
      </c>
      <c r="M76" s="57">
        <v>3.3319999999999999E-3</v>
      </c>
    </row>
    <row r="77" spans="1:13" ht="16">
      <c r="A77" s="55" t="str">
        <f>'Sovereign Ratings (Moody''s,S&amp;P)'!A77</f>
        <v>Kazakhstan</v>
      </c>
      <c r="B77" s="70" t="str">
        <f>'Sovereign Ratings (Moody''s,S&amp;P)'!C77</f>
        <v>Baa3</v>
      </c>
      <c r="C77" s="145">
        <f t="shared" ref="C77:C80" si="19">VLOOKUP(A77,$H$24:$J$105,2,FALSE)</f>
        <v>1.5699999999999999E-2</v>
      </c>
      <c r="D77" s="71">
        <f t="shared" si="16"/>
        <v>1.3099999999999999E-2</v>
      </c>
      <c r="H77" s="151" t="s">
        <v>24</v>
      </c>
      <c r="I77" s="57">
        <v>5.0999999999999997E-2</v>
      </c>
      <c r="J77" s="27">
        <f t="shared" si="5"/>
        <v>4.8399999999999999E-2</v>
      </c>
      <c r="M77" s="57">
        <v>7.0927000000000004E-2</v>
      </c>
    </row>
    <row r="78" spans="1:13" ht="16">
      <c r="A78" s="55" t="str">
        <f>'Sovereign Ratings (Moody''s,S&amp;P)'!A78</f>
        <v>Kenya</v>
      </c>
      <c r="B78" s="70" t="str">
        <f>'Sovereign Ratings (Moody''s,S&amp;P)'!C78</f>
        <v>B2</v>
      </c>
      <c r="C78" s="145">
        <f t="shared" si="19"/>
        <v>6.2100000000000002E-2</v>
      </c>
      <c r="D78" s="71">
        <f t="shared" si="16"/>
        <v>5.9500000000000004E-2</v>
      </c>
      <c r="H78" s="55" t="s">
        <v>25</v>
      </c>
      <c r="I78" s="57">
        <v>5.6399999999999999E-2</v>
      </c>
      <c r="J78" s="27">
        <f t="shared" si="5"/>
        <v>5.3800000000000001E-2</v>
      </c>
      <c r="M78" s="57">
        <v>6.9338999999999998E-2</v>
      </c>
    </row>
    <row r="79" spans="1:13" ht="16">
      <c r="A79" s="55" t="str">
        <f>'Sovereign Ratings (Moody''s,S&amp;P)'!A79</f>
        <v>Korea</v>
      </c>
      <c r="B79" s="70" t="str">
        <f>'Sovereign Ratings (Moody''s,S&amp;P)'!C79</f>
        <v>Aa2</v>
      </c>
      <c r="C79" s="145">
        <f t="shared" si="19"/>
        <v>4.4999999999999997E-3</v>
      </c>
      <c r="D79" s="71">
        <f t="shared" si="16"/>
        <v>1.8999999999999998E-3</v>
      </c>
      <c r="H79" s="55" t="s">
        <v>26</v>
      </c>
      <c r="I79" s="57">
        <v>1.5100000000000001E-2</v>
      </c>
      <c r="J79" s="27">
        <f t="shared" si="5"/>
        <v>1.2500000000000001E-2</v>
      </c>
      <c r="M79" s="57">
        <v>1.8312000000000002E-2</v>
      </c>
    </row>
    <row r="80" spans="1:13" ht="16">
      <c r="A80" s="55" t="str">
        <f>'Sovereign Ratings (Moody''s,S&amp;P)'!A80</f>
        <v>Kuwait</v>
      </c>
      <c r="B80" s="70" t="str">
        <f>'Sovereign Ratings (Moody''s,S&amp;P)'!C80</f>
        <v>Aa2</v>
      </c>
      <c r="C80" s="145">
        <f t="shared" si="19"/>
        <v>1.14E-2</v>
      </c>
      <c r="D80" s="71">
        <f t="shared" si="16"/>
        <v>8.8000000000000005E-3</v>
      </c>
      <c r="H80" s="55" t="s">
        <v>28</v>
      </c>
      <c r="I80" s="57">
        <v>1.3100000000000001E-2</v>
      </c>
      <c r="J80" s="27">
        <f t="shared" si="5"/>
        <v>1.0500000000000001E-2</v>
      </c>
      <c r="M80" s="57">
        <v>1.7080999999999999E-2</v>
      </c>
    </row>
    <row r="81" spans="1:13" ht="16">
      <c r="A81" s="55" t="str">
        <f>'Sovereign Ratings (Moody''s,S&amp;P)'!A81</f>
        <v>Kyrgyzstan</v>
      </c>
      <c r="B81" s="70" t="str">
        <f>'Sovereign Ratings (Moody''s,S&amp;P)'!C81</f>
        <v>B2</v>
      </c>
      <c r="C81" s="145" t="s">
        <v>143</v>
      </c>
      <c r="D81" s="71" t="str">
        <f t="shared" si="16"/>
        <v>NA</v>
      </c>
      <c r="H81" s="55" t="s">
        <v>29</v>
      </c>
      <c r="I81" s="57">
        <v>9.9000000000000008E-3</v>
      </c>
      <c r="J81" s="27">
        <f t="shared" si="5"/>
        <v>7.3000000000000009E-3</v>
      </c>
      <c r="M81" s="57">
        <v>1.8141999999999998E-2</v>
      </c>
    </row>
    <row r="82" spans="1:13" ht="16">
      <c r="A82" s="55" t="str">
        <f>'Sovereign Ratings (Moody''s,S&amp;P)'!A82</f>
        <v>Laos</v>
      </c>
      <c r="B82" s="70" t="str">
        <f>'Sovereign Ratings (Moody''s,S&amp;P)'!C82</f>
        <v>B3</v>
      </c>
      <c r="C82" s="145" t="s">
        <v>143</v>
      </c>
      <c r="D82" s="71" t="str">
        <f t="shared" si="16"/>
        <v>NA</v>
      </c>
      <c r="H82" s="55" t="s">
        <v>30</v>
      </c>
      <c r="I82" s="57">
        <v>8.9999999999999993E-3</v>
      </c>
      <c r="J82" s="27">
        <f t="shared" si="5"/>
        <v>6.3999999999999994E-3</v>
      </c>
      <c r="M82" s="57">
        <v>9.4769999999999993E-3</v>
      </c>
    </row>
    <row r="83" spans="1:13" ht="16">
      <c r="A83" s="55" t="str">
        <f>'Sovereign Ratings (Moody''s,S&amp;P)'!A83</f>
        <v>Latvia</v>
      </c>
      <c r="B83" s="70" t="str">
        <f>'Sovereign Ratings (Moody''s,S&amp;P)'!C83</f>
        <v>A3</v>
      </c>
      <c r="C83" s="145">
        <f t="shared" ref="C83" si="20">VLOOKUP(A83,$H$24:$J$105,2,FALSE)</f>
        <v>9.7000000000000003E-3</v>
      </c>
      <c r="D83" s="71">
        <f t="shared" si="16"/>
        <v>7.1000000000000004E-3</v>
      </c>
      <c r="H83" s="55" t="s">
        <v>189</v>
      </c>
      <c r="I83" s="57">
        <v>9.1999999999999998E-3</v>
      </c>
      <c r="J83" s="27">
        <f t="shared" si="5"/>
        <v>6.6E-3</v>
      </c>
      <c r="M83" s="57">
        <v>1.3124E-2</v>
      </c>
    </row>
    <row r="84" spans="1:13" ht="16">
      <c r="A84" s="55" t="str">
        <f>'Sovereign Ratings (Moody''s,S&amp;P)'!A84</f>
        <v>Lebanon</v>
      </c>
      <c r="B84" s="70" t="str">
        <f>'Sovereign Ratings (Moody''s,S&amp;P)'!C84</f>
        <v>Ca</v>
      </c>
      <c r="C84" s="145" t="s">
        <v>143</v>
      </c>
      <c r="D84" s="71" t="str">
        <f t="shared" si="16"/>
        <v>NA</v>
      </c>
      <c r="H84" s="55" t="s">
        <v>74</v>
      </c>
      <c r="I84" s="57">
        <v>9.7999999999999997E-3</v>
      </c>
      <c r="J84" s="27">
        <f t="shared" si="5"/>
        <v>7.1999999999999998E-3</v>
      </c>
      <c r="M84" s="57">
        <v>1.8294000000000001E-2</v>
      </c>
    </row>
    <row r="85" spans="1:13" ht="16">
      <c r="A85" s="55" t="str">
        <f>'Sovereign Ratings (Moody''s,S&amp;P)'!A85</f>
        <v>Liechtenstein</v>
      </c>
      <c r="B85" s="70" t="str">
        <f>'Sovereign Ratings (Moody''s,S&amp;P)'!C85</f>
        <v>Aaa</v>
      </c>
      <c r="C85" s="145" t="s">
        <v>143</v>
      </c>
      <c r="D85" s="71" t="str">
        <f t="shared" si="16"/>
        <v>NA</v>
      </c>
      <c r="H85" s="55" t="s">
        <v>0</v>
      </c>
      <c r="I85" s="57">
        <v>1.8700000000000001E-2</v>
      </c>
      <c r="J85" s="27">
        <f t="shared" si="5"/>
        <v>1.6100000000000003E-2</v>
      </c>
      <c r="M85" s="57">
        <v>1.7062000000000001E-2</v>
      </c>
    </row>
    <row r="86" spans="1:13" ht="16">
      <c r="A86" s="55" t="str">
        <f>'Sovereign Ratings (Moody''s,S&amp;P)'!A86</f>
        <v>Lithuania</v>
      </c>
      <c r="B86" s="70" t="str">
        <f>'Sovereign Ratings (Moody''s,S&amp;P)'!C86</f>
        <v>A3</v>
      </c>
      <c r="C86" s="145">
        <f t="shared" ref="C86" si="21">VLOOKUP(A86,$H$24:$J$105,2,FALSE)</f>
        <v>8.8999999999999999E-3</v>
      </c>
      <c r="D86" s="71">
        <f t="shared" si="16"/>
        <v>6.3E-3</v>
      </c>
      <c r="H86" s="55" t="s">
        <v>1</v>
      </c>
      <c r="I86" s="57">
        <v>1.52E-2</v>
      </c>
      <c r="J86" s="27">
        <f t="shared" si="5"/>
        <v>1.26E-2</v>
      </c>
      <c r="M86" s="57">
        <v>2.7479000000000003E-2</v>
      </c>
    </row>
    <row r="87" spans="1:13" ht="16">
      <c r="A87" s="55" t="str">
        <f>'Sovereign Ratings (Moody''s,S&amp;P)'!A87</f>
        <v>Luxembourg</v>
      </c>
      <c r="B87" s="70" t="str">
        <f>'Sovereign Ratings (Moody''s,S&amp;P)'!C87</f>
        <v>Aaa</v>
      </c>
      <c r="C87" s="145" t="s">
        <v>143</v>
      </c>
      <c r="D87" s="71" t="str">
        <f t="shared" si="16"/>
        <v>NA</v>
      </c>
      <c r="H87" s="151" t="s">
        <v>227</v>
      </c>
      <c r="I87" s="57">
        <v>6.9599999999999995E-2</v>
      </c>
      <c r="J87" s="27">
        <f t="shared" si="5"/>
        <v>6.699999999999999E-2</v>
      </c>
      <c r="M87" s="57">
        <v>8.1319000000000002E-2</v>
      </c>
    </row>
    <row r="88" spans="1:13" ht="16">
      <c r="A88" s="55" t="str">
        <f>'Sovereign Ratings (Moody''s,S&amp;P)'!A88</f>
        <v>Macao</v>
      </c>
      <c r="B88" s="70" t="str">
        <f>'Sovereign Ratings (Moody''s,S&amp;P)'!C88</f>
        <v>Aa3</v>
      </c>
      <c r="C88" s="145" t="s">
        <v>143</v>
      </c>
      <c r="D88" s="71" t="str">
        <f t="shared" si="16"/>
        <v>NA</v>
      </c>
      <c r="H88" s="55" t="s">
        <v>2</v>
      </c>
      <c r="I88" s="57">
        <v>1.34E-2</v>
      </c>
      <c r="J88" s="27">
        <f t="shared" si="5"/>
        <v>1.0800000000000001E-2</v>
      </c>
      <c r="M88" s="57">
        <v>2.3168000000000001E-2</v>
      </c>
    </row>
    <row r="89" spans="1:13" ht="16">
      <c r="A89" s="55" t="str">
        <f>'Sovereign Ratings (Moody''s,S&amp;P)'!A89</f>
        <v>Macedonia</v>
      </c>
      <c r="B89" s="70" t="str">
        <f>'Sovereign Ratings (Moody''s,S&amp;P)'!C89</f>
        <v>Ba3</v>
      </c>
      <c r="C89" s="145" t="s">
        <v>143</v>
      </c>
      <c r="D89" s="71" t="str">
        <f t="shared" si="16"/>
        <v>NA</v>
      </c>
      <c r="H89" s="151" t="s">
        <v>135</v>
      </c>
      <c r="I89" s="57">
        <v>4.9099999999999998E-2</v>
      </c>
      <c r="J89" s="27">
        <f t="shared" ref="J89:J105" si="22">IF(I89&lt;$I$102,0,I89-$I$102)</f>
        <v>4.65E-2</v>
      </c>
      <c r="M89" s="57">
        <v>5.6741999999999994E-2</v>
      </c>
    </row>
    <row r="90" spans="1:13" ht="16">
      <c r="A90" s="55" t="str">
        <f>'Sovereign Ratings (Moody''s,S&amp;P)'!A90</f>
        <v>Malaysia</v>
      </c>
      <c r="B90" s="70" t="str">
        <f>'Sovereign Ratings (Moody''s,S&amp;P)'!C90</f>
        <v>A3</v>
      </c>
      <c r="C90" s="145">
        <f t="shared" ref="C90" si="23">VLOOKUP(A90,$H$24:$J$105,2,FALSE)</f>
        <v>1.11E-2</v>
      </c>
      <c r="D90" s="71">
        <f t="shared" si="16"/>
        <v>8.5000000000000006E-3</v>
      </c>
      <c r="H90" s="151" t="s">
        <v>147</v>
      </c>
      <c r="I90" s="57">
        <v>1.5800000000000002E-2</v>
      </c>
      <c r="J90" s="27">
        <f t="shared" si="22"/>
        <v>1.3200000000000002E-2</v>
      </c>
      <c r="M90" s="57">
        <v>1.3900999999999998E-2</v>
      </c>
    </row>
    <row r="91" spans="1:13" ht="16">
      <c r="A91" s="55" t="str">
        <f>'Sovereign Ratings (Moody''s,S&amp;P)'!A91</f>
        <v>Maldives</v>
      </c>
      <c r="B91" s="70" t="str">
        <f>'Sovereign Ratings (Moody''s,S&amp;P)'!C91</f>
        <v>B3</v>
      </c>
      <c r="C91" s="145" t="s">
        <v>143</v>
      </c>
      <c r="D91" s="71" t="str">
        <f t="shared" si="16"/>
        <v>NA</v>
      </c>
      <c r="H91" s="55" t="s">
        <v>61</v>
      </c>
      <c r="I91" s="57">
        <v>7.7999999999999996E-3</v>
      </c>
      <c r="J91" s="27">
        <f t="shared" si="22"/>
        <v>5.1999999999999998E-3</v>
      </c>
      <c r="M91" s="57">
        <v>8.2769999999999996E-3</v>
      </c>
    </row>
    <row r="92" spans="1:13" ht="16">
      <c r="A92" s="55" t="str">
        <f>'Sovereign Ratings (Moody''s,S&amp;P)'!A92</f>
        <v>Mali</v>
      </c>
      <c r="B92" s="70" t="str">
        <f>'Sovereign Ratings (Moody''s,S&amp;P)'!C92</f>
        <v>B3</v>
      </c>
      <c r="C92" s="145" t="s">
        <v>143</v>
      </c>
      <c r="D92" s="71" t="str">
        <f t="shared" si="16"/>
        <v>NA</v>
      </c>
      <c r="H92" s="55" t="s">
        <v>190</v>
      </c>
      <c r="I92" s="57">
        <v>1.1599999999999999E-2</v>
      </c>
      <c r="J92" s="27">
        <f t="shared" si="22"/>
        <v>8.9999999999999993E-3</v>
      </c>
      <c r="M92" s="57">
        <v>1.3390000000000001E-2</v>
      </c>
    </row>
    <row r="93" spans="1:13" ht="16">
      <c r="A93" s="55" t="str">
        <f>'Sovereign Ratings (Moody''s,S&amp;P)'!A93</f>
        <v>Malta</v>
      </c>
      <c r="B93" s="70" t="str">
        <f>'Sovereign Ratings (Moody''s,S&amp;P)'!C93</f>
        <v>A2</v>
      </c>
      <c r="C93" s="145" t="s">
        <v>143</v>
      </c>
      <c r="D93" s="71" t="str">
        <f t="shared" si="16"/>
        <v>NA</v>
      </c>
      <c r="H93" s="55" t="s">
        <v>76</v>
      </c>
      <c r="I93" s="57">
        <v>3.4500000000000003E-2</v>
      </c>
      <c r="J93" s="27">
        <f t="shared" si="22"/>
        <v>3.1900000000000005E-2</v>
      </c>
      <c r="M93" s="57">
        <v>4.7306000000000001E-2</v>
      </c>
    </row>
    <row r="94" spans="1:13" ht="16">
      <c r="A94" s="55" t="str">
        <f>'Sovereign Ratings (Moody''s,S&amp;P)'!A94</f>
        <v>Mauritius</v>
      </c>
      <c r="B94" s="70" t="str">
        <f>'Sovereign Ratings (Moody''s,S&amp;P)'!C94</f>
        <v>Baa1</v>
      </c>
      <c r="C94" s="145" t="s">
        <v>143</v>
      </c>
      <c r="D94" s="71" t="str">
        <f t="shared" si="16"/>
        <v>NA</v>
      </c>
      <c r="H94" s="55" t="s">
        <v>138</v>
      </c>
      <c r="I94" s="57">
        <v>1.0500000000000001E-2</v>
      </c>
      <c r="J94" s="27">
        <f t="shared" si="22"/>
        <v>7.9000000000000008E-3</v>
      </c>
      <c r="M94" s="57">
        <v>1.4343E-2</v>
      </c>
    </row>
    <row r="95" spans="1:13" ht="16">
      <c r="A95" s="55" t="str">
        <f>'Sovereign Ratings (Moody''s,S&amp;P)'!A95</f>
        <v>Mexico</v>
      </c>
      <c r="B95" s="70" t="str">
        <f>'Sovereign Ratings (Moody''s,S&amp;P)'!C95</f>
        <v>Baa1</v>
      </c>
      <c r="C95" s="145">
        <f t="shared" ref="C95" si="24">VLOOKUP(A95,$H$24:$J$105,2,FALSE)</f>
        <v>2.0299999999999999E-2</v>
      </c>
      <c r="D95" s="71">
        <f t="shared" si="16"/>
        <v>1.77E-2</v>
      </c>
      <c r="H95" s="55" t="s">
        <v>34</v>
      </c>
      <c r="I95" s="57">
        <v>2.3E-3</v>
      </c>
      <c r="J95" s="27">
        <f t="shared" si="22"/>
        <v>0</v>
      </c>
      <c r="M95" s="57">
        <v>3.2109999999999999E-3</v>
      </c>
    </row>
    <row r="96" spans="1:13" ht="16">
      <c r="A96" s="55" t="str">
        <f>'Sovereign Ratings (Moody''s,S&amp;P)'!A96</f>
        <v>Moldova</v>
      </c>
      <c r="B96" s="70" t="str">
        <f>'Sovereign Ratings (Moody''s,S&amp;P)'!C96</f>
        <v>B3</v>
      </c>
      <c r="C96" s="145" t="s">
        <v>143</v>
      </c>
      <c r="D96" s="71" t="str">
        <f t="shared" si="16"/>
        <v>NA</v>
      </c>
      <c r="H96" s="55" t="s">
        <v>35</v>
      </c>
      <c r="I96" s="57">
        <v>2E-3</v>
      </c>
      <c r="J96" s="27">
        <f t="shared" si="22"/>
        <v>0</v>
      </c>
      <c r="M96" s="57">
        <v>2.3440000000000002E-3</v>
      </c>
    </row>
    <row r="97" spans="1:13" ht="16">
      <c r="A97" s="55" t="str">
        <f>'Sovereign Ratings (Moody''s,S&amp;P)'!A97</f>
        <v>Mongolia</v>
      </c>
      <c r="B97" s="70" t="str">
        <f>'Sovereign Ratings (Moody''s,S&amp;P)'!C97</f>
        <v>B3</v>
      </c>
      <c r="C97" s="145" t="s">
        <v>143</v>
      </c>
      <c r="D97" s="71" t="str">
        <f t="shared" si="16"/>
        <v>NA</v>
      </c>
      <c r="H97" s="55" t="s">
        <v>65</v>
      </c>
      <c r="I97" s="57">
        <v>7.3000000000000001E-3</v>
      </c>
      <c r="J97" s="27">
        <f t="shared" si="22"/>
        <v>4.7000000000000002E-3</v>
      </c>
      <c r="M97" s="57">
        <v>1.2111E-2</v>
      </c>
    </row>
    <row r="98" spans="1:13" ht="16">
      <c r="A98" s="55" t="str">
        <f>'Sovereign Ratings (Moody''s,S&amp;P)'!A98</f>
        <v>Montenegro</v>
      </c>
      <c r="B98" s="70" t="str">
        <f>'Sovereign Ratings (Moody''s,S&amp;P)'!C98</f>
        <v>B1</v>
      </c>
      <c r="C98" s="145" t="s">
        <v>143</v>
      </c>
      <c r="D98" s="71" t="str">
        <f t="shared" si="16"/>
        <v>NA</v>
      </c>
      <c r="H98" s="55" t="s">
        <v>77</v>
      </c>
      <c r="I98" s="57">
        <v>8.3400000000000002E-2</v>
      </c>
      <c r="J98" s="27">
        <f t="shared" si="22"/>
        <v>8.0799999999999997E-2</v>
      </c>
      <c r="M98" s="57">
        <v>5.8314999999999999E-2</v>
      </c>
    </row>
    <row r="99" spans="1:13" ht="16">
      <c r="A99" s="55" t="str">
        <f>'Sovereign Ratings (Moody''s,S&amp;P)'!A99</f>
        <v>Montserrat</v>
      </c>
      <c r="B99" s="70" t="str">
        <f>'Sovereign Ratings (Moody''s,S&amp;P)'!C99</f>
        <v>Baa3</v>
      </c>
      <c r="C99" s="145" t="s">
        <v>143</v>
      </c>
      <c r="D99" s="71" t="str">
        <f t="shared" si="16"/>
        <v>NA</v>
      </c>
      <c r="H99" s="55" t="s">
        <v>66</v>
      </c>
      <c r="I99" s="57">
        <v>4.8399999999999999E-2</v>
      </c>
      <c r="J99" s="27">
        <f t="shared" si="22"/>
        <v>4.58E-2</v>
      </c>
      <c r="M99" s="57">
        <v>5.4034000000000006E-2</v>
      </c>
    </row>
    <row r="100" spans="1:13" ht="16">
      <c r="A100" s="55" t="str">
        <f>'Sovereign Ratings (Moody''s,S&amp;P)'!A100</f>
        <v>Morocco</v>
      </c>
      <c r="B100" s="70" t="str">
        <f>'Sovereign Ratings (Moody''s,S&amp;P)'!C100</f>
        <v>Ba1</v>
      </c>
      <c r="C100" s="145">
        <f t="shared" ref="C100" si="25">VLOOKUP(A100,$H$24:$J$105,2,FALSE)</f>
        <v>1.77E-2</v>
      </c>
      <c r="D100" s="71">
        <f t="shared" si="16"/>
        <v>1.5100000000000001E-2</v>
      </c>
      <c r="H100" s="55" t="s">
        <v>68</v>
      </c>
      <c r="I100" s="57">
        <v>5.6500000000000002E-2</v>
      </c>
      <c r="J100" s="27">
        <f t="shared" si="22"/>
        <v>5.3900000000000003E-2</v>
      </c>
      <c r="M100" s="57">
        <v>8.4873000000000004E-2</v>
      </c>
    </row>
    <row r="101" spans="1:13" ht="16">
      <c r="A101" s="55" t="str">
        <f>'Sovereign Ratings (Moody''s,S&amp;P)'!A101</f>
        <v>Mozambique</v>
      </c>
      <c r="B101" s="70" t="str">
        <f>'Sovereign Ratings (Moody''s,S&amp;P)'!C101</f>
        <v>Caa2</v>
      </c>
      <c r="C101" s="145" t="s">
        <v>143</v>
      </c>
      <c r="D101" s="71" t="str">
        <f t="shared" si="16"/>
        <v>NA</v>
      </c>
      <c r="H101" s="55" t="s">
        <v>57</v>
      </c>
      <c r="I101" s="57">
        <v>4.1999999999999997E-3</v>
      </c>
      <c r="J101" s="27">
        <f t="shared" si="22"/>
        <v>1.5999999999999999E-3</v>
      </c>
      <c r="M101" s="57">
        <v>5.7920000000000003E-3</v>
      </c>
    </row>
    <row r="102" spans="1:13" ht="16">
      <c r="A102" s="55" t="str">
        <f>'Sovereign Ratings (Moody''s,S&amp;P)'!A102</f>
        <v>Namibia</v>
      </c>
      <c r="B102" s="70" t="str">
        <f>'Sovereign Ratings (Moody''s,S&amp;P)'!C102</f>
        <v>Ba2</v>
      </c>
      <c r="C102" s="145" t="s">
        <v>143</v>
      </c>
      <c r="D102" s="71" t="str">
        <f t="shared" si="16"/>
        <v>NA</v>
      </c>
      <c r="H102" s="55" t="s">
        <v>357</v>
      </c>
      <c r="I102" s="57">
        <v>2.5999999999999999E-3</v>
      </c>
      <c r="J102" s="27">
        <f t="shared" si="22"/>
        <v>0</v>
      </c>
      <c r="M102" s="57">
        <v>3.9590000000000007E-3</v>
      </c>
    </row>
    <row r="103" spans="1:13" ht="16">
      <c r="A103" s="55" t="str">
        <f>'Sovereign Ratings (Moody''s,S&amp;P)'!A103</f>
        <v>Netherlands</v>
      </c>
      <c r="B103" s="70" t="str">
        <f>'Sovereign Ratings (Moody''s,S&amp;P)'!C103</f>
        <v>Aaa</v>
      </c>
      <c r="C103" s="145">
        <f t="shared" ref="C103:C104" si="26">VLOOKUP(A103,$H$24:$J$105,2,FALSE)</f>
        <v>2.2000000000000001E-3</v>
      </c>
      <c r="D103" s="71">
        <f t="shared" si="16"/>
        <v>0</v>
      </c>
      <c r="H103" s="151" t="s">
        <v>69</v>
      </c>
      <c r="I103" s="57">
        <v>1.43E-2</v>
      </c>
      <c r="J103" s="27">
        <f t="shared" si="22"/>
        <v>1.17E-2</v>
      </c>
      <c r="M103" s="57">
        <v>2.2202E-2</v>
      </c>
    </row>
    <row r="104" spans="1:13" ht="16">
      <c r="A104" s="55" t="str">
        <f>'Sovereign Ratings (Moody''s,S&amp;P)'!A104</f>
        <v>New Zealand</v>
      </c>
      <c r="B104" s="70" t="str">
        <f>'Sovereign Ratings (Moody''s,S&amp;P)'!C104</f>
        <v>Aaa</v>
      </c>
      <c r="C104" s="145">
        <f t="shared" si="26"/>
        <v>3.3999999999999998E-3</v>
      </c>
      <c r="D104" s="71">
        <f t="shared" si="16"/>
        <v>7.9999999999999993E-4</v>
      </c>
      <c r="H104" s="55" t="s">
        <v>70</v>
      </c>
      <c r="I104" s="57" t="s">
        <v>143</v>
      </c>
      <c r="J104" s="27" t="s">
        <v>143</v>
      </c>
      <c r="M104" s="57" t="s">
        <v>143</v>
      </c>
    </row>
    <row r="105" spans="1:13" ht="16">
      <c r="A105" s="55" t="str">
        <f>'Sovereign Ratings (Moody''s,S&amp;P)'!A105</f>
        <v>Nicaragua</v>
      </c>
      <c r="B105" s="70" t="str">
        <f>'Sovereign Ratings (Moody''s,S&amp;P)'!C105</f>
        <v>B3</v>
      </c>
      <c r="C105" s="145" t="s">
        <v>143</v>
      </c>
      <c r="D105" s="71" t="str">
        <f t="shared" si="16"/>
        <v>NA</v>
      </c>
      <c r="H105" s="55" t="s">
        <v>71</v>
      </c>
      <c r="I105" s="57">
        <v>2.2800000000000001E-2</v>
      </c>
      <c r="J105" s="27">
        <f t="shared" si="22"/>
        <v>2.0200000000000003E-2</v>
      </c>
      <c r="M105" s="57">
        <v>3.2811E-2</v>
      </c>
    </row>
    <row r="106" spans="1:13" ht="16">
      <c r="A106" s="55" t="s">
        <v>322</v>
      </c>
      <c r="B106" s="70" t="str">
        <f>'Sovereign Ratings (Moody''s,S&amp;P)'!C106</f>
        <v>B3</v>
      </c>
      <c r="C106" s="145" t="s">
        <v>143</v>
      </c>
      <c r="D106" s="71" t="str">
        <f t="shared" si="16"/>
        <v>NA</v>
      </c>
      <c r="H106" s="196" t="s">
        <v>192</v>
      </c>
      <c r="I106" s="57" t="s">
        <v>143</v>
      </c>
      <c r="J106" s="27" t="s">
        <v>143</v>
      </c>
      <c r="M106" s="57">
        <v>0.1565</v>
      </c>
    </row>
    <row r="107" spans="1:13" ht="16">
      <c r="A107" s="55" t="str">
        <f>'Sovereign Ratings (Moody''s,S&amp;P)'!A107</f>
        <v>Nigeria</v>
      </c>
      <c r="B107" s="70" t="str">
        <f>'Sovereign Ratings (Moody''s,S&amp;P)'!C107</f>
        <v>B2</v>
      </c>
      <c r="C107" s="145">
        <f t="shared" ref="C107:C111" si="27">VLOOKUP(A107,$H$24:$J$105,2,FALSE)</f>
        <v>6.3200000000000006E-2</v>
      </c>
      <c r="D107" s="71">
        <f t="shared" si="16"/>
        <v>6.0600000000000008E-2</v>
      </c>
    </row>
    <row r="108" spans="1:13" ht="16">
      <c r="A108" s="55" t="str">
        <f>'Sovereign Ratings (Moody''s,S&amp;P)'!A108</f>
        <v>Norway</v>
      </c>
      <c r="B108" s="70" t="str">
        <f>'Sovereign Ratings (Moody''s,S&amp;P)'!C108</f>
        <v>Aaa</v>
      </c>
      <c r="C108" s="145">
        <f t="shared" si="27"/>
        <v>2.5000000000000001E-3</v>
      </c>
      <c r="D108" s="71">
        <f t="shared" si="16"/>
        <v>0</v>
      </c>
    </row>
    <row r="109" spans="1:13" ht="16">
      <c r="A109" s="55" t="str">
        <f>'Sovereign Ratings (Moody''s,S&amp;P)'!A109</f>
        <v>Oman</v>
      </c>
      <c r="B109" s="70" t="str">
        <f>'Sovereign Ratings (Moody''s,S&amp;P)'!C109</f>
        <v>Ba3</v>
      </c>
      <c r="C109" s="145">
        <f t="shared" si="27"/>
        <v>5.0999999999999997E-2</v>
      </c>
      <c r="D109" s="71">
        <f t="shared" si="16"/>
        <v>4.8399999999999999E-2</v>
      </c>
    </row>
    <row r="110" spans="1:13" ht="16">
      <c r="A110" s="55" t="str">
        <f>'Sovereign Ratings (Moody''s,S&amp;P)'!A110</f>
        <v>Pakistan</v>
      </c>
      <c r="B110" s="70" t="str">
        <f>'Sovereign Ratings (Moody''s,S&amp;P)'!C110</f>
        <v>B3</v>
      </c>
      <c r="C110" s="145">
        <f t="shared" si="27"/>
        <v>5.6399999999999999E-2</v>
      </c>
      <c r="D110" s="71">
        <f t="shared" si="16"/>
        <v>5.3800000000000001E-2</v>
      </c>
    </row>
    <row r="111" spans="1:13" ht="16">
      <c r="A111" s="55" t="str">
        <f>'Sovereign Ratings (Moody''s,S&amp;P)'!A111</f>
        <v>Panama</v>
      </c>
      <c r="B111" s="70" t="str">
        <f>'Sovereign Ratings (Moody''s,S&amp;P)'!C111</f>
        <v>Baa1</v>
      </c>
      <c r="C111" s="145">
        <f t="shared" si="27"/>
        <v>1.5100000000000001E-2</v>
      </c>
      <c r="D111" s="71">
        <f t="shared" si="16"/>
        <v>1.2500000000000001E-2</v>
      </c>
    </row>
    <row r="112" spans="1:13" ht="16">
      <c r="A112" s="55" t="str">
        <f>'Sovereign Ratings (Moody''s,S&amp;P)'!A112</f>
        <v>Papua New Guinea</v>
      </c>
      <c r="B112" s="70" t="str">
        <f>'Sovereign Ratings (Moody''s,S&amp;P)'!C112</f>
        <v>B2</v>
      </c>
      <c r="C112" s="145" t="s">
        <v>143</v>
      </c>
      <c r="D112" s="71" t="str">
        <f t="shared" si="16"/>
        <v>NA</v>
      </c>
    </row>
    <row r="113" spans="1:4" ht="16">
      <c r="A113" s="55" t="str">
        <f>'Sovereign Ratings (Moody''s,S&amp;P)'!A113</f>
        <v>Paraguay</v>
      </c>
      <c r="B113" s="70" t="str">
        <f>'Sovereign Ratings (Moody''s,S&amp;P)'!C113</f>
        <v>Ba1</v>
      </c>
      <c r="C113" s="145" t="s">
        <v>143</v>
      </c>
      <c r="D113" s="71" t="str">
        <f t="shared" si="16"/>
        <v>NA</v>
      </c>
    </row>
    <row r="114" spans="1:4" ht="16">
      <c r="A114" s="55" t="str">
        <f>'Sovereign Ratings (Moody''s,S&amp;P)'!A114</f>
        <v>Peru</v>
      </c>
      <c r="B114" s="70" t="str">
        <f>'Sovereign Ratings (Moody''s,S&amp;P)'!C114</f>
        <v>A3</v>
      </c>
      <c r="C114" s="145">
        <f t="shared" ref="C114:C118" si="28">VLOOKUP(A114,$H$24:$J$105,2,FALSE)</f>
        <v>1.3100000000000001E-2</v>
      </c>
      <c r="D114" s="71">
        <f t="shared" si="16"/>
        <v>1.0500000000000001E-2</v>
      </c>
    </row>
    <row r="115" spans="1:4" ht="16">
      <c r="A115" s="55" t="str">
        <f>'Sovereign Ratings (Moody''s,S&amp;P)'!A115</f>
        <v>Philippines</v>
      </c>
      <c r="B115" s="70" t="str">
        <f>'Sovereign Ratings (Moody''s,S&amp;P)'!C115</f>
        <v>Baa2</v>
      </c>
      <c r="C115" s="145">
        <f t="shared" si="28"/>
        <v>9.9000000000000008E-3</v>
      </c>
      <c r="D115" s="71">
        <f t="shared" si="16"/>
        <v>7.3000000000000009E-3</v>
      </c>
    </row>
    <row r="116" spans="1:4" ht="16">
      <c r="A116" s="55" t="str">
        <f>'Sovereign Ratings (Moody''s,S&amp;P)'!A116</f>
        <v>Poland</v>
      </c>
      <c r="B116" s="70" t="str">
        <f>'Sovereign Ratings (Moody''s,S&amp;P)'!C116</f>
        <v>A2</v>
      </c>
      <c r="C116" s="145">
        <f t="shared" si="28"/>
        <v>8.9999999999999993E-3</v>
      </c>
      <c r="D116" s="71">
        <f t="shared" si="16"/>
        <v>6.3999999999999994E-3</v>
      </c>
    </row>
    <row r="117" spans="1:4" ht="16">
      <c r="A117" s="55" t="str">
        <f>'Sovereign Ratings (Moody''s,S&amp;P)'!A117</f>
        <v>Portugal</v>
      </c>
      <c r="B117" s="70" t="str">
        <f>'Sovereign Ratings (Moody''s,S&amp;P)'!C117</f>
        <v>Baa3</v>
      </c>
      <c r="C117" s="145">
        <f t="shared" si="28"/>
        <v>9.1999999999999998E-3</v>
      </c>
      <c r="D117" s="71">
        <f t="shared" si="16"/>
        <v>6.6E-3</v>
      </c>
    </row>
    <row r="118" spans="1:4" ht="16">
      <c r="A118" s="55" t="str">
        <f>'Sovereign Ratings (Moody''s,S&amp;P)'!A118</f>
        <v>Qatar</v>
      </c>
      <c r="B118" s="70" t="str">
        <f>'Sovereign Ratings (Moody''s,S&amp;P)'!C118</f>
        <v>Aa3</v>
      </c>
      <c r="C118" s="145">
        <f t="shared" si="28"/>
        <v>9.7999999999999997E-3</v>
      </c>
      <c r="D118" s="71">
        <f t="shared" si="16"/>
        <v>7.1999999999999998E-3</v>
      </c>
    </row>
    <row r="119" spans="1:4" ht="16">
      <c r="A119" s="55" t="str">
        <f>'Sovereign Ratings (Moody''s,S&amp;P)'!A119</f>
        <v>Ras Al Khaimah (Emirate of)</v>
      </c>
      <c r="B119" s="70" t="str">
        <f>'Sovereign Ratings (Moody''s,S&amp;P)'!C119</f>
        <v>A2</v>
      </c>
      <c r="C119" s="145" t="s">
        <v>143</v>
      </c>
      <c r="D119" s="71" t="str">
        <f t="shared" si="16"/>
        <v>NA</v>
      </c>
    </row>
    <row r="120" spans="1:4" ht="16">
      <c r="A120" s="55" t="str">
        <f>'Sovereign Ratings (Moody''s,S&amp;P)'!A120</f>
        <v>Romania</v>
      </c>
      <c r="B120" s="70" t="str">
        <f>'Sovereign Ratings (Moody''s,S&amp;P)'!C120</f>
        <v>Baa3</v>
      </c>
      <c r="C120" s="145">
        <f t="shared" ref="C120:C125" si="29">VLOOKUP(A120,$H$24:$J$105,2,FALSE)</f>
        <v>1.8700000000000001E-2</v>
      </c>
      <c r="D120" s="71">
        <f t="shared" si="16"/>
        <v>1.6100000000000003E-2</v>
      </c>
    </row>
    <row r="121" spans="1:4" ht="16">
      <c r="A121" s="55" t="str">
        <f>'Sovereign Ratings (Moody''s,S&amp;P)'!A121</f>
        <v>Russia</v>
      </c>
      <c r="B121" s="70" t="str">
        <f>'Sovereign Ratings (Moody''s,S&amp;P)'!C121</f>
        <v>Baa3</v>
      </c>
      <c r="C121" s="145">
        <f t="shared" si="29"/>
        <v>1.52E-2</v>
      </c>
      <c r="D121" s="71">
        <f t="shared" si="16"/>
        <v>1.26E-2</v>
      </c>
    </row>
    <row r="122" spans="1:4" ht="16">
      <c r="A122" s="55" t="str">
        <f>'Sovereign Ratings (Moody''s,S&amp;P)'!A122</f>
        <v>Rwanda</v>
      </c>
      <c r="B122" s="70" t="str">
        <f>'Sovereign Ratings (Moody''s,S&amp;P)'!C122</f>
        <v>B2</v>
      </c>
      <c r="C122" s="145">
        <f t="shared" si="29"/>
        <v>6.9599999999999995E-2</v>
      </c>
      <c r="D122" s="71">
        <f t="shared" si="16"/>
        <v>6.699999999999999E-2</v>
      </c>
    </row>
    <row r="123" spans="1:4" ht="16">
      <c r="A123" s="55" t="str">
        <f>'Sovereign Ratings (Moody''s,S&amp;P)'!A123</f>
        <v>Saudi Arabia</v>
      </c>
      <c r="B123" s="70" t="str">
        <f>'Sovereign Ratings (Moody''s,S&amp;P)'!C123</f>
        <v>A1</v>
      </c>
      <c r="C123" s="145">
        <f t="shared" si="29"/>
        <v>1.34E-2</v>
      </c>
      <c r="D123" s="71">
        <f t="shared" si="16"/>
        <v>1.0800000000000001E-2</v>
      </c>
    </row>
    <row r="124" spans="1:4" ht="16">
      <c r="A124" s="55" t="str">
        <f>'Sovereign Ratings (Moody''s,S&amp;P)'!A124</f>
        <v>Senegal</v>
      </c>
      <c r="B124" s="70" t="str">
        <f>'Sovereign Ratings (Moody''s,S&amp;P)'!C124</f>
        <v>Ba3</v>
      </c>
      <c r="C124" s="145">
        <f t="shared" si="29"/>
        <v>4.9099999999999998E-2</v>
      </c>
      <c r="D124" s="71">
        <f t="shared" si="16"/>
        <v>4.65E-2</v>
      </c>
    </row>
    <row r="125" spans="1:4" ht="16">
      <c r="A125" s="55" t="str">
        <f>'Sovereign Ratings (Moody''s,S&amp;P)'!A125</f>
        <v>Serbia</v>
      </c>
      <c r="B125" s="70" t="str">
        <f>'Sovereign Ratings (Moody''s,S&amp;P)'!C125</f>
        <v>Ba3</v>
      </c>
      <c r="C125" s="145">
        <f t="shared" si="29"/>
        <v>1.5800000000000002E-2</v>
      </c>
      <c r="D125" s="71">
        <f t="shared" si="16"/>
        <v>1.3200000000000002E-2</v>
      </c>
    </row>
    <row r="126" spans="1:4" ht="16">
      <c r="A126" s="55" t="str">
        <f>'Sovereign Ratings (Moody''s,S&amp;P)'!A126</f>
        <v>Sharjah</v>
      </c>
      <c r="B126" s="70" t="str">
        <f>'Sovereign Ratings (Moody''s,S&amp;P)'!C126</f>
        <v>Baa2</v>
      </c>
      <c r="C126" s="145" t="s">
        <v>143</v>
      </c>
      <c r="D126" s="71" t="str">
        <f t="shared" si="16"/>
        <v>NA</v>
      </c>
    </row>
    <row r="127" spans="1:4" ht="16">
      <c r="A127" s="55" t="str">
        <f>'Sovereign Ratings (Moody''s,S&amp;P)'!A127</f>
        <v>Singapore</v>
      </c>
      <c r="B127" s="70" t="str">
        <f>'Sovereign Ratings (Moody''s,S&amp;P)'!C127</f>
        <v>Aaa</v>
      </c>
      <c r="C127" s="145" t="s">
        <v>143</v>
      </c>
      <c r="D127" s="71" t="str">
        <f t="shared" si="16"/>
        <v>NA</v>
      </c>
    </row>
    <row r="128" spans="1:4" ht="16">
      <c r="A128" s="55" t="str">
        <f>'Sovereign Ratings (Moody''s,S&amp;P)'!A128</f>
        <v>Slovakia</v>
      </c>
      <c r="B128" s="70" t="str">
        <f>'Sovereign Ratings (Moody''s,S&amp;P)'!C128</f>
        <v>A2</v>
      </c>
      <c r="C128" s="145">
        <f t="shared" ref="C128:C129" si="30">VLOOKUP(A128,$H$24:$J$105,2,FALSE)</f>
        <v>7.7999999999999996E-3</v>
      </c>
      <c r="D128" s="71">
        <f t="shared" si="16"/>
        <v>5.1999999999999998E-3</v>
      </c>
    </row>
    <row r="129" spans="1:4" ht="16">
      <c r="A129" s="55" t="str">
        <f>'Sovereign Ratings (Moody''s,S&amp;P)'!A129</f>
        <v>Slovenia</v>
      </c>
      <c r="B129" s="70" t="str">
        <f>'Sovereign Ratings (Moody''s,S&amp;P)'!C129</f>
        <v>Baa1</v>
      </c>
      <c r="C129" s="145">
        <f t="shared" si="30"/>
        <v>1.1599999999999999E-2</v>
      </c>
      <c r="D129" s="71">
        <f t="shared" si="16"/>
        <v>8.9999999999999993E-3</v>
      </c>
    </row>
    <row r="130" spans="1:4" ht="16">
      <c r="A130" s="55" t="str">
        <f>'Sovereign Ratings (Moody''s,S&amp;P)'!A130</f>
        <v>Solomon Islands</v>
      </c>
      <c r="B130" s="70" t="str">
        <f>'Sovereign Ratings (Moody''s,S&amp;P)'!C130</f>
        <v>B3</v>
      </c>
      <c r="C130" s="145" t="s">
        <v>143</v>
      </c>
      <c r="D130" s="71" t="str">
        <f t="shared" ref="D130:D140" si="31">IF(C130="NA","NA",IF(C130&gt;$C$153,C130-$C$153,0))</f>
        <v>NA</v>
      </c>
    </row>
    <row r="131" spans="1:4" ht="16">
      <c r="A131" s="55" t="str">
        <f>'Sovereign Ratings (Moody''s,S&amp;P)'!A131</f>
        <v>South Africa</v>
      </c>
      <c r="B131" s="70" t="str">
        <f>'Sovereign Ratings (Moody''s,S&amp;P)'!C131</f>
        <v>Ba1</v>
      </c>
      <c r="C131" s="145">
        <f t="shared" ref="C131:C132" si="32">VLOOKUP(A131,$H$24:$J$105,2,FALSE)</f>
        <v>3.4500000000000003E-2</v>
      </c>
      <c r="D131" s="71">
        <f t="shared" si="31"/>
        <v>3.1900000000000005E-2</v>
      </c>
    </row>
    <row r="132" spans="1:4" ht="16">
      <c r="A132" s="55" t="str">
        <f>'Sovereign Ratings (Moody''s,S&amp;P)'!A132</f>
        <v>Spain</v>
      </c>
      <c r="B132" s="70" t="str">
        <f>'Sovereign Ratings (Moody''s,S&amp;P)'!C132</f>
        <v>Baa1</v>
      </c>
      <c r="C132" s="145">
        <f t="shared" si="32"/>
        <v>1.0500000000000001E-2</v>
      </c>
      <c r="D132" s="71">
        <f t="shared" si="31"/>
        <v>7.9000000000000008E-3</v>
      </c>
    </row>
    <row r="133" spans="1:4" ht="16">
      <c r="A133" s="55" t="str">
        <f>'Sovereign Ratings (Moody''s,S&amp;P)'!A133</f>
        <v>Sri Lanka</v>
      </c>
      <c r="B133" s="70" t="str">
        <f>'Sovereign Ratings (Moody''s,S&amp;P)'!C133</f>
        <v>B2</v>
      </c>
      <c r="C133" s="145" t="s">
        <v>143</v>
      </c>
      <c r="D133" s="71" t="str">
        <f t="shared" si="31"/>
        <v>NA</v>
      </c>
    </row>
    <row r="134" spans="1:4" ht="16">
      <c r="A134" s="55" t="str">
        <f>'Sovereign Ratings (Moody''s,S&amp;P)'!A134</f>
        <v>St. Maarten</v>
      </c>
      <c r="B134" s="70" t="str">
        <f>'Sovereign Ratings (Moody''s,S&amp;P)'!C134</f>
        <v>Baa3</v>
      </c>
      <c r="C134" s="145" t="s">
        <v>143</v>
      </c>
      <c r="D134" s="71" t="str">
        <f t="shared" si="31"/>
        <v>NA</v>
      </c>
    </row>
    <row r="135" spans="1:4" ht="16">
      <c r="A135" s="55" t="str">
        <f>'Sovereign Ratings (Moody''s,S&amp;P)'!A135</f>
        <v>St. Vincent &amp; the Grenadines</v>
      </c>
      <c r="B135" s="70" t="str">
        <f>'Sovereign Ratings (Moody''s,S&amp;P)'!C135</f>
        <v>B3</v>
      </c>
      <c r="C135" s="145" t="s">
        <v>143</v>
      </c>
      <c r="D135" s="71" t="str">
        <f t="shared" si="31"/>
        <v>NA</v>
      </c>
    </row>
    <row r="136" spans="1:4" ht="16">
      <c r="A136" s="55" t="str">
        <f>'Sovereign Ratings (Moody''s,S&amp;P)'!A136</f>
        <v>Suriname</v>
      </c>
      <c r="B136" s="70" t="str">
        <f>'Sovereign Ratings (Moody''s,S&amp;P)'!C136</f>
        <v>B3</v>
      </c>
      <c r="C136" s="145" t="s">
        <v>143</v>
      </c>
      <c r="D136" s="71" t="str">
        <f t="shared" si="31"/>
        <v>NA</v>
      </c>
    </row>
    <row r="137" spans="1:4" ht="16">
      <c r="A137" s="55" t="str">
        <f>'Sovereign Ratings (Moody''s,S&amp;P)'!A137</f>
        <v>Swaziland</v>
      </c>
      <c r="B137" s="70" t="str">
        <f>'Sovereign Ratings (Moody''s,S&amp;P)'!C137</f>
        <v>B2</v>
      </c>
      <c r="C137" s="145" t="s">
        <v>143</v>
      </c>
      <c r="D137" s="71" t="str">
        <f t="shared" si="31"/>
        <v>NA</v>
      </c>
    </row>
    <row r="138" spans="1:4" ht="16">
      <c r="A138" s="55" t="str">
        <f>'Sovereign Ratings (Moody''s,S&amp;P)'!A138</f>
        <v>Sweden</v>
      </c>
      <c r="B138" s="70" t="str">
        <f>'Sovereign Ratings (Moody''s,S&amp;P)'!C138</f>
        <v>Aaa</v>
      </c>
      <c r="C138" s="145">
        <f t="shared" ref="C138:C139" si="33">VLOOKUP(A138,$H$24:$J$105,2,FALSE)</f>
        <v>2.3E-3</v>
      </c>
      <c r="D138" s="71">
        <f t="shared" si="31"/>
        <v>0</v>
      </c>
    </row>
    <row r="139" spans="1:4" ht="16">
      <c r="A139" s="55" t="str">
        <f>'Sovereign Ratings (Moody''s,S&amp;P)'!A139</f>
        <v>Switzerland</v>
      </c>
      <c r="B139" s="70" t="str">
        <f>'Sovereign Ratings (Moody''s,S&amp;P)'!C139</f>
        <v>Aaa</v>
      </c>
      <c r="C139" s="145">
        <f t="shared" si="33"/>
        <v>2E-3</v>
      </c>
      <c r="D139" s="71">
        <f t="shared" si="31"/>
        <v>0</v>
      </c>
    </row>
    <row r="140" spans="1:4" ht="16">
      <c r="A140" s="55" t="str">
        <f>'Sovereign Ratings (Moody''s,S&amp;P)'!A140</f>
        <v>Taiwan</v>
      </c>
      <c r="B140" s="70" t="str">
        <f>'Sovereign Ratings (Moody''s,S&amp;P)'!C140</f>
        <v>Aa3</v>
      </c>
      <c r="C140" s="145" t="s">
        <v>143</v>
      </c>
      <c r="D140" s="71" t="str">
        <f t="shared" si="31"/>
        <v>NA</v>
      </c>
    </row>
    <row r="141" spans="1:4" ht="16">
      <c r="A141" s="55" t="str">
        <f>'Sovereign Ratings (Moody''s,S&amp;P)'!A141</f>
        <v>Tajikistan</v>
      </c>
      <c r="B141" s="70" t="str">
        <f>'Sovereign Ratings (Moody''s,S&amp;P)'!C141</f>
        <v>B3</v>
      </c>
      <c r="C141" s="145" t="s">
        <v>143</v>
      </c>
      <c r="D141" s="71" t="str">
        <f>IF(C141="NA","NA",IF(C141&gt;$C$153,C141-$C$153,0))</f>
        <v>NA</v>
      </c>
    </row>
    <row r="142" spans="1:4" ht="16">
      <c r="A142" s="55" t="str">
        <f>'Sovereign Ratings (Moody''s,S&amp;P)'!A142</f>
        <v>Tanzania</v>
      </c>
      <c r="B142" s="70" t="str">
        <f>'Sovereign Ratings (Moody''s,S&amp;P)'!C142</f>
        <v>B1</v>
      </c>
      <c r="C142" s="145" t="s">
        <v>143</v>
      </c>
      <c r="D142" s="71" t="str">
        <f t="shared" ref="D142:D158" si="34">IF(C142="NA","NA",IF(C142&gt;$C$153,C142-$C$153,0))</f>
        <v>NA</v>
      </c>
    </row>
    <row r="143" spans="1:4" ht="16">
      <c r="A143" s="55" t="str">
        <f>'Sovereign Ratings (Moody''s,S&amp;P)'!A143</f>
        <v>Thailand</v>
      </c>
      <c r="B143" s="70" t="str">
        <f>'Sovereign Ratings (Moody''s,S&amp;P)'!C143</f>
        <v>Baa1</v>
      </c>
      <c r="C143" s="145">
        <f t="shared" ref="C143" si="35">VLOOKUP(A143,$H$24:$J$105,2,FALSE)</f>
        <v>7.3000000000000001E-3</v>
      </c>
      <c r="D143" s="71">
        <f t="shared" si="34"/>
        <v>4.7000000000000002E-3</v>
      </c>
    </row>
    <row r="144" spans="1:4" ht="16">
      <c r="A144" s="55" t="str">
        <f>'Sovereign Ratings (Moody''s,S&amp;P)'!A144</f>
        <v>Togo</v>
      </c>
      <c r="B144" s="70" t="str">
        <f>'Sovereign Ratings (Moody''s,S&amp;P)'!C144</f>
        <v>B3</v>
      </c>
      <c r="C144" s="145" t="s">
        <v>143</v>
      </c>
      <c r="D144" s="71" t="str">
        <f t="shared" si="34"/>
        <v>NA</v>
      </c>
    </row>
    <row r="145" spans="1:4" ht="16">
      <c r="A145" s="55" t="str">
        <f>'Sovereign Ratings (Moody''s,S&amp;P)'!A145</f>
        <v>Trinidad and Tobago</v>
      </c>
      <c r="B145" s="70" t="str">
        <f>'Sovereign Ratings (Moody''s,S&amp;P)'!C145</f>
        <v>Ba1</v>
      </c>
      <c r="C145" s="145" t="s">
        <v>143</v>
      </c>
      <c r="D145" s="71" t="str">
        <f t="shared" si="34"/>
        <v>NA</v>
      </c>
    </row>
    <row r="146" spans="1:4" ht="16">
      <c r="A146" s="55" t="str">
        <f>'Sovereign Ratings (Moody''s,S&amp;P)'!A146</f>
        <v>Tunisia</v>
      </c>
      <c r="B146" s="70" t="str">
        <f>'Sovereign Ratings (Moody''s,S&amp;P)'!C146</f>
        <v>B2</v>
      </c>
      <c r="C146" s="145">
        <f t="shared" ref="C146:C147" si="36">VLOOKUP(A146,$H$24:$J$105,2,FALSE)</f>
        <v>8.3400000000000002E-2</v>
      </c>
      <c r="D146" s="71">
        <f t="shared" si="34"/>
        <v>8.0799999999999997E-2</v>
      </c>
    </row>
    <row r="147" spans="1:4" ht="16">
      <c r="A147" s="55" t="str">
        <f>'Sovereign Ratings (Moody''s,S&amp;P)'!A147</f>
        <v>Turkey</v>
      </c>
      <c r="B147" s="70" t="str">
        <f>'Sovereign Ratings (Moody''s,S&amp;P)'!C147</f>
        <v>B1</v>
      </c>
      <c r="C147" s="145">
        <f t="shared" si="36"/>
        <v>4.8399999999999999E-2</v>
      </c>
      <c r="D147" s="71">
        <f t="shared" si="34"/>
        <v>4.58E-2</v>
      </c>
    </row>
    <row r="148" spans="1:4" ht="16">
      <c r="A148" s="55" t="str">
        <f>'Sovereign Ratings (Moody''s,S&amp;P)'!A148</f>
        <v>Turks and Caicos Islands</v>
      </c>
      <c r="B148" s="70" t="str">
        <f>'Sovereign Ratings (Moody''s,S&amp;P)'!C148</f>
        <v>Baa1</v>
      </c>
      <c r="C148" s="145" t="s">
        <v>143</v>
      </c>
      <c r="D148" s="71" t="str">
        <f t="shared" si="34"/>
        <v>NA</v>
      </c>
    </row>
    <row r="149" spans="1:4" ht="16">
      <c r="A149" s="55" t="str">
        <f>'Sovereign Ratings (Moody''s,S&amp;P)'!A149</f>
        <v>Uganda</v>
      </c>
      <c r="B149" s="70" t="str">
        <f>'Sovereign Ratings (Moody''s,S&amp;P)'!C149</f>
        <v>B2</v>
      </c>
      <c r="C149" s="145" t="s">
        <v>143</v>
      </c>
      <c r="D149" s="71" t="str">
        <f t="shared" si="34"/>
        <v>NA</v>
      </c>
    </row>
    <row r="150" spans="1:4" ht="16">
      <c r="A150" s="55" t="str">
        <f>'Sovereign Ratings (Moody''s,S&amp;P)'!A150</f>
        <v>Ukraine</v>
      </c>
      <c r="B150" s="70" t="str">
        <f>'Sovereign Ratings (Moody''s,S&amp;P)'!C150</f>
        <v>B3</v>
      </c>
      <c r="C150" s="145">
        <f t="shared" ref="C150" si="37">VLOOKUP(A150,$H$24:$J$105,2,FALSE)</f>
        <v>5.6500000000000002E-2</v>
      </c>
      <c r="D150" s="71">
        <f t="shared" si="34"/>
        <v>5.3900000000000003E-2</v>
      </c>
    </row>
    <row r="151" spans="1:4" ht="16">
      <c r="A151" s="55" t="str">
        <f>'Sovereign Ratings (Moody''s,S&amp;P)'!A151</f>
        <v>United Arab Emirates</v>
      </c>
      <c r="B151" s="70" t="str">
        <f>'Sovereign Ratings (Moody''s,S&amp;P)'!C151</f>
        <v>Aa2</v>
      </c>
      <c r="C151" s="145" t="s">
        <v>143</v>
      </c>
      <c r="D151" s="71" t="str">
        <f t="shared" si="34"/>
        <v>NA</v>
      </c>
    </row>
    <row r="152" spans="1:4" ht="16">
      <c r="A152" s="55" t="str">
        <f>'Sovereign Ratings (Moody''s,S&amp;P)'!A152</f>
        <v>United Kingdom</v>
      </c>
      <c r="B152" s="70" t="str">
        <f>'Sovereign Ratings (Moody''s,S&amp;P)'!C152</f>
        <v>Aa2</v>
      </c>
      <c r="C152" s="145">
        <f t="shared" ref="C152:C154" si="38">VLOOKUP(A152,$H$24:$J$105,2,FALSE)</f>
        <v>4.1999999999999997E-3</v>
      </c>
      <c r="D152" s="71">
        <f t="shared" si="34"/>
        <v>1.5999999999999999E-3</v>
      </c>
    </row>
    <row r="153" spans="1:4" ht="16">
      <c r="A153" s="55" t="str">
        <f>'Sovereign Ratings (Moody''s,S&amp;P)'!A153</f>
        <v>United States</v>
      </c>
      <c r="B153" s="70" t="str">
        <f>'Sovereign Ratings (Moody''s,S&amp;P)'!C153</f>
        <v>Aaa</v>
      </c>
      <c r="C153" s="145">
        <f t="shared" si="38"/>
        <v>2.5999999999999999E-3</v>
      </c>
      <c r="D153" s="71">
        <f t="shared" si="34"/>
        <v>0</v>
      </c>
    </row>
    <row r="154" spans="1:4" ht="16">
      <c r="A154" s="55" t="str">
        <f>'Sovereign Ratings (Moody''s,S&amp;P)'!A154</f>
        <v>Uruguay</v>
      </c>
      <c r="B154" s="70" t="str">
        <f>'Sovereign Ratings (Moody''s,S&amp;P)'!C154</f>
        <v>Baa2</v>
      </c>
      <c r="C154" s="145">
        <f t="shared" si="38"/>
        <v>1.43E-2</v>
      </c>
      <c r="D154" s="71">
        <f t="shared" si="34"/>
        <v>1.17E-2</v>
      </c>
    </row>
    <row r="155" spans="1:4" ht="16">
      <c r="A155" s="55" t="str">
        <f>'Sovereign Ratings (Moody''s,S&amp;P)'!A155</f>
        <v>Uzbekistan</v>
      </c>
      <c r="B155" s="70" t="str">
        <f>'Sovereign Ratings (Moody''s,S&amp;P)'!C155</f>
        <v>B1</v>
      </c>
      <c r="C155" s="145" t="s">
        <v>143</v>
      </c>
      <c r="D155" s="71" t="str">
        <f t="shared" si="34"/>
        <v>NA</v>
      </c>
    </row>
    <row r="156" spans="1:4" ht="16">
      <c r="A156" s="55" t="str">
        <f>'Sovereign Ratings (Moody''s,S&amp;P)'!A156</f>
        <v>Venezuela</v>
      </c>
      <c r="B156" s="70" t="str">
        <f>'Sovereign Ratings (Moody''s,S&amp;P)'!C156</f>
        <v>C</v>
      </c>
      <c r="C156" s="145" t="s">
        <v>143</v>
      </c>
      <c r="D156" s="71" t="str">
        <f t="shared" si="34"/>
        <v>NA</v>
      </c>
    </row>
    <row r="157" spans="1:4" ht="16">
      <c r="A157" s="55" t="str">
        <f>'Sovereign Ratings (Moody''s,S&amp;P)'!A157</f>
        <v>Vietnam</v>
      </c>
      <c r="B157" s="70" t="str">
        <f>'Sovereign Ratings (Moody''s,S&amp;P)'!C157</f>
        <v>Ba3</v>
      </c>
      <c r="C157" s="145">
        <f>VLOOKUP(A157,$H$24:$J$107,2,FALSE)</f>
        <v>2.2800000000000001E-2</v>
      </c>
      <c r="D157" s="71">
        <f t="shared" si="34"/>
        <v>2.0200000000000003E-2</v>
      </c>
    </row>
    <row r="158" spans="1:4" ht="16">
      <c r="A158" s="55" t="str">
        <f>'Sovereign Ratings (Moody''s,S&amp;P)'!A158</f>
        <v>Zambia</v>
      </c>
      <c r="B158" s="70" t="str">
        <f>'Sovereign Ratings (Moody''s,S&amp;P)'!C158</f>
        <v>Ca</v>
      </c>
      <c r="C158" s="145" t="str">
        <f>VLOOKUP(A158,$H$24:$J$107,2,FALSE)</f>
        <v>NA</v>
      </c>
      <c r="D158" s="71" t="str">
        <f t="shared" si="34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10" sqref="A10"/>
    </sheetView>
  </sheetViews>
  <sheetFormatPr baseColWidth="10" defaultRowHeight="12"/>
  <sheetData>
    <row r="1" spans="1:1">
      <c r="A1" t="s">
        <v>586</v>
      </c>
    </row>
    <row r="2" spans="1:1">
      <c r="A2" t="s">
        <v>587</v>
      </c>
    </row>
    <row r="3" spans="1:1">
      <c r="A3" t="s">
        <v>588</v>
      </c>
    </row>
    <row r="4" spans="1:1">
      <c r="A4" t="s">
        <v>589</v>
      </c>
    </row>
    <row r="5" spans="1:1">
      <c r="A5" t="s">
        <v>590</v>
      </c>
    </row>
    <row r="6" spans="1:1">
      <c r="A6" t="s">
        <v>591</v>
      </c>
    </row>
    <row r="7" spans="1:1">
      <c r="A7" t="s">
        <v>592</v>
      </c>
    </row>
    <row r="8" spans="1:1">
      <c r="A8" t="s">
        <v>593</v>
      </c>
    </row>
    <row r="9" spans="1:1">
      <c r="A9" t="s">
        <v>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244" customFormat="1" ht="19">
      <c r="A1" s="242" t="s">
        <v>585</v>
      </c>
      <c r="B1" s="243">
        <v>42400</v>
      </c>
    </row>
    <row r="2" spans="1:8">
      <c r="A2" s="240"/>
      <c r="B2" s="241"/>
    </row>
    <row r="3" spans="1:8" ht="18">
      <c r="A3" s="206" t="s">
        <v>75</v>
      </c>
      <c r="B3" s="207" t="s">
        <v>402</v>
      </c>
      <c r="C3" s="208" t="s">
        <v>578</v>
      </c>
      <c r="D3" s="209" t="s">
        <v>579</v>
      </c>
      <c r="E3" s="210" t="s">
        <v>580</v>
      </c>
      <c r="F3" s="211" t="s">
        <v>400</v>
      </c>
      <c r="G3" s="86" t="s">
        <v>581</v>
      </c>
      <c r="H3" s="209" t="s">
        <v>582</v>
      </c>
    </row>
    <row r="4" spans="1:8" ht="16">
      <c r="A4" s="212" t="s">
        <v>338</v>
      </c>
      <c r="B4" s="213" t="s">
        <v>143</v>
      </c>
      <c r="C4" s="213" t="s">
        <v>143</v>
      </c>
      <c r="D4" s="214" t="str">
        <f>IF(C4="NA","NA",B4/C4)</f>
        <v>NA</v>
      </c>
      <c r="E4" s="215">
        <v>3.2000000000000002E-3</v>
      </c>
      <c r="F4" s="215">
        <v>1.1299999999999999E-2</v>
      </c>
      <c r="G4" s="86">
        <f>IF(F4="NA","NA",E4/F4)</f>
        <v>0.28318584070796465</v>
      </c>
      <c r="H4" s="214" t="str">
        <f>IF(G4="NA","NA",(IF(B4="NA","NA",B4/G4)))</f>
        <v>NA</v>
      </c>
    </row>
    <row r="5" spans="1:8" ht="16">
      <c r="A5" s="212" t="s">
        <v>131</v>
      </c>
      <c r="B5" s="213" t="s">
        <v>143</v>
      </c>
      <c r="C5" s="213" t="s">
        <v>143</v>
      </c>
      <c r="D5" s="214" t="str">
        <f t="shared" ref="D5:D68" si="0">IF(C5="NA","NA",B5/C5)</f>
        <v>NA</v>
      </c>
      <c r="E5" s="215">
        <v>3.2000000000000002E-3</v>
      </c>
      <c r="F5" s="215">
        <v>5.8400000000000001E-2</v>
      </c>
      <c r="G5" s="86">
        <f t="shared" ref="G5:G68" si="1">IF(F5="NA","NA",E5/F5)</f>
        <v>5.4794520547945209E-2</v>
      </c>
      <c r="H5" s="214" t="str">
        <f t="shared" ref="H5:H68" si="2">IF(G5="NA","NA",(IF(B5="NA","NA",B5/G5)))</f>
        <v>NA</v>
      </c>
    </row>
    <row r="6" spans="1:8" ht="16">
      <c r="A6" s="212" t="s">
        <v>84</v>
      </c>
      <c r="B6" s="213">
        <v>0.65920000000000001</v>
      </c>
      <c r="C6" s="213">
        <v>0.47699999999999998</v>
      </c>
      <c r="D6" s="214">
        <f t="shared" si="0"/>
        <v>1.3819706498951783</v>
      </c>
      <c r="E6" s="215">
        <v>1.1599999999999999E-2</v>
      </c>
      <c r="F6" s="215">
        <v>0.37630000000000002</v>
      </c>
      <c r="G6" s="86">
        <f t="shared" si="1"/>
        <v>3.0826468243422799E-2</v>
      </c>
      <c r="H6" s="214">
        <f t="shared" si="2"/>
        <v>21.384220689655173</v>
      </c>
    </row>
    <row r="7" spans="1:8" ht="16">
      <c r="A7" s="212" t="s">
        <v>87</v>
      </c>
      <c r="B7" s="213">
        <v>7.9899999999999999E-2</v>
      </c>
      <c r="C7" s="213" t="s">
        <v>143</v>
      </c>
      <c r="D7" s="214" t="str">
        <f t="shared" si="0"/>
        <v>NA</v>
      </c>
      <c r="E7" s="215">
        <v>2.8E-3</v>
      </c>
      <c r="F7" s="215">
        <v>2.53E-2</v>
      </c>
      <c r="G7" s="86">
        <f t="shared" si="1"/>
        <v>0.11067193675889328</v>
      </c>
      <c r="H7" s="214">
        <f t="shared" si="2"/>
        <v>0.72195357142857142</v>
      </c>
    </row>
    <row r="8" spans="1:8" ht="16">
      <c r="A8" s="212" t="s">
        <v>132</v>
      </c>
      <c r="B8" s="213">
        <v>0.1434</v>
      </c>
      <c r="C8" s="213">
        <v>9.2299999999999993E-2</v>
      </c>
      <c r="D8" s="214">
        <f t="shared" si="0"/>
        <v>1.5536294691224271</v>
      </c>
      <c r="E8" s="19" t="s">
        <v>143</v>
      </c>
      <c r="F8" s="215" t="s">
        <v>143</v>
      </c>
      <c r="G8" s="86" t="str">
        <f t="shared" si="1"/>
        <v>NA</v>
      </c>
      <c r="H8" s="214" t="str">
        <f t="shared" si="2"/>
        <v>NA</v>
      </c>
    </row>
    <row r="9" spans="1:8" ht="16">
      <c r="A9" s="212" t="s">
        <v>144</v>
      </c>
      <c r="B9" s="213">
        <v>0.14560000000000001</v>
      </c>
      <c r="C9" s="213" t="s">
        <v>143</v>
      </c>
      <c r="D9" s="214" t="str">
        <f t="shared" si="0"/>
        <v>NA</v>
      </c>
      <c r="E9" s="19" t="s">
        <v>143</v>
      </c>
      <c r="F9" s="215" t="s">
        <v>143</v>
      </c>
      <c r="G9" s="86" t="str">
        <f t="shared" si="1"/>
        <v>NA</v>
      </c>
      <c r="H9" s="214" t="str">
        <f t="shared" si="2"/>
        <v>NA</v>
      </c>
    </row>
    <row r="10" spans="1:8" ht="16">
      <c r="A10" s="212" t="s">
        <v>123</v>
      </c>
      <c r="B10" s="213">
        <v>3.3700000000000001E-2</v>
      </c>
      <c r="C10" s="213" t="s">
        <v>143</v>
      </c>
      <c r="D10" s="214" t="str">
        <f t="shared" si="0"/>
        <v>NA</v>
      </c>
      <c r="E10" s="19" t="s">
        <v>143</v>
      </c>
      <c r="F10" s="215" t="s">
        <v>143</v>
      </c>
      <c r="G10" s="86" t="str">
        <f t="shared" si="1"/>
        <v>NA</v>
      </c>
      <c r="H10" s="214" t="str">
        <f t="shared" si="2"/>
        <v>NA</v>
      </c>
    </row>
    <row r="11" spans="1:8" ht="16">
      <c r="A11" s="212" t="s">
        <v>92</v>
      </c>
      <c r="B11" s="213">
        <v>0.1983</v>
      </c>
      <c r="C11" s="213">
        <v>0.14280000000000001</v>
      </c>
      <c r="D11" s="214">
        <f t="shared" si="0"/>
        <v>1.3886554621848739</v>
      </c>
      <c r="E11" s="215">
        <v>4.1000000000000003E-3</v>
      </c>
      <c r="F11" s="215">
        <v>2.1000000000000001E-2</v>
      </c>
      <c r="G11" s="86">
        <f t="shared" si="1"/>
        <v>0.19523809523809524</v>
      </c>
      <c r="H11" s="214">
        <f t="shared" si="2"/>
        <v>1.0156829268292684</v>
      </c>
    </row>
    <row r="12" spans="1:8" ht="16">
      <c r="A12" s="212" t="s">
        <v>94</v>
      </c>
      <c r="B12" s="213">
        <v>9.3200000000000005E-2</v>
      </c>
      <c r="C12" s="213">
        <v>7.0499999999999993E-2</v>
      </c>
      <c r="D12" s="214">
        <f t="shared" si="0"/>
        <v>1.321985815602837</v>
      </c>
      <c r="E12" s="215">
        <v>3.2000000000000002E-3</v>
      </c>
      <c r="F12" s="215">
        <v>6.7999999999999996E-3</v>
      </c>
      <c r="G12" s="86">
        <f t="shared" si="1"/>
        <v>0.4705882352941177</v>
      </c>
      <c r="H12" s="214">
        <f t="shared" si="2"/>
        <v>0.19805</v>
      </c>
    </row>
    <row r="13" spans="1:8" ht="16">
      <c r="A13" s="212" t="s">
        <v>212</v>
      </c>
      <c r="B13" s="213" t="s">
        <v>143</v>
      </c>
      <c r="C13" s="213" t="s">
        <v>143</v>
      </c>
      <c r="D13" s="214" t="str">
        <f t="shared" si="0"/>
        <v>NA</v>
      </c>
      <c r="E13" s="215">
        <v>2.8E-3</v>
      </c>
      <c r="F13" s="215">
        <v>5.0200000000000002E-2</v>
      </c>
      <c r="G13" s="86">
        <f t="shared" si="1"/>
        <v>5.5776892430278883E-2</v>
      </c>
      <c r="H13" s="214" t="str">
        <f t="shared" si="2"/>
        <v>NA</v>
      </c>
    </row>
    <row r="14" spans="1:8" ht="16">
      <c r="A14" s="212" t="s">
        <v>96</v>
      </c>
      <c r="B14" s="213">
        <v>0.18410000000000001</v>
      </c>
      <c r="C14" s="213">
        <v>0.12330000000000001</v>
      </c>
      <c r="D14" s="214">
        <f t="shared" si="0"/>
        <v>1.4931062449310626</v>
      </c>
      <c r="E14" s="215">
        <v>3.0000000000000001E-3</v>
      </c>
      <c r="F14" s="215">
        <v>1.04E-2</v>
      </c>
      <c r="G14" s="86">
        <f t="shared" si="1"/>
        <v>0.28846153846153849</v>
      </c>
      <c r="H14" s="214">
        <f t="shared" si="2"/>
        <v>0.6382133333333333</v>
      </c>
    </row>
    <row r="15" spans="1:8" ht="16">
      <c r="A15" s="212" t="s">
        <v>97</v>
      </c>
      <c r="B15" s="213">
        <v>0.22309999999999999</v>
      </c>
      <c r="C15" s="213">
        <v>0.12330000000000001</v>
      </c>
      <c r="D15" s="214">
        <f t="shared" si="0"/>
        <v>1.8094079480940792</v>
      </c>
      <c r="E15" s="215">
        <v>3.7000000000000002E-3</v>
      </c>
      <c r="F15" s="215">
        <v>8.6999999999999994E-3</v>
      </c>
      <c r="G15" s="86">
        <f t="shared" si="1"/>
        <v>0.42528735632183912</v>
      </c>
      <c r="H15" s="214">
        <f t="shared" si="2"/>
        <v>0.52458648648648643</v>
      </c>
    </row>
    <row r="16" spans="1:8" ht="16">
      <c r="A16" s="212" t="s">
        <v>50</v>
      </c>
      <c r="B16" s="213">
        <v>0.1258</v>
      </c>
      <c r="C16" s="213">
        <v>0.14149999999999999</v>
      </c>
      <c r="D16" s="214">
        <f t="shared" si="0"/>
        <v>0.88904593639575979</v>
      </c>
      <c r="E16" s="215">
        <v>4.7999999999999996E-3</v>
      </c>
      <c r="F16" s="215">
        <v>1.6500000000000001E-2</v>
      </c>
      <c r="G16" s="86">
        <f t="shared" si="1"/>
        <v>0.29090909090909089</v>
      </c>
      <c r="H16" s="214">
        <f t="shared" si="2"/>
        <v>0.43243750000000003</v>
      </c>
    </row>
    <row r="17" spans="1:8" ht="16">
      <c r="A17" s="212" t="s">
        <v>56</v>
      </c>
      <c r="B17" s="213">
        <v>5.2499999999999998E-2</v>
      </c>
      <c r="C17" s="213">
        <v>6.7400000000000002E-2</v>
      </c>
      <c r="D17" s="214">
        <f t="shared" si="0"/>
        <v>0.77893175074183973</v>
      </c>
      <c r="E17" s="215">
        <v>2.8E-3</v>
      </c>
      <c r="F17" s="215">
        <v>3.49E-2</v>
      </c>
      <c r="G17" s="86">
        <f t="shared" si="1"/>
        <v>8.0229226361031511E-2</v>
      </c>
      <c r="H17" s="214">
        <f t="shared" si="2"/>
        <v>0.65437500000000004</v>
      </c>
    </row>
    <row r="18" spans="1:8" ht="16">
      <c r="A18" s="212" t="s">
        <v>98</v>
      </c>
      <c r="B18" s="213">
        <v>9.1899999999999996E-2</v>
      </c>
      <c r="C18" s="213">
        <v>7.1499999999999994E-2</v>
      </c>
      <c r="D18" s="214">
        <f t="shared" si="0"/>
        <v>1.2853146853146853</v>
      </c>
      <c r="E18" s="215">
        <v>4.1999999999999997E-3</v>
      </c>
      <c r="F18" s="215">
        <v>8.3000000000000001E-3</v>
      </c>
      <c r="G18" s="86">
        <f t="shared" si="1"/>
        <v>0.50602409638554213</v>
      </c>
      <c r="H18" s="214">
        <f t="shared" si="2"/>
        <v>0.18161190476190478</v>
      </c>
    </row>
    <row r="19" spans="1:8" ht="16">
      <c r="A19" s="212" t="s">
        <v>178</v>
      </c>
      <c r="B19" s="213">
        <v>0.13070000000000001</v>
      </c>
      <c r="C19" s="213">
        <v>0.15659999999999999</v>
      </c>
      <c r="D19" s="214">
        <f t="shared" si="0"/>
        <v>0.83461047254150711</v>
      </c>
      <c r="E19" s="215">
        <v>5.0000000000000001E-3</v>
      </c>
      <c r="F19" s="215">
        <v>1.21E-2</v>
      </c>
      <c r="G19" s="86">
        <f t="shared" si="1"/>
        <v>0.41322314049586778</v>
      </c>
      <c r="H19" s="214">
        <f t="shared" si="2"/>
        <v>0.31629400000000002</v>
      </c>
    </row>
    <row r="20" spans="1:8" ht="16">
      <c r="A20" s="212" t="s">
        <v>101</v>
      </c>
      <c r="B20" s="213">
        <v>0.1137</v>
      </c>
      <c r="C20" s="213">
        <v>0.1215</v>
      </c>
      <c r="D20" s="214">
        <f t="shared" si="0"/>
        <v>0.93580246913580245</v>
      </c>
      <c r="E20" s="215">
        <v>3.0000000000000001E-3</v>
      </c>
      <c r="F20" s="215">
        <v>5.4000000000000003E-3</v>
      </c>
      <c r="G20" s="86">
        <f t="shared" si="1"/>
        <v>0.55555555555555558</v>
      </c>
      <c r="H20" s="214">
        <f t="shared" si="2"/>
        <v>0.20465999999999998</v>
      </c>
    </row>
    <row r="21" spans="1:8" ht="16">
      <c r="A21" s="212" t="s">
        <v>105</v>
      </c>
      <c r="B21" s="213">
        <v>0.1734</v>
      </c>
      <c r="C21" s="213" t="s">
        <v>143</v>
      </c>
      <c r="D21" s="214" t="str">
        <f t="shared" si="0"/>
        <v>NA</v>
      </c>
      <c r="E21" s="215">
        <v>2.5999999999999999E-3</v>
      </c>
      <c r="F21" s="215">
        <v>3.73E-2</v>
      </c>
      <c r="G21" s="86">
        <f t="shared" si="1"/>
        <v>6.9705093833780152E-2</v>
      </c>
      <c r="H21" s="214">
        <f t="shared" si="2"/>
        <v>2.4876230769230774</v>
      </c>
    </row>
    <row r="22" spans="1:8" ht="16">
      <c r="A22" s="212" t="s">
        <v>31</v>
      </c>
      <c r="B22" s="213" t="s">
        <v>143</v>
      </c>
      <c r="C22" s="213" t="s">
        <v>143</v>
      </c>
      <c r="D22" s="214" t="str">
        <f t="shared" si="0"/>
        <v>NA</v>
      </c>
      <c r="E22" s="215">
        <v>3.0999999999999999E-3</v>
      </c>
      <c r="F22" s="215">
        <v>3.9100000000000003E-2</v>
      </c>
      <c r="G22" s="86">
        <f t="shared" si="1"/>
        <v>7.9283887468030681E-2</v>
      </c>
      <c r="H22" s="214" t="str">
        <f t="shared" si="2"/>
        <v>NA</v>
      </c>
    </row>
    <row r="23" spans="1:8" ht="16">
      <c r="A23" s="212" t="s">
        <v>106</v>
      </c>
      <c r="B23" s="213">
        <v>7.2499999999999995E-2</v>
      </c>
      <c r="C23" s="213" t="s">
        <v>143</v>
      </c>
      <c r="D23" s="214" t="str">
        <f t="shared" si="0"/>
        <v>NA</v>
      </c>
      <c r="E23" s="215">
        <v>1.9E-3</v>
      </c>
      <c r="F23" s="215">
        <v>7.1000000000000004E-3</v>
      </c>
      <c r="G23" s="86">
        <f t="shared" si="1"/>
        <v>0.26760563380281688</v>
      </c>
      <c r="H23" s="214">
        <f t="shared" si="2"/>
        <v>0.27092105263157895</v>
      </c>
    </row>
    <row r="24" spans="1:8" ht="16">
      <c r="A24" s="212" t="s">
        <v>221</v>
      </c>
      <c r="B24" s="213">
        <v>0.12540000000000001</v>
      </c>
      <c r="C24" s="213" t="s">
        <v>143</v>
      </c>
      <c r="D24" s="214" t="str">
        <f t="shared" si="0"/>
        <v>NA</v>
      </c>
      <c r="E24" s="19" t="s">
        <v>583</v>
      </c>
      <c r="F24" s="215" t="s">
        <v>143</v>
      </c>
      <c r="G24" s="86" t="str">
        <f t="shared" si="1"/>
        <v>NA</v>
      </c>
      <c r="H24" s="214" t="str">
        <f t="shared" si="2"/>
        <v>NA</v>
      </c>
    </row>
    <row r="25" spans="1:8" ht="16">
      <c r="A25" s="212" t="s">
        <v>182</v>
      </c>
      <c r="B25" s="213">
        <v>0.23719999999999999</v>
      </c>
      <c r="C25" s="213">
        <v>0.1371</v>
      </c>
      <c r="D25" s="214">
        <f t="shared" si="0"/>
        <v>1.7301239970824216</v>
      </c>
      <c r="E25" s="215">
        <v>4.4000000000000003E-3</v>
      </c>
      <c r="F25" s="215">
        <v>2.5100000000000001E-2</v>
      </c>
      <c r="G25" s="86">
        <f t="shared" si="1"/>
        <v>0.1752988047808765</v>
      </c>
      <c r="H25" s="214">
        <f t="shared" si="2"/>
        <v>1.3531181818181817</v>
      </c>
    </row>
    <row r="26" spans="1:8" ht="16">
      <c r="A26" s="212" t="s">
        <v>550</v>
      </c>
      <c r="B26" s="213" t="s">
        <v>143</v>
      </c>
      <c r="C26" s="213" t="s">
        <v>143</v>
      </c>
      <c r="D26" s="214" t="str">
        <f t="shared" si="0"/>
        <v>NA</v>
      </c>
      <c r="E26" s="215">
        <v>2.7000000000000001E-3</v>
      </c>
      <c r="F26" s="215">
        <v>2.3E-2</v>
      </c>
      <c r="G26" s="86">
        <f t="shared" si="1"/>
        <v>0.11739130434782609</v>
      </c>
      <c r="H26" s="214" t="str">
        <f t="shared" si="2"/>
        <v>NA</v>
      </c>
    </row>
    <row r="27" spans="1:8" ht="16">
      <c r="A27" s="212" t="s">
        <v>109</v>
      </c>
      <c r="B27" s="213">
        <v>0.1573</v>
      </c>
      <c r="C27" s="213">
        <v>0.14019999999999999</v>
      </c>
      <c r="D27" s="214">
        <f t="shared" si="0"/>
        <v>1.1219686162624822</v>
      </c>
      <c r="E27" s="215">
        <v>2.2000000000000001E-3</v>
      </c>
      <c r="F27" s="215">
        <v>7.7000000000000002E-3</v>
      </c>
      <c r="G27" s="86">
        <f t="shared" si="1"/>
        <v>0.2857142857142857</v>
      </c>
      <c r="H27" s="214">
        <f t="shared" si="2"/>
        <v>0.55054999999999998</v>
      </c>
    </row>
    <row r="28" spans="1:8" ht="16">
      <c r="A28" s="212" t="s">
        <v>110</v>
      </c>
      <c r="B28" s="213">
        <v>0.1469</v>
      </c>
      <c r="C28" s="213">
        <v>0.17119999999999999</v>
      </c>
      <c r="D28" s="214">
        <f t="shared" si="0"/>
        <v>0.85806074766355145</v>
      </c>
      <c r="E28" s="215">
        <v>4.5999999999999999E-3</v>
      </c>
      <c r="F28" s="215">
        <v>8.5000000000000006E-3</v>
      </c>
      <c r="G28" s="86">
        <f t="shared" si="1"/>
        <v>0.54117647058823526</v>
      </c>
      <c r="H28" s="214">
        <f t="shared" si="2"/>
        <v>0.27144565217391309</v>
      </c>
    </row>
    <row r="29" spans="1:8" ht="16">
      <c r="A29" s="212" t="s">
        <v>111</v>
      </c>
      <c r="B29" s="213">
        <v>0.1472</v>
      </c>
      <c r="C29" s="213">
        <v>8.0100000000000005E-2</v>
      </c>
      <c r="D29" s="214">
        <f t="shared" si="0"/>
        <v>1.8377028714107364</v>
      </c>
      <c r="E29" s="215">
        <v>3.0000000000000001E-3</v>
      </c>
      <c r="F29" s="215">
        <v>1.41E-2</v>
      </c>
      <c r="G29" s="86">
        <f t="shared" si="1"/>
        <v>0.21276595744680851</v>
      </c>
      <c r="H29" s="214">
        <f t="shared" si="2"/>
        <v>0.69184000000000001</v>
      </c>
    </row>
    <row r="30" spans="1:8" ht="16">
      <c r="A30" s="212" t="s">
        <v>112</v>
      </c>
      <c r="B30" s="213">
        <v>0.12590000000000001</v>
      </c>
      <c r="C30" s="213">
        <v>0.1077</v>
      </c>
      <c r="D30" s="214">
        <f t="shared" si="0"/>
        <v>1.1689879294336118</v>
      </c>
      <c r="E30" s="215">
        <v>4.0000000000000001E-3</v>
      </c>
      <c r="F30" s="215">
        <v>1.66E-2</v>
      </c>
      <c r="G30" s="86">
        <f t="shared" si="1"/>
        <v>0.24096385542168675</v>
      </c>
      <c r="H30" s="214">
        <f t="shared" si="2"/>
        <v>0.52248500000000009</v>
      </c>
    </row>
    <row r="31" spans="1:8" ht="16">
      <c r="A31" s="212" t="s">
        <v>183</v>
      </c>
      <c r="B31" s="213">
        <v>0.16900000000000001</v>
      </c>
      <c r="C31" s="213">
        <v>8.5300000000000001E-2</v>
      </c>
      <c r="D31" s="214">
        <f t="shared" si="0"/>
        <v>1.981242672919109</v>
      </c>
      <c r="E31" s="215">
        <v>7.3000000000000001E-3</v>
      </c>
      <c r="F31" s="215">
        <v>3.5999999999999999E-3</v>
      </c>
      <c r="G31" s="86">
        <f t="shared" si="1"/>
        <v>2.0277777777777777</v>
      </c>
      <c r="H31" s="214">
        <f t="shared" si="2"/>
        <v>8.334246575342466E-2</v>
      </c>
    </row>
    <row r="32" spans="1:8" ht="16">
      <c r="A32" s="212" t="s">
        <v>332</v>
      </c>
      <c r="B32" s="213" t="s">
        <v>143</v>
      </c>
      <c r="C32" s="213" t="s">
        <v>143</v>
      </c>
      <c r="D32" s="214" t="str">
        <f t="shared" si="0"/>
        <v>NA</v>
      </c>
      <c r="E32" s="215">
        <v>3.3E-3</v>
      </c>
      <c r="F32" s="215">
        <v>5.0599999999999999E-2</v>
      </c>
      <c r="G32" s="86">
        <f t="shared" si="1"/>
        <v>6.5217391304347824E-2</v>
      </c>
      <c r="H32" s="214" t="str">
        <f t="shared" si="2"/>
        <v>NA</v>
      </c>
    </row>
    <row r="33" spans="1:8" ht="16">
      <c r="A33" s="212" t="s">
        <v>114</v>
      </c>
      <c r="B33" s="213">
        <v>0.13500000000000001</v>
      </c>
      <c r="C33" s="213">
        <v>0.10059999999999999</v>
      </c>
      <c r="D33" s="214">
        <f t="shared" si="0"/>
        <v>1.3419483101391652</v>
      </c>
      <c r="E33" s="215">
        <v>2.5000000000000001E-3</v>
      </c>
      <c r="F33" s="215">
        <v>8.2000000000000007E-3</v>
      </c>
      <c r="G33" s="86">
        <f t="shared" si="1"/>
        <v>0.3048780487804878</v>
      </c>
      <c r="H33" s="214">
        <f t="shared" si="2"/>
        <v>0.44280000000000003</v>
      </c>
    </row>
    <row r="34" spans="1:8" ht="16">
      <c r="A34" s="212" t="s">
        <v>145</v>
      </c>
      <c r="B34" s="213">
        <v>0.1696</v>
      </c>
      <c r="C34" s="213">
        <v>0.1215</v>
      </c>
      <c r="D34" s="214">
        <f t="shared" si="0"/>
        <v>1.3958847736625515</v>
      </c>
      <c r="E34" s="215">
        <v>3.8999999999999998E-3</v>
      </c>
      <c r="F34" s="215">
        <v>2.06E-2</v>
      </c>
      <c r="G34" s="86">
        <f t="shared" si="1"/>
        <v>0.18932038834951456</v>
      </c>
      <c r="H34" s="214">
        <f t="shared" si="2"/>
        <v>0.89583589743589742</v>
      </c>
    </row>
    <row r="35" spans="1:8" ht="16">
      <c r="A35" s="212" t="s">
        <v>115</v>
      </c>
      <c r="B35" s="213">
        <v>0.11600000000000001</v>
      </c>
      <c r="C35" s="213" t="s">
        <v>143</v>
      </c>
      <c r="D35" s="214" t="str">
        <f t="shared" si="0"/>
        <v>NA</v>
      </c>
      <c r="E35" s="215" t="s">
        <v>143</v>
      </c>
      <c r="F35" s="215" t="s">
        <v>143</v>
      </c>
      <c r="G35" s="86" t="str">
        <f t="shared" si="1"/>
        <v>NA</v>
      </c>
      <c r="H35" s="214" t="str">
        <f t="shared" si="2"/>
        <v>NA</v>
      </c>
    </row>
    <row r="36" spans="1:8" ht="16">
      <c r="A36" s="212" t="s">
        <v>117</v>
      </c>
      <c r="B36" s="213">
        <v>6.1899999999999997E-2</v>
      </c>
      <c r="C36" s="213" t="s">
        <v>584</v>
      </c>
      <c r="D36" s="214" t="str">
        <f t="shared" si="0"/>
        <v>NA</v>
      </c>
      <c r="E36" s="215" t="s">
        <v>143</v>
      </c>
      <c r="F36" s="215" t="s">
        <v>143</v>
      </c>
      <c r="G36" s="86" t="str">
        <f t="shared" si="1"/>
        <v>NA</v>
      </c>
      <c r="H36" s="214" t="str">
        <f t="shared" si="2"/>
        <v>NA</v>
      </c>
    </row>
    <row r="37" spans="1:8" ht="16">
      <c r="A37" s="212" t="s">
        <v>343</v>
      </c>
      <c r="B37" s="213">
        <v>0.1193</v>
      </c>
      <c r="C37" s="213" t="s">
        <v>143</v>
      </c>
      <c r="D37" s="214" t="str">
        <f t="shared" si="0"/>
        <v>NA</v>
      </c>
      <c r="E37" s="215">
        <v>3.2000000000000002E-3</v>
      </c>
      <c r="F37" s="215">
        <v>1.0699999999999999E-2</v>
      </c>
      <c r="G37" s="86">
        <f t="shared" si="1"/>
        <v>0.2990654205607477</v>
      </c>
      <c r="H37" s="214">
        <f t="shared" si="2"/>
        <v>0.39890937499999995</v>
      </c>
    </row>
    <row r="38" spans="1:8" ht="16">
      <c r="A38" s="212" t="s">
        <v>184</v>
      </c>
      <c r="B38" s="213">
        <v>0.1108</v>
      </c>
      <c r="C38" s="213" t="s">
        <v>143</v>
      </c>
      <c r="D38" s="214" t="str">
        <f t="shared" si="0"/>
        <v>NA</v>
      </c>
      <c r="E38" s="215">
        <v>3.3999999999999998E-3</v>
      </c>
      <c r="F38" s="215">
        <v>4.65E-2</v>
      </c>
      <c r="G38" s="86">
        <f t="shared" si="1"/>
        <v>7.3118279569892475E-2</v>
      </c>
      <c r="H38" s="214">
        <f t="shared" si="2"/>
        <v>1.5153529411764706</v>
      </c>
    </row>
    <row r="39" spans="1:8" ht="16">
      <c r="A39" s="212" t="s">
        <v>119</v>
      </c>
      <c r="B39" s="213">
        <v>0.15290000000000001</v>
      </c>
      <c r="C39" s="213">
        <v>0.18540000000000001</v>
      </c>
      <c r="D39" s="214">
        <f t="shared" si="0"/>
        <v>0.8247033441208198</v>
      </c>
      <c r="E39" s="215">
        <v>5.4999999999999997E-3</v>
      </c>
      <c r="F39" s="215">
        <v>5.7000000000000002E-3</v>
      </c>
      <c r="G39" s="86">
        <f t="shared" si="1"/>
        <v>0.96491228070175428</v>
      </c>
      <c r="H39" s="214">
        <f t="shared" si="2"/>
        <v>0.15846000000000002</v>
      </c>
    </row>
    <row r="40" spans="1:8" ht="16">
      <c r="A40" s="212" t="s">
        <v>120</v>
      </c>
      <c r="B40" s="213">
        <v>0.18740000000000001</v>
      </c>
      <c r="C40" s="213" t="s">
        <v>143</v>
      </c>
      <c r="D40" s="214" t="str">
        <f t="shared" si="0"/>
        <v>NA</v>
      </c>
      <c r="E40" s="215">
        <v>3.3E-3</v>
      </c>
      <c r="F40" s="215">
        <v>8.9999999999999993E-3</v>
      </c>
      <c r="G40" s="86">
        <f t="shared" si="1"/>
        <v>0.3666666666666667</v>
      </c>
      <c r="H40" s="214">
        <f t="shared" si="2"/>
        <v>0.51109090909090904</v>
      </c>
    </row>
    <row r="41" spans="1:8" ht="16">
      <c r="A41" s="212" t="s">
        <v>344</v>
      </c>
      <c r="B41" s="213">
        <v>0.19670000000000001</v>
      </c>
      <c r="C41" s="213" t="s">
        <v>143</v>
      </c>
      <c r="D41" s="214" t="str">
        <f t="shared" si="0"/>
        <v>NA</v>
      </c>
      <c r="E41" s="215" t="s">
        <v>143</v>
      </c>
      <c r="F41" s="215" t="s">
        <v>143</v>
      </c>
      <c r="G41" s="86" t="str">
        <f t="shared" si="1"/>
        <v>NA</v>
      </c>
      <c r="H41" s="214" t="str">
        <f t="shared" si="2"/>
        <v>NA</v>
      </c>
    </row>
    <row r="42" spans="1:8" ht="16">
      <c r="A42" s="212" t="s">
        <v>121</v>
      </c>
      <c r="B42" s="213">
        <v>0.1285</v>
      </c>
      <c r="C42" s="213">
        <v>8.8499999999999995E-2</v>
      </c>
      <c r="D42" s="214">
        <f t="shared" si="0"/>
        <v>1.4519774011299436</v>
      </c>
      <c r="E42" s="215">
        <v>2.0999999999999999E-3</v>
      </c>
      <c r="F42" s="215">
        <v>8.6E-3</v>
      </c>
      <c r="G42" s="86">
        <f t="shared" si="1"/>
        <v>0.2441860465116279</v>
      </c>
      <c r="H42" s="214">
        <f t="shared" si="2"/>
        <v>0.52623809523809528</v>
      </c>
    </row>
    <row r="43" spans="1:8" ht="16">
      <c r="A43" s="212" t="s">
        <v>122</v>
      </c>
      <c r="B43" s="213">
        <v>0.18049999999999999</v>
      </c>
      <c r="C43" s="213">
        <v>0.15659999999999999</v>
      </c>
      <c r="D43" s="214">
        <f t="shared" si="0"/>
        <v>1.1526181353767562</v>
      </c>
      <c r="E43" s="215">
        <v>2.8899999999999999E-2</v>
      </c>
      <c r="F43" s="215">
        <v>2.0543</v>
      </c>
      <c r="G43" s="86">
        <f t="shared" si="1"/>
        <v>1.4068052377938957E-2</v>
      </c>
      <c r="H43" s="214">
        <f t="shared" si="2"/>
        <v>12.830489619377163</v>
      </c>
    </row>
    <row r="44" spans="1:8" ht="16">
      <c r="A44" s="212" t="s">
        <v>13</v>
      </c>
      <c r="B44" s="213">
        <v>7.0999999999999994E-2</v>
      </c>
      <c r="C44" s="213" t="s">
        <v>143</v>
      </c>
      <c r="D44" s="214" t="str">
        <f t="shared" si="0"/>
        <v>NA</v>
      </c>
      <c r="E44" s="215">
        <v>2.2000000000000001E-3</v>
      </c>
      <c r="F44" s="215">
        <v>7.7999999999999996E-3</v>
      </c>
      <c r="G44" s="86">
        <f t="shared" si="1"/>
        <v>0.2820512820512821</v>
      </c>
      <c r="H44" s="214">
        <f t="shared" si="2"/>
        <v>0.25172727272727263</v>
      </c>
    </row>
    <row r="45" spans="1:8" ht="16">
      <c r="A45" s="212" t="s">
        <v>146</v>
      </c>
      <c r="B45" s="213">
        <v>0.1171</v>
      </c>
      <c r="C45" s="213" t="s">
        <v>143</v>
      </c>
      <c r="D45" s="214" t="str">
        <f t="shared" si="0"/>
        <v>NA</v>
      </c>
      <c r="E45" s="19" t="s">
        <v>143</v>
      </c>
      <c r="F45" s="215" t="s">
        <v>143</v>
      </c>
      <c r="G45" s="86" t="str">
        <f t="shared" si="1"/>
        <v>NA</v>
      </c>
      <c r="H45" s="214" t="str">
        <f t="shared" si="2"/>
        <v>NA</v>
      </c>
    </row>
    <row r="46" spans="1:8" ht="16">
      <c r="A46" s="212" t="s">
        <v>14</v>
      </c>
      <c r="B46" s="213">
        <v>8.7400000000000005E-2</v>
      </c>
      <c r="C46" s="213">
        <v>0.1222</v>
      </c>
      <c r="D46" s="214">
        <f t="shared" si="0"/>
        <v>0.71522094926350244</v>
      </c>
      <c r="E46" s="215">
        <v>5.1000000000000004E-3</v>
      </c>
      <c r="F46" s="215">
        <v>9.7000000000000003E-3</v>
      </c>
      <c r="G46" s="86">
        <f t="shared" si="1"/>
        <v>0.52577319587628868</v>
      </c>
      <c r="H46" s="214">
        <f t="shared" si="2"/>
        <v>0.16623137254901962</v>
      </c>
    </row>
    <row r="47" spans="1:8" ht="16">
      <c r="A47" s="212" t="s">
        <v>186</v>
      </c>
      <c r="B47" s="213">
        <v>8.1500000000000003E-2</v>
      </c>
      <c r="C47" s="213" t="s">
        <v>143</v>
      </c>
      <c r="D47" s="214" t="str">
        <f t="shared" si="0"/>
        <v>NA</v>
      </c>
      <c r="E47" s="19"/>
      <c r="F47" s="215" t="s">
        <v>143</v>
      </c>
      <c r="G47" s="86" t="str">
        <f t="shared" si="1"/>
        <v>NA</v>
      </c>
      <c r="H47" s="214" t="str">
        <f t="shared" si="2"/>
        <v>NA</v>
      </c>
    </row>
    <row r="48" spans="1:8" ht="16">
      <c r="A48" s="212" t="s">
        <v>15</v>
      </c>
      <c r="B48" s="213">
        <v>5.21E-2</v>
      </c>
      <c r="C48" s="213" t="s">
        <v>143</v>
      </c>
      <c r="D48" s="214" t="str">
        <f t="shared" si="0"/>
        <v>NA</v>
      </c>
      <c r="E48" s="19"/>
      <c r="F48" s="215" t="s">
        <v>143</v>
      </c>
      <c r="G48" s="86" t="str">
        <f t="shared" si="1"/>
        <v>NA</v>
      </c>
      <c r="H48" s="214" t="str">
        <f t="shared" si="2"/>
        <v>NA</v>
      </c>
    </row>
    <row r="49" spans="1:8" ht="16">
      <c r="A49" s="212" t="s">
        <v>16</v>
      </c>
      <c r="B49" s="213">
        <v>0.15240000000000001</v>
      </c>
      <c r="C49" s="213">
        <v>5.9400000000000001E-2</v>
      </c>
      <c r="D49" s="214">
        <f t="shared" si="0"/>
        <v>2.5656565656565657</v>
      </c>
      <c r="E49" s="215">
        <v>4.4000000000000003E-3</v>
      </c>
      <c r="F49" s="215">
        <v>1.7100000000000001E-2</v>
      </c>
      <c r="G49" s="86">
        <f t="shared" si="1"/>
        <v>0.25730994152046782</v>
      </c>
      <c r="H49" s="214">
        <f t="shared" si="2"/>
        <v>0.59228181818181824</v>
      </c>
    </row>
    <row r="50" spans="1:8" ht="16">
      <c r="A50" s="212" t="s">
        <v>63</v>
      </c>
      <c r="B50" s="213">
        <v>0.1137</v>
      </c>
      <c r="C50" s="213" t="s">
        <v>143</v>
      </c>
      <c r="D50" s="214" t="str">
        <f t="shared" si="0"/>
        <v>NA</v>
      </c>
      <c r="E50" s="19"/>
      <c r="F50" s="215" t="s">
        <v>143</v>
      </c>
      <c r="G50" s="86" t="str">
        <f t="shared" si="1"/>
        <v>NA</v>
      </c>
      <c r="H50" s="214" t="str">
        <f t="shared" si="2"/>
        <v>NA</v>
      </c>
    </row>
    <row r="51" spans="1:8" ht="16">
      <c r="A51" s="212" t="s">
        <v>8</v>
      </c>
      <c r="B51" s="213">
        <v>9.5500000000000002E-2</v>
      </c>
      <c r="C51" s="213" t="s">
        <v>143</v>
      </c>
      <c r="D51" s="214" t="str">
        <f t="shared" si="0"/>
        <v>NA</v>
      </c>
      <c r="E51" s="19"/>
      <c r="F51" s="215" t="s">
        <v>143</v>
      </c>
      <c r="G51" s="86" t="str">
        <f t="shared" si="1"/>
        <v>NA</v>
      </c>
      <c r="H51" s="214" t="str">
        <f t="shared" si="2"/>
        <v>NA</v>
      </c>
    </row>
    <row r="52" spans="1:8" ht="16">
      <c r="A52" s="212" t="s">
        <v>18</v>
      </c>
      <c r="B52" s="213">
        <v>8.8599999999999998E-2</v>
      </c>
      <c r="C52" s="213" t="s">
        <v>143</v>
      </c>
      <c r="D52" s="214" t="str">
        <f t="shared" si="0"/>
        <v>NA</v>
      </c>
      <c r="E52" s="215">
        <v>3.8999999999999998E-3</v>
      </c>
      <c r="F52" s="215">
        <v>1.4500000000000001E-2</v>
      </c>
      <c r="G52" s="86">
        <f t="shared" si="1"/>
        <v>0.26896551724137929</v>
      </c>
      <c r="H52" s="214">
        <f t="shared" si="2"/>
        <v>0.32941025641025645</v>
      </c>
    </row>
    <row r="53" spans="1:8" ht="16">
      <c r="A53" s="212" t="s">
        <v>136</v>
      </c>
      <c r="B53" s="213">
        <v>0.1787</v>
      </c>
      <c r="C53" s="213" t="s">
        <v>143</v>
      </c>
      <c r="D53" s="214" t="str">
        <f t="shared" si="0"/>
        <v>NA</v>
      </c>
      <c r="E53" s="215" t="s">
        <v>143</v>
      </c>
      <c r="F53" s="215" t="s">
        <v>143</v>
      </c>
      <c r="G53" s="86" t="str">
        <f t="shared" si="1"/>
        <v>NA</v>
      </c>
      <c r="H53" s="214" t="str">
        <f t="shared" si="2"/>
        <v>NA</v>
      </c>
    </row>
    <row r="54" spans="1:8" ht="16">
      <c r="A54" s="212" t="s">
        <v>188</v>
      </c>
      <c r="B54" s="213">
        <v>0.1303</v>
      </c>
      <c r="C54" s="213" t="s">
        <v>143</v>
      </c>
      <c r="D54" s="214" t="str">
        <f t="shared" si="0"/>
        <v>NA</v>
      </c>
      <c r="E54" s="215">
        <v>4.0000000000000001E-3</v>
      </c>
      <c r="F54" s="215">
        <v>3.6499999999999998E-2</v>
      </c>
      <c r="G54" s="86">
        <f t="shared" si="1"/>
        <v>0.10958904109589042</v>
      </c>
      <c r="H54" s="214">
        <f t="shared" si="2"/>
        <v>1.1889874999999999</v>
      </c>
    </row>
    <row r="55" spans="1:8" ht="16">
      <c r="A55" s="212" t="s">
        <v>24</v>
      </c>
      <c r="B55" s="213">
        <v>7.8299999999999995E-2</v>
      </c>
      <c r="C55" s="213" t="s">
        <v>143</v>
      </c>
      <c r="D55" s="214" t="str">
        <f t="shared" si="0"/>
        <v>NA</v>
      </c>
      <c r="E55" s="215">
        <v>4.1000000000000003E-3</v>
      </c>
      <c r="F55" s="215">
        <v>3.8300000000000001E-2</v>
      </c>
      <c r="G55" s="86">
        <f t="shared" si="1"/>
        <v>0.10704960835509139</v>
      </c>
      <c r="H55" s="214">
        <f t="shared" si="2"/>
        <v>0.73143658536585354</v>
      </c>
    </row>
    <row r="56" spans="1:8" ht="16">
      <c r="A56" s="212" t="s">
        <v>25</v>
      </c>
      <c r="B56" s="213">
        <v>0.19869999999999999</v>
      </c>
      <c r="C56" s="213">
        <v>0.1018</v>
      </c>
      <c r="D56" s="214">
        <f t="shared" si="0"/>
        <v>1.9518664047151275</v>
      </c>
      <c r="E56" s="215">
        <v>3.0000000000000001E-3</v>
      </c>
      <c r="F56" s="215">
        <v>4.2599999999999999E-2</v>
      </c>
      <c r="G56" s="86">
        <f t="shared" si="1"/>
        <v>7.0422535211267609E-2</v>
      </c>
      <c r="H56" s="214">
        <f t="shared" si="2"/>
        <v>2.8215399999999997</v>
      </c>
    </row>
    <row r="57" spans="1:8" ht="16">
      <c r="A57" s="212" t="s">
        <v>345</v>
      </c>
      <c r="B57" s="213">
        <v>5.4199999999999998E-2</v>
      </c>
      <c r="C57" s="213" t="s">
        <v>143</v>
      </c>
      <c r="D57" s="214" t="str">
        <f t="shared" si="0"/>
        <v>NA</v>
      </c>
      <c r="E57" s="215" t="s">
        <v>143</v>
      </c>
      <c r="F57" s="215" t="s">
        <v>143</v>
      </c>
      <c r="G57" s="86" t="str">
        <f t="shared" si="1"/>
        <v>NA</v>
      </c>
      <c r="H57" s="214" t="str">
        <f t="shared" si="2"/>
        <v>NA</v>
      </c>
    </row>
    <row r="58" spans="1:8" ht="16">
      <c r="A58" s="212" t="s">
        <v>26</v>
      </c>
      <c r="B58" s="213">
        <v>2.92E-2</v>
      </c>
      <c r="C58" s="213" t="s">
        <v>143</v>
      </c>
      <c r="D58" s="214" t="str">
        <f t="shared" si="0"/>
        <v>NA</v>
      </c>
      <c r="E58" s="215">
        <v>2.5999999999999999E-3</v>
      </c>
      <c r="F58" s="215">
        <v>1.09E-2</v>
      </c>
      <c r="G58" s="86">
        <f t="shared" si="1"/>
        <v>0.2385321100917431</v>
      </c>
      <c r="H58" s="214">
        <f t="shared" si="2"/>
        <v>0.12241538461538462</v>
      </c>
    </row>
    <row r="59" spans="1:8" ht="16">
      <c r="A59" s="212" t="s">
        <v>28</v>
      </c>
      <c r="B59" s="213">
        <v>0.1114</v>
      </c>
      <c r="C59" s="213">
        <v>8.3000000000000004E-2</v>
      </c>
      <c r="D59" s="214">
        <f t="shared" si="0"/>
        <v>1.3421686746987951</v>
      </c>
      <c r="E59" s="215">
        <v>2.5999999999999999E-3</v>
      </c>
      <c r="F59" s="215">
        <v>1.09E-2</v>
      </c>
      <c r="G59" s="86">
        <f t="shared" si="1"/>
        <v>0.2385321100917431</v>
      </c>
      <c r="H59" s="214">
        <f t="shared" si="2"/>
        <v>0.46702307692307693</v>
      </c>
    </row>
    <row r="60" spans="1:8" ht="16">
      <c r="A60" s="212" t="s">
        <v>29</v>
      </c>
      <c r="B60" s="213">
        <v>0.1595</v>
      </c>
      <c r="C60" s="213">
        <v>7.8600000000000003E-2</v>
      </c>
      <c r="D60" s="214">
        <f t="shared" si="0"/>
        <v>2.0292620865139948</v>
      </c>
      <c r="E60" s="215">
        <v>4.8999999999999998E-3</v>
      </c>
      <c r="F60" s="215">
        <v>1.03E-2</v>
      </c>
      <c r="G60" s="86">
        <f t="shared" si="1"/>
        <v>0.47572815533980578</v>
      </c>
      <c r="H60" s="214">
        <f t="shared" si="2"/>
        <v>0.33527551020408169</v>
      </c>
    </row>
    <row r="61" spans="1:8" ht="16">
      <c r="A61" s="212" t="s">
        <v>30</v>
      </c>
      <c r="B61" s="213">
        <v>0.15390000000000001</v>
      </c>
      <c r="C61" s="213">
        <v>0.1825</v>
      </c>
      <c r="D61" s="214">
        <f t="shared" si="0"/>
        <v>0.84328767123287673</v>
      </c>
      <c r="E61" s="215">
        <v>2.0999999999999999E-3</v>
      </c>
      <c r="F61" s="215">
        <v>7.9000000000000008E-3</v>
      </c>
      <c r="G61" s="86">
        <f t="shared" si="1"/>
        <v>0.26582278481012656</v>
      </c>
      <c r="H61" s="214">
        <f t="shared" si="2"/>
        <v>0.57895714285714295</v>
      </c>
    </row>
    <row r="62" spans="1:8" ht="16">
      <c r="A62" s="212" t="s">
        <v>189</v>
      </c>
      <c r="B62" s="213">
        <v>0.1295</v>
      </c>
      <c r="C62" s="213">
        <v>0.16550000000000001</v>
      </c>
      <c r="D62" s="214">
        <f t="shared" si="0"/>
        <v>0.78247734138972813</v>
      </c>
      <c r="E62" s="215">
        <v>4.8999999999999998E-3</v>
      </c>
      <c r="F62" s="215">
        <v>8.3000000000000001E-3</v>
      </c>
      <c r="G62" s="86">
        <f t="shared" si="1"/>
        <v>0.59036144578313254</v>
      </c>
      <c r="H62" s="214">
        <f t="shared" si="2"/>
        <v>0.21935714285714286</v>
      </c>
    </row>
    <row r="63" spans="1:8" ht="16">
      <c r="A63" s="212" t="s">
        <v>74</v>
      </c>
      <c r="B63" s="213">
        <v>0.13270000000000001</v>
      </c>
      <c r="C63" s="213" t="s">
        <v>143</v>
      </c>
      <c r="D63" s="214" t="str">
        <f t="shared" si="0"/>
        <v>NA</v>
      </c>
      <c r="E63" s="215">
        <v>3.3E-3</v>
      </c>
      <c r="F63" s="215">
        <v>9.2999999999999992E-3</v>
      </c>
      <c r="G63" s="86">
        <f t="shared" si="1"/>
        <v>0.35483870967741937</v>
      </c>
      <c r="H63" s="214">
        <f t="shared" si="2"/>
        <v>0.37397272727272729</v>
      </c>
    </row>
    <row r="64" spans="1:8" ht="16">
      <c r="A64" s="212" t="s">
        <v>0</v>
      </c>
      <c r="B64" s="213">
        <v>0.1275</v>
      </c>
      <c r="C64" s="213">
        <v>9.7100000000000006E-2</v>
      </c>
      <c r="D64" s="214">
        <f t="shared" si="0"/>
        <v>1.3130792996910401</v>
      </c>
      <c r="E64" s="215">
        <v>2.5000000000000001E-3</v>
      </c>
      <c r="F64" s="215">
        <v>1.24E-2</v>
      </c>
      <c r="G64" s="86">
        <f t="shared" si="1"/>
        <v>0.20161290322580647</v>
      </c>
      <c r="H64" s="214">
        <f t="shared" si="2"/>
        <v>0.63239999999999996</v>
      </c>
    </row>
    <row r="65" spans="1:8" ht="16">
      <c r="A65" s="212" t="s">
        <v>1</v>
      </c>
      <c r="B65" s="213">
        <v>0.1333</v>
      </c>
      <c r="C65" s="213">
        <v>0.10009999999999999</v>
      </c>
      <c r="D65" s="214">
        <f t="shared" si="0"/>
        <v>1.3316683316683318</v>
      </c>
      <c r="E65" s="215">
        <v>3.8999999999999998E-3</v>
      </c>
      <c r="F65" s="215">
        <v>1.41E-2</v>
      </c>
      <c r="G65" s="86">
        <f t="shared" si="1"/>
        <v>0.27659574468085107</v>
      </c>
      <c r="H65" s="214">
        <f t="shared" si="2"/>
        <v>0.48193076923076922</v>
      </c>
    </row>
    <row r="66" spans="1:8" ht="16">
      <c r="A66" s="212" t="s">
        <v>227</v>
      </c>
      <c r="B66" s="213" t="s">
        <v>143</v>
      </c>
      <c r="C66" s="213" t="s">
        <v>143</v>
      </c>
      <c r="D66" s="214" t="str">
        <f t="shared" si="0"/>
        <v>NA</v>
      </c>
      <c r="E66" s="215">
        <v>3.3999999999999998E-3</v>
      </c>
      <c r="F66" s="215">
        <v>3.6400000000000002E-2</v>
      </c>
      <c r="G66" s="86">
        <f t="shared" si="1"/>
        <v>9.3406593406593394E-2</v>
      </c>
      <c r="H66" s="214" t="str">
        <f t="shared" si="2"/>
        <v>NA</v>
      </c>
    </row>
    <row r="67" spans="1:8" ht="16">
      <c r="A67" s="212" t="s">
        <v>2</v>
      </c>
      <c r="B67" s="213">
        <v>0.1573</v>
      </c>
      <c r="C67" s="213" t="s">
        <v>143</v>
      </c>
      <c r="D67" s="214" t="str">
        <f t="shared" si="0"/>
        <v>NA</v>
      </c>
      <c r="E67" s="215">
        <v>3.7000000000000002E-3</v>
      </c>
      <c r="F67" s="215">
        <v>1.23E-2</v>
      </c>
      <c r="G67" s="86">
        <f t="shared" si="1"/>
        <v>0.30081300813008133</v>
      </c>
      <c r="H67" s="214">
        <f t="shared" si="2"/>
        <v>0.5229162162162162</v>
      </c>
    </row>
    <row r="68" spans="1:8" ht="16">
      <c r="A68" s="212" t="s">
        <v>135</v>
      </c>
      <c r="B68" s="213" t="s">
        <v>143</v>
      </c>
      <c r="C68" s="213" t="s">
        <v>143</v>
      </c>
      <c r="D68" s="214" t="str">
        <f t="shared" si="0"/>
        <v>NA</v>
      </c>
      <c r="E68" s="215">
        <v>4.0000000000000001E-3</v>
      </c>
      <c r="F68" s="215">
        <v>3.3099999999999997E-2</v>
      </c>
      <c r="G68" s="86">
        <f t="shared" si="1"/>
        <v>0.12084592145015106</v>
      </c>
      <c r="H68" s="214" t="str">
        <f t="shared" si="2"/>
        <v>NA</v>
      </c>
    </row>
    <row r="69" spans="1:8" ht="16">
      <c r="A69" s="212" t="s">
        <v>147</v>
      </c>
      <c r="B69" s="213">
        <v>7.3899999999999993E-2</v>
      </c>
      <c r="C69" s="213">
        <v>0.1011</v>
      </c>
      <c r="D69" s="214">
        <f t="shared" ref="D69:D87" si="3">IF(C69="NA","NA",B69/C69)</f>
        <v>0.73095944609297725</v>
      </c>
      <c r="E69" s="215">
        <v>3.0000000000000001E-3</v>
      </c>
      <c r="F69" s="215">
        <v>1.21E-2</v>
      </c>
      <c r="G69" s="86">
        <f t="shared" ref="G69:G87" si="4">IF(F69="NA","NA",E69/F69)</f>
        <v>0.24793388429752067</v>
      </c>
      <c r="H69" s="214">
        <f t="shared" ref="H69:H87" si="5">IF(G69="NA","NA",(IF(B69="NA","NA",B69/G69)))</f>
        <v>0.29806333333333329</v>
      </c>
    </row>
    <row r="70" spans="1:8" ht="16">
      <c r="A70" s="212" t="s">
        <v>3</v>
      </c>
      <c r="B70" s="213">
        <v>0.1075</v>
      </c>
      <c r="C70" s="213" t="s">
        <v>143</v>
      </c>
      <c r="D70" s="214" t="str">
        <f t="shared" si="3"/>
        <v>NA</v>
      </c>
      <c r="E70" s="19" t="s">
        <v>143</v>
      </c>
      <c r="F70" s="215" t="s">
        <v>143</v>
      </c>
      <c r="G70" s="86" t="str">
        <f t="shared" si="4"/>
        <v>NA</v>
      </c>
      <c r="H70" s="214" t="str">
        <f t="shared" si="5"/>
        <v>NA</v>
      </c>
    </row>
    <row r="71" spans="1:8" ht="16">
      <c r="A71" s="212" t="s">
        <v>61</v>
      </c>
      <c r="B71" s="213">
        <v>0.1313</v>
      </c>
      <c r="C71" s="213">
        <v>0.12859999999999999</v>
      </c>
      <c r="D71" s="214">
        <f t="shared" si="3"/>
        <v>1.0209953343701401</v>
      </c>
      <c r="E71" s="215">
        <v>3.2000000000000002E-3</v>
      </c>
      <c r="F71" s="215">
        <v>6.7999999999999996E-3</v>
      </c>
      <c r="G71" s="86">
        <f t="shared" si="4"/>
        <v>0.4705882352941177</v>
      </c>
      <c r="H71" s="214">
        <f t="shared" si="5"/>
        <v>0.2790125</v>
      </c>
    </row>
    <row r="72" spans="1:8" ht="16">
      <c r="A72" s="212" t="s">
        <v>190</v>
      </c>
      <c r="B72" s="213">
        <v>9.4E-2</v>
      </c>
      <c r="C72" s="213">
        <v>0.1449</v>
      </c>
      <c r="D72" s="214">
        <f t="shared" si="3"/>
        <v>0.64872325741890957</v>
      </c>
      <c r="E72" s="215">
        <v>1.6999999999999999E-3</v>
      </c>
      <c r="F72" s="215">
        <v>1.0999999999999999E-2</v>
      </c>
      <c r="G72" s="86">
        <f t="shared" si="4"/>
        <v>0.15454545454545454</v>
      </c>
      <c r="H72" s="214">
        <f t="shared" si="5"/>
        <v>0.6082352941176471</v>
      </c>
    </row>
    <row r="73" spans="1:8" ht="16">
      <c r="A73" s="212" t="s">
        <v>76</v>
      </c>
      <c r="B73" s="213">
        <v>0.15640000000000001</v>
      </c>
      <c r="C73" s="213">
        <v>9.8599999999999993E-2</v>
      </c>
      <c r="D73" s="214">
        <f t="shared" si="3"/>
        <v>1.5862068965517244</v>
      </c>
      <c r="E73" s="215">
        <v>3.3E-3</v>
      </c>
      <c r="F73" s="215">
        <v>3.0200000000000001E-2</v>
      </c>
      <c r="G73" s="86">
        <f t="shared" si="4"/>
        <v>0.10927152317880794</v>
      </c>
      <c r="H73" s="214">
        <f t="shared" si="5"/>
        <v>1.43129696969697</v>
      </c>
    </row>
    <row r="74" spans="1:8" ht="16">
      <c r="A74" s="212" t="s">
        <v>138</v>
      </c>
      <c r="B74" s="213">
        <v>0.1434</v>
      </c>
      <c r="C74" s="213">
        <v>0.14560000000000001</v>
      </c>
      <c r="D74" s="214">
        <f t="shared" si="3"/>
        <v>0.98489010989010983</v>
      </c>
      <c r="E74" s="215">
        <v>3.2000000000000002E-3</v>
      </c>
      <c r="F74" s="215">
        <v>8.2000000000000007E-3</v>
      </c>
      <c r="G74" s="86">
        <f t="shared" si="4"/>
        <v>0.3902439024390244</v>
      </c>
      <c r="H74" s="214">
        <f t="shared" si="5"/>
        <v>0.36746249999999997</v>
      </c>
    </row>
    <row r="75" spans="1:8" ht="16">
      <c r="A75" s="212" t="s">
        <v>134</v>
      </c>
      <c r="B75" s="213">
        <v>9.4100000000000003E-2</v>
      </c>
      <c r="C75" s="213" t="s">
        <v>143</v>
      </c>
      <c r="D75" s="214" t="str">
        <f t="shared" si="3"/>
        <v>NA</v>
      </c>
      <c r="E75" s="215" t="s">
        <v>143</v>
      </c>
      <c r="F75" s="215" t="s">
        <v>143</v>
      </c>
      <c r="G75" s="86" t="str">
        <f t="shared" si="4"/>
        <v>NA</v>
      </c>
      <c r="H75" s="214" t="str">
        <f t="shared" si="5"/>
        <v>NA</v>
      </c>
    </row>
    <row r="76" spans="1:8" ht="16">
      <c r="A76" s="212" t="s">
        <v>64</v>
      </c>
      <c r="B76" s="213">
        <v>0.1249</v>
      </c>
      <c r="C76" s="213">
        <v>0.21659999999999999</v>
      </c>
      <c r="D76" s="214">
        <f t="shared" si="3"/>
        <v>0.57663896583564178</v>
      </c>
      <c r="E76" s="215" t="s">
        <v>143</v>
      </c>
      <c r="F76" s="215" t="s">
        <v>143</v>
      </c>
      <c r="G76" s="86" t="str">
        <f t="shared" si="4"/>
        <v>NA</v>
      </c>
      <c r="H76" s="214" t="str">
        <f t="shared" si="5"/>
        <v>NA</v>
      </c>
    </row>
    <row r="77" spans="1:8" ht="16">
      <c r="A77" s="212" t="s">
        <v>333</v>
      </c>
      <c r="B77" s="213">
        <v>0.24740000000000001</v>
      </c>
      <c r="C77" s="213">
        <v>0.15479999999999999</v>
      </c>
      <c r="D77" s="214">
        <f t="shared" si="3"/>
        <v>1.5981912144702843</v>
      </c>
      <c r="E77" s="215" t="s">
        <v>143</v>
      </c>
      <c r="F77" s="215" t="s">
        <v>143</v>
      </c>
      <c r="G77" s="86" t="str">
        <f t="shared" si="4"/>
        <v>NA</v>
      </c>
      <c r="H77" s="214" t="str">
        <f t="shared" si="5"/>
        <v>NA</v>
      </c>
    </row>
    <row r="78" spans="1:8" ht="16">
      <c r="A78" s="212" t="s">
        <v>65</v>
      </c>
      <c r="B78" s="213">
        <v>0.13489999999999999</v>
      </c>
      <c r="C78" s="213">
        <v>0.1726</v>
      </c>
      <c r="D78" s="214">
        <f t="shared" si="3"/>
        <v>0.78157589803012739</v>
      </c>
      <c r="E78" s="215">
        <v>4.3E-3</v>
      </c>
      <c r="F78" s="215">
        <v>6.4999999999999997E-3</v>
      </c>
      <c r="G78" s="86">
        <f t="shared" si="4"/>
        <v>0.66153846153846152</v>
      </c>
      <c r="H78" s="214">
        <f t="shared" si="5"/>
        <v>0.20391860465116279</v>
      </c>
    </row>
    <row r="79" spans="1:8" ht="16">
      <c r="A79" s="212" t="s">
        <v>77</v>
      </c>
      <c r="B79" s="213">
        <v>5.6899999999999999E-2</v>
      </c>
      <c r="C79" s="213" t="s">
        <v>143</v>
      </c>
      <c r="D79" s="214" t="str">
        <f t="shared" si="3"/>
        <v>NA</v>
      </c>
      <c r="E79" s="215">
        <v>5.9999999999999995E-4</v>
      </c>
      <c r="F79" s="215">
        <v>0.04</v>
      </c>
      <c r="G79" s="86">
        <f t="shared" si="4"/>
        <v>1.4999999999999998E-2</v>
      </c>
      <c r="H79" s="214">
        <f t="shared" si="5"/>
        <v>3.7933333333333339</v>
      </c>
    </row>
    <row r="80" spans="1:8" ht="16">
      <c r="A80" s="212" t="s">
        <v>66</v>
      </c>
      <c r="B80" s="213">
        <v>0.2215</v>
      </c>
      <c r="C80" s="213">
        <v>0.15670000000000001</v>
      </c>
      <c r="D80" s="214">
        <f t="shared" si="3"/>
        <v>1.4135290363752393</v>
      </c>
      <c r="E80" s="215">
        <v>4.1000000000000003E-3</v>
      </c>
      <c r="F80" s="215">
        <v>3.9899999999999998E-2</v>
      </c>
      <c r="G80" s="86">
        <f t="shared" si="4"/>
        <v>0.10275689223057645</v>
      </c>
      <c r="H80" s="214">
        <f t="shared" si="5"/>
        <v>2.155573170731707</v>
      </c>
    </row>
    <row r="81" spans="1:8" ht="16">
      <c r="A81" s="212" t="s">
        <v>346</v>
      </c>
      <c r="B81" s="213">
        <v>0.1537</v>
      </c>
      <c r="C81" s="213" t="s">
        <v>143</v>
      </c>
      <c r="D81" s="214" t="str">
        <f t="shared" si="3"/>
        <v>NA</v>
      </c>
      <c r="E81" s="19"/>
      <c r="F81" s="215" t="s">
        <v>143</v>
      </c>
      <c r="G81" s="86" t="str">
        <f t="shared" si="4"/>
        <v>NA</v>
      </c>
      <c r="H81" s="214" t="str">
        <f t="shared" si="5"/>
        <v>NA</v>
      </c>
    </row>
    <row r="82" spans="1:8" ht="16">
      <c r="A82" s="212" t="s">
        <v>68</v>
      </c>
      <c r="B82" s="213">
        <v>0.10879999999999999</v>
      </c>
      <c r="C82" s="213">
        <v>0.188</v>
      </c>
      <c r="D82" s="214">
        <f t="shared" si="3"/>
        <v>0.5787234042553191</v>
      </c>
      <c r="E82" s="215">
        <v>4.0000000000000001E-3</v>
      </c>
      <c r="F82" s="215">
        <v>4.5199999999999997E-2</v>
      </c>
      <c r="G82" s="86">
        <f t="shared" si="4"/>
        <v>8.8495575221238951E-2</v>
      </c>
      <c r="H82" s="214">
        <f t="shared" si="5"/>
        <v>1.2294399999999999</v>
      </c>
    </row>
    <row r="83" spans="1:8" ht="16">
      <c r="A83" s="212" t="s">
        <v>69</v>
      </c>
      <c r="B83" s="213" t="s">
        <v>143</v>
      </c>
      <c r="C83" s="213" t="s">
        <v>143</v>
      </c>
      <c r="D83" s="214" t="str">
        <f t="shared" si="3"/>
        <v>NA</v>
      </c>
      <c r="E83" s="215">
        <v>3.8999999999999998E-3</v>
      </c>
      <c r="F83" s="215">
        <v>1.7299999999999999E-2</v>
      </c>
      <c r="G83" s="86">
        <f t="shared" si="4"/>
        <v>0.22543352601156069</v>
      </c>
      <c r="H83" s="214" t="str">
        <f t="shared" si="5"/>
        <v>NA</v>
      </c>
    </row>
    <row r="84" spans="1:8" ht="16">
      <c r="A84" s="216" t="s">
        <v>193</v>
      </c>
      <c r="B84" s="213">
        <v>0.14319999999999999</v>
      </c>
      <c r="C84" s="213" t="s">
        <v>143</v>
      </c>
      <c r="D84" s="214" t="str">
        <f t="shared" si="3"/>
        <v>NA</v>
      </c>
      <c r="E84" s="215" t="s">
        <v>143</v>
      </c>
      <c r="F84" s="215" t="s">
        <v>143</v>
      </c>
      <c r="G84" s="86" t="str">
        <f t="shared" si="4"/>
        <v>NA</v>
      </c>
      <c r="H84" s="214" t="str">
        <f t="shared" si="5"/>
        <v>NA</v>
      </c>
    </row>
    <row r="85" spans="1:8" ht="16">
      <c r="A85" s="212" t="s">
        <v>70</v>
      </c>
      <c r="B85" s="213">
        <v>0.75939999999999996</v>
      </c>
      <c r="C85" s="213">
        <v>0.56659999999999999</v>
      </c>
      <c r="D85" s="214">
        <f t="shared" si="3"/>
        <v>1.3402753265090011</v>
      </c>
      <c r="E85" s="215" t="s">
        <v>143</v>
      </c>
      <c r="F85" s="215" t="s">
        <v>143</v>
      </c>
      <c r="G85" s="86" t="str">
        <f t="shared" si="4"/>
        <v>NA</v>
      </c>
      <c r="H85" s="214" t="str">
        <f t="shared" si="5"/>
        <v>NA</v>
      </c>
    </row>
    <row r="86" spans="1:8" ht="16">
      <c r="A86" s="217" t="s">
        <v>71</v>
      </c>
      <c r="B86" s="213">
        <v>0.1217</v>
      </c>
      <c r="C86" s="218" t="s">
        <v>143</v>
      </c>
      <c r="D86" s="219" t="str">
        <f t="shared" si="3"/>
        <v>NA</v>
      </c>
      <c r="E86" s="220">
        <v>3.0000000000000001E-3</v>
      </c>
      <c r="F86" s="215">
        <v>1.78E-2</v>
      </c>
      <c r="G86" s="86">
        <f t="shared" si="4"/>
        <v>0.16853932584269662</v>
      </c>
      <c r="H86" s="219">
        <f t="shared" si="5"/>
        <v>0.72208666666666665</v>
      </c>
    </row>
    <row r="87" spans="1:8" ht="17" thickBot="1">
      <c r="A87" s="221" t="s">
        <v>192</v>
      </c>
      <c r="B87" s="222" t="s">
        <v>143</v>
      </c>
      <c r="C87" s="223" t="s">
        <v>143</v>
      </c>
      <c r="D87" s="224" t="str">
        <f t="shared" si="3"/>
        <v>NA</v>
      </c>
      <c r="E87" s="225">
        <v>5.4000000000000003E-3</v>
      </c>
      <c r="F87" s="226">
        <v>0.1323</v>
      </c>
      <c r="G87" s="86">
        <f t="shared" si="4"/>
        <v>4.0816326530612249E-2</v>
      </c>
      <c r="H87" s="227" t="str">
        <f t="shared" si="5"/>
        <v>NA</v>
      </c>
    </row>
    <row r="88" spans="1:8" ht="19">
      <c r="A88" s="228" t="s">
        <v>148</v>
      </c>
      <c r="B88" s="229"/>
      <c r="C88" s="229"/>
      <c r="D88" s="230">
        <f>AVERAGE(D4:D87)</f>
        <v>1.2541208551854914</v>
      </c>
      <c r="E88" s="231"/>
      <c r="F88" s="231"/>
      <c r="G88" s="232"/>
      <c r="H88" s="233">
        <f>AVERAGE(H4:H87)</f>
        <v>1.3337145816425482</v>
      </c>
    </row>
    <row r="89" spans="1:8" ht="20" thickBot="1">
      <c r="A89" s="234" t="s">
        <v>149</v>
      </c>
      <c r="B89" s="235"/>
      <c r="C89" s="235"/>
      <c r="D89" s="236">
        <f>MEDIAN(D4:D86)</f>
        <v>1.3175325576469386</v>
      </c>
      <c r="E89" s="237"/>
      <c r="F89" s="237"/>
      <c r="G89" s="238"/>
      <c r="H89" s="239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5"/>
  <sheetViews>
    <sheetView workbookViewId="0">
      <selection activeCell="B2" sqref="B2"/>
    </sheetView>
  </sheetViews>
  <sheetFormatPr baseColWidth="10" defaultRowHeight="16"/>
  <cols>
    <col min="1" max="1" width="26.5" style="23" bestFit="1" customWidth="1"/>
    <col min="2" max="2" width="26.5" style="23" customWidth="1"/>
    <col min="3" max="3" width="10.83203125" style="23" customWidth="1"/>
    <col min="4" max="4" width="7.5" customWidth="1"/>
    <col min="5" max="5" width="11" bestFit="1" customWidth="1"/>
    <col min="7" max="7" width="40.33203125" bestFit="1" customWidth="1"/>
    <col min="8" max="8" width="13.33203125" style="94" bestFit="1" customWidth="1"/>
  </cols>
  <sheetData>
    <row r="1" spans="1:12" s="1" customFormat="1" ht="17">
      <c r="A1" s="58" t="s">
        <v>75</v>
      </c>
      <c r="B1" s="58" t="s">
        <v>567</v>
      </c>
      <c r="C1" s="43" t="s">
        <v>566</v>
      </c>
      <c r="G1" t="s">
        <v>474</v>
      </c>
      <c r="H1" t="s">
        <v>564</v>
      </c>
      <c r="I1"/>
      <c r="J1"/>
      <c r="K1"/>
      <c r="L1"/>
    </row>
    <row r="2" spans="1:12">
      <c r="A2" s="59" t="s">
        <v>272</v>
      </c>
      <c r="B2" s="200">
        <v>253</v>
      </c>
      <c r="C2" s="62" t="e">
        <f>VLOOKUP(A2,G2:H265,2,FALSE)</f>
        <v>#N/A</v>
      </c>
      <c r="F2" t="e">
        <f>VLOOKUP(A2,$G$2:$H$265,2)</f>
        <v>#N/A</v>
      </c>
      <c r="G2" t="s">
        <v>409</v>
      </c>
      <c r="H2" s="94">
        <v>19.36296958236435</v>
      </c>
    </row>
    <row r="3" spans="1:12">
      <c r="A3" s="59" t="s">
        <v>4</v>
      </c>
      <c r="B3" s="199">
        <f>VLOOKUP(A3,$G$2:$H$265,2,FALSE)</f>
        <v>15.102500898237972</v>
      </c>
      <c r="C3" s="44">
        <v>13.04</v>
      </c>
      <c r="D3" s="36" t="s">
        <v>254</v>
      </c>
      <c r="E3" s="119" t="s">
        <v>255</v>
      </c>
      <c r="F3" s="94">
        <f>VLOOKUP(A3,$G$2:$H$265,2)</f>
        <v>15.102500898237972</v>
      </c>
      <c r="G3" t="s">
        <v>4</v>
      </c>
      <c r="H3" s="94">
        <v>15.102500898237972</v>
      </c>
    </row>
    <row r="4" spans="1:12">
      <c r="A4" s="59" t="s">
        <v>287</v>
      </c>
      <c r="B4" s="199">
        <f t="shared" ref="B4:B67" si="0">VLOOKUP(A4,$G$2:$H$265,2,FALSE)</f>
        <v>3.2365439093484416</v>
      </c>
      <c r="C4" s="44">
        <v>3.01</v>
      </c>
      <c r="D4" s="36" t="s">
        <v>295</v>
      </c>
      <c r="E4" s="36">
        <v>2018</v>
      </c>
      <c r="F4" s="94">
        <f t="shared" ref="F4:F67" si="1">VLOOKUP(A4,$G$2:$H$265,2)</f>
        <v>3.2365439093484416</v>
      </c>
      <c r="G4" t="s">
        <v>338</v>
      </c>
      <c r="H4" s="94">
        <v>173.75795282424966</v>
      </c>
    </row>
    <row r="5" spans="1:12">
      <c r="A5" s="59" t="s">
        <v>131</v>
      </c>
      <c r="B5" s="199">
        <f t="shared" si="0"/>
        <v>105.75098761862991</v>
      </c>
      <c r="C5" s="44">
        <v>124.21</v>
      </c>
      <c r="F5" s="94">
        <f t="shared" si="1"/>
        <v>105.75098761862991</v>
      </c>
      <c r="G5" t="s">
        <v>476</v>
      </c>
      <c r="H5" s="94">
        <v>0.63600000000000001</v>
      </c>
    </row>
    <row r="6" spans="1:12">
      <c r="A6" s="59" t="s">
        <v>84</v>
      </c>
      <c r="B6" s="199">
        <f t="shared" si="0"/>
        <v>519.87151980779504</v>
      </c>
      <c r="C6" s="44">
        <v>637.59</v>
      </c>
      <c r="F6" s="94">
        <f t="shared" si="1"/>
        <v>519.87151980779504</v>
      </c>
      <c r="G6" s="59" t="s">
        <v>287</v>
      </c>
      <c r="H6" s="94">
        <v>3.2365439093484416</v>
      </c>
    </row>
    <row r="7" spans="1:12">
      <c r="A7" s="59" t="s">
        <v>19</v>
      </c>
      <c r="B7" s="199">
        <f t="shared" si="0"/>
        <v>12.433089919045941</v>
      </c>
      <c r="C7" s="44">
        <v>11.54</v>
      </c>
      <c r="F7" s="94">
        <f t="shared" si="1"/>
        <v>12.433089919045941</v>
      </c>
      <c r="G7" t="s">
        <v>131</v>
      </c>
      <c r="H7" s="94">
        <v>105.75098761862991</v>
      </c>
    </row>
    <row r="8" spans="1:12">
      <c r="A8" s="59" t="s">
        <v>201</v>
      </c>
      <c r="B8" s="199">
        <f t="shared" si="0"/>
        <v>2.7005586592178767</v>
      </c>
      <c r="C8" s="61">
        <v>3</v>
      </c>
      <c r="F8" s="94">
        <f t="shared" si="1"/>
        <v>2.7005586592178767</v>
      </c>
      <c r="G8" t="s">
        <v>431</v>
      </c>
      <c r="H8" s="94">
        <v>1.6105740740740739</v>
      </c>
    </row>
    <row r="9" spans="1:12">
      <c r="A9" s="59" t="s">
        <v>85</v>
      </c>
      <c r="B9" s="199">
        <f t="shared" si="0"/>
        <v>1433.9043485001162</v>
      </c>
      <c r="C9" s="44">
        <v>1323.42</v>
      </c>
      <c r="F9" s="94">
        <f t="shared" si="1"/>
        <v>1433.9043485001162</v>
      </c>
      <c r="G9" t="s">
        <v>475</v>
      </c>
      <c r="H9" s="94">
        <v>2774.3149671564311</v>
      </c>
    </row>
    <row r="10" spans="1:12">
      <c r="A10" s="59" t="s">
        <v>176</v>
      </c>
      <c r="B10" s="199">
        <f t="shared" si="0"/>
        <v>455.28581803512486</v>
      </c>
      <c r="C10" s="44">
        <v>416.6</v>
      </c>
      <c r="F10" s="94">
        <f t="shared" si="1"/>
        <v>455.28581803512486</v>
      </c>
      <c r="G10" t="s">
        <v>84</v>
      </c>
      <c r="H10" s="94">
        <v>519.87151980779504</v>
      </c>
    </row>
    <row r="11" spans="1:12">
      <c r="A11" s="59" t="s">
        <v>20</v>
      </c>
      <c r="B11" s="199">
        <f t="shared" si="0"/>
        <v>46.93952941176471</v>
      </c>
      <c r="C11" s="44">
        <v>40.75</v>
      </c>
      <c r="F11" s="94">
        <f t="shared" si="1"/>
        <v>46.93952941176471</v>
      </c>
      <c r="G11" t="s">
        <v>19</v>
      </c>
      <c r="H11" s="94">
        <v>12.433089919045941</v>
      </c>
    </row>
    <row r="12" spans="1:12">
      <c r="A12" s="59" t="s">
        <v>86</v>
      </c>
      <c r="B12" s="199">
        <f t="shared" si="0"/>
        <v>12.424499999999998</v>
      </c>
      <c r="C12" s="44">
        <v>12.16</v>
      </c>
      <c r="F12" s="94">
        <f t="shared" si="1"/>
        <v>12.424499999999998</v>
      </c>
      <c r="G12" t="s">
        <v>201</v>
      </c>
      <c r="H12" s="94">
        <v>2.7005586592178767</v>
      </c>
    </row>
    <row r="13" spans="1:12">
      <c r="A13" s="59" t="s">
        <v>87</v>
      </c>
      <c r="B13" s="199">
        <f t="shared" si="0"/>
        <v>37.746196808510632</v>
      </c>
      <c r="C13" s="44">
        <v>35.31</v>
      </c>
      <c r="F13" s="94">
        <f t="shared" si="1"/>
        <v>37.746196808510632</v>
      </c>
      <c r="G13" t="s">
        <v>85</v>
      </c>
      <c r="H13" s="94">
        <v>1433.9043485001162</v>
      </c>
    </row>
    <row r="14" spans="1:12">
      <c r="A14" s="59" t="s">
        <v>132</v>
      </c>
      <c r="B14" s="199">
        <f t="shared" si="0"/>
        <v>274.02495896589176</v>
      </c>
      <c r="C14" s="44">
        <v>249.72</v>
      </c>
      <c r="F14" s="94">
        <f t="shared" si="1"/>
        <v>274.02495896589176</v>
      </c>
      <c r="G14" t="s">
        <v>176</v>
      </c>
      <c r="H14" s="94">
        <v>455.28581803512486</v>
      </c>
    </row>
    <row r="15" spans="1:12">
      <c r="A15" s="59" t="s">
        <v>88</v>
      </c>
      <c r="B15" s="199">
        <f t="shared" si="0"/>
        <v>5.1449999999999996</v>
      </c>
      <c r="C15" s="44">
        <v>4.8</v>
      </c>
      <c r="F15" s="94">
        <f t="shared" si="1"/>
        <v>5.1449999999999996</v>
      </c>
      <c r="G15" t="s">
        <v>20</v>
      </c>
      <c r="H15" s="94">
        <v>46.93952941176471</v>
      </c>
    </row>
    <row r="16" spans="1:12">
      <c r="A16" s="59" t="s">
        <v>5</v>
      </c>
      <c r="B16" s="199">
        <f t="shared" si="0"/>
        <v>59.662495092265409</v>
      </c>
      <c r="C16" s="44">
        <v>54.44</v>
      </c>
      <c r="F16" s="94">
        <f t="shared" si="1"/>
        <v>59.662495092265409</v>
      </c>
      <c r="G16" t="s">
        <v>86</v>
      </c>
      <c r="H16" s="94">
        <v>12.424499999999998</v>
      </c>
    </row>
    <row r="17" spans="1:8">
      <c r="A17" s="59" t="s">
        <v>177</v>
      </c>
      <c r="B17" s="199">
        <f t="shared" si="0"/>
        <v>542.76109210346851</v>
      </c>
      <c r="C17" s="44">
        <v>492.68</v>
      </c>
      <c r="F17" s="94">
        <f t="shared" si="1"/>
        <v>542.76109210346851</v>
      </c>
      <c r="G17" t="s">
        <v>87</v>
      </c>
      <c r="H17" s="94">
        <v>37.746196808510632</v>
      </c>
    </row>
    <row r="18" spans="1:8">
      <c r="A18" s="59" t="s">
        <v>89</v>
      </c>
      <c r="B18" s="199">
        <f t="shared" si="0"/>
        <v>1.8712031640827449</v>
      </c>
      <c r="C18" s="44">
        <v>1.84</v>
      </c>
      <c r="F18" s="94">
        <f t="shared" si="1"/>
        <v>1.8712031640827449</v>
      </c>
      <c r="G18" t="s">
        <v>132</v>
      </c>
      <c r="H18" s="94">
        <v>274.02495896589176</v>
      </c>
    </row>
    <row r="19" spans="1:8">
      <c r="A19" s="59" t="s">
        <v>208</v>
      </c>
      <c r="B19" s="199">
        <f t="shared" si="0"/>
        <v>10.354274634910833</v>
      </c>
      <c r="C19" s="44">
        <v>9.27</v>
      </c>
      <c r="F19" s="94">
        <f t="shared" si="1"/>
        <v>10.354274634910833</v>
      </c>
      <c r="G19" t="s">
        <v>88</v>
      </c>
      <c r="H19" s="94">
        <v>5.1449999999999996</v>
      </c>
    </row>
    <row r="20" spans="1:8">
      <c r="A20" s="59" t="s">
        <v>90</v>
      </c>
      <c r="B20" s="199">
        <f t="shared" si="0"/>
        <v>5.5737100000000002</v>
      </c>
      <c r="C20" s="60">
        <v>6.2</v>
      </c>
      <c r="F20" s="94">
        <f t="shared" si="1"/>
        <v>5.5737100000000002</v>
      </c>
      <c r="G20" t="s">
        <v>5</v>
      </c>
      <c r="H20" s="94">
        <v>59.662495092265409</v>
      </c>
    </row>
    <row r="21" spans="1:8">
      <c r="A21" s="59" t="s">
        <v>91</v>
      </c>
      <c r="B21" s="199">
        <f t="shared" si="0"/>
        <v>40.287647756874094</v>
      </c>
      <c r="C21" s="44">
        <v>37.51</v>
      </c>
      <c r="F21" s="94">
        <f t="shared" si="1"/>
        <v>40.287647756874094</v>
      </c>
      <c r="G21" t="s">
        <v>177</v>
      </c>
      <c r="H21" s="94">
        <v>542.76109210346851</v>
      </c>
    </row>
    <row r="22" spans="1:8">
      <c r="A22" s="59" t="s">
        <v>7</v>
      </c>
      <c r="B22" s="199">
        <f t="shared" si="0"/>
        <v>20.161865419432711</v>
      </c>
      <c r="C22" s="44">
        <v>18.170000000000002</v>
      </c>
      <c r="F22" s="94">
        <f t="shared" si="1"/>
        <v>20.161865419432711</v>
      </c>
      <c r="G22" t="s">
        <v>89</v>
      </c>
      <c r="H22" s="94">
        <v>1.8712031640827449</v>
      </c>
    </row>
    <row r="23" spans="1:8">
      <c r="A23" s="59" t="s">
        <v>123</v>
      </c>
      <c r="B23" s="199">
        <f t="shared" si="0"/>
        <v>18.616018903443408</v>
      </c>
      <c r="C23" s="94">
        <v>17.406530780715503</v>
      </c>
      <c r="F23" s="94">
        <f t="shared" si="1"/>
        <v>18.616018903443408</v>
      </c>
      <c r="G23" t="s">
        <v>208</v>
      </c>
      <c r="H23" s="94">
        <v>10.354274634910833</v>
      </c>
    </row>
    <row r="24" spans="1:8">
      <c r="A24" s="59" t="s">
        <v>92</v>
      </c>
      <c r="B24" s="199">
        <f t="shared" si="0"/>
        <v>1868.6260879084787</v>
      </c>
      <c r="C24" s="94">
        <v>2055.5055022247288</v>
      </c>
      <c r="F24" s="94">
        <f t="shared" si="1"/>
        <v>1868.6260879084787</v>
      </c>
      <c r="G24" t="s">
        <v>90</v>
      </c>
      <c r="H24" s="94">
        <v>5.5737100000000002</v>
      </c>
    </row>
    <row r="25" spans="1:8">
      <c r="A25" s="59" t="s">
        <v>94</v>
      </c>
      <c r="B25" s="199">
        <f t="shared" si="0"/>
        <v>65.132951116475553</v>
      </c>
      <c r="C25" s="94">
        <v>56.831518294439654</v>
      </c>
      <c r="F25" s="94">
        <f t="shared" si="1"/>
        <v>65.132951116475553</v>
      </c>
      <c r="G25" t="s">
        <v>424</v>
      </c>
      <c r="H25" s="94">
        <v>2.5349651627808361</v>
      </c>
    </row>
    <row r="26" spans="1:8">
      <c r="A26" s="59" t="s">
        <v>211</v>
      </c>
      <c r="B26" s="199">
        <f t="shared" si="0"/>
        <v>14.124775068568976</v>
      </c>
      <c r="C26" s="94">
        <v>12.87311480001652</v>
      </c>
      <c r="F26" s="94">
        <f t="shared" si="1"/>
        <v>14.124775068568976</v>
      </c>
      <c r="G26" t="s">
        <v>91</v>
      </c>
      <c r="H26" s="94">
        <v>40.287647756874094</v>
      </c>
    </row>
    <row r="27" spans="1:8">
      <c r="A27" s="59" t="s">
        <v>6</v>
      </c>
      <c r="B27" s="199">
        <f t="shared" si="0"/>
        <v>24.542474061242604</v>
      </c>
      <c r="C27" s="94">
        <v>22.158209502639128</v>
      </c>
      <c r="F27" s="94">
        <f t="shared" si="1"/>
        <v>24.542474061242604</v>
      </c>
      <c r="G27" t="s">
        <v>7</v>
      </c>
      <c r="H27" s="94">
        <v>20.161865419432711</v>
      </c>
    </row>
    <row r="28" spans="1:8">
      <c r="A28" s="59" t="s">
        <v>212</v>
      </c>
      <c r="B28" s="199">
        <f t="shared" si="0"/>
        <v>38.675205293046218</v>
      </c>
      <c r="C28" s="94">
        <v>34.798596482427428</v>
      </c>
      <c r="F28" s="94">
        <f t="shared" si="1"/>
        <v>38.675205293046218</v>
      </c>
      <c r="G28" t="s">
        <v>123</v>
      </c>
      <c r="H28" s="94">
        <v>18.616018903443408</v>
      </c>
    </row>
    <row r="29" spans="1:8">
      <c r="A29" s="59" t="s">
        <v>95</v>
      </c>
      <c r="B29" s="199">
        <f t="shared" si="0"/>
        <v>1713.3417048770118</v>
      </c>
      <c r="C29" s="94">
        <v>1653.042795255044</v>
      </c>
      <c r="F29" s="94">
        <f t="shared" si="1"/>
        <v>1713.3417048770118</v>
      </c>
      <c r="G29" t="s">
        <v>92</v>
      </c>
      <c r="H29" s="94">
        <v>1868.6260879084787</v>
      </c>
    </row>
    <row r="30" spans="1:8">
      <c r="A30" s="59" t="s">
        <v>213</v>
      </c>
      <c r="B30" s="199">
        <v>1.9</v>
      </c>
      <c r="C30" s="60">
        <v>1.9</v>
      </c>
      <c r="F30" s="94">
        <f t="shared" si="1"/>
        <v>1713.3417048770118</v>
      </c>
      <c r="G30" t="s">
        <v>533</v>
      </c>
      <c r="H30" s="94">
        <v>0</v>
      </c>
    </row>
    <row r="31" spans="1:8">
      <c r="A31" s="59" t="s">
        <v>55</v>
      </c>
      <c r="B31" s="199">
        <f t="shared" si="0"/>
        <v>5.1418339133565327</v>
      </c>
      <c r="C31" s="60">
        <v>3.2</v>
      </c>
      <c r="F31" s="94"/>
      <c r="G31" t="s">
        <v>410</v>
      </c>
      <c r="H31" s="94">
        <v>13.567351175031508</v>
      </c>
    </row>
    <row r="32" spans="1:8">
      <c r="A32" s="59" t="s">
        <v>96</v>
      </c>
      <c r="B32" s="199">
        <f t="shared" si="0"/>
        <v>298.23113353274857</v>
      </c>
      <c r="C32" s="94">
        <v>277.07594440194083</v>
      </c>
      <c r="F32" s="94">
        <f t="shared" si="1"/>
        <v>298.23113353274857</v>
      </c>
      <c r="G32" t="s">
        <v>94</v>
      </c>
      <c r="H32" s="94">
        <v>65.132951116475553</v>
      </c>
    </row>
    <row r="33" spans="1:8">
      <c r="A33" s="59" t="s">
        <v>97</v>
      </c>
      <c r="B33" s="199">
        <f t="shared" si="0"/>
        <v>13608.151864637854</v>
      </c>
      <c r="C33" s="94">
        <v>12237.700479375037</v>
      </c>
      <c r="F33" s="94">
        <f t="shared" si="1"/>
        <v>13608.151864637854</v>
      </c>
      <c r="G33" t="s">
        <v>211</v>
      </c>
      <c r="H33" s="94">
        <v>14.124775068568976</v>
      </c>
    </row>
    <row r="34" spans="1:8">
      <c r="A34" s="59" t="s">
        <v>50</v>
      </c>
      <c r="B34" s="199">
        <f t="shared" si="0"/>
        <v>331.04704008787752</v>
      </c>
      <c r="C34" s="94">
        <v>309.19138283336514</v>
      </c>
      <c r="F34" s="94">
        <f t="shared" si="1"/>
        <v>331.04704008787752</v>
      </c>
      <c r="G34" t="s">
        <v>420</v>
      </c>
      <c r="H34" s="94">
        <v>3.0369318181818179</v>
      </c>
    </row>
    <row r="35" spans="1:8">
      <c r="A35" s="59" t="s">
        <v>288</v>
      </c>
      <c r="B35" s="199">
        <f t="shared" si="0"/>
        <v>47.227535290921828</v>
      </c>
      <c r="C35" s="44">
        <v>37.24</v>
      </c>
      <c r="F35" s="94">
        <v>37.24</v>
      </c>
      <c r="G35" t="s">
        <v>426</v>
      </c>
      <c r="H35" s="94">
        <v>1.9768142765079173</v>
      </c>
    </row>
    <row r="36" spans="1:8">
      <c r="A36" s="59" t="s">
        <v>289</v>
      </c>
      <c r="B36" s="199">
        <f t="shared" si="0"/>
        <v>11.263682694039259</v>
      </c>
      <c r="C36" s="44">
        <v>8.7200000000000006</v>
      </c>
      <c r="F36" s="94">
        <v>8.7200000000000006</v>
      </c>
      <c r="G36" t="s">
        <v>6</v>
      </c>
      <c r="H36" s="94">
        <v>24.542474061242604</v>
      </c>
    </row>
    <row r="37" spans="1:8">
      <c r="A37" s="59" t="s">
        <v>214</v>
      </c>
      <c r="B37" s="199">
        <v>1.2</v>
      </c>
      <c r="C37" s="60">
        <v>1.2</v>
      </c>
      <c r="F37" s="94"/>
      <c r="G37" t="s">
        <v>212</v>
      </c>
      <c r="H37" s="94">
        <v>38.675205293046218</v>
      </c>
    </row>
    <row r="38" spans="1:8">
      <c r="A38" s="59" t="s">
        <v>56</v>
      </c>
      <c r="B38" s="199">
        <f t="shared" si="0"/>
        <v>60.130106115629424</v>
      </c>
      <c r="C38" s="156">
        <f>F38</f>
        <v>60.130106115629424</v>
      </c>
      <c r="F38" s="94">
        <f t="shared" si="1"/>
        <v>60.130106115629424</v>
      </c>
      <c r="G38" t="s">
        <v>95</v>
      </c>
      <c r="H38" s="94">
        <v>1713.3417048770118</v>
      </c>
    </row>
    <row r="39" spans="1:8">
      <c r="A39" s="59" t="s">
        <v>284</v>
      </c>
      <c r="B39" s="199">
        <f t="shared" si="0"/>
        <v>43.007047821754135</v>
      </c>
      <c r="C39" s="156">
        <f t="shared" ref="C39:C40" si="2">F39</f>
        <v>43.007047821754135</v>
      </c>
      <c r="F39" s="94">
        <f t="shared" si="1"/>
        <v>43.007047821754135</v>
      </c>
      <c r="G39" t="s">
        <v>479</v>
      </c>
      <c r="H39" s="94">
        <v>73.523538154681148</v>
      </c>
    </row>
    <row r="40" spans="1:8">
      <c r="A40" s="59" t="s">
        <v>98</v>
      </c>
      <c r="B40" s="199">
        <f t="shared" si="0"/>
        <v>60.971699315177574</v>
      </c>
      <c r="C40" s="156">
        <f t="shared" si="2"/>
        <v>60.971699315177574</v>
      </c>
      <c r="F40" s="94">
        <f t="shared" si="1"/>
        <v>60.971699315177574</v>
      </c>
      <c r="G40" t="s">
        <v>55</v>
      </c>
      <c r="H40" s="94">
        <v>5.1418339133565327</v>
      </c>
    </row>
    <row r="41" spans="1:8">
      <c r="A41" s="59" t="s">
        <v>99</v>
      </c>
      <c r="B41" s="199">
        <f t="shared" si="0"/>
        <v>100.023</v>
      </c>
      <c r="C41" s="45">
        <v>81.599999999999994</v>
      </c>
      <c r="F41" s="94">
        <f t="shared" si="1"/>
        <v>100.023</v>
      </c>
      <c r="G41" t="s">
        <v>427</v>
      </c>
      <c r="H41" s="94">
        <v>2.2198947019512421</v>
      </c>
    </row>
    <row r="42" spans="1:8">
      <c r="A42" s="59" t="s">
        <v>217</v>
      </c>
      <c r="B42" s="199">
        <f t="shared" si="0"/>
        <v>3.1279080378591844</v>
      </c>
      <c r="C42" s="60">
        <v>1</v>
      </c>
      <c r="F42" s="94">
        <f t="shared" si="1"/>
        <v>3.1279080378591844</v>
      </c>
      <c r="G42" t="s">
        <v>477</v>
      </c>
      <c r="H42" s="94">
        <v>1632.9128220800235</v>
      </c>
    </row>
    <row r="43" spans="1:8">
      <c r="A43" s="59" t="s">
        <v>178</v>
      </c>
      <c r="B43" s="199">
        <f t="shared" si="0"/>
        <v>24.961988663202643</v>
      </c>
      <c r="C43" s="157">
        <f>F43</f>
        <v>24.961988663202643</v>
      </c>
      <c r="F43" s="94">
        <f t="shared" si="1"/>
        <v>24.961988663202643</v>
      </c>
      <c r="G43" t="s">
        <v>413</v>
      </c>
      <c r="H43" s="94">
        <v>11.273115239425477</v>
      </c>
    </row>
    <row r="44" spans="1:8">
      <c r="A44" s="59" t="s">
        <v>101</v>
      </c>
      <c r="B44" s="199">
        <f t="shared" si="0"/>
        <v>245.22588290337018</v>
      </c>
      <c r="C44" s="157">
        <f t="shared" ref="C44:C47" si="3">F44</f>
        <v>245.22588290337018</v>
      </c>
      <c r="F44" s="94">
        <f t="shared" si="1"/>
        <v>245.22588290337018</v>
      </c>
      <c r="G44" t="s">
        <v>478</v>
      </c>
      <c r="H44" s="94">
        <v>11.514605842336936</v>
      </c>
    </row>
    <row r="45" spans="1:8">
      <c r="A45" s="59" t="s">
        <v>102</v>
      </c>
      <c r="B45" s="199">
        <f t="shared" si="0"/>
        <v>355.67532908595155</v>
      </c>
      <c r="C45" s="157">
        <f t="shared" si="3"/>
        <v>355.67532908595155</v>
      </c>
      <c r="F45" s="94">
        <f t="shared" si="1"/>
        <v>355.67532908595155</v>
      </c>
      <c r="G45" t="s">
        <v>96</v>
      </c>
      <c r="H45" s="94">
        <v>298.23113353274857</v>
      </c>
    </row>
    <row r="46" spans="1:8">
      <c r="A46" s="59" t="s">
        <v>103</v>
      </c>
      <c r="B46" s="199">
        <f t="shared" si="0"/>
        <v>85.555390387035516</v>
      </c>
      <c r="C46" s="157">
        <f t="shared" si="3"/>
        <v>85.555390387035516</v>
      </c>
      <c r="F46" s="94">
        <f t="shared" si="1"/>
        <v>85.555390387035516</v>
      </c>
      <c r="G46" t="s">
        <v>97</v>
      </c>
      <c r="H46" s="94">
        <v>13608.151864637854</v>
      </c>
    </row>
    <row r="47" spans="1:8">
      <c r="A47" s="59" t="s">
        <v>104</v>
      </c>
      <c r="B47" s="199">
        <f t="shared" si="0"/>
        <v>108.39805800000001</v>
      </c>
      <c r="C47" s="157">
        <f t="shared" si="3"/>
        <v>108.39805800000001</v>
      </c>
      <c r="F47" s="94">
        <f t="shared" si="1"/>
        <v>108.39805800000001</v>
      </c>
      <c r="G47" t="s">
        <v>50</v>
      </c>
      <c r="H47" s="94">
        <v>331.04704008787752</v>
      </c>
    </row>
    <row r="48" spans="1:8">
      <c r="A48" s="59" t="s">
        <v>105</v>
      </c>
      <c r="B48" s="199">
        <f t="shared" si="0"/>
        <v>250.89476035123232</v>
      </c>
      <c r="C48" s="44">
        <v>235.37</v>
      </c>
      <c r="F48" s="94"/>
      <c r="G48" t="s">
        <v>439</v>
      </c>
      <c r="H48" s="94">
        <v>1.1779550486529855</v>
      </c>
    </row>
    <row r="49" spans="1:8">
      <c r="A49" s="59" t="s">
        <v>31</v>
      </c>
      <c r="B49" s="199">
        <f t="shared" si="0"/>
        <v>26.056999999999999</v>
      </c>
      <c r="C49" s="156">
        <f>F49</f>
        <v>26.056999999999999</v>
      </c>
      <c r="F49" s="94">
        <f t="shared" si="1"/>
        <v>26.056999999999999</v>
      </c>
      <c r="G49" s="59" t="s">
        <v>288</v>
      </c>
      <c r="H49" s="94">
        <v>47.227535290921828</v>
      </c>
    </row>
    <row r="50" spans="1:8">
      <c r="A50" s="59" t="s">
        <v>106</v>
      </c>
      <c r="B50" s="199">
        <f t="shared" si="0"/>
        <v>30.732144528979521</v>
      </c>
      <c r="C50" s="156">
        <f t="shared" ref="C50:C56" si="4">F50</f>
        <v>30.732144528979521</v>
      </c>
      <c r="F50" s="94">
        <f t="shared" si="1"/>
        <v>30.732144528979521</v>
      </c>
      <c r="G50" s="59" t="s">
        <v>289</v>
      </c>
      <c r="H50" s="94">
        <v>11.263682694039259</v>
      </c>
    </row>
    <row r="51" spans="1:8">
      <c r="A51" s="59" t="s">
        <v>285</v>
      </c>
      <c r="B51" s="199">
        <f t="shared" si="0"/>
        <v>84.355604752529857</v>
      </c>
      <c r="C51" s="156">
        <f t="shared" si="4"/>
        <v>84.355604752529857</v>
      </c>
      <c r="F51" s="94">
        <f t="shared" si="1"/>
        <v>84.355604752529857</v>
      </c>
      <c r="G51" t="s">
        <v>56</v>
      </c>
      <c r="H51" s="94">
        <v>60.130106115629424</v>
      </c>
    </row>
    <row r="52" spans="1:8">
      <c r="A52" s="59" t="s">
        <v>219</v>
      </c>
      <c r="B52" s="199">
        <f t="shared" si="0"/>
        <v>5.5367596588701247</v>
      </c>
      <c r="C52" s="156">
        <f t="shared" si="4"/>
        <v>5.5367596588701247</v>
      </c>
      <c r="F52" s="94">
        <f t="shared" si="1"/>
        <v>5.5367596588701247</v>
      </c>
      <c r="G52" s="59" t="s">
        <v>284</v>
      </c>
      <c r="H52" s="94">
        <v>43.007047821754135</v>
      </c>
    </row>
    <row r="53" spans="1:8">
      <c r="A53" s="59" t="s">
        <v>179</v>
      </c>
      <c r="B53" s="199">
        <f t="shared" si="0"/>
        <v>276.74312051576396</v>
      </c>
      <c r="C53" s="156">
        <f t="shared" si="4"/>
        <v>276.74312051576396</v>
      </c>
      <c r="F53" s="94">
        <f t="shared" si="1"/>
        <v>276.74312051576396</v>
      </c>
      <c r="G53" t="s">
        <v>98</v>
      </c>
      <c r="H53" s="94">
        <v>60.971699315177574</v>
      </c>
    </row>
    <row r="54" spans="1:8">
      <c r="A54" s="59" t="s">
        <v>180</v>
      </c>
      <c r="B54" s="199">
        <f t="shared" si="0"/>
        <v>2777.5352392779751</v>
      </c>
      <c r="C54" s="156">
        <f t="shared" si="4"/>
        <v>2777.5352392779751</v>
      </c>
      <c r="F54" s="94">
        <f t="shared" si="1"/>
        <v>2777.5352392779751</v>
      </c>
      <c r="G54" t="s">
        <v>99</v>
      </c>
      <c r="H54" s="94">
        <v>100.023</v>
      </c>
    </row>
    <row r="55" spans="1:8">
      <c r="A55" s="59" t="s">
        <v>220</v>
      </c>
      <c r="B55" s="199">
        <f t="shared" si="0"/>
        <v>16.853589311413938</v>
      </c>
      <c r="C55" s="156">
        <f t="shared" si="4"/>
        <v>16.853589311413938</v>
      </c>
      <c r="F55" s="94">
        <f t="shared" si="1"/>
        <v>16.853589311413938</v>
      </c>
      <c r="G55" t="s">
        <v>217</v>
      </c>
      <c r="H55" s="94">
        <v>3.1279080378591844</v>
      </c>
    </row>
    <row r="56" spans="1:8">
      <c r="A56" s="59" t="s">
        <v>133</v>
      </c>
      <c r="B56" s="199">
        <f t="shared" si="0"/>
        <v>17.599660629020164</v>
      </c>
      <c r="C56" s="156">
        <f t="shared" si="4"/>
        <v>17.599660629020164</v>
      </c>
      <c r="F56" s="94">
        <f t="shared" si="1"/>
        <v>17.599660629020164</v>
      </c>
      <c r="G56" t="s">
        <v>178</v>
      </c>
      <c r="H56" s="94">
        <v>24.961988663202643</v>
      </c>
    </row>
    <row r="57" spans="1:8">
      <c r="A57" s="59" t="s">
        <v>181</v>
      </c>
      <c r="B57" s="199">
        <f t="shared" si="0"/>
        <v>3947.6201625029566</v>
      </c>
      <c r="C57" s="156">
        <f>F57</f>
        <v>3947.6201625029566</v>
      </c>
      <c r="F57" s="94">
        <f t="shared" si="1"/>
        <v>3947.6201625029566</v>
      </c>
      <c r="G57" t="s">
        <v>101</v>
      </c>
      <c r="H57" s="94">
        <v>245.22588290337018</v>
      </c>
    </row>
    <row r="58" spans="1:8">
      <c r="A58" s="59" t="s">
        <v>221</v>
      </c>
      <c r="B58" s="199">
        <f t="shared" si="0"/>
        <v>65.55646404815387</v>
      </c>
      <c r="C58" s="156">
        <f t="shared" ref="C58:C60" si="5">F58</f>
        <v>65.55646404815387</v>
      </c>
      <c r="F58" s="94">
        <f t="shared" si="1"/>
        <v>65.55646404815387</v>
      </c>
      <c r="G58" t="s">
        <v>102</v>
      </c>
      <c r="H58" s="94">
        <v>355.67532908595155</v>
      </c>
    </row>
    <row r="59" spans="1:8">
      <c r="A59" s="59" t="s">
        <v>182</v>
      </c>
      <c r="B59" s="199">
        <f t="shared" si="0"/>
        <v>218.03184458399377</v>
      </c>
      <c r="C59" s="156">
        <f t="shared" si="5"/>
        <v>218.03184458399377</v>
      </c>
      <c r="F59" s="94">
        <f t="shared" si="1"/>
        <v>218.03184458399377</v>
      </c>
      <c r="G59" t="s">
        <v>425</v>
      </c>
      <c r="H59" s="94">
        <v>2.955912228224173</v>
      </c>
    </row>
    <row r="60" spans="1:8">
      <c r="A60" s="59" t="s">
        <v>107</v>
      </c>
      <c r="B60" s="199">
        <f t="shared" si="0"/>
        <v>78.460447919991495</v>
      </c>
      <c r="C60" s="156">
        <f t="shared" si="5"/>
        <v>78.460447919991495</v>
      </c>
      <c r="F60" s="94">
        <f t="shared" si="1"/>
        <v>78.460447919991495</v>
      </c>
      <c r="G60" t="s">
        <v>440</v>
      </c>
      <c r="H60" s="94">
        <v>0.5508925925925926</v>
      </c>
    </row>
    <row r="61" spans="1:8">
      <c r="A61" s="59" t="s">
        <v>290</v>
      </c>
      <c r="B61" s="199">
        <v>0.5</v>
      </c>
      <c r="C61" s="61">
        <v>0.5</v>
      </c>
      <c r="F61" s="94">
        <f t="shared" si="1"/>
        <v>78.460447919991495</v>
      </c>
      <c r="G61" t="s">
        <v>103</v>
      </c>
      <c r="H61" s="94">
        <v>85.555390387035516</v>
      </c>
    </row>
    <row r="62" spans="1:8">
      <c r="A62" s="59" t="s">
        <v>108</v>
      </c>
      <c r="B62" s="199">
        <f t="shared" si="0"/>
        <v>23.969890430788155</v>
      </c>
      <c r="C62" s="156">
        <f>F62</f>
        <v>23.969890430788155</v>
      </c>
      <c r="F62" s="94">
        <f t="shared" si="1"/>
        <v>23.969890430788155</v>
      </c>
      <c r="G62" t="s">
        <v>481</v>
      </c>
      <c r="H62" s="94">
        <v>11638.154660763312</v>
      </c>
    </row>
    <row r="63" spans="1:8">
      <c r="A63" s="59" t="s">
        <v>59</v>
      </c>
      <c r="B63" s="199">
        <f t="shared" si="0"/>
        <v>362.68201824328639</v>
      </c>
      <c r="C63" s="156">
        <f>F63</f>
        <v>341.45</v>
      </c>
      <c r="F63" s="94">
        <v>341.45</v>
      </c>
      <c r="G63" t="s">
        <v>482</v>
      </c>
      <c r="H63" s="94">
        <v>25942.413437360028</v>
      </c>
    </row>
    <row r="64" spans="1:8">
      <c r="A64" s="59" t="s">
        <v>109</v>
      </c>
      <c r="B64" s="199">
        <f t="shared" si="0"/>
        <v>157.88291277825391</v>
      </c>
      <c r="C64" s="156">
        <f>F64</f>
        <v>157.88291277825391</v>
      </c>
      <c r="F64" s="94">
        <f t="shared" si="1"/>
        <v>157.88291277825391</v>
      </c>
      <c r="G64" t="s">
        <v>480</v>
      </c>
      <c r="H64" s="94">
        <v>16284.459791798243</v>
      </c>
    </row>
    <row r="65" spans="1:8">
      <c r="A65" s="59" t="s">
        <v>110</v>
      </c>
      <c r="B65" s="199">
        <f t="shared" si="0"/>
        <v>25.878475760113137</v>
      </c>
      <c r="C65" s="156">
        <f t="shared" ref="C65:C69" si="6">F65</f>
        <v>25.878475760113137</v>
      </c>
      <c r="F65" s="94">
        <f t="shared" si="1"/>
        <v>25.878475760113137</v>
      </c>
      <c r="G65" t="s">
        <v>525</v>
      </c>
      <c r="H65" s="94">
        <v>16253.261537421355</v>
      </c>
    </row>
    <row r="66" spans="1:8">
      <c r="A66" s="59" t="s">
        <v>111</v>
      </c>
      <c r="B66" s="199">
        <f t="shared" si="0"/>
        <v>2718.7322312575707</v>
      </c>
      <c r="C66" s="156">
        <f t="shared" si="6"/>
        <v>2718.7322312575707</v>
      </c>
      <c r="F66" s="94">
        <f t="shared" si="1"/>
        <v>2718.7322312575707</v>
      </c>
      <c r="G66" t="s">
        <v>104</v>
      </c>
      <c r="H66" s="94">
        <v>108.39805800000001</v>
      </c>
    </row>
    <row r="67" spans="1:8">
      <c r="A67" s="59" t="s">
        <v>112</v>
      </c>
      <c r="B67" s="199">
        <f t="shared" si="0"/>
        <v>1042.1733006255529</v>
      </c>
      <c r="C67" s="156">
        <f t="shared" si="6"/>
        <v>1042.1733006255529</v>
      </c>
      <c r="F67" s="94">
        <f t="shared" si="1"/>
        <v>1042.1733006255529</v>
      </c>
      <c r="G67" t="s">
        <v>105</v>
      </c>
      <c r="H67" s="94">
        <v>250.89476035123232</v>
      </c>
    </row>
    <row r="68" spans="1:8">
      <c r="A68" s="59" t="s">
        <v>332</v>
      </c>
      <c r="B68" s="199">
        <f t="shared" ref="B68:B132" si="7">VLOOKUP(A68,$G$2:$H$265,2,FALSE)</f>
        <v>224.22801047788917</v>
      </c>
      <c r="C68" s="156">
        <f t="shared" si="6"/>
        <v>224.22801047788917</v>
      </c>
      <c r="F68" s="94">
        <f t="shared" ref="F68:F81" si="8">VLOOKUP(A68,$G$2:$H$265,2)</f>
        <v>224.22801047788917</v>
      </c>
      <c r="G68" t="s">
        <v>31</v>
      </c>
      <c r="H68" s="94">
        <v>26.056999999999999</v>
      </c>
    </row>
    <row r="69" spans="1:8">
      <c r="A69" s="59" t="s">
        <v>183</v>
      </c>
      <c r="B69" s="199">
        <f t="shared" si="7"/>
        <v>382.48749053247872</v>
      </c>
      <c r="C69" s="156">
        <f t="shared" si="6"/>
        <v>382.48749053247872</v>
      </c>
      <c r="F69" s="94">
        <f t="shared" si="8"/>
        <v>382.48749053247872</v>
      </c>
      <c r="G69" t="s">
        <v>412</v>
      </c>
      <c r="H69" s="94">
        <v>13.432377049540211</v>
      </c>
    </row>
    <row r="70" spans="1:8">
      <c r="A70" s="59" t="s">
        <v>113</v>
      </c>
      <c r="B70" s="199">
        <f t="shared" si="7"/>
        <v>6.7705328185328169</v>
      </c>
      <c r="C70" s="60">
        <v>7.4</v>
      </c>
      <c r="F70" s="94">
        <f t="shared" si="8"/>
        <v>6.7705328185328169</v>
      </c>
      <c r="G70" t="s">
        <v>486</v>
      </c>
      <c r="H70" s="94">
        <v>2.6077398373983742</v>
      </c>
    </row>
    <row r="71" spans="1:8">
      <c r="A71" s="59" t="s">
        <v>114</v>
      </c>
      <c r="B71" s="199">
        <f t="shared" si="7"/>
        <v>370.58797715358321</v>
      </c>
      <c r="C71" s="156">
        <f>F71</f>
        <v>370.58797715358321</v>
      </c>
      <c r="F71" s="94">
        <f t="shared" si="8"/>
        <v>370.58797715358321</v>
      </c>
      <c r="G71" t="s">
        <v>106</v>
      </c>
      <c r="H71" s="94">
        <v>30.732144528979521</v>
      </c>
    </row>
    <row r="72" spans="1:8">
      <c r="A72" s="59" t="s">
        <v>145</v>
      </c>
      <c r="B72" s="199">
        <f t="shared" si="7"/>
        <v>2083.8642596226487</v>
      </c>
      <c r="C72" s="156">
        <f t="shared" ref="C72:C79" si="9">F72</f>
        <v>2083.8642596226487</v>
      </c>
      <c r="F72" s="94">
        <f t="shared" si="8"/>
        <v>2083.8642596226487</v>
      </c>
      <c r="G72" t="s">
        <v>552</v>
      </c>
      <c r="H72" s="94">
        <v>4.7106184719316664</v>
      </c>
    </row>
    <row r="73" spans="1:8">
      <c r="A73" s="59" t="s">
        <v>115</v>
      </c>
      <c r="B73" s="199">
        <f t="shared" si="7"/>
        <v>15.713908816146317</v>
      </c>
      <c r="C73" s="156">
        <f t="shared" si="9"/>
        <v>15.713908816146317</v>
      </c>
      <c r="F73" s="94">
        <f t="shared" si="8"/>
        <v>15.713908816146317</v>
      </c>
      <c r="G73" t="s">
        <v>285</v>
      </c>
      <c r="H73" s="94">
        <v>84.355604752529857</v>
      </c>
    </row>
    <row r="74" spans="1:8">
      <c r="A74" s="59" t="s">
        <v>116</v>
      </c>
      <c r="B74" s="199">
        <f t="shared" si="7"/>
        <v>4971.3230797718697</v>
      </c>
      <c r="C74" s="156">
        <f t="shared" si="9"/>
        <v>4971.3230797718697</v>
      </c>
      <c r="F74" s="94">
        <f t="shared" si="8"/>
        <v>4971.3230797718697</v>
      </c>
      <c r="G74" t="s">
        <v>485</v>
      </c>
      <c r="H74" s="94">
        <v>13646.587749131011</v>
      </c>
    </row>
    <row r="75" spans="1:8">
      <c r="A75" s="59" t="s">
        <v>291</v>
      </c>
      <c r="B75" s="199">
        <v>1</v>
      </c>
      <c r="C75" s="61">
        <v>1</v>
      </c>
      <c r="F75" s="94"/>
      <c r="G75" t="s">
        <v>484</v>
      </c>
      <c r="H75" s="94">
        <v>23068.402795298516</v>
      </c>
    </row>
    <row r="76" spans="1:8">
      <c r="A76" s="59" t="s">
        <v>117</v>
      </c>
      <c r="B76" s="199">
        <f t="shared" si="7"/>
        <v>42.23129577464789</v>
      </c>
      <c r="C76" s="156">
        <f t="shared" si="9"/>
        <v>42.23129577464789</v>
      </c>
      <c r="F76" s="94">
        <f t="shared" si="8"/>
        <v>42.23129577464789</v>
      </c>
      <c r="G76" t="s">
        <v>483</v>
      </c>
      <c r="H76" s="94">
        <v>3410.6950540293155</v>
      </c>
    </row>
    <row r="77" spans="1:8">
      <c r="A77" s="59" t="s">
        <v>118</v>
      </c>
      <c r="B77" s="199">
        <f t="shared" si="7"/>
        <v>179.33999485938446</v>
      </c>
      <c r="C77" s="156">
        <f t="shared" si="9"/>
        <v>179.33999485938446</v>
      </c>
      <c r="F77" s="94">
        <f t="shared" si="8"/>
        <v>179.33999485938446</v>
      </c>
      <c r="G77" t="s">
        <v>526</v>
      </c>
      <c r="H77" s="94">
        <v>4057.3305681685374</v>
      </c>
    </row>
    <row r="78" spans="1:8">
      <c r="A78" s="59" t="s">
        <v>184</v>
      </c>
      <c r="B78" s="199">
        <f t="shared" si="7"/>
        <v>87.908262519916363</v>
      </c>
      <c r="C78" s="156">
        <f t="shared" si="9"/>
        <v>87.908262519916363</v>
      </c>
      <c r="F78" s="94">
        <f t="shared" si="8"/>
        <v>87.908262519916363</v>
      </c>
      <c r="G78" t="s">
        <v>487</v>
      </c>
      <c r="H78" s="94">
        <v>18768.076076357273</v>
      </c>
    </row>
    <row r="79" spans="1:8">
      <c r="A79" s="59" t="s">
        <v>119</v>
      </c>
      <c r="B79" s="199">
        <v>1619.42</v>
      </c>
      <c r="C79" s="156">
        <f t="shared" si="9"/>
        <v>1530.75</v>
      </c>
      <c r="F79" s="94">
        <v>1530.75</v>
      </c>
      <c r="G79" t="s">
        <v>421</v>
      </c>
      <c r="H79" s="94">
        <v>2.6891572708231206</v>
      </c>
    </row>
    <row r="80" spans="1:8">
      <c r="A80" s="59" t="s">
        <v>120</v>
      </c>
      <c r="B80" s="199">
        <f t="shared" si="7"/>
        <v>140.64536423841062</v>
      </c>
      <c r="C80" s="156">
        <f>F80</f>
        <v>140.64536423841062</v>
      </c>
      <c r="F80" s="94">
        <f t="shared" si="8"/>
        <v>140.64536423841062</v>
      </c>
      <c r="G80" t="s">
        <v>219</v>
      </c>
      <c r="H80" s="94">
        <v>5.5367596588701247</v>
      </c>
    </row>
    <row r="81" spans="1:8">
      <c r="A81" t="s">
        <v>354</v>
      </c>
      <c r="B81" s="199">
        <f t="shared" si="7"/>
        <v>8.0928366087887476</v>
      </c>
      <c r="C81" s="156">
        <f t="shared" ref="C81" si="10">F81</f>
        <v>8.0928366087887476</v>
      </c>
      <c r="F81" s="94">
        <f t="shared" si="8"/>
        <v>8.0928366087887476</v>
      </c>
      <c r="G81" t="s">
        <v>179</v>
      </c>
      <c r="H81" s="94">
        <v>276.74312051576396</v>
      </c>
    </row>
    <row r="82" spans="1:8">
      <c r="A82" s="245" t="s">
        <v>344</v>
      </c>
      <c r="B82" s="199">
        <f t="shared" si="7"/>
        <v>17.953786416143096</v>
      </c>
      <c r="C82" s="156"/>
      <c r="F82" s="94"/>
      <c r="G82" t="s">
        <v>488</v>
      </c>
      <c r="H82" s="94">
        <v>841.43296367160099</v>
      </c>
    </row>
    <row r="83" spans="1:8">
      <c r="A83" s="59" t="s">
        <v>121</v>
      </c>
      <c r="B83" s="199">
        <f t="shared" si="7"/>
        <v>34.409229177910504</v>
      </c>
      <c r="C83" s="156">
        <f>F83</f>
        <v>34.409229177910504</v>
      </c>
      <c r="F83" s="94">
        <f t="shared" ref="F83:F91" si="11">VLOOKUP(A83,$G$2:$H$265,2)</f>
        <v>34.409229177910504</v>
      </c>
      <c r="G83" t="s">
        <v>180</v>
      </c>
      <c r="H83" s="94">
        <v>2777.5352392779751</v>
      </c>
    </row>
    <row r="84" spans="1:8">
      <c r="A84" s="59" t="s">
        <v>122</v>
      </c>
      <c r="B84" s="199">
        <f t="shared" si="7"/>
        <v>56.639155555555547</v>
      </c>
      <c r="C84" s="156">
        <f>F84</f>
        <v>56.639155555555547</v>
      </c>
      <c r="F84" s="94">
        <f t="shared" si="11"/>
        <v>56.639155555555547</v>
      </c>
      <c r="G84" t="s">
        <v>517</v>
      </c>
      <c r="H84" s="94">
        <v>0</v>
      </c>
    </row>
    <row r="85" spans="1:8">
      <c r="A85" s="59" t="s">
        <v>223</v>
      </c>
      <c r="B85" s="199">
        <f t="shared" si="7"/>
        <v>6.2146336513091125</v>
      </c>
      <c r="C85" s="60">
        <v>6.7</v>
      </c>
      <c r="F85" s="94">
        <f t="shared" si="11"/>
        <v>6.2146336513091125</v>
      </c>
      <c r="G85" t="s">
        <v>220</v>
      </c>
      <c r="H85" s="94">
        <v>16.853589311413938</v>
      </c>
    </row>
    <row r="86" spans="1:8">
      <c r="A86" s="59" t="s">
        <v>13</v>
      </c>
      <c r="B86" s="199">
        <f t="shared" si="7"/>
        <v>53.429066429125086</v>
      </c>
      <c r="C86" s="156">
        <f t="shared" ref="C86:C91" si="12">F86</f>
        <v>53.429066429125086</v>
      </c>
      <c r="F86" s="94">
        <f t="shared" si="11"/>
        <v>53.429066429125086</v>
      </c>
      <c r="G86" t="s">
        <v>434</v>
      </c>
      <c r="H86" s="94">
        <v>1.6328231989582838</v>
      </c>
    </row>
    <row r="87" spans="1:8">
      <c r="A87" s="59" t="s">
        <v>185</v>
      </c>
      <c r="B87" s="199">
        <f t="shared" si="7"/>
        <v>70.885325883094083</v>
      </c>
      <c r="C87" s="156">
        <f t="shared" si="12"/>
        <v>70.885325883094083</v>
      </c>
      <c r="F87" s="94">
        <f t="shared" si="11"/>
        <v>70.885325883094083</v>
      </c>
      <c r="G87" t="s">
        <v>133</v>
      </c>
      <c r="H87" s="94">
        <v>17.599660629020164</v>
      </c>
    </row>
    <row r="88" spans="1:8">
      <c r="A88" s="59" t="s">
        <v>32</v>
      </c>
      <c r="B88" s="199">
        <f t="shared" si="7"/>
        <v>55.084050789718177</v>
      </c>
      <c r="C88" s="156">
        <f t="shared" si="12"/>
        <v>55.084050789718177</v>
      </c>
      <c r="F88" s="94">
        <f t="shared" si="11"/>
        <v>55.084050789718177</v>
      </c>
      <c r="G88" t="s">
        <v>181</v>
      </c>
      <c r="H88" s="94">
        <v>3947.6201625029566</v>
      </c>
    </row>
    <row r="89" spans="1:8">
      <c r="A89" s="59" t="s">
        <v>146</v>
      </c>
      <c r="B89" s="199">
        <v>12.67</v>
      </c>
      <c r="C89" s="156">
        <f t="shared" si="12"/>
        <v>55.084050789718177</v>
      </c>
      <c r="F89" s="94">
        <f t="shared" si="11"/>
        <v>55.084050789718177</v>
      </c>
      <c r="G89" t="s">
        <v>221</v>
      </c>
      <c r="H89" s="94">
        <v>65.55646404815387</v>
      </c>
    </row>
    <row r="90" spans="1:8">
      <c r="A90" s="59" t="s">
        <v>14</v>
      </c>
      <c r="B90" s="199">
        <f t="shared" si="7"/>
        <v>358.58194344625912</v>
      </c>
      <c r="C90" s="156">
        <f t="shared" si="12"/>
        <v>358.58194344625912</v>
      </c>
      <c r="F90" s="94">
        <f t="shared" si="11"/>
        <v>358.58194344625912</v>
      </c>
      <c r="G90" t="s">
        <v>451</v>
      </c>
      <c r="H90" s="94">
        <v>0</v>
      </c>
    </row>
    <row r="91" spans="1:8">
      <c r="A91" s="152" t="s">
        <v>419</v>
      </c>
      <c r="B91" s="199">
        <f t="shared" si="7"/>
        <v>5.3274571497258103</v>
      </c>
      <c r="C91" s="156">
        <f t="shared" si="12"/>
        <v>5.3274571497258103</v>
      </c>
      <c r="F91" s="94">
        <f t="shared" si="11"/>
        <v>5.3274571497258103</v>
      </c>
      <c r="G91" t="s">
        <v>182</v>
      </c>
      <c r="H91" s="94">
        <v>218.03184458399377</v>
      </c>
    </row>
    <row r="92" spans="1:8">
      <c r="A92" s="59" t="s">
        <v>326</v>
      </c>
      <c r="B92" s="199">
        <f t="shared" si="7"/>
        <v>17.163432832095715</v>
      </c>
      <c r="C92" s="156">
        <v>15.29</v>
      </c>
      <c r="F92" s="94">
        <f t="shared" ref="F92:F104" si="13">VLOOKUP(A93,$G$2:$H$265,2)</f>
        <v>14.553422928883089</v>
      </c>
      <c r="G92" t="s">
        <v>422</v>
      </c>
      <c r="H92" s="94">
        <v>2.7071467831305616</v>
      </c>
    </row>
    <row r="93" spans="1:8">
      <c r="A93" s="59" t="s">
        <v>186</v>
      </c>
      <c r="B93" s="199">
        <f t="shared" si="7"/>
        <v>14.553422928883089</v>
      </c>
      <c r="C93" s="156">
        <f t="shared" ref="C93:C98" si="14">F92</f>
        <v>14.553422928883089</v>
      </c>
      <c r="F93" s="94">
        <f t="shared" si="13"/>
        <v>14.220348672733275</v>
      </c>
      <c r="G93" t="s">
        <v>433</v>
      </c>
      <c r="H93" s="94">
        <v>1.1859259259259258</v>
      </c>
    </row>
    <row r="94" spans="1:8">
      <c r="A94" s="59" t="s">
        <v>15</v>
      </c>
      <c r="B94" s="199">
        <f t="shared" si="7"/>
        <v>14.220348672733275</v>
      </c>
      <c r="C94" s="156">
        <f t="shared" si="14"/>
        <v>14.220348672733275</v>
      </c>
      <c r="F94" s="94">
        <f t="shared" si="13"/>
        <v>1220.6994798459802</v>
      </c>
      <c r="G94" t="s">
        <v>489</v>
      </c>
      <c r="H94" s="94">
        <v>5.92</v>
      </c>
    </row>
    <row r="95" spans="1:8">
      <c r="A95" s="59" t="s">
        <v>16</v>
      </c>
      <c r="B95" s="199">
        <f t="shared" si="7"/>
        <v>1220.6994798459802</v>
      </c>
      <c r="C95" s="156">
        <f t="shared" si="14"/>
        <v>1220.6994798459802</v>
      </c>
      <c r="F95" s="94">
        <f t="shared" si="13"/>
        <v>11.443671435902417</v>
      </c>
      <c r="G95" t="s">
        <v>107</v>
      </c>
      <c r="H95" s="94">
        <v>78.460447919991495</v>
      </c>
    </row>
    <row r="96" spans="1:8">
      <c r="A96" s="59" t="s">
        <v>17</v>
      </c>
      <c r="B96" s="199">
        <f t="shared" si="7"/>
        <v>11.443671435902417</v>
      </c>
      <c r="C96" s="156">
        <f t="shared" si="14"/>
        <v>11.443671435902417</v>
      </c>
      <c r="F96" s="94">
        <f t="shared" si="13"/>
        <v>13.066749138326108</v>
      </c>
      <c r="G96" t="s">
        <v>318</v>
      </c>
      <c r="H96" s="94">
        <v>10.907214993568733</v>
      </c>
    </row>
    <row r="97" spans="1:8">
      <c r="A97" s="59" t="s">
        <v>63</v>
      </c>
      <c r="B97" s="199">
        <f t="shared" si="7"/>
        <v>13.066749138326108</v>
      </c>
      <c r="C97" s="156">
        <f t="shared" si="14"/>
        <v>13.066749138326108</v>
      </c>
      <c r="F97" s="94">
        <f t="shared" si="13"/>
        <v>5.5041666666666673</v>
      </c>
      <c r="G97" t="s">
        <v>334</v>
      </c>
      <c r="H97" s="94">
        <v>1.4581560261637634</v>
      </c>
    </row>
    <row r="98" spans="1:8">
      <c r="A98" s="59" t="s">
        <v>8</v>
      </c>
      <c r="B98" s="199">
        <f t="shared" si="7"/>
        <v>5.5041666666666673</v>
      </c>
      <c r="C98" s="156">
        <f t="shared" si="14"/>
        <v>5.5041666666666673</v>
      </c>
      <c r="F98" s="94">
        <f t="shared" si="13"/>
        <v>5.5041666666666673</v>
      </c>
      <c r="G98" t="s">
        <v>331</v>
      </c>
      <c r="H98" s="94">
        <v>3.8786626207714643</v>
      </c>
    </row>
    <row r="99" spans="1:8">
      <c r="A99" s="59" t="s">
        <v>225</v>
      </c>
      <c r="B99" s="199">
        <v>1.5</v>
      </c>
      <c r="C99" s="60">
        <v>1.5</v>
      </c>
      <c r="F99" s="94">
        <f t="shared" si="13"/>
        <v>117.92139440236093</v>
      </c>
      <c r="G99" t="s">
        <v>327</v>
      </c>
      <c r="H99" s="94">
        <v>9.6587211688684924</v>
      </c>
    </row>
    <row r="100" spans="1:8">
      <c r="A100" s="59" t="s">
        <v>18</v>
      </c>
      <c r="B100" s="199">
        <f t="shared" si="7"/>
        <v>117.92139440236093</v>
      </c>
      <c r="C100" s="156">
        <f t="shared" ref="C100:C105" si="15">F99</f>
        <v>117.92139440236093</v>
      </c>
      <c r="F100" s="94">
        <f t="shared" si="13"/>
        <v>14.717223206900039</v>
      </c>
      <c r="G100" t="s">
        <v>491</v>
      </c>
      <c r="H100" s="94">
        <v>729.21780080670499</v>
      </c>
    </row>
    <row r="101" spans="1:8">
      <c r="A101" s="59" t="s">
        <v>226</v>
      </c>
      <c r="B101" s="199">
        <f t="shared" si="7"/>
        <v>14.717223206900039</v>
      </c>
      <c r="C101" s="156">
        <f t="shared" si="15"/>
        <v>14.717223206900039</v>
      </c>
      <c r="F101" s="94">
        <f t="shared" si="13"/>
        <v>14.521711633953341</v>
      </c>
      <c r="G101" t="s">
        <v>490</v>
      </c>
      <c r="H101" s="94">
        <v>54205.741387664959</v>
      </c>
    </row>
    <row r="102" spans="1:8">
      <c r="A102" s="59" t="s">
        <v>136</v>
      </c>
      <c r="B102" s="199">
        <f t="shared" si="7"/>
        <v>14.521711633953341</v>
      </c>
      <c r="C102" s="156">
        <f t="shared" si="15"/>
        <v>14.521711633953341</v>
      </c>
      <c r="F102" s="94">
        <f t="shared" si="13"/>
        <v>913.65846570912493</v>
      </c>
      <c r="G102" t="s">
        <v>108</v>
      </c>
      <c r="H102" s="94">
        <v>23.969890430788155</v>
      </c>
    </row>
    <row r="103" spans="1:8">
      <c r="A103" s="59" t="s">
        <v>187</v>
      </c>
      <c r="B103" s="199">
        <f t="shared" si="7"/>
        <v>913.65846570912493</v>
      </c>
      <c r="C103" s="156">
        <f t="shared" si="15"/>
        <v>913.65846570912493</v>
      </c>
      <c r="F103" s="94">
        <f t="shared" si="13"/>
        <v>204.92391786935485</v>
      </c>
      <c r="G103" t="s">
        <v>59</v>
      </c>
      <c r="H103" s="94">
        <v>362.68201824328639</v>
      </c>
    </row>
    <row r="104" spans="1:8">
      <c r="A104" s="59" t="s">
        <v>21</v>
      </c>
      <c r="B104" s="199">
        <f t="shared" si="7"/>
        <v>204.92391786935485</v>
      </c>
      <c r="C104" s="156">
        <f t="shared" si="15"/>
        <v>204.92391786935485</v>
      </c>
      <c r="F104" s="94">
        <f t="shared" si="13"/>
        <v>13.117845416629692</v>
      </c>
      <c r="G104" t="s">
        <v>109</v>
      </c>
      <c r="H104" s="94">
        <v>157.88291277825391</v>
      </c>
    </row>
    <row r="105" spans="1:8">
      <c r="A105" s="59" t="s">
        <v>22</v>
      </c>
      <c r="B105" s="199">
        <f t="shared" si="7"/>
        <v>13.117845416629692</v>
      </c>
      <c r="C105" s="156">
        <f t="shared" si="15"/>
        <v>13.117845416629692</v>
      </c>
      <c r="F105" s="94">
        <f t="shared" ref="F105:F141" si="16">VLOOKUP(A107,$G$2:$H$265,2)</f>
        <v>397.26961608090772</v>
      </c>
      <c r="G105" t="s">
        <v>492</v>
      </c>
      <c r="H105" s="94">
        <v>30473.237070032152</v>
      </c>
    </row>
    <row r="106" spans="1:8">
      <c r="A106" s="59" t="s">
        <v>322</v>
      </c>
      <c r="B106" s="199">
        <f t="shared" si="7"/>
        <v>9.2909384572883038</v>
      </c>
      <c r="C106" s="156"/>
      <c r="F106" s="94">
        <f t="shared" si="16"/>
        <v>434.16661543190901</v>
      </c>
      <c r="G106" t="s">
        <v>110</v>
      </c>
      <c r="H106" s="94">
        <v>25.878475760113137</v>
      </c>
    </row>
    <row r="107" spans="1:8">
      <c r="A107" s="59" t="s">
        <v>188</v>
      </c>
      <c r="B107" s="199">
        <f t="shared" si="7"/>
        <v>397.26961608090772</v>
      </c>
      <c r="C107" s="156">
        <f t="shared" ref="C107:C118" si="17">F105</f>
        <v>397.26961608090772</v>
      </c>
      <c r="F107" s="94">
        <f t="shared" si="16"/>
        <v>79.27672301690508</v>
      </c>
      <c r="G107" t="s">
        <v>493</v>
      </c>
      <c r="H107" s="94">
        <v>32694.494483535196</v>
      </c>
    </row>
    <row r="108" spans="1:8">
      <c r="A108" s="59" t="s">
        <v>23</v>
      </c>
      <c r="B108" s="199">
        <f t="shared" si="7"/>
        <v>434.16661543190901</v>
      </c>
      <c r="C108" s="156">
        <f t="shared" si="17"/>
        <v>434.16661543190901</v>
      </c>
      <c r="F108" s="94">
        <f t="shared" si="16"/>
        <v>314.58821050106275</v>
      </c>
      <c r="G108" t="s">
        <v>495</v>
      </c>
      <c r="H108" s="94">
        <v>993.77798703412282</v>
      </c>
    </row>
    <row r="109" spans="1:8">
      <c r="A109" s="59" t="s">
        <v>24</v>
      </c>
      <c r="B109" s="199">
        <f t="shared" si="7"/>
        <v>79.27672301690508</v>
      </c>
      <c r="C109" s="156">
        <f t="shared" si="17"/>
        <v>79.27672301690508</v>
      </c>
      <c r="F109" s="94">
        <f t="shared" si="16"/>
        <v>65.055099999999996</v>
      </c>
      <c r="G109" t="s">
        <v>496</v>
      </c>
      <c r="H109" s="94">
        <v>1235.9000684694172</v>
      </c>
    </row>
    <row r="110" spans="1:8">
      <c r="A110" s="59" t="s">
        <v>25</v>
      </c>
      <c r="B110" s="199">
        <f t="shared" si="7"/>
        <v>314.58821050106275</v>
      </c>
      <c r="C110" s="156">
        <f t="shared" si="17"/>
        <v>314.58821050106275</v>
      </c>
      <c r="F110" s="94">
        <f t="shared" si="16"/>
        <v>23.497607690117839</v>
      </c>
      <c r="G110" t="s">
        <v>494</v>
      </c>
      <c r="H110" s="94">
        <v>2229.559648296879</v>
      </c>
    </row>
    <row r="111" spans="1:8">
      <c r="A111" s="59" t="s">
        <v>26</v>
      </c>
      <c r="B111" s="199">
        <f t="shared" si="7"/>
        <v>65.055099999999996</v>
      </c>
      <c r="C111" s="156">
        <f t="shared" si="17"/>
        <v>65.055099999999996</v>
      </c>
      <c r="F111" s="94">
        <f t="shared" si="16"/>
        <v>40.496953779070957</v>
      </c>
      <c r="G111" t="s">
        <v>111</v>
      </c>
      <c r="H111" s="94">
        <v>2718.7322312575707</v>
      </c>
    </row>
    <row r="112" spans="1:8">
      <c r="A112" s="59" t="s">
        <v>9</v>
      </c>
      <c r="B112" s="199">
        <f t="shared" si="7"/>
        <v>23.497607690117839</v>
      </c>
      <c r="C112" s="156">
        <f t="shared" si="17"/>
        <v>23.497607690117839</v>
      </c>
      <c r="F112" s="94">
        <f t="shared" si="16"/>
        <v>222.04497048621676</v>
      </c>
      <c r="G112" t="s">
        <v>112</v>
      </c>
      <c r="H112" s="94">
        <v>1042.1733006255529</v>
      </c>
    </row>
    <row r="113" spans="1:8">
      <c r="A113" s="59" t="s">
        <v>27</v>
      </c>
      <c r="B113" s="199">
        <f t="shared" si="7"/>
        <v>40.496953779070957</v>
      </c>
      <c r="C113" s="156">
        <f t="shared" si="17"/>
        <v>40.496953779070957</v>
      </c>
      <c r="F113" s="94">
        <f t="shared" si="16"/>
        <v>330.91034361095603</v>
      </c>
      <c r="G113" t="s">
        <v>404</v>
      </c>
      <c r="H113" s="94">
        <v>454.01276872358886</v>
      </c>
    </row>
    <row r="114" spans="1:8">
      <c r="A114" s="59" t="s">
        <v>28</v>
      </c>
      <c r="B114" s="199">
        <f t="shared" si="7"/>
        <v>222.04497048621676</v>
      </c>
      <c r="C114" s="156">
        <f t="shared" si="17"/>
        <v>222.04497048621676</v>
      </c>
      <c r="F114" s="94">
        <f t="shared" si="16"/>
        <v>585.66381482404404</v>
      </c>
      <c r="G114" t="s">
        <v>332</v>
      </c>
      <c r="H114" s="94">
        <v>224.22801047788917</v>
      </c>
    </row>
    <row r="115" spans="1:8">
      <c r="A115" s="59" t="s">
        <v>29</v>
      </c>
      <c r="B115" s="199">
        <f t="shared" si="7"/>
        <v>330.91034361095603</v>
      </c>
      <c r="C115" s="156">
        <f t="shared" si="17"/>
        <v>330.91034361095603</v>
      </c>
      <c r="F115" s="94">
        <f t="shared" si="16"/>
        <v>240.67452446424036</v>
      </c>
      <c r="G115" t="s">
        <v>183</v>
      </c>
      <c r="H115" s="94">
        <v>382.48749053247872</v>
      </c>
    </row>
    <row r="116" spans="1:8">
      <c r="A116" s="59" t="s">
        <v>30</v>
      </c>
      <c r="B116" s="199">
        <f t="shared" si="7"/>
        <v>585.66381482404404</v>
      </c>
      <c r="C116" s="156">
        <f t="shared" si="17"/>
        <v>585.66381482404404</v>
      </c>
      <c r="F116" s="94">
        <f t="shared" si="16"/>
        <v>191.3620879120879</v>
      </c>
      <c r="G116" t="s">
        <v>113</v>
      </c>
      <c r="H116" s="94">
        <v>6.7705328185328169</v>
      </c>
    </row>
    <row r="117" spans="1:8">
      <c r="A117" s="59" t="s">
        <v>189</v>
      </c>
      <c r="B117" s="199">
        <f t="shared" si="7"/>
        <v>240.67452446424036</v>
      </c>
      <c r="C117" s="156">
        <f t="shared" si="17"/>
        <v>240.67452446424036</v>
      </c>
      <c r="F117" s="94">
        <f t="shared" si="16"/>
        <v>191.3620879120879</v>
      </c>
      <c r="G117" t="s">
        <v>114</v>
      </c>
      <c r="H117" s="94">
        <v>370.58797715358321</v>
      </c>
    </row>
    <row r="118" spans="1:8">
      <c r="A118" s="59" t="s">
        <v>74</v>
      </c>
      <c r="B118" s="199">
        <f t="shared" si="7"/>
        <v>191.3620879120879</v>
      </c>
      <c r="C118" s="156">
        <f t="shared" si="17"/>
        <v>191.3620879120879</v>
      </c>
      <c r="F118" s="94">
        <f t="shared" si="16"/>
        <v>239.55251674446922</v>
      </c>
      <c r="G118" t="s">
        <v>145</v>
      </c>
      <c r="H118" s="94">
        <v>2083.8642596226487</v>
      </c>
    </row>
    <row r="119" spans="1:8">
      <c r="A119" s="59" t="s">
        <v>292</v>
      </c>
      <c r="B119" s="199">
        <v>5.2</v>
      </c>
      <c r="C119" s="60">
        <v>5.2</v>
      </c>
      <c r="F119" s="94">
        <f t="shared" si="16"/>
        <v>1657.5546471498735</v>
      </c>
      <c r="G119" t="s">
        <v>115</v>
      </c>
      <c r="H119" s="94">
        <v>15.713908816146317</v>
      </c>
    </row>
    <row r="120" spans="1:8">
      <c r="A120" s="59" t="s">
        <v>0</v>
      </c>
      <c r="B120" s="199">
        <f t="shared" si="7"/>
        <v>239.55251674446922</v>
      </c>
      <c r="C120" s="156">
        <f t="shared" ref="C120:C125" si="18">F118</f>
        <v>239.55251674446922</v>
      </c>
      <c r="F120" s="94">
        <f t="shared" si="16"/>
        <v>9.5087155964368009</v>
      </c>
      <c r="G120" t="s">
        <v>116</v>
      </c>
      <c r="H120" s="94">
        <v>4971.3230797718697</v>
      </c>
    </row>
    <row r="121" spans="1:8">
      <c r="A121" s="59" t="s">
        <v>1</v>
      </c>
      <c r="B121" s="199">
        <f t="shared" si="7"/>
        <v>1657.5546471498735</v>
      </c>
      <c r="C121" s="156">
        <f t="shared" si="18"/>
        <v>1657.5546471498735</v>
      </c>
      <c r="F121" s="94">
        <f t="shared" si="16"/>
        <v>786.52183157195725</v>
      </c>
      <c r="G121" t="s">
        <v>117</v>
      </c>
      <c r="H121" s="94">
        <v>42.23129577464789</v>
      </c>
    </row>
    <row r="122" spans="1:8">
      <c r="A122" s="59" t="s">
        <v>227</v>
      </c>
      <c r="B122" s="199">
        <f t="shared" si="7"/>
        <v>9.5087155964368009</v>
      </c>
      <c r="C122" s="156">
        <f t="shared" si="18"/>
        <v>9.5087155964368009</v>
      </c>
      <c r="F122" s="94">
        <f t="shared" si="16"/>
        <v>24.129599551786896</v>
      </c>
      <c r="G122" t="s">
        <v>118</v>
      </c>
      <c r="H122" s="94">
        <v>179.33999485938446</v>
      </c>
    </row>
    <row r="123" spans="1:8">
      <c r="A123" s="59" t="s">
        <v>2</v>
      </c>
      <c r="B123" s="199">
        <f t="shared" si="7"/>
        <v>786.52183157195725</v>
      </c>
      <c r="C123" s="156">
        <f t="shared" si="18"/>
        <v>786.52183157195725</v>
      </c>
      <c r="F123" s="94">
        <f t="shared" si="16"/>
        <v>50.597289146704128</v>
      </c>
      <c r="G123" t="s">
        <v>184</v>
      </c>
      <c r="H123" s="94">
        <v>87.908262519916363</v>
      </c>
    </row>
    <row r="124" spans="1:8">
      <c r="A124" s="59" t="s">
        <v>135</v>
      </c>
      <c r="B124" s="199">
        <f t="shared" si="7"/>
        <v>24.129599551786896</v>
      </c>
      <c r="C124" s="156">
        <f t="shared" si="18"/>
        <v>24.129599551786896</v>
      </c>
      <c r="F124" s="94">
        <f t="shared" si="16"/>
        <v>1.5901804461938398</v>
      </c>
      <c r="G124" t="s">
        <v>445</v>
      </c>
      <c r="H124" s="94">
        <v>0.18828451882845187</v>
      </c>
    </row>
    <row r="125" spans="1:8">
      <c r="A125" s="59" t="s">
        <v>147</v>
      </c>
      <c r="B125" s="199">
        <f t="shared" si="7"/>
        <v>50.597289146704128</v>
      </c>
      <c r="C125" s="156">
        <f t="shared" si="18"/>
        <v>50.597289146704128</v>
      </c>
      <c r="F125" s="94">
        <f t="shared" si="16"/>
        <v>364.15665776986953</v>
      </c>
      <c r="G125" t="s">
        <v>514</v>
      </c>
      <c r="H125" s="94">
        <v>0</v>
      </c>
    </row>
    <row r="126" spans="1:8">
      <c r="A126" s="59" t="s">
        <v>286</v>
      </c>
      <c r="B126" s="199">
        <v>5</v>
      </c>
      <c r="C126" s="61">
        <v>5</v>
      </c>
      <c r="F126" s="94">
        <f t="shared" si="16"/>
        <v>105.90463215575471</v>
      </c>
      <c r="G126" t="s">
        <v>403</v>
      </c>
      <c r="H126" s="94">
        <v>1619.4237011696343</v>
      </c>
    </row>
    <row r="127" spans="1:8">
      <c r="A127" s="59" t="s">
        <v>3</v>
      </c>
      <c r="B127" s="199">
        <f t="shared" si="7"/>
        <v>364.15665776986953</v>
      </c>
      <c r="C127" s="156">
        <f t="shared" ref="C127:C133" si="19">F125</f>
        <v>364.15665776986953</v>
      </c>
      <c r="F127" s="94">
        <f t="shared" si="16"/>
        <v>54.007972106462852</v>
      </c>
      <c r="G127" t="s">
        <v>416</v>
      </c>
      <c r="H127" s="94">
        <v>7.9389907932011337</v>
      </c>
    </row>
    <row r="128" spans="1:8">
      <c r="A128" s="59" t="s">
        <v>61</v>
      </c>
      <c r="B128" s="199">
        <f t="shared" si="7"/>
        <v>105.90463215575471</v>
      </c>
      <c r="C128" s="156">
        <f t="shared" si="19"/>
        <v>105.90463215575471</v>
      </c>
      <c r="F128" s="94">
        <f t="shared" si="16"/>
        <v>1.395608472013254</v>
      </c>
      <c r="G128" t="s">
        <v>120</v>
      </c>
      <c r="H128" s="94">
        <v>140.64536423841062</v>
      </c>
    </row>
    <row r="129" spans="1:8">
      <c r="A129" s="203" t="s">
        <v>190</v>
      </c>
      <c r="B129" s="199">
        <f t="shared" si="7"/>
        <v>54.007972106462852</v>
      </c>
      <c r="C129" s="156">
        <f t="shared" si="19"/>
        <v>54.007972106462852</v>
      </c>
      <c r="F129" s="94">
        <f t="shared" si="16"/>
        <v>368.28893976832228</v>
      </c>
      <c r="G129" t="s">
        <v>354</v>
      </c>
      <c r="H129" s="94">
        <v>8.0928366087887476</v>
      </c>
    </row>
    <row r="130" spans="1:8">
      <c r="A130" s="152" t="s">
        <v>432</v>
      </c>
      <c r="B130" s="199">
        <f t="shared" si="7"/>
        <v>1.395608472013254</v>
      </c>
      <c r="C130" s="156">
        <f t="shared" si="19"/>
        <v>1.395608472013254</v>
      </c>
      <c r="F130" s="94">
        <f t="shared" si="16"/>
        <v>1419.0419499098234</v>
      </c>
      <c r="G130" t="s">
        <v>344</v>
      </c>
      <c r="H130" s="94">
        <v>17.953786416143096</v>
      </c>
    </row>
    <row r="131" spans="1:8">
      <c r="A131" s="59" t="s">
        <v>76</v>
      </c>
      <c r="B131" s="199">
        <f t="shared" si="7"/>
        <v>368.28893976832228</v>
      </c>
      <c r="C131" s="156">
        <f t="shared" si="19"/>
        <v>368.28893976832228</v>
      </c>
      <c r="F131" s="94">
        <f t="shared" si="16"/>
        <v>88.900770857635052</v>
      </c>
      <c r="G131" t="s">
        <v>503</v>
      </c>
      <c r="H131" s="94">
        <v>22183.244483370687</v>
      </c>
    </row>
    <row r="132" spans="1:8">
      <c r="A132" s="59" t="s">
        <v>138</v>
      </c>
      <c r="B132" s="199">
        <f t="shared" si="7"/>
        <v>1419.0419499098234</v>
      </c>
      <c r="C132" s="156">
        <f t="shared" si="19"/>
        <v>1419.0419499098234</v>
      </c>
      <c r="F132" s="94">
        <f t="shared" si="16"/>
        <v>1.9218482222222222</v>
      </c>
      <c r="G132" t="s">
        <v>307</v>
      </c>
      <c r="H132" s="94">
        <v>5800.5758211799921</v>
      </c>
    </row>
    <row r="133" spans="1:8">
      <c r="A133" s="59" t="s">
        <v>134</v>
      </c>
      <c r="B133" s="199">
        <f t="shared" ref="B133:B158" si="20">VLOOKUP(A133,$G$2:$H$265,2,FALSE)</f>
        <v>88.900770857635052</v>
      </c>
      <c r="C133" s="156">
        <f t="shared" si="19"/>
        <v>88.900770857635052</v>
      </c>
      <c r="F133" s="94">
        <f t="shared" si="16"/>
        <v>0</v>
      </c>
      <c r="G133" t="s">
        <v>498</v>
      </c>
      <c r="H133" s="94">
        <v>5204.6446644828065</v>
      </c>
    </row>
    <row r="134" spans="1:8">
      <c r="A134" s="59" t="s">
        <v>191</v>
      </c>
      <c r="B134" s="199">
        <v>1.5</v>
      </c>
      <c r="C134" s="60">
        <v>1.5</v>
      </c>
      <c r="F134" s="94">
        <f t="shared" si="16"/>
        <v>3.590753768844221</v>
      </c>
      <c r="G134" t="s">
        <v>527</v>
      </c>
      <c r="H134" s="94">
        <v>5559.7579324315993</v>
      </c>
    </row>
    <row r="135" spans="1:8">
      <c r="A135" s="59" t="s">
        <v>10</v>
      </c>
      <c r="B135" s="199">
        <v>0.92</v>
      </c>
      <c r="C135" s="120">
        <v>0.77</v>
      </c>
      <c r="F135" s="94">
        <f t="shared" si="16"/>
        <v>3.590753768844221</v>
      </c>
      <c r="G135" t="s">
        <v>121</v>
      </c>
      <c r="H135" s="94">
        <v>34.409229177910504</v>
      </c>
    </row>
    <row r="136" spans="1:8">
      <c r="A136" s="59" t="s">
        <v>33</v>
      </c>
      <c r="B136" s="199">
        <f t="shared" si="20"/>
        <v>3.590753768844221</v>
      </c>
      <c r="C136" s="156">
        <f t="shared" ref="C136" si="21">F134</f>
        <v>3.590753768844221</v>
      </c>
      <c r="F136" s="94">
        <f t="shared" si="16"/>
        <v>556.08648893655879</v>
      </c>
      <c r="G136" t="s">
        <v>499</v>
      </c>
      <c r="H136" s="94">
        <v>1064.7289692497147</v>
      </c>
    </row>
    <row r="137" spans="1:8">
      <c r="A137" s="59" t="s">
        <v>418</v>
      </c>
      <c r="B137" s="199">
        <v>4.71</v>
      </c>
      <c r="C137" s="44">
        <v>3.72</v>
      </c>
      <c r="F137" s="94">
        <f t="shared" si="16"/>
        <v>705.14035416631191</v>
      </c>
      <c r="G137" t="s">
        <v>122</v>
      </c>
      <c r="H137" s="94">
        <v>56.639155555555547</v>
      </c>
    </row>
    <row r="138" spans="1:8">
      <c r="A138" s="59" t="s">
        <v>34</v>
      </c>
      <c r="B138" s="199">
        <f t="shared" si="20"/>
        <v>556.08648893655879</v>
      </c>
      <c r="C138" s="156">
        <f t="shared" ref="C138:C143" si="22">F136</f>
        <v>556.08648893655879</v>
      </c>
      <c r="F138" s="94">
        <f t="shared" si="16"/>
        <v>0</v>
      </c>
      <c r="G138" t="s">
        <v>423</v>
      </c>
      <c r="H138" s="94">
        <v>2.7387862777939209</v>
      </c>
    </row>
    <row r="139" spans="1:8">
      <c r="A139" s="59" t="s">
        <v>35</v>
      </c>
      <c r="B139" s="199">
        <f t="shared" si="20"/>
        <v>705.14035416631191</v>
      </c>
      <c r="C139" s="156">
        <f t="shared" si="22"/>
        <v>705.14035416631191</v>
      </c>
      <c r="F139" s="94">
        <f t="shared" si="16"/>
        <v>7.522947810123263</v>
      </c>
      <c r="G139" t="s">
        <v>319</v>
      </c>
      <c r="H139" s="94">
        <v>3.2640000000000007</v>
      </c>
    </row>
    <row r="140" spans="1:8">
      <c r="A140" s="59" t="s">
        <v>64</v>
      </c>
      <c r="B140" s="202">
        <v>646</v>
      </c>
      <c r="C140" s="141">
        <v>970.9</v>
      </c>
      <c r="F140" s="94">
        <f t="shared" si="16"/>
        <v>58.001200572396456</v>
      </c>
      <c r="G140" t="s">
        <v>323</v>
      </c>
      <c r="H140" s="94">
        <v>48.364208571428577</v>
      </c>
    </row>
    <row r="141" spans="1:8">
      <c r="A141" s="59" t="s">
        <v>415</v>
      </c>
      <c r="B141" s="199">
        <f t="shared" si="20"/>
        <v>7.522947810123263</v>
      </c>
      <c r="C141" s="156">
        <f t="shared" si="22"/>
        <v>7.522947810123263</v>
      </c>
      <c r="F141" s="94">
        <f t="shared" si="16"/>
        <v>504.99275770499713</v>
      </c>
      <c r="G141" t="s">
        <v>223</v>
      </c>
      <c r="H141" s="94">
        <v>6.2146336513091125</v>
      </c>
    </row>
    <row r="142" spans="1:8">
      <c r="A142" s="152" t="s">
        <v>333</v>
      </c>
      <c r="B142" s="199">
        <f t="shared" si="20"/>
        <v>58.001200572396456</v>
      </c>
      <c r="C142" s="156">
        <f t="shared" si="22"/>
        <v>58.001200572396456</v>
      </c>
      <c r="F142" s="94">
        <f t="shared" ref="F142:F151" si="23">VLOOKUP(A145,$G$2:$H$265,2)</f>
        <v>23.808146747799373</v>
      </c>
      <c r="G142" t="s">
        <v>13</v>
      </c>
      <c r="H142" s="94">
        <v>53.429066429125086</v>
      </c>
    </row>
    <row r="143" spans="1:8">
      <c r="A143" s="59" t="s">
        <v>65</v>
      </c>
      <c r="B143" s="199">
        <f t="shared" si="20"/>
        <v>504.99275770499713</v>
      </c>
      <c r="C143" s="156">
        <f t="shared" si="22"/>
        <v>504.99275770499713</v>
      </c>
      <c r="F143" s="94">
        <f t="shared" si="23"/>
        <v>39.871132267936076</v>
      </c>
      <c r="G143" t="s">
        <v>502</v>
      </c>
      <c r="H143" s="94">
        <v>31735.694332002495</v>
      </c>
    </row>
    <row r="144" spans="1:8">
      <c r="A144" s="59" t="s">
        <v>325</v>
      </c>
      <c r="B144" s="199">
        <f t="shared" si="20"/>
        <v>5.3587229827089331</v>
      </c>
      <c r="C144" s="156">
        <v>4.8099999999999996</v>
      </c>
      <c r="F144" s="94">
        <f t="shared" si="23"/>
        <v>771.35033045526677</v>
      </c>
      <c r="G144" t="s">
        <v>500</v>
      </c>
      <c r="H144" s="94">
        <v>588.23048653075102</v>
      </c>
    </row>
    <row r="145" spans="1:8">
      <c r="A145" s="59" t="s">
        <v>11</v>
      </c>
      <c r="B145" s="199">
        <f t="shared" si="20"/>
        <v>23.808146747799373</v>
      </c>
      <c r="C145" s="156">
        <f>F142</f>
        <v>23.808146747799373</v>
      </c>
      <c r="F145" s="94">
        <f t="shared" si="23"/>
        <v>1.02231201</v>
      </c>
      <c r="G145" t="s">
        <v>501</v>
      </c>
      <c r="H145" s="94">
        <v>6702.1529961840706</v>
      </c>
    </row>
    <row r="146" spans="1:8">
      <c r="A146" s="59" t="s">
        <v>77</v>
      </c>
      <c r="B146" s="199">
        <f t="shared" si="20"/>
        <v>39.871132267936076</v>
      </c>
      <c r="C146" s="156">
        <f>F143</f>
        <v>39.871132267936076</v>
      </c>
      <c r="F146" s="94">
        <f t="shared" si="23"/>
        <v>27.461440192354868</v>
      </c>
      <c r="G146" t="s">
        <v>185</v>
      </c>
      <c r="H146" s="94">
        <v>70.885325883094083</v>
      </c>
    </row>
    <row r="147" spans="1:8">
      <c r="A147" s="59" t="s">
        <v>66</v>
      </c>
      <c r="B147" s="199">
        <f t="shared" si="20"/>
        <v>771.35033045526677</v>
      </c>
      <c r="C147" s="156">
        <f>F144</f>
        <v>771.35033045526677</v>
      </c>
      <c r="F147" s="94">
        <f t="shared" si="23"/>
        <v>130.83237440488224</v>
      </c>
      <c r="G147" t="s">
        <v>32</v>
      </c>
      <c r="H147" s="94">
        <v>55.084050789718177</v>
      </c>
    </row>
    <row r="148" spans="1:8">
      <c r="A148" s="59" t="s">
        <v>293</v>
      </c>
      <c r="B148" s="199">
        <f t="shared" si="20"/>
        <v>1.02231201</v>
      </c>
      <c r="C148" s="61">
        <v>1.5</v>
      </c>
      <c r="F148" s="94">
        <f t="shared" si="23"/>
        <v>414.1789425924793</v>
      </c>
      <c r="G148" t="s">
        <v>337</v>
      </c>
      <c r="H148" s="94">
        <v>13.853432868227037</v>
      </c>
    </row>
    <row r="149" spans="1:8">
      <c r="A149" s="59" t="s">
        <v>228</v>
      </c>
      <c r="B149" s="199">
        <f t="shared" si="20"/>
        <v>27.461440192354868</v>
      </c>
      <c r="C149" s="156">
        <f t="shared" ref="C149:C154" si="24">F146</f>
        <v>27.461440192354868</v>
      </c>
      <c r="F149" s="94">
        <f t="shared" si="23"/>
        <v>2855.2967315219639</v>
      </c>
      <c r="G149" t="s">
        <v>328</v>
      </c>
      <c r="H149" s="94">
        <v>7.0649711763440788</v>
      </c>
    </row>
    <row r="150" spans="1:8">
      <c r="A150" s="59" t="s">
        <v>68</v>
      </c>
      <c r="B150" s="199">
        <f t="shared" si="20"/>
        <v>130.83237440488224</v>
      </c>
      <c r="C150" s="156">
        <f t="shared" si="24"/>
        <v>130.83237440488224</v>
      </c>
      <c r="F150" s="94">
        <f t="shared" si="23"/>
        <v>20544.343456936502</v>
      </c>
      <c r="G150" t="s">
        <v>14</v>
      </c>
      <c r="H150" s="94">
        <v>358.58194344625912</v>
      </c>
    </row>
    <row r="151" spans="1:8">
      <c r="A151" s="59" t="s">
        <v>60</v>
      </c>
      <c r="B151" s="199">
        <f t="shared" si="20"/>
        <v>414.1789425924793</v>
      </c>
      <c r="C151" s="156">
        <f t="shared" si="24"/>
        <v>414.1789425924793</v>
      </c>
      <c r="F151" s="94">
        <f t="shared" si="23"/>
        <v>59.596885024348659</v>
      </c>
      <c r="G151" t="s">
        <v>419</v>
      </c>
      <c r="H151" s="94">
        <v>5.3274571497258103</v>
      </c>
    </row>
    <row r="152" spans="1:8">
      <c r="A152" s="59" t="s">
        <v>57</v>
      </c>
      <c r="B152" s="199">
        <f t="shared" si="20"/>
        <v>2855.2967315219639</v>
      </c>
      <c r="C152" s="156">
        <f t="shared" si="24"/>
        <v>2855.2967315219639</v>
      </c>
      <c r="F152" s="94">
        <f>VLOOKUP(A156,$G$2:$H$265,2)</f>
        <v>0.91430111928749014</v>
      </c>
      <c r="G152" t="s">
        <v>326</v>
      </c>
      <c r="H152" s="94">
        <v>17.163432832095715</v>
      </c>
    </row>
    <row r="153" spans="1:8">
      <c r="A153" s="59" t="s">
        <v>12</v>
      </c>
      <c r="B153" s="199">
        <f t="shared" si="20"/>
        <v>20544.343456936502</v>
      </c>
      <c r="C153" s="156">
        <f t="shared" si="24"/>
        <v>20544.343456936502</v>
      </c>
      <c r="F153" s="94">
        <f>VLOOKUP(A157,$G$2:$H$265,2)</f>
        <v>245.21368636915673</v>
      </c>
      <c r="G153" t="s">
        <v>186</v>
      </c>
      <c r="H153" s="94">
        <v>14.553422928883089</v>
      </c>
    </row>
    <row r="154" spans="1:8">
      <c r="A154" s="59" t="s">
        <v>69</v>
      </c>
      <c r="B154" s="199">
        <f t="shared" si="20"/>
        <v>59.596885024348659</v>
      </c>
      <c r="C154" s="156">
        <f t="shared" si="24"/>
        <v>59.596885024348659</v>
      </c>
      <c r="F154" s="94">
        <f>VLOOKUP(A158,$G$2:$H$265,2)</f>
        <v>26.720073435901359</v>
      </c>
      <c r="G154" t="s">
        <v>444</v>
      </c>
      <c r="H154" s="94">
        <v>0.221278</v>
      </c>
    </row>
    <row r="155" spans="1:8">
      <c r="A155" s="176" t="s">
        <v>406</v>
      </c>
      <c r="B155" s="199">
        <f t="shared" si="20"/>
        <v>50.499921557510454</v>
      </c>
      <c r="C155" s="156">
        <v>48.72</v>
      </c>
      <c r="G155" t="s">
        <v>417</v>
      </c>
      <c r="H155" s="94">
        <v>5.2348179271708677</v>
      </c>
    </row>
    <row r="156" spans="1:8">
      <c r="A156" s="59" t="s">
        <v>70</v>
      </c>
      <c r="B156" s="202">
        <v>100</v>
      </c>
      <c r="C156" s="61">
        <v>250</v>
      </c>
      <c r="G156" t="s">
        <v>15</v>
      </c>
      <c r="H156" s="94">
        <v>14.220348672733275</v>
      </c>
    </row>
    <row r="157" spans="1:8">
      <c r="A157" s="59" t="s">
        <v>71</v>
      </c>
      <c r="B157" s="199">
        <f t="shared" si="20"/>
        <v>245.21368636915673</v>
      </c>
      <c r="C157" s="156">
        <f>F153</f>
        <v>245.21368636915673</v>
      </c>
      <c r="G157" t="s">
        <v>16</v>
      </c>
      <c r="H157" s="94">
        <v>1220.6994798459802</v>
      </c>
    </row>
    <row r="158" spans="1:8">
      <c r="A158" s="59" t="s">
        <v>192</v>
      </c>
      <c r="B158" s="199">
        <f t="shared" si="20"/>
        <v>26.720073435901359</v>
      </c>
      <c r="C158" s="156">
        <f>F154</f>
        <v>26.720073435901359</v>
      </c>
      <c r="G158" t="s">
        <v>442</v>
      </c>
      <c r="H158" s="94">
        <v>0.40193227901922102</v>
      </c>
    </row>
    <row r="159" spans="1:8">
      <c r="G159" t="s">
        <v>506</v>
      </c>
      <c r="H159" s="94">
        <v>3610.5385477160958</v>
      </c>
    </row>
    <row r="160" spans="1:8">
      <c r="G160" t="s">
        <v>508</v>
      </c>
      <c r="H160" s="94">
        <v>1439.6203115525748</v>
      </c>
    </row>
    <row r="161" spans="7:8">
      <c r="G161" t="s">
        <v>528</v>
      </c>
      <c r="H161" s="94">
        <v>0</v>
      </c>
    </row>
    <row r="162" spans="7:8">
      <c r="G162" t="s">
        <v>507</v>
      </c>
      <c r="H162" s="94">
        <v>31149.549526392726</v>
      </c>
    </row>
    <row r="163" spans="7:8">
      <c r="G163" t="s">
        <v>17</v>
      </c>
      <c r="H163" s="94">
        <v>11.443671435902417</v>
      </c>
    </row>
    <row r="164" spans="7:8">
      <c r="G164" t="s">
        <v>505</v>
      </c>
      <c r="H164" s="94">
        <v>7.1848441926345616</v>
      </c>
    </row>
    <row r="165" spans="7:8">
      <c r="G165" t="s">
        <v>63</v>
      </c>
      <c r="H165" s="94">
        <v>13.066749138326108</v>
      </c>
    </row>
    <row r="166" spans="7:8">
      <c r="G166" t="s">
        <v>8</v>
      </c>
      <c r="H166" s="94">
        <v>5.5041666666666673</v>
      </c>
    </row>
    <row r="167" spans="7:8">
      <c r="G167" t="s">
        <v>18</v>
      </c>
      <c r="H167" s="94">
        <v>117.92139440236093</v>
      </c>
    </row>
    <row r="168" spans="7:8">
      <c r="G168" t="s">
        <v>226</v>
      </c>
      <c r="H168" s="94">
        <v>14.717223206900039</v>
      </c>
    </row>
    <row r="169" spans="7:8">
      <c r="G169" t="s">
        <v>336</v>
      </c>
      <c r="H169" s="94">
        <v>71.214803377828375</v>
      </c>
    </row>
    <row r="170" spans="7:8">
      <c r="G170" t="s">
        <v>136</v>
      </c>
      <c r="H170" s="94">
        <v>14.521711633953341</v>
      </c>
    </row>
    <row r="171" spans="7:8">
      <c r="G171" t="s">
        <v>446</v>
      </c>
      <c r="H171" s="94">
        <v>0.12562850425031627</v>
      </c>
    </row>
    <row r="172" spans="7:8">
      <c r="G172" t="s">
        <v>408</v>
      </c>
      <c r="H172" s="94">
        <v>29.040398982346581</v>
      </c>
    </row>
    <row r="173" spans="7:8">
      <c r="G173" t="s">
        <v>187</v>
      </c>
      <c r="H173" s="94">
        <v>913.65846570912493</v>
      </c>
    </row>
    <row r="174" spans="7:8">
      <c r="G174" t="s">
        <v>510</v>
      </c>
      <c r="H174" s="94">
        <v>0</v>
      </c>
    </row>
    <row r="175" spans="7:8">
      <c r="G175" t="s">
        <v>21</v>
      </c>
      <c r="H175" s="94">
        <v>204.92391786935485</v>
      </c>
    </row>
    <row r="176" spans="7:8">
      <c r="G176" t="s">
        <v>22</v>
      </c>
      <c r="H176" s="94">
        <v>13.117845416629692</v>
      </c>
    </row>
    <row r="177" spans="7:8">
      <c r="G177" t="s">
        <v>322</v>
      </c>
      <c r="H177" s="94">
        <v>9.2909384572883038</v>
      </c>
    </row>
    <row r="178" spans="7:8">
      <c r="G178" t="s">
        <v>188</v>
      </c>
      <c r="H178" s="94">
        <v>397.26961608090772</v>
      </c>
    </row>
    <row r="179" spans="7:8">
      <c r="G179" t="s">
        <v>130</v>
      </c>
      <c r="H179" s="94">
        <v>22264.345319868808</v>
      </c>
    </row>
    <row r="180" spans="7:8">
      <c r="G180" t="s">
        <v>565</v>
      </c>
      <c r="H180" s="94">
        <v>12.672131053157822</v>
      </c>
    </row>
    <row r="181" spans="7:8">
      <c r="G181" t="s">
        <v>509</v>
      </c>
      <c r="H181" s="94">
        <v>1.323</v>
      </c>
    </row>
    <row r="182" spans="7:8">
      <c r="G182" t="s">
        <v>23</v>
      </c>
      <c r="H182" s="94">
        <v>434.16661543190901</v>
      </c>
    </row>
    <row r="183" spans="7:8">
      <c r="G183" t="s">
        <v>497</v>
      </c>
      <c r="H183" s="94">
        <v>0</v>
      </c>
    </row>
    <row r="184" spans="7:8">
      <c r="G184" t="s">
        <v>511</v>
      </c>
      <c r="H184" s="94">
        <v>52676.218073059477</v>
      </c>
    </row>
    <row r="185" spans="7:8">
      <c r="G185" t="s">
        <v>24</v>
      </c>
      <c r="H185" s="94">
        <v>79.27672301690508</v>
      </c>
    </row>
    <row r="186" spans="7:8">
      <c r="G186" t="s">
        <v>512</v>
      </c>
      <c r="H186" s="94">
        <v>452.39420273674057</v>
      </c>
    </row>
    <row r="187" spans="7:8">
      <c r="G187" t="s">
        <v>515</v>
      </c>
      <c r="H187" s="94">
        <v>10.381220342926667</v>
      </c>
    </row>
    <row r="188" spans="7:8">
      <c r="G188" t="s">
        <v>25</v>
      </c>
      <c r="H188" s="94">
        <v>314.58821050106275</v>
      </c>
    </row>
    <row r="189" spans="7:8">
      <c r="G189" t="s">
        <v>443</v>
      </c>
      <c r="H189" s="94">
        <v>0.28399489999999999</v>
      </c>
    </row>
    <row r="190" spans="7:8">
      <c r="G190" t="s">
        <v>26</v>
      </c>
      <c r="H190" s="94">
        <v>65.055099999999996</v>
      </c>
    </row>
    <row r="191" spans="7:8">
      <c r="G191" t="s">
        <v>9</v>
      </c>
      <c r="H191" s="94">
        <v>23.497607690117839</v>
      </c>
    </row>
    <row r="192" spans="7:8">
      <c r="G192" t="s">
        <v>27</v>
      </c>
      <c r="H192" s="94">
        <v>40.496953779070957</v>
      </c>
    </row>
    <row r="193" spans="7:8">
      <c r="G193" t="s">
        <v>28</v>
      </c>
      <c r="H193" s="94">
        <v>222.04497048621676</v>
      </c>
    </row>
    <row r="194" spans="7:8">
      <c r="G194" t="s">
        <v>29</v>
      </c>
      <c r="H194" s="94">
        <v>330.91034361095603</v>
      </c>
    </row>
    <row r="195" spans="7:8">
      <c r="G195" t="s">
        <v>30</v>
      </c>
      <c r="H195" s="94">
        <v>585.66381482404404</v>
      </c>
    </row>
    <row r="196" spans="7:8">
      <c r="G196" t="s">
        <v>189</v>
      </c>
      <c r="H196" s="94">
        <v>240.67452446424036</v>
      </c>
    </row>
    <row r="197" spans="7:8">
      <c r="G197" t="s">
        <v>516</v>
      </c>
      <c r="H197" s="94">
        <v>50090.289474246645</v>
      </c>
    </row>
    <row r="198" spans="7:8">
      <c r="G198" t="s">
        <v>513</v>
      </c>
      <c r="H198" s="94">
        <v>1321.5665808824049</v>
      </c>
    </row>
    <row r="199" spans="7:8">
      <c r="G199" t="s">
        <v>405</v>
      </c>
      <c r="H199" s="94">
        <v>101.1309</v>
      </c>
    </row>
    <row r="200" spans="7:8">
      <c r="G200" t="s">
        <v>74</v>
      </c>
      <c r="H200" s="94">
        <v>191.3620879120879</v>
      </c>
    </row>
    <row r="201" spans="7:8">
      <c r="G201" t="s">
        <v>0</v>
      </c>
      <c r="H201" s="94">
        <v>239.55251674446922</v>
      </c>
    </row>
    <row r="202" spans="7:8">
      <c r="G202" t="s">
        <v>1</v>
      </c>
      <c r="H202" s="94">
        <v>1657.5546471498735</v>
      </c>
    </row>
    <row r="203" spans="7:8">
      <c r="G203" t="s">
        <v>227</v>
      </c>
      <c r="H203" s="94">
        <v>9.5087155964368009</v>
      </c>
    </row>
    <row r="204" spans="7:8">
      <c r="G204" t="s">
        <v>436</v>
      </c>
      <c r="H204" s="94">
        <v>0.82049179830075991</v>
      </c>
    </row>
    <row r="205" spans="7:8">
      <c r="G205" t="s">
        <v>519</v>
      </c>
      <c r="H205" s="94">
        <v>1.6328600405679514</v>
      </c>
    </row>
    <row r="206" spans="7:8">
      <c r="G206" t="s">
        <v>523</v>
      </c>
      <c r="H206" s="94">
        <v>0.4222967623224686</v>
      </c>
    </row>
    <row r="207" spans="7:8">
      <c r="G207" t="s">
        <v>2</v>
      </c>
      <c r="H207" s="94">
        <v>786.52183157195725</v>
      </c>
    </row>
    <row r="208" spans="7:8">
      <c r="G208" t="s">
        <v>135</v>
      </c>
      <c r="H208" s="94">
        <v>24.129599551786896</v>
      </c>
    </row>
    <row r="209" spans="7:8">
      <c r="G209" t="s">
        <v>147</v>
      </c>
      <c r="H209" s="94">
        <v>50.597289146704128</v>
      </c>
    </row>
    <row r="210" spans="7:8">
      <c r="G210" t="s">
        <v>429</v>
      </c>
      <c r="H210" s="94">
        <v>1.5901804461938398</v>
      </c>
    </row>
    <row r="211" spans="7:8">
      <c r="G211" t="s">
        <v>330</v>
      </c>
      <c r="H211" s="94">
        <v>4.0851147942232355</v>
      </c>
    </row>
    <row r="212" spans="7:8">
      <c r="G212" t="s">
        <v>3</v>
      </c>
      <c r="H212" s="94">
        <v>364.15665776986953</v>
      </c>
    </row>
    <row r="213" spans="7:8">
      <c r="G213" t="s">
        <v>456</v>
      </c>
      <c r="H213" s="94">
        <v>0</v>
      </c>
    </row>
    <row r="214" spans="7:8">
      <c r="G214" t="s">
        <v>61</v>
      </c>
      <c r="H214" s="94">
        <v>105.90463215575471</v>
      </c>
    </row>
    <row r="215" spans="7:8">
      <c r="G215" t="s">
        <v>190</v>
      </c>
      <c r="H215" s="94">
        <v>54.007972106462852</v>
      </c>
    </row>
    <row r="216" spans="7:8">
      <c r="G216" t="s">
        <v>522</v>
      </c>
      <c r="H216" s="94">
        <v>536.23497797902041</v>
      </c>
    </row>
    <row r="217" spans="7:8">
      <c r="G217" t="s">
        <v>432</v>
      </c>
      <c r="H217" s="94">
        <v>1.395608472013254</v>
      </c>
    </row>
    <row r="218" spans="7:8">
      <c r="G218" t="s">
        <v>316</v>
      </c>
      <c r="H218" s="94">
        <v>4.7207272781883276</v>
      </c>
    </row>
    <row r="219" spans="7:8">
      <c r="G219" t="s">
        <v>76</v>
      </c>
      <c r="H219" s="94">
        <v>368.28893976832228</v>
      </c>
    </row>
    <row r="220" spans="7:8">
      <c r="G220" t="s">
        <v>518</v>
      </c>
      <c r="H220" s="94">
        <v>3452.511962459379</v>
      </c>
    </row>
    <row r="221" spans="7:8">
      <c r="G221" t="s">
        <v>529</v>
      </c>
      <c r="H221" s="94">
        <v>3452.511962459379</v>
      </c>
    </row>
    <row r="222" spans="7:8">
      <c r="G222" t="s">
        <v>414</v>
      </c>
      <c r="H222" s="94">
        <v>11.997800751061265</v>
      </c>
    </row>
    <row r="223" spans="7:8">
      <c r="G223" t="s">
        <v>138</v>
      </c>
      <c r="H223" s="94">
        <v>1419.0419499098234</v>
      </c>
    </row>
    <row r="224" spans="7:8">
      <c r="G224" t="s">
        <v>134</v>
      </c>
      <c r="H224" s="94">
        <v>88.900770857635052</v>
      </c>
    </row>
    <row r="225" spans="7:8">
      <c r="G225" t="s">
        <v>435</v>
      </c>
      <c r="H225" s="94">
        <v>1.0108222222222223</v>
      </c>
    </row>
    <row r="226" spans="7:8">
      <c r="G226" t="s">
        <v>430</v>
      </c>
      <c r="H226" s="94">
        <v>1.9218482222222222</v>
      </c>
    </row>
    <row r="227" spans="7:8">
      <c r="G227" t="s">
        <v>504</v>
      </c>
      <c r="H227" s="94">
        <v>0</v>
      </c>
    </row>
    <row r="228" spans="7:8">
      <c r="G228" t="s">
        <v>438</v>
      </c>
      <c r="H228" s="94">
        <v>0.81130000000000002</v>
      </c>
    </row>
    <row r="229" spans="7:8">
      <c r="G229" t="s">
        <v>521</v>
      </c>
      <c r="H229" s="94">
        <v>1709.9484462253167</v>
      </c>
    </row>
    <row r="230" spans="7:8">
      <c r="G230" t="s">
        <v>520</v>
      </c>
      <c r="H230" s="94">
        <v>1708.3567645481469</v>
      </c>
    </row>
    <row r="231" spans="7:8">
      <c r="G231" t="s">
        <v>530</v>
      </c>
      <c r="H231" s="94">
        <v>1709.9484462253167</v>
      </c>
    </row>
    <row r="232" spans="7:8">
      <c r="G232" t="s">
        <v>320</v>
      </c>
      <c r="H232" s="94">
        <v>40.851536133764171</v>
      </c>
    </row>
    <row r="233" spans="7:8">
      <c r="G233" t="s">
        <v>33</v>
      </c>
      <c r="H233" s="94">
        <v>3.590753768844221</v>
      </c>
    </row>
    <row r="234" spans="7:8">
      <c r="G234" t="s">
        <v>34</v>
      </c>
      <c r="H234" s="94">
        <v>556.08648893655879</v>
      </c>
    </row>
    <row r="235" spans="7:8">
      <c r="G235" t="s">
        <v>35</v>
      </c>
      <c r="H235" s="94">
        <v>705.14035416631191</v>
      </c>
    </row>
    <row r="236" spans="7:8">
      <c r="G236" t="s">
        <v>524</v>
      </c>
      <c r="H236" s="94">
        <v>0</v>
      </c>
    </row>
    <row r="237" spans="7:8">
      <c r="G237" t="s">
        <v>415</v>
      </c>
      <c r="H237" s="94">
        <v>7.522947810123263</v>
      </c>
    </row>
    <row r="238" spans="7:8">
      <c r="G238" t="s">
        <v>333</v>
      </c>
      <c r="H238" s="94">
        <v>58.001200572396456</v>
      </c>
    </row>
    <row r="239" spans="7:8">
      <c r="G239" t="s">
        <v>65</v>
      </c>
      <c r="H239" s="94">
        <v>504.99275770499713</v>
      </c>
    </row>
    <row r="240" spans="7:8">
      <c r="G240" t="s">
        <v>428</v>
      </c>
      <c r="H240" s="94">
        <v>2.5810000000000004</v>
      </c>
    </row>
    <row r="241" spans="7:8">
      <c r="G241" t="s">
        <v>325</v>
      </c>
      <c r="H241" s="94">
        <v>5.3587229827089331</v>
      </c>
    </row>
    <row r="242" spans="7:8">
      <c r="G242" t="s">
        <v>441</v>
      </c>
      <c r="H242" s="94">
        <v>0.45035331388458377</v>
      </c>
    </row>
    <row r="243" spans="7:8">
      <c r="G243" t="s">
        <v>11</v>
      </c>
      <c r="H243" s="94">
        <v>23.808146747799373</v>
      </c>
    </row>
    <row r="244" spans="7:8">
      <c r="G244" t="s">
        <v>77</v>
      </c>
      <c r="H244" s="94">
        <v>39.871132267936076</v>
      </c>
    </row>
    <row r="245" spans="7:8">
      <c r="G245" t="s">
        <v>66</v>
      </c>
      <c r="H245" s="94">
        <v>771.35033045526677</v>
      </c>
    </row>
    <row r="246" spans="7:8">
      <c r="G246" t="s">
        <v>67</v>
      </c>
      <c r="H246" s="94">
        <v>40.761142857142858</v>
      </c>
    </row>
    <row r="247" spans="7:8">
      <c r="G247" t="s">
        <v>293</v>
      </c>
      <c r="H247" s="94">
        <v>1.02231201</v>
      </c>
    </row>
    <row r="248" spans="7:8">
      <c r="G248" t="s">
        <v>447</v>
      </c>
      <c r="H248" s="94">
        <v>4.2587778472466219E-2</v>
      </c>
    </row>
    <row r="249" spans="7:8">
      <c r="G249" t="s">
        <v>228</v>
      </c>
      <c r="H249" s="94">
        <v>27.461440192354868</v>
      </c>
    </row>
    <row r="250" spans="7:8">
      <c r="G250" t="s">
        <v>68</v>
      </c>
      <c r="H250" s="94">
        <v>130.83237440488224</v>
      </c>
    </row>
    <row r="251" spans="7:8">
      <c r="G251" t="s">
        <v>60</v>
      </c>
      <c r="H251" s="94">
        <v>414.1789425924793</v>
      </c>
    </row>
    <row r="252" spans="7:8">
      <c r="G252" t="s">
        <v>57</v>
      </c>
      <c r="H252" s="94">
        <v>2855.2967315219639</v>
      </c>
    </row>
    <row r="253" spans="7:8">
      <c r="G253" t="s">
        <v>12</v>
      </c>
      <c r="H253" s="94">
        <v>20544.343456936502</v>
      </c>
    </row>
    <row r="254" spans="7:8">
      <c r="G254" t="s">
        <v>531</v>
      </c>
      <c r="H254" s="94">
        <v>24446.132587811426</v>
      </c>
    </row>
    <row r="255" spans="7:8">
      <c r="G255" t="s">
        <v>69</v>
      </c>
      <c r="H255" s="94">
        <v>59.596885024348659</v>
      </c>
    </row>
    <row r="256" spans="7:8">
      <c r="G256" t="s">
        <v>406</v>
      </c>
      <c r="H256" s="94">
        <v>50.499921557510454</v>
      </c>
    </row>
    <row r="257" spans="7:8">
      <c r="G257" t="s">
        <v>437</v>
      </c>
      <c r="H257" s="94">
        <v>0.91430111928749014</v>
      </c>
    </row>
    <row r="258" spans="7:8">
      <c r="G258" t="s">
        <v>532</v>
      </c>
      <c r="H258" s="94">
        <v>0</v>
      </c>
    </row>
    <row r="259" spans="7:8">
      <c r="G259" t="s">
        <v>71</v>
      </c>
      <c r="H259" s="94">
        <v>245.21368636915673</v>
      </c>
    </row>
    <row r="260" spans="7:8">
      <c r="G260" t="s">
        <v>534</v>
      </c>
      <c r="H260" s="94">
        <v>0</v>
      </c>
    </row>
    <row r="261" spans="7:8">
      <c r="G261" t="s">
        <v>411</v>
      </c>
      <c r="H261" s="94">
        <v>14.6159</v>
      </c>
    </row>
    <row r="262" spans="7:8">
      <c r="G262" t="s">
        <v>535</v>
      </c>
      <c r="H262" s="94">
        <v>85909.815761906299</v>
      </c>
    </row>
    <row r="263" spans="7:8">
      <c r="G263" t="s">
        <v>407</v>
      </c>
      <c r="H263" s="94">
        <v>26.914402223782773</v>
      </c>
    </row>
    <row r="264" spans="7:8">
      <c r="G264" t="s">
        <v>192</v>
      </c>
      <c r="H264" s="94">
        <v>26.720073435901359</v>
      </c>
    </row>
    <row r="265" spans="7:8">
      <c r="G265" t="s">
        <v>321</v>
      </c>
      <c r="H265" s="94">
        <v>31.000519447174998</v>
      </c>
    </row>
  </sheetData>
  <sortState xmlns:xlrd2="http://schemas.microsoft.com/office/spreadsheetml/2017/richdata2" ref="G2:H267">
    <sortCondition ref="G2:G267"/>
  </sortState>
  <hyperlinks>
    <hyperlink ref="E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58"/>
  <sheetViews>
    <sheetView topLeftCell="A113" workbookViewId="0">
      <selection activeCell="M113" sqref="M1:O1048576"/>
    </sheetView>
  </sheetViews>
  <sheetFormatPr baseColWidth="10" defaultRowHeight="12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6" max="7" width="10.83203125" style="31"/>
    <col min="9" max="9" width="20.83203125" bestFit="1" customWidth="1"/>
    <col min="10" max="10" width="19.1640625" bestFit="1" customWidth="1"/>
  </cols>
  <sheetData>
    <row r="1" spans="1:10" ht="48" customHeight="1">
      <c r="A1" s="80" t="s">
        <v>75</v>
      </c>
      <c r="B1" s="81" t="s">
        <v>270</v>
      </c>
      <c r="C1" s="82" t="s">
        <v>294</v>
      </c>
      <c r="E1" s="17" t="s">
        <v>75</v>
      </c>
      <c r="F1" s="170" t="s">
        <v>448</v>
      </c>
      <c r="G1" s="170" t="s">
        <v>449</v>
      </c>
      <c r="I1" s="251" t="s">
        <v>75</v>
      </c>
      <c r="J1" s="251" t="s">
        <v>597</v>
      </c>
    </row>
    <row r="2" spans="1:10" ht="16">
      <c r="A2" s="55" t="s">
        <v>272</v>
      </c>
      <c r="B2" s="83" t="str">
        <f>IF(J2=0,"NA",J2)</f>
        <v>AA</v>
      </c>
      <c r="C2" s="82" t="str">
        <f t="shared" ref="C2" si="0">IF(G2=0,"NA",G2)</f>
        <v>Aa2</v>
      </c>
      <c r="E2" s="183" t="s">
        <v>272</v>
      </c>
      <c r="F2" s="247" t="s">
        <v>45</v>
      </c>
      <c r="G2" s="247" t="s">
        <v>45</v>
      </c>
      <c r="I2" s="252" t="s">
        <v>272</v>
      </c>
      <c r="J2" s="252" t="s">
        <v>207</v>
      </c>
    </row>
    <row r="3" spans="1:10" ht="16">
      <c r="A3" s="55" t="s">
        <v>4</v>
      </c>
      <c r="B3" s="83" t="str">
        <f>IF(J3=0,"NA",J3)</f>
        <v>B+</v>
      </c>
      <c r="C3" s="82" t="str">
        <f t="shared" ref="C3" si="1">IF(G3=0,"NA",G3)</f>
        <v>B1</v>
      </c>
      <c r="E3" s="183" t="s">
        <v>4</v>
      </c>
      <c r="F3" s="247" t="s">
        <v>48</v>
      </c>
      <c r="G3" s="247" t="s">
        <v>48</v>
      </c>
      <c r="I3" s="252" t="s">
        <v>4</v>
      </c>
      <c r="J3" s="252" t="s">
        <v>196</v>
      </c>
    </row>
    <row r="4" spans="1:10" ht="16">
      <c r="A4" s="55" t="s">
        <v>287</v>
      </c>
      <c r="B4" s="83" t="str">
        <f t="shared" ref="B4:B67" si="2">IF(J4=0,"NA",J4)</f>
        <v>BBB</v>
      </c>
      <c r="C4" s="82" t="str">
        <f t="shared" ref="C4:C67" si="3">IF(G4=0,"NA",G4)</f>
        <v>NA</v>
      </c>
      <c r="E4" s="183"/>
      <c r="F4" s="247"/>
      <c r="G4" s="247"/>
      <c r="I4" s="252" t="s">
        <v>197</v>
      </c>
      <c r="J4" s="252" t="s">
        <v>206</v>
      </c>
    </row>
    <row r="5" spans="1:10" ht="16">
      <c r="A5" s="55" t="s">
        <v>131</v>
      </c>
      <c r="B5" s="83" t="str">
        <f t="shared" si="2"/>
        <v>CCC+</v>
      </c>
      <c r="C5" s="82" t="str">
        <f t="shared" si="3"/>
        <v>B3</v>
      </c>
      <c r="E5" s="183" t="s">
        <v>131</v>
      </c>
      <c r="F5" s="247" t="s">
        <v>78</v>
      </c>
      <c r="G5" s="247" t="s">
        <v>78</v>
      </c>
      <c r="I5" s="252" t="s">
        <v>131</v>
      </c>
      <c r="J5" s="252" t="s">
        <v>218</v>
      </c>
    </row>
    <row r="6" spans="1:10" ht="16">
      <c r="A6" s="55" t="s">
        <v>84</v>
      </c>
      <c r="B6" s="83" t="str">
        <f t="shared" si="2"/>
        <v>SD</v>
      </c>
      <c r="C6" s="82" t="str">
        <f t="shared" si="3"/>
        <v>Ca</v>
      </c>
      <c r="E6" s="248" t="s">
        <v>84</v>
      </c>
      <c r="F6" s="249" t="s">
        <v>347</v>
      </c>
      <c r="G6" s="249" t="s">
        <v>347</v>
      </c>
      <c r="I6" s="252" t="s">
        <v>84</v>
      </c>
      <c r="J6" s="252" t="s">
        <v>563</v>
      </c>
    </row>
    <row r="7" spans="1:10" ht="16">
      <c r="A7" s="55" t="s">
        <v>19</v>
      </c>
      <c r="B7" s="83" t="str">
        <f t="shared" si="2"/>
        <v>NA</v>
      </c>
      <c r="C7" s="82" t="str">
        <f t="shared" si="3"/>
        <v>Ba3</v>
      </c>
      <c r="E7" s="183" t="s">
        <v>19</v>
      </c>
      <c r="F7" s="247" t="s">
        <v>81</v>
      </c>
      <c r="G7" s="247" t="s">
        <v>81</v>
      </c>
      <c r="I7" s="252"/>
      <c r="J7" s="252"/>
    </row>
    <row r="8" spans="1:10" ht="16">
      <c r="A8" s="55" t="s">
        <v>201</v>
      </c>
      <c r="B8" s="83" t="str">
        <f t="shared" si="2"/>
        <v>BBB+</v>
      </c>
      <c r="C8" s="82" t="str">
        <f t="shared" si="3"/>
        <v>NA</v>
      </c>
      <c r="E8" s="183"/>
      <c r="F8" s="247"/>
      <c r="G8" s="247"/>
      <c r="I8" s="252" t="s">
        <v>201</v>
      </c>
      <c r="J8" s="252" t="s">
        <v>202</v>
      </c>
    </row>
    <row r="9" spans="1:10" ht="16">
      <c r="A9" s="55" t="s">
        <v>85</v>
      </c>
      <c r="B9" s="83" t="str">
        <f t="shared" si="2"/>
        <v>AAA</v>
      </c>
      <c r="C9" s="82" t="str">
        <f t="shared" si="3"/>
        <v>Aaa</v>
      </c>
      <c r="E9" s="183" t="s">
        <v>85</v>
      </c>
      <c r="F9" s="247" t="s">
        <v>47</v>
      </c>
      <c r="G9" s="247" t="s">
        <v>47</v>
      </c>
      <c r="I9" s="252" t="s">
        <v>85</v>
      </c>
      <c r="J9" s="252" t="s">
        <v>203</v>
      </c>
    </row>
    <row r="10" spans="1:10" ht="16">
      <c r="A10" s="55" t="s">
        <v>176</v>
      </c>
      <c r="B10" s="83" t="str">
        <f t="shared" si="2"/>
        <v>AA+</v>
      </c>
      <c r="C10" s="82" t="str">
        <f t="shared" si="3"/>
        <v>Aa1</v>
      </c>
      <c r="E10" s="250" t="s">
        <v>176</v>
      </c>
      <c r="F10" s="247" t="s">
        <v>44</v>
      </c>
      <c r="G10" s="247" t="s">
        <v>44</v>
      </c>
      <c r="I10" s="252" t="s">
        <v>176</v>
      </c>
      <c r="J10" s="252" t="s">
        <v>204</v>
      </c>
    </row>
    <row r="11" spans="1:10" ht="16">
      <c r="A11" s="55" t="s">
        <v>20</v>
      </c>
      <c r="B11" s="83" t="str">
        <f t="shared" si="2"/>
        <v>BB+</v>
      </c>
      <c r="C11" s="82" t="str">
        <f t="shared" si="3"/>
        <v>Ba2</v>
      </c>
      <c r="E11" s="183" t="s">
        <v>20</v>
      </c>
      <c r="F11" s="247" t="s">
        <v>80</v>
      </c>
      <c r="G11" s="247" t="s">
        <v>80</v>
      </c>
      <c r="I11" s="252" t="s">
        <v>20</v>
      </c>
      <c r="J11" s="252" t="s">
        <v>216</v>
      </c>
    </row>
    <row r="12" spans="1:10" ht="16">
      <c r="A12" s="55" t="s">
        <v>86</v>
      </c>
      <c r="B12" s="83" t="str">
        <f t="shared" si="2"/>
        <v>BB</v>
      </c>
      <c r="C12" s="82" t="str">
        <f t="shared" si="3"/>
        <v>Ba2</v>
      </c>
      <c r="E12" s="250" t="s">
        <v>86</v>
      </c>
      <c r="F12" s="247" t="s">
        <v>80</v>
      </c>
      <c r="G12" s="247" t="s">
        <v>80</v>
      </c>
      <c r="I12" s="252" t="s">
        <v>86</v>
      </c>
      <c r="J12" s="252" t="s">
        <v>215</v>
      </c>
    </row>
    <row r="13" spans="1:10" ht="16">
      <c r="A13" s="55" t="s">
        <v>87</v>
      </c>
      <c r="B13" s="83" t="str">
        <f t="shared" si="2"/>
        <v>B+</v>
      </c>
      <c r="C13" s="82" t="str">
        <f t="shared" si="3"/>
        <v>B2</v>
      </c>
      <c r="E13" s="183" t="s">
        <v>87</v>
      </c>
      <c r="F13" s="247" t="s">
        <v>49</v>
      </c>
      <c r="G13" s="247" t="s">
        <v>49</v>
      </c>
      <c r="I13" s="252" t="s">
        <v>87</v>
      </c>
      <c r="J13" s="252" t="s">
        <v>196</v>
      </c>
    </row>
    <row r="14" spans="1:10" ht="16">
      <c r="A14" s="55" t="s">
        <v>132</v>
      </c>
      <c r="B14" s="83" t="str">
        <f t="shared" si="2"/>
        <v>BB-</v>
      </c>
      <c r="C14" s="82" t="str">
        <f t="shared" si="3"/>
        <v>Ba3</v>
      </c>
      <c r="E14" s="183" t="s">
        <v>132</v>
      </c>
      <c r="F14" s="247" t="s">
        <v>81</v>
      </c>
      <c r="G14" s="247" t="s">
        <v>81</v>
      </c>
      <c r="I14" s="252" t="s">
        <v>132</v>
      </c>
      <c r="J14" s="252" t="s">
        <v>199</v>
      </c>
    </row>
    <row r="15" spans="1:10" ht="16">
      <c r="A15" s="55" t="s">
        <v>88</v>
      </c>
      <c r="B15" s="83" t="str">
        <f t="shared" si="2"/>
        <v>B-</v>
      </c>
      <c r="C15" s="82" t="str">
        <f t="shared" si="3"/>
        <v>Caa1</v>
      </c>
      <c r="E15" s="183" t="s">
        <v>88</v>
      </c>
      <c r="F15" s="247" t="s">
        <v>100</v>
      </c>
      <c r="G15" s="247" t="s">
        <v>100</v>
      </c>
      <c r="I15" s="252" t="s">
        <v>88</v>
      </c>
      <c r="J15" s="252" t="s">
        <v>200</v>
      </c>
    </row>
    <row r="16" spans="1:10" ht="16">
      <c r="A16" s="55" t="s">
        <v>5</v>
      </c>
      <c r="B16" s="83" t="str">
        <f t="shared" si="2"/>
        <v>B</v>
      </c>
      <c r="C16" s="82" t="str">
        <f t="shared" si="3"/>
        <v>B3</v>
      </c>
      <c r="E16" s="183" t="s">
        <v>5</v>
      </c>
      <c r="F16" s="247" t="s">
        <v>78</v>
      </c>
      <c r="G16" s="247" t="s">
        <v>78</v>
      </c>
      <c r="I16" s="252" t="s">
        <v>5</v>
      </c>
      <c r="J16" s="252" t="s">
        <v>209</v>
      </c>
    </row>
    <row r="17" spans="1:10" ht="16">
      <c r="A17" s="55" t="s">
        <v>177</v>
      </c>
      <c r="B17" s="83" t="str">
        <f t="shared" si="2"/>
        <v>AA</v>
      </c>
      <c r="C17" s="82" t="str">
        <f t="shared" si="3"/>
        <v>Aa3</v>
      </c>
      <c r="E17" s="183" t="s">
        <v>177</v>
      </c>
      <c r="F17" s="247" t="s">
        <v>46</v>
      </c>
      <c r="G17" s="247" t="s">
        <v>46</v>
      </c>
      <c r="I17" s="252" t="s">
        <v>177</v>
      </c>
      <c r="J17" s="252" t="s">
        <v>207</v>
      </c>
    </row>
    <row r="18" spans="1:10" ht="16">
      <c r="A18" s="55" t="s">
        <v>89</v>
      </c>
      <c r="B18" s="83" t="str">
        <f t="shared" si="2"/>
        <v>CCC</v>
      </c>
      <c r="C18" s="82" t="str">
        <f t="shared" si="3"/>
        <v>Caa1</v>
      </c>
      <c r="E18" s="183" t="s">
        <v>89</v>
      </c>
      <c r="F18" s="247" t="s">
        <v>100</v>
      </c>
      <c r="G18" s="247" t="s">
        <v>100</v>
      </c>
      <c r="I18" s="252" t="s">
        <v>89</v>
      </c>
      <c r="J18" s="252" t="s">
        <v>235</v>
      </c>
    </row>
    <row r="19" spans="1:10" ht="16">
      <c r="A19" s="55" t="s">
        <v>208</v>
      </c>
      <c r="B19" s="83" t="str">
        <f t="shared" si="2"/>
        <v>B+</v>
      </c>
      <c r="C19" s="82" t="str">
        <f t="shared" si="3"/>
        <v>B2</v>
      </c>
      <c r="E19" s="183" t="s">
        <v>208</v>
      </c>
      <c r="F19" s="247" t="s">
        <v>49</v>
      </c>
      <c r="G19" s="247" t="s">
        <v>49</v>
      </c>
      <c r="I19" s="252" t="s">
        <v>208</v>
      </c>
      <c r="J19" s="252" t="s">
        <v>196</v>
      </c>
    </row>
    <row r="20" spans="1:10" ht="16">
      <c r="A20" s="55" t="s">
        <v>90</v>
      </c>
      <c r="B20" s="83" t="str">
        <f t="shared" si="2"/>
        <v>A+</v>
      </c>
      <c r="C20" s="82" t="str">
        <f t="shared" si="3"/>
        <v>A2</v>
      </c>
      <c r="E20" s="183" t="s">
        <v>90</v>
      </c>
      <c r="F20" s="247" t="s">
        <v>42</v>
      </c>
      <c r="G20" s="247" t="s">
        <v>42</v>
      </c>
      <c r="I20" s="252" t="s">
        <v>90</v>
      </c>
      <c r="J20" s="252" t="s">
        <v>222</v>
      </c>
    </row>
    <row r="21" spans="1:10" ht="16">
      <c r="A21" s="55" t="s">
        <v>91</v>
      </c>
      <c r="B21" s="83" t="str">
        <f t="shared" si="2"/>
        <v>B+</v>
      </c>
      <c r="C21" s="82" t="str">
        <f t="shared" si="3"/>
        <v>B1</v>
      </c>
      <c r="E21" s="183" t="s">
        <v>91</v>
      </c>
      <c r="F21" s="247" t="s">
        <v>48</v>
      </c>
      <c r="G21" s="247" t="s">
        <v>48</v>
      </c>
      <c r="I21" s="252" t="s">
        <v>91</v>
      </c>
      <c r="J21" s="252" t="s">
        <v>196</v>
      </c>
    </row>
    <row r="22" spans="1:10" ht="16">
      <c r="A22" s="55" t="s">
        <v>7</v>
      </c>
      <c r="B22" s="83" t="str">
        <f t="shared" si="2"/>
        <v>B</v>
      </c>
      <c r="C22" s="82" t="str">
        <f t="shared" si="3"/>
        <v>B3</v>
      </c>
      <c r="E22" s="183" t="s">
        <v>7</v>
      </c>
      <c r="F22" s="247" t="s">
        <v>78</v>
      </c>
      <c r="G22" s="247" t="s">
        <v>78</v>
      </c>
      <c r="I22" s="252" t="s">
        <v>7</v>
      </c>
      <c r="J22" s="252" t="s">
        <v>209</v>
      </c>
    </row>
    <row r="23" spans="1:10" ht="16">
      <c r="A23" s="55" t="s">
        <v>123</v>
      </c>
      <c r="B23" s="83" t="str">
        <f t="shared" si="2"/>
        <v>BBB+</v>
      </c>
      <c r="C23" s="82" t="str">
        <f t="shared" si="3"/>
        <v>A2</v>
      </c>
      <c r="E23" s="248" t="s">
        <v>123</v>
      </c>
      <c r="F23" s="249" t="s">
        <v>42</v>
      </c>
      <c r="G23" s="249" t="s">
        <v>42</v>
      </c>
      <c r="I23" s="252" t="s">
        <v>123</v>
      </c>
      <c r="J23" s="252" t="s">
        <v>202</v>
      </c>
    </row>
    <row r="24" spans="1:10" ht="16">
      <c r="A24" s="55" t="s">
        <v>92</v>
      </c>
      <c r="B24" s="83" t="str">
        <f t="shared" si="2"/>
        <v>BB-</v>
      </c>
      <c r="C24" s="82" t="str">
        <f t="shared" si="3"/>
        <v>Ba2</v>
      </c>
      <c r="E24" s="183" t="s">
        <v>92</v>
      </c>
      <c r="F24" s="247" t="s">
        <v>80</v>
      </c>
      <c r="G24" s="247" t="s">
        <v>80</v>
      </c>
      <c r="I24" s="252" t="s">
        <v>92</v>
      </c>
      <c r="J24" s="252" t="s">
        <v>199</v>
      </c>
    </row>
    <row r="25" spans="1:10" ht="16">
      <c r="A25" s="55" t="s">
        <v>94</v>
      </c>
      <c r="B25" s="83" t="str">
        <f t="shared" si="2"/>
        <v>BBB</v>
      </c>
      <c r="C25" s="82" t="str">
        <f t="shared" si="3"/>
        <v>Baa2</v>
      </c>
      <c r="E25" s="183" t="s">
        <v>94</v>
      </c>
      <c r="F25" s="247" t="s">
        <v>83</v>
      </c>
      <c r="G25" s="247" t="s">
        <v>83</v>
      </c>
      <c r="I25" s="252" t="s">
        <v>94</v>
      </c>
      <c r="J25" s="252" t="s">
        <v>206</v>
      </c>
    </row>
    <row r="26" spans="1:10" ht="16">
      <c r="A26" s="55" t="s">
        <v>211</v>
      </c>
      <c r="B26" s="83" t="str">
        <f t="shared" si="2"/>
        <v>B</v>
      </c>
      <c r="C26" s="82" t="str">
        <f t="shared" si="3"/>
        <v>NA</v>
      </c>
      <c r="E26" s="183"/>
      <c r="F26" s="247"/>
      <c r="G26" s="247"/>
      <c r="I26" s="252" t="s">
        <v>211</v>
      </c>
      <c r="J26" s="252" t="s">
        <v>209</v>
      </c>
    </row>
    <row r="27" spans="1:10" ht="16">
      <c r="A27" s="55" t="s">
        <v>6</v>
      </c>
      <c r="B27" s="83" t="str">
        <f t="shared" si="2"/>
        <v>NA</v>
      </c>
      <c r="C27" s="82" t="str">
        <f t="shared" si="3"/>
        <v>B2</v>
      </c>
      <c r="E27" s="183" t="s">
        <v>6</v>
      </c>
      <c r="F27" s="247" t="s">
        <v>49</v>
      </c>
      <c r="G27" s="247" t="s">
        <v>49</v>
      </c>
      <c r="I27" s="252"/>
      <c r="J27" s="252"/>
    </row>
    <row r="28" spans="1:10" ht="16">
      <c r="A28" s="55" t="s">
        <v>212</v>
      </c>
      <c r="B28" s="83" t="str">
        <f t="shared" si="2"/>
        <v>B-</v>
      </c>
      <c r="C28" s="82" t="str">
        <f t="shared" si="3"/>
        <v>B2</v>
      </c>
      <c r="E28" s="248" t="s">
        <v>212</v>
      </c>
      <c r="F28" s="247" t="s">
        <v>49</v>
      </c>
      <c r="G28" s="247" t="s">
        <v>49</v>
      </c>
      <c r="I28" s="252" t="s">
        <v>212</v>
      </c>
      <c r="J28" s="252" t="s">
        <v>200</v>
      </c>
    </row>
    <row r="29" spans="1:10" ht="16">
      <c r="A29" s="55" t="s">
        <v>95</v>
      </c>
      <c r="B29" s="83" t="str">
        <f t="shared" si="2"/>
        <v>AAA</v>
      </c>
      <c r="C29" s="82" t="str">
        <f t="shared" si="3"/>
        <v>Aaa</v>
      </c>
      <c r="E29" s="183" t="s">
        <v>95</v>
      </c>
      <c r="F29" s="247" t="s">
        <v>47</v>
      </c>
      <c r="G29" s="247" t="s">
        <v>47</v>
      </c>
      <c r="I29" s="252" t="s">
        <v>95</v>
      </c>
      <c r="J29" s="252" t="s">
        <v>203</v>
      </c>
    </row>
    <row r="30" spans="1:10" ht="16">
      <c r="A30" s="55" t="s">
        <v>213</v>
      </c>
      <c r="B30" s="83" t="str">
        <f t="shared" si="2"/>
        <v>B</v>
      </c>
      <c r="C30" s="82" t="str">
        <f t="shared" si="3"/>
        <v>NA</v>
      </c>
      <c r="E30" s="183"/>
      <c r="F30" s="247"/>
      <c r="G30" s="247"/>
      <c r="I30" s="252" t="s">
        <v>213</v>
      </c>
      <c r="J30" s="252" t="s">
        <v>209</v>
      </c>
    </row>
    <row r="31" spans="1:10" ht="16">
      <c r="A31" s="55" t="s">
        <v>55</v>
      </c>
      <c r="B31" s="83" t="str">
        <f t="shared" si="2"/>
        <v>NA</v>
      </c>
      <c r="C31" s="82" t="str">
        <f t="shared" si="3"/>
        <v>Aa3</v>
      </c>
      <c r="E31" s="183" t="s">
        <v>55</v>
      </c>
      <c r="F31" s="247" t="s">
        <v>46</v>
      </c>
      <c r="G31" s="247" t="s">
        <v>46</v>
      </c>
      <c r="I31" s="252"/>
      <c r="J31" s="252"/>
    </row>
    <row r="32" spans="1:10" ht="16">
      <c r="A32" s="55" t="s">
        <v>96</v>
      </c>
      <c r="B32" s="83" t="str">
        <f t="shared" si="2"/>
        <v>A+</v>
      </c>
      <c r="C32" s="82" t="str">
        <f t="shared" si="3"/>
        <v>A1</v>
      </c>
      <c r="E32" s="183" t="s">
        <v>96</v>
      </c>
      <c r="F32" s="247" t="s">
        <v>41</v>
      </c>
      <c r="G32" s="247" t="s">
        <v>41</v>
      </c>
      <c r="I32" s="252" t="s">
        <v>96</v>
      </c>
      <c r="J32" s="252" t="s">
        <v>222</v>
      </c>
    </row>
    <row r="33" spans="1:10" ht="16">
      <c r="A33" s="55" t="s">
        <v>97</v>
      </c>
      <c r="B33" s="83" t="str">
        <f t="shared" si="2"/>
        <v>A+</v>
      </c>
      <c r="C33" s="82" t="str">
        <f t="shared" si="3"/>
        <v>A1</v>
      </c>
      <c r="E33" s="183" t="s">
        <v>97</v>
      </c>
      <c r="F33" s="247" t="s">
        <v>41</v>
      </c>
      <c r="G33" s="247" t="s">
        <v>41</v>
      </c>
      <c r="I33" s="252" t="s">
        <v>97</v>
      </c>
      <c r="J33" s="252" t="s">
        <v>222</v>
      </c>
    </row>
    <row r="34" spans="1:10" ht="16">
      <c r="A34" s="55" t="s">
        <v>50</v>
      </c>
      <c r="B34" s="83" t="str">
        <f t="shared" si="2"/>
        <v>BBB-</v>
      </c>
      <c r="C34" s="82" t="str">
        <f t="shared" si="3"/>
        <v>Baa2</v>
      </c>
      <c r="E34" s="183" t="s">
        <v>50</v>
      </c>
      <c r="F34" s="247" t="s">
        <v>83</v>
      </c>
      <c r="G34" s="247" t="s">
        <v>83</v>
      </c>
      <c r="I34" s="252" t="s">
        <v>50</v>
      </c>
      <c r="J34" s="252" t="s">
        <v>205</v>
      </c>
    </row>
    <row r="35" spans="1:10" ht="16">
      <c r="A35" s="55" t="s">
        <v>288</v>
      </c>
      <c r="B35" s="83" t="str">
        <f t="shared" si="2"/>
        <v>CCC+</v>
      </c>
      <c r="C35" s="82" t="str">
        <f t="shared" si="3"/>
        <v>Caa1</v>
      </c>
      <c r="E35" s="55" t="s">
        <v>288</v>
      </c>
      <c r="F35" s="247" t="s">
        <v>100</v>
      </c>
      <c r="G35" s="247" t="s">
        <v>100</v>
      </c>
      <c r="I35" s="252" t="s">
        <v>598</v>
      </c>
      <c r="J35" s="252" t="s">
        <v>218</v>
      </c>
    </row>
    <row r="36" spans="1:10" ht="16">
      <c r="A36" s="55" t="s">
        <v>289</v>
      </c>
      <c r="B36" s="83" t="str">
        <f t="shared" si="2"/>
        <v>B-</v>
      </c>
      <c r="C36" s="82" t="str">
        <f t="shared" si="3"/>
        <v>Caa2</v>
      </c>
      <c r="E36" s="55" t="s">
        <v>289</v>
      </c>
      <c r="F36" s="247" t="s">
        <v>58</v>
      </c>
      <c r="G36" s="247" t="s">
        <v>58</v>
      </c>
      <c r="I36" s="252" t="s">
        <v>599</v>
      </c>
      <c r="J36" s="252" t="s">
        <v>200</v>
      </c>
    </row>
    <row r="37" spans="1:10" ht="16">
      <c r="A37" s="55" t="s">
        <v>214</v>
      </c>
      <c r="B37" s="83" t="str">
        <f t="shared" si="2"/>
        <v>B+</v>
      </c>
      <c r="C37" s="82" t="str">
        <f t="shared" si="3"/>
        <v>NA</v>
      </c>
      <c r="E37" s="55"/>
      <c r="F37" s="247"/>
      <c r="G37" s="247"/>
      <c r="I37" s="252" t="s">
        <v>214</v>
      </c>
      <c r="J37" s="252" t="s">
        <v>196</v>
      </c>
    </row>
    <row r="38" spans="1:10" ht="16">
      <c r="A38" s="55" t="s">
        <v>56</v>
      </c>
      <c r="B38" s="83" t="str">
        <f t="shared" si="2"/>
        <v>B+</v>
      </c>
      <c r="C38" s="82" t="str">
        <f t="shared" si="3"/>
        <v>B2</v>
      </c>
      <c r="E38" s="183" t="s">
        <v>56</v>
      </c>
      <c r="F38" s="247" t="s">
        <v>49</v>
      </c>
      <c r="G38" s="247" t="s">
        <v>49</v>
      </c>
      <c r="I38" s="252" t="s">
        <v>56</v>
      </c>
      <c r="J38" s="252" t="s">
        <v>196</v>
      </c>
    </row>
    <row r="39" spans="1:10" ht="16">
      <c r="A39" s="55" t="s">
        <v>284</v>
      </c>
      <c r="B39" s="83" t="str">
        <f t="shared" si="2"/>
        <v>NA</v>
      </c>
      <c r="C39" s="82" t="str">
        <f t="shared" si="3"/>
        <v>Ba3</v>
      </c>
      <c r="E39" s="183" t="s">
        <v>386</v>
      </c>
      <c r="F39" s="247" t="s">
        <v>81</v>
      </c>
      <c r="G39" s="247" t="s">
        <v>81</v>
      </c>
      <c r="I39" s="252"/>
      <c r="J39" s="252"/>
    </row>
    <row r="40" spans="1:10" ht="16">
      <c r="A40" s="55" t="s">
        <v>98</v>
      </c>
      <c r="B40" s="83" t="str">
        <f t="shared" si="2"/>
        <v>BBB-</v>
      </c>
      <c r="C40" s="82" t="str">
        <f t="shared" si="3"/>
        <v>Ba2</v>
      </c>
      <c r="E40" s="183" t="s">
        <v>98</v>
      </c>
      <c r="F40" s="247" t="s">
        <v>80</v>
      </c>
      <c r="G40" s="247" t="s">
        <v>80</v>
      </c>
      <c r="I40" s="252" t="s">
        <v>98</v>
      </c>
      <c r="J40" s="252" t="s">
        <v>205</v>
      </c>
    </row>
    <row r="41" spans="1:10" ht="16">
      <c r="A41" s="55" t="s">
        <v>99</v>
      </c>
      <c r="B41" s="83" t="str">
        <f t="shared" si="2"/>
        <v>NA</v>
      </c>
      <c r="C41" s="82" t="str">
        <f t="shared" si="3"/>
        <v>Caa2</v>
      </c>
      <c r="E41" s="183" t="s">
        <v>99</v>
      </c>
      <c r="F41" s="247" t="s">
        <v>58</v>
      </c>
      <c r="G41" s="247" t="s">
        <v>58</v>
      </c>
      <c r="I41" s="252"/>
      <c r="J41" s="252"/>
    </row>
    <row r="42" spans="1:10" ht="16">
      <c r="A42" s="55" t="s">
        <v>217</v>
      </c>
      <c r="B42" s="83" t="str">
        <f t="shared" si="2"/>
        <v>BBB</v>
      </c>
      <c r="C42" s="82" t="str">
        <f t="shared" si="3"/>
        <v>NA</v>
      </c>
      <c r="E42" s="183"/>
      <c r="F42" s="247"/>
      <c r="G42" s="247"/>
      <c r="I42" s="252" t="s">
        <v>217</v>
      </c>
      <c r="J42" s="252" t="s">
        <v>206</v>
      </c>
    </row>
    <row r="43" spans="1:10" ht="16">
      <c r="A43" s="55" t="s">
        <v>178</v>
      </c>
      <c r="B43" s="83" t="str">
        <f t="shared" si="2"/>
        <v>BBB-</v>
      </c>
      <c r="C43" s="82" t="str">
        <f t="shared" si="3"/>
        <v>Ba2</v>
      </c>
      <c r="E43" s="183" t="s">
        <v>178</v>
      </c>
      <c r="F43" s="247" t="s">
        <v>80</v>
      </c>
      <c r="G43" s="247" t="s">
        <v>80</v>
      </c>
      <c r="I43" s="252" t="s">
        <v>178</v>
      </c>
      <c r="J43" s="252" t="s">
        <v>205</v>
      </c>
    </row>
    <row r="44" spans="1:10" ht="16">
      <c r="A44" s="55" t="s">
        <v>101</v>
      </c>
      <c r="B44" s="83" t="str">
        <f t="shared" si="2"/>
        <v>AA-</v>
      </c>
      <c r="C44" s="82" t="str">
        <f t="shared" si="3"/>
        <v>Aa3</v>
      </c>
      <c r="E44" s="183" t="s">
        <v>101</v>
      </c>
      <c r="F44" s="247" t="s">
        <v>46</v>
      </c>
      <c r="G44" s="247" t="s">
        <v>46</v>
      </c>
      <c r="I44" s="252" t="s">
        <v>101</v>
      </c>
      <c r="J44" s="252" t="s">
        <v>210</v>
      </c>
    </row>
    <row r="45" spans="1:10" ht="16">
      <c r="A45" s="55" t="s">
        <v>102</v>
      </c>
      <c r="B45" s="83" t="str">
        <f t="shared" si="2"/>
        <v>AAA</v>
      </c>
      <c r="C45" s="82" t="str">
        <f t="shared" si="3"/>
        <v>Aaa</v>
      </c>
      <c r="E45" s="183" t="s">
        <v>102</v>
      </c>
      <c r="F45" s="247" t="s">
        <v>47</v>
      </c>
      <c r="G45" s="247" t="s">
        <v>47</v>
      </c>
      <c r="I45" s="252" t="s">
        <v>102</v>
      </c>
      <c r="J45" s="252" t="s">
        <v>203</v>
      </c>
    </row>
    <row r="46" spans="1:10" ht="16">
      <c r="A46" s="55" t="s">
        <v>103</v>
      </c>
      <c r="B46" s="83" t="str">
        <f t="shared" si="2"/>
        <v>BB-</v>
      </c>
      <c r="C46" s="82" t="str">
        <f t="shared" si="3"/>
        <v>Ba3</v>
      </c>
      <c r="E46" s="250" t="s">
        <v>103</v>
      </c>
      <c r="F46" s="247" t="s">
        <v>81</v>
      </c>
      <c r="G46" s="247" t="s">
        <v>81</v>
      </c>
      <c r="I46" s="252" t="s">
        <v>103</v>
      </c>
      <c r="J46" s="252" t="s">
        <v>199</v>
      </c>
    </row>
    <row r="47" spans="1:10" ht="16">
      <c r="A47" s="55" t="s">
        <v>104</v>
      </c>
      <c r="B47" s="83" t="str">
        <f t="shared" si="2"/>
        <v>SD</v>
      </c>
      <c r="C47" s="82" t="str">
        <f t="shared" si="3"/>
        <v>Caa3</v>
      </c>
      <c r="E47" s="183" t="s">
        <v>104</v>
      </c>
      <c r="F47" s="247" t="s">
        <v>62</v>
      </c>
      <c r="G47" s="247" t="str">
        <f>F47</f>
        <v>Caa3</v>
      </c>
      <c r="I47" s="252" t="s">
        <v>104</v>
      </c>
      <c r="J47" s="252" t="s">
        <v>563</v>
      </c>
    </row>
    <row r="48" spans="1:10" ht="16">
      <c r="A48" s="55" t="s">
        <v>105</v>
      </c>
      <c r="B48" s="83" t="str">
        <f t="shared" si="2"/>
        <v>B</v>
      </c>
      <c r="C48" s="82" t="str">
        <f t="shared" si="3"/>
        <v>B2</v>
      </c>
      <c r="E48" s="183" t="s">
        <v>105</v>
      </c>
      <c r="F48" s="247" t="s">
        <v>49</v>
      </c>
      <c r="G48" s="247" t="s">
        <v>49</v>
      </c>
      <c r="I48" s="252" t="s">
        <v>105</v>
      </c>
      <c r="J48" s="252" t="s">
        <v>209</v>
      </c>
    </row>
    <row r="49" spans="1:10" ht="16">
      <c r="A49" s="55" t="s">
        <v>31</v>
      </c>
      <c r="B49" s="83" t="str">
        <f t="shared" si="2"/>
        <v>B-</v>
      </c>
      <c r="C49" s="82" t="str">
        <f t="shared" si="3"/>
        <v>B3</v>
      </c>
      <c r="E49" s="183" t="s">
        <v>31</v>
      </c>
      <c r="F49" s="247" t="s">
        <v>78</v>
      </c>
      <c r="G49" s="247" t="str">
        <f>F49</f>
        <v>B3</v>
      </c>
      <c r="I49" s="252" t="s">
        <v>31</v>
      </c>
      <c r="J49" s="252" t="s">
        <v>200</v>
      </c>
    </row>
    <row r="50" spans="1:10" ht="16">
      <c r="A50" s="55" t="s">
        <v>106</v>
      </c>
      <c r="B50" s="83" t="str">
        <f t="shared" si="2"/>
        <v>AA-</v>
      </c>
      <c r="C50" s="82" t="str">
        <f t="shared" si="3"/>
        <v>A1</v>
      </c>
      <c r="E50" s="183" t="s">
        <v>106</v>
      </c>
      <c r="F50" s="247" t="s">
        <v>41</v>
      </c>
      <c r="G50" s="247" t="s">
        <v>41</v>
      </c>
      <c r="I50" s="252" t="s">
        <v>106</v>
      </c>
      <c r="J50" s="252" t="s">
        <v>210</v>
      </c>
    </row>
    <row r="51" spans="1:10" ht="16">
      <c r="A51" s="55" t="s">
        <v>285</v>
      </c>
      <c r="B51" s="83" t="str">
        <f t="shared" si="2"/>
        <v>B</v>
      </c>
      <c r="C51" s="82" t="str">
        <f t="shared" si="3"/>
        <v>B2</v>
      </c>
      <c r="E51" s="183" t="s">
        <v>285</v>
      </c>
      <c r="F51" s="247" t="s">
        <v>49</v>
      </c>
      <c r="G51" s="247" t="s">
        <v>49</v>
      </c>
      <c r="I51" s="252" t="s">
        <v>285</v>
      </c>
      <c r="J51" s="252" t="s">
        <v>209</v>
      </c>
    </row>
    <row r="52" spans="1:10" ht="16">
      <c r="A52" s="55" t="s">
        <v>219</v>
      </c>
      <c r="B52" s="83" t="str">
        <f t="shared" si="2"/>
        <v>BB-</v>
      </c>
      <c r="C52" s="82" t="str">
        <f t="shared" si="3"/>
        <v>Ba3</v>
      </c>
      <c r="E52" s="183" t="s">
        <v>219</v>
      </c>
      <c r="F52" s="247" t="s">
        <v>81</v>
      </c>
      <c r="G52" s="247" t="s">
        <v>81</v>
      </c>
      <c r="I52" s="252" t="s">
        <v>219</v>
      </c>
      <c r="J52" s="252" t="s">
        <v>199</v>
      </c>
    </row>
    <row r="53" spans="1:10" ht="16">
      <c r="A53" s="55" t="s">
        <v>179</v>
      </c>
      <c r="B53" s="83" t="str">
        <f t="shared" si="2"/>
        <v>AA+</v>
      </c>
      <c r="C53" s="82" t="str">
        <f t="shared" si="3"/>
        <v>Aa1</v>
      </c>
      <c r="E53" s="183" t="s">
        <v>179</v>
      </c>
      <c r="F53" s="247" t="s">
        <v>44</v>
      </c>
      <c r="G53" s="247" t="s">
        <v>44</v>
      </c>
      <c r="I53" s="252" t="s">
        <v>179</v>
      </c>
      <c r="J53" s="252" t="s">
        <v>204</v>
      </c>
    </row>
    <row r="54" spans="1:10" ht="16">
      <c r="A54" s="55" t="s">
        <v>180</v>
      </c>
      <c r="B54" s="83" t="str">
        <f t="shared" si="2"/>
        <v>AA</v>
      </c>
      <c r="C54" s="82" t="str">
        <f t="shared" si="3"/>
        <v>Aa2</v>
      </c>
      <c r="E54" s="183" t="s">
        <v>180</v>
      </c>
      <c r="F54" s="247" t="s">
        <v>45</v>
      </c>
      <c r="G54" s="247" t="s">
        <v>45</v>
      </c>
      <c r="I54" s="252" t="s">
        <v>180</v>
      </c>
      <c r="J54" s="252" t="s">
        <v>207</v>
      </c>
    </row>
    <row r="55" spans="1:10" ht="16">
      <c r="A55" s="55" t="s">
        <v>220</v>
      </c>
      <c r="B55" s="83" t="str">
        <f t="shared" si="2"/>
        <v>NA</v>
      </c>
      <c r="C55" s="82" t="str">
        <f t="shared" si="3"/>
        <v>Caa1</v>
      </c>
      <c r="E55" s="183" t="s">
        <v>220</v>
      </c>
      <c r="F55" s="247" t="s">
        <v>100</v>
      </c>
      <c r="G55" s="247" t="s">
        <v>100</v>
      </c>
      <c r="I55" s="252"/>
      <c r="J55" s="252"/>
    </row>
    <row r="56" spans="1:10" ht="16">
      <c r="A56" s="55" t="s">
        <v>133</v>
      </c>
      <c r="B56" s="83" t="str">
        <f t="shared" si="2"/>
        <v>BB</v>
      </c>
      <c r="C56" s="82" t="str">
        <f t="shared" si="3"/>
        <v>Ba2</v>
      </c>
      <c r="E56" s="183" t="s">
        <v>133</v>
      </c>
      <c r="F56" s="247" t="s">
        <v>80</v>
      </c>
      <c r="G56" s="247" t="s">
        <v>80</v>
      </c>
      <c r="I56" s="252" t="s">
        <v>133</v>
      </c>
      <c r="J56" s="252" t="s">
        <v>215</v>
      </c>
    </row>
    <row r="57" spans="1:10" ht="16">
      <c r="A57" s="55" t="s">
        <v>181</v>
      </c>
      <c r="B57" s="83" t="str">
        <f t="shared" si="2"/>
        <v>AAA</v>
      </c>
      <c r="C57" s="82" t="str">
        <f t="shared" si="3"/>
        <v>Aaa</v>
      </c>
      <c r="E57" s="183" t="s">
        <v>181</v>
      </c>
      <c r="F57" s="247" t="s">
        <v>47</v>
      </c>
      <c r="G57" s="247" t="s">
        <v>47</v>
      </c>
      <c r="I57" s="252" t="s">
        <v>181</v>
      </c>
      <c r="J57" s="252" t="s">
        <v>203</v>
      </c>
    </row>
    <row r="58" spans="1:10" ht="16">
      <c r="A58" s="55" t="s">
        <v>221</v>
      </c>
      <c r="B58" s="83" t="str">
        <f t="shared" si="2"/>
        <v>B</v>
      </c>
      <c r="C58" s="82" t="str">
        <f t="shared" si="3"/>
        <v>B3</v>
      </c>
      <c r="E58" s="183" t="s">
        <v>221</v>
      </c>
      <c r="F58" s="247" t="s">
        <v>78</v>
      </c>
      <c r="G58" s="247" t="s">
        <v>78</v>
      </c>
      <c r="I58" s="252" t="s">
        <v>221</v>
      </c>
      <c r="J58" s="252" t="s">
        <v>209</v>
      </c>
    </row>
    <row r="59" spans="1:10" ht="16">
      <c r="A59" s="55" t="s">
        <v>182</v>
      </c>
      <c r="B59" s="83" t="str">
        <f t="shared" si="2"/>
        <v>BB-</v>
      </c>
      <c r="C59" s="82" t="str">
        <f t="shared" si="3"/>
        <v>B1</v>
      </c>
      <c r="E59" s="183" t="s">
        <v>182</v>
      </c>
      <c r="F59" s="247" t="s">
        <v>48</v>
      </c>
      <c r="G59" s="247" t="s">
        <v>48</v>
      </c>
      <c r="I59" s="252" t="s">
        <v>182</v>
      </c>
      <c r="J59" s="252" t="s">
        <v>199</v>
      </c>
    </row>
    <row r="60" spans="1:10" ht="16">
      <c r="A60" s="55" t="s">
        <v>107</v>
      </c>
      <c r="B60" s="83" t="str">
        <f t="shared" si="2"/>
        <v>BB-</v>
      </c>
      <c r="C60" s="82" t="str">
        <f t="shared" si="3"/>
        <v>Ba1</v>
      </c>
      <c r="E60" s="183" t="s">
        <v>107</v>
      </c>
      <c r="F60" s="247" t="s">
        <v>79</v>
      </c>
      <c r="G60" s="247" t="s">
        <v>79</v>
      </c>
      <c r="I60" s="252" t="s">
        <v>107</v>
      </c>
      <c r="J60" s="252" t="s">
        <v>199</v>
      </c>
    </row>
    <row r="61" spans="1:10" ht="16">
      <c r="A61" s="55" t="s">
        <v>290</v>
      </c>
      <c r="B61" s="83" t="str">
        <f t="shared" si="2"/>
        <v>AA-</v>
      </c>
      <c r="C61" s="82" t="str">
        <f t="shared" si="3"/>
        <v>NA</v>
      </c>
      <c r="E61" s="183" t="s">
        <v>557</v>
      </c>
      <c r="F61" s="247" t="s">
        <v>595</v>
      </c>
      <c r="G61" s="247" t="s">
        <v>143</v>
      </c>
      <c r="I61" s="252" t="s">
        <v>452</v>
      </c>
      <c r="J61" s="252" t="s">
        <v>210</v>
      </c>
    </row>
    <row r="62" spans="1:10" ht="16">
      <c r="A62" s="55" t="s">
        <v>108</v>
      </c>
      <c r="B62" s="83" t="str">
        <f t="shared" si="2"/>
        <v>BB-</v>
      </c>
      <c r="C62" s="82" t="str">
        <f t="shared" si="3"/>
        <v>B1</v>
      </c>
      <c r="E62" s="183" t="s">
        <v>108</v>
      </c>
      <c r="F62" s="247" t="s">
        <v>48</v>
      </c>
      <c r="G62" s="247" t="s">
        <v>48</v>
      </c>
      <c r="I62" s="252" t="s">
        <v>108</v>
      </c>
      <c r="J62" s="252" t="s">
        <v>199</v>
      </c>
    </row>
    <row r="63" spans="1:10" ht="16">
      <c r="A63" s="55" t="s">
        <v>59</v>
      </c>
      <c r="B63" s="83" t="str">
        <f t="shared" si="2"/>
        <v>AA+</v>
      </c>
      <c r="C63" s="82" t="str">
        <f t="shared" si="3"/>
        <v>Aa3</v>
      </c>
      <c r="E63" s="183" t="s">
        <v>59</v>
      </c>
      <c r="F63" s="247" t="s">
        <v>46</v>
      </c>
      <c r="G63" s="247" t="s">
        <v>46</v>
      </c>
      <c r="I63" s="252" t="s">
        <v>59</v>
      </c>
      <c r="J63" s="252" t="s">
        <v>204</v>
      </c>
    </row>
    <row r="64" spans="1:10" ht="16">
      <c r="A64" s="55" t="s">
        <v>109</v>
      </c>
      <c r="B64" s="83" t="str">
        <f t="shared" si="2"/>
        <v>BBB</v>
      </c>
      <c r="C64" s="82" t="str">
        <f t="shared" si="3"/>
        <v>Baa3</v>
      </c>
      <c r="E64" s="183" t="s">
        <v>109</v>
      </c>
      <c r="F64" s="247" t="s">
        <v>124</v>
      </c>
      <c r="G64" s="247" t="s">
        <v>124</v>
      </c>
      <c r="I64" s="252" t="s">
        <v>109</v>
      </c>
      <c r="J64" s="252" t="s">
        <v>206</v>
      </c>
    </row>
    <row r="65" spans="1:10" ht="16">
      <c r="A65" s="55" t="s">
        <v>110</v>
      </c>
      <c r="B65" s="83" t="str">
        <f t="shared" si="2"/>
        <v>A</v>
      </c>
      <c r="C65" s="82" t="str">
        <f t="shared" si="3"/>
        <v>A2</v>
      </c>
      <c r="E65" s="183" t="s">
        <v>110</v>
      </c>
      <c r="F65" s="247" t="s">
        <v>42</v>
      </c>
      <c r="G65" s="247" t="s">
        <v>42</v>
      </c>
      <c r="I65" s="252" t="s">
        <v>110</v>
      </c>
      <c r="J65" s="252" t="s">
        <v>224</v>
      </c>
    </row>
    <row r="66" spans="1:10" ht="16">
      <c r="A66" s="55" t="s">
        <v>111</v>
      </c>
      <c r="B66" s="83" t="str">
        <f t="shared" si="2"/>
        <v>BBB-</v>
      </c>
      <c r="C66" s="82" t="str">
        <f t="shared" si="3"/>
        <v>Baa3</v>
      </c>
      <c r="E66" s="183" t="s">
        <v>111</v>
      </c>
      <c r="F66" s="247" t="s">
        <v>124</v>
      </c>
      <c r="G66" s="247" t="s">
        <v>124</v>
      </c>
      <c r="I66" s="252" t="s">
        <v>111</v>
      </c>
      <c r="J66" s="252" t="s">
        <v>205</v>
      </c>
    </row>
    <row r="67" spans="1:10" ht="16">
      <c r="A67" s="55" t="s">
        <v>112</v>
      </c>
      <c r="B67" s="83" t="str">
        <f t="shared" si="2"/>
        <v>BBB</v>
      </c>
      <c r="C67" s="82" t="str">
        <f t="shared" si="3"/>
        <v>Baa2</v>
      </c>
      <c r="E67" s="183" t="s">
        <v>112</v>
      </c>
      <c r="F67" s="247" t="s">
        <v>83</v>
      </c>
      <c r="G67" s="247" t="s">
        <v>83</v>
      </c>
      <c r="I67" s="252" t="s">
        <v>112</v>
      </c>
      <c r="J67" s="252" t="s">
        <v>206</v>
      </c>
    </row>
    <row r="68" spans="1:10" ht="16">
      <c r="A68" s="55" t="s">
        <v>332</v>
      </c>
      <c r="B68" s="83" t="str">
        <f t="shared" ref="B68:B131" si="4">IF(J68=0,"NA",J68)</f>
        <v>B-</v>
      </c>
      <c r="C68" s="82" t="str">
        <f t="shared" ref="C68:C131" si="5">IF(G68=0,"NA",G68)</f>
        <v>Caa1</v>
      </c>
      <c r="E68" s="183" t="s">
        <v>332</v>
      </c>
      <c r="F68" s="247" t="s">
        <v>100</v>
      </c>
      <c r="G68" s="247" t="s">
        <v>100</v>
      </c>
      <c r="I68" s="252" t="s">
        <v>332</v>
      </c>
      <c r="J68" s="252" t="s">
        <v>200</v>
      </c>
    </row>
    <row r="69" spans="1:10" ht="16">
      <c r="A69" s="55" t="s">
        <v>183</v>
      </c>
      <c r="B69" s="83" t="str">
        <f t="shared" si="4"/>
        <v>AA-</v>
      </c>
      <c r="C69" s="82" t="str">
        <f t="shared" si="5"/>
        <v>A2</v>
      </c>
      <c r="E69" s="183" t="s">
        <v>183</v>
      </c>
      <c r="F69" s="247" t="s">
        <v>42</v>
      </c>
      <c r="G69" s="247" t="s">
        <v>42</v>
      </c>
      <c r="I69" s="252" t="s">
        <v>183</v>
      </c>
      <c r="J69" s="252" t="s">
        <v>210</v>
      </c>
    </row>
    <row r="70" spans="1:10" ht="16">
      <c r="A70" s="55" t="s">
        <v>113</v>
      </c>
      <c r="B70" s="83" t="str">
        <f t="shared" si="4"/>
        <v>NA</v>
      </c>
      <c r="C70" s="82" t="str">
        <f t="shared" si="5"/>
        <v>Aa2</v>
      </c>
      <c r="E70" s="183" t="s">
        <v>113</v>
      </c>
      <c r="F70" s="247" t="s">
        <v>45</v>
      </c>
      <c r="G70" s="247" t="s">
        <v>45</v>
      </c>
      <c r="I70" s="252"/>
      <c r="J70" s="252"/>
    </row>
    <row r="71" spans="1:10" ht="16">
      <c r="A71" s="55" t="s">
        <v>114</v>
      </c>
      <c r="B71" s="83" t="str">
        <f t="shared" si="4"/>
        <v>AA-</v>
      </c>
      <c r="C71" s="82" t="str">
        <f t="shared" si="5"/>
        <v>A1</v>
      </c>
      <c r="E71" s="183" t="s">
        <v>114</v>
      </c>
      <c r="F71" s="247" t="s">
        <v>41</v>
      </c>
      <c r="G71" s="247" t="s">
        <v>41</v>
      </c>
      <c r="I71" s="252" t="s">
        <v>114</v>
      </c>
      <c r="J71" s="252" t="s">
        <v>210</v>
      </c>
    </row>
    <row r="72" spans="1:10" ht="16">
      <c r="A72" s="55" t="s">
        <v>145</v>
      </c>
      <c r="B72" s="83" t="str">
        <f t="shared" si="4"/>
        <v>BBB</v>
      </c>
      <c r="C72" s="82" t="str">
        <f t="shared" si="5"/>
        <v>Baa3</v>
      </c>
      <c r="E72" s="183" t="s">
        <v>145</v>
      </c>
      <c r="F72" s="247" t="s">
        <v>124</v>
      </c>
      <c r="G72" s="247" t="s">
        <v>124</v>
      </c>
      <c r="I72" s="252" t="s">
        <v>145</v>
      </c>
      <c r="J72" s="252" t="s">
        <v>206</v>
      </c>
    </row>
    <row r="73" spans="1:10" ht="16">
      <c r="A73" s="55" t="s">
        <v>115</v>
      </c>
      <c r="B73" s="83" t="str">
        <f t="shared" si="4"/>
        <v>B+</v>
      </c>
      <c r="C73" s="82" t="str">
        <f t="shared" si="5"/>
        <v>B2</v>
      </c>
      <c r="E73" s="183" t="s">
        <v>115</v>
      </c>
      <c r="F73" s="247" t="s">
        <v>49</v>
      </c>
      <c r="G73" s="247" t="s">
        <v>49</v>
      </c>
      <c r="I73" s="252" t="s">
        <v>115</v>
      </c>
      <c r="J73" s="252" t="s">
        <v>196</v>
      </c>
    </row>
    <row r="74" spans="1:10" ht="16">
      <c r="A74" s="55" t="s">
        <v>116</v>
      </c>
      <c r="B74" s="83" t="str">
        <f t="shared" si="4"/>
        <v>A+</v>
      </c>
      <c r="C74" s="82" t="str">
        <f t="shared" si="5"/>
        <v>A1</v>
      </c>
      <c r="E74" s="183" t="s">
        <v>116</v>
      </c>
      <c r="F74" s="247" t="s">
        <v>41</v>
      </c>
      <c r="G74" s="247" t="s">
        <v>41</v>
      </c>
      <c r="I74" s="252" t="s">
        <v>116</v>
      </c>
      <c r="J74" s="252" t="s">
        <v>222</v>
      </c>
    </row>
    <row r="75" spans="1:10" ht="16">
      <c r="A75" s="55" t="s">
        <v>291</v>
      </c>
      <c r="B75" s="83" t="str">
        <f t="shared" si="4"/>
        <v>AA-</v>
      </c>
      <c r="C75" s="82" t="str">
        <f t="shared" si="5"/>
        <v>NA</v>
      </c>
      <c r="E75" s="183" t="s">
        <v>536</v>
      </c>
      <c r="F75" s="247" t="s">
        <v>595</v>
      </c>
      <c r="G75" s="247" t="s">
        <v>143</v>
      </c>
      <c r="I75" s="252" t="s">
        <v>454</v>
      </c>
      <c r="J75" s="252" t="s">
        <v>210</v>
      </c>
    </row>
    <row r="76" spans="1:10" ht="16">
      <c r="A76" s="55" t="s">
        <v>117</v>
      </c>
      <c r="B76" s="83" t="str">
        <f t="shared" si="4"/>
        <v>B+</v>
      </c>
      <c r="C76" s="82" t="str">
        <f t="shared" si="5"/>
        <v>B1</v>
      </c>
      <c r="E76" s="183" t="s">
        <v>117</v>
      </c>
      <c r="F76" s="247" t="s">
        <v>48</v>
      </c>
      <c r="G76" s="247" t="s">
        <v>48</v>
      </c>
      <c r="I76" s="252" t="s">
        <v>117</v>
      </c>
      <c r="J76" s="252" t="s">
        <v>196</v>
      </c>
    </row>
    <row r="77" spans="1:10" ht="16">
      <c r="A77" s="55" t="s">
        <v>118</v>
      </c>
      <c r="B77" s="83" t="str">
        <f t="shared" si="4"/>
        <v>BBB-</v>
      </c>
      <c r="C77" s="82" t="str">
        <f t="shared" si="5"/>
        <v>Baa3</v>
      </c>
      <c r="E77" s="248" t="s">
        <v>118</v>
      </c>
      <c r="F77" s="249" t="s">
        <v>124</v>
      </c>
      <c r="G77" s="249" t="s">
        <v>124</v>
      </c>
      <c r="I77" s="252" t="s">
        <v>118</v>
      </c>
      <c r="J77" s="252" t="s">
        <v>205</v>
      </c>
    </row>
    <row r="78" spans="1:10" ht="16">
      <c r="A78" s="55" t="s">
        <v>184</v>
      </c>
      <c r="B78" s="83" t="str">
        <f t="shared" si="4"/>
        <v>B+</v>
      </c>
      <c r="C78" s="82" t="str">
        <f t="shared" si="5"/>
        <v>B2</v>
      </c>
      <c r="E78" s="183" t="s">
        <v>184</v>
      </c>
      <c r="F78" s="247" t="s">
        <v>49</v>
      </c>
      <c r="G78" s="247" t="s">
        <v>49</v>
      </c>
      <c r="I78" s="252" t="s">
        <v>184</v>
      </c>
      <c r="J78" s="252" t="s">
        <v>196</v>
      </c>
    </row>
    <row r="79" spans="1:10" ht="16">
      <c r="A79" s="55" t="s">
        <v>119</v>
      </c>
      <c r="B79" s="83" t="str">
        <f t="shared" si="4"/>
        <v>AA</v>
      </c>
      <c r="C79" s="82" t="str">
        <f t="shared" si="5"/>
        <v>Aa2</v>
      </c>
      <c r="E79" s="183" t="s">
        <v>119</v>
      </c>
      <c r="F79" s="247" t="s">
        <v>45</v>
      </c>
      <c r="G79" s="247" t="s">
        <v>45</v>
      </c>
      <c r="I79" s="252" t="s">
        <v>119</v>
      </c>
      <c r="J79" s="252" t="s">
        <v>207</v>
      </c>
    </row>
    <row r="80" spans="1:10" ht="16">
      <c r="A80" s="55" t="s">
        <v>120</v>
      </c>
      <c r="B80" s="83" t="str">
        <f t="shared" si="4"/>
        <v>AA-</v>
      </c>
      <c r="C80" s="82" t="str">
        <f t="shared" si="5"/>
        <v>Aa2</v>
      </c>
      <c r="E80" s="183" t="s">
        <v>120</v>
      </c>
      <c r="F80" s="247" t="s">
        <v>45</v>
      </c>
      <c r="G80" s="247" t="s">
        <v>45</v>
      </c>
      <c r="I80" s="252" t="s">
        <v>120</v>
      </c>
      <c r="J80" s="252" t="s">
        <v>210</v>
      </c>
    </row>
    <row r="81" spans="1:10" ht="16">
      <c r="A81" t="s">
        <v>354</v>
      </c>
      <c r="B81" s="83" t="str">
        <f t="shared" si="4"/>
        <v>NA</v>
      </c>
      <c r="C81" s="82" t="str">
        <f t="shared" si="5"/>
        <v>B2</v>
      </c>
      <c r="E81" s="183" t="s">
        <v>355</v>
      </c>
      <c r="F81" s="247" t="s">
        <v>49</v>
      </c>
      <c r="G81" s="247" t="s">
        <v>49</v>
      </c>
      <c r="I81" s="252"/>
      <c r="J81" s="252"/>
    </row>
    <row r="82" spans="1:10" ht="16">
      <c r="A82" t="str">
        <f>E82</f>
        <v>Laos</v>
      </c>
      <c r="B82" s="83" t="str">
        <f t="shared" si="4"/>
        <v>NA</v>
      </c>
      <c r="C82" s="82" t="str">
        <f t="shared" si="5"/>
        <v>B3</v>
      </c>
      <c r="E82" s="183" t="s">
        <v>344</v>
      </c>
      <c r="F82" s="247" t="s">
        <v>78</v>
      </c>
      <c r="G82" s="247" t="s">
        <v>78</v>
      </c>
      <c r="I82" s="252"/>
      <c r="J82" s="252"/>
    </row>
    <row r="83" spans="1:10" ht="16">
      <c r="A83" s="55" t="s">
        <v>121</v>
      </c>
      <c r="B83" s="83" t="str">
        <f t="shared" si="4"/>
        <v>A+</v>
      </c>
      <c r="C83" s="82" t="str">
        <f t="shared" si="5"/>
        <v>A3</v>
      </c>
      <c r="E83" s="183" t="s">
        <v>121</v>
      </c>
      <c r="F83" s="247" t="s">
        <v>43</v>
      </c>
      <c r="G83" s="247" t="s">
        <v>43</v>
      </c>
      <c r="I83" s="252" t="s">
        <v>121</v>
      </c>
      <c r="J83" s="252" t="s">
        <v>222</v>
      </c>
    </row>
    <row r="84" spans="1:10" ht="16">
      <c r="A84" s="55" t="s">
        <v>122</v>
      </c>
      <c r="B84" s="83" t="str">
        <f t="shared" si="4"/>
        <v>SD</v>
      </c>
      <c r="C84" s="82" t="str">
        <f t="shared" si="5"/>
        <v>Ca</v>
      </c>
      <c r="E84" s="183" t="s">
        <v>122</v>
      </c>
      <c r="F84" s="247" t="s">
        <v>347</v>
      </c>
      <c r="G84" s="247" t="s">
        <v>347</v>
      </c>
      <c r="I84" s="252" t="s">
        <v>122</v>
      </c>
      <c r="J84" s="252" t="s">
        <v>563</v>
      </c>
    </row>
    <row r="85" spans="1:10" ht="16">
      <c r="A85" s="55" t="s">
        <v>223</v>
      </c>
      <c r="B85" s="83" t="str">
        <f t="shared" si="4"/>
        <v>AAA</v>
      </c>
      <c r="C85" s="82" t="str">
        <f t="shared" si="5"/>
        <v>NA</v>
      </c>
      <c r="E85" s="183" t="s">
        <v>223</v>
      </c>
      <c r="F85" s="247" t="s">
        <v>595</v>
      </c>
      <c r="G85" s="247" t="s">
        <v>143</v>
      </c>
      <c r="I85" s="252" t="s">
        <v>223</v>
      </c>
      <c r="J85" s="252" t="s">
        <v>203</v>
      </c>
    </row>
    <row r="86" spans="1:10" ht="16">
      <c r="A86" s="55" t="s">
        <v>13</v>
      </c>
      <c r="B86" s="83" t="str">
        <f t="shared" si="4"/>
        <v>A+</v>
      </c>
      <c r="C86" s="82" t="str">
        <f t="shared" si="5"/>
        <v>A3</v>
      </c>
      <c r="E86" s="183" t="s">
        <v>13</v>
      </c>
      <c r="F86" s="247" t="s">
        <v>43</v>
      </c>
      <c r="G86" s="247" t="s">
        <v>43</v>
      </c>
      <c r="I86" s="252" t="s">
        <v>13</v>
      </c>
      <c r="J86" s="252" t="s">
        <v>222</v>
      </c>
    </row>
    <row r="87" spans="1:10" ht="16">
      <c r="A87" s="55" t="s">
        <v>185</v>
      </c>
      <c r="B87" s="83" t="str">
        <f t="shared" si="4"/>
        <v>AAA</v>
      </c>
      <c r="C87" s="82" t="str">
        <f t="shared" si="5"/>
        <v>Aaa</v>
      </c>
      <c r="E87" s="183" t="s">
        <v>185</v>
      </c>
      <c r="F87" s="247" t="s">
        <v>47</v>
      </c>
      <c r="G87" s="247" t="s">
        <v>47</v>
      </c>
      <c r="I87" s="252" t="s">
        <v>185</v>
      </c>
      <c r="J87" s="252" t="s">
        <v>203</v>
      </c>
    </row>
    <row r="88" spans="1:10" ht="16">
      <c r="A88" s="55" t="s">
        <v>32</v>
      </c>
      <c r="B88" s="83" t="str">
        <f t="shared" si="4"/>
        <v>NA</v>
      </c>
      <c r="C88" s="82" t="str">
        <f t="shared" si="5"/>
        <v>Aa3</v>
      </c>
      <c r="E88" s="183" t="s">
        <v>32</v>
      </c>
      <c r="F88" s="247" t="s">
        <v>46</v>
      </c>
      <c r="G88" s="247" t="s">
        <v>46</v>
      </c>
      <c r="I88" s="252"/>
      <c r="J88" s="252"/>
    </row>
    <row r="89" spans="1:10" ht="16">
      <c r="A89" s="55" t="s">
        <v>146</v>
      </c>
      <c r="B89" s="83" t="str">
        <f t="shared" si="4"/>
        <v>BB-</v>
      </c>
      <c r="C89" s="82" t="str">
        <f t="shared" si="5"/>
        <v>NA</v>
      </c>
      <c r="E89" s="183" t="s">
        <v>146</v>
      </c>
      <c r="F89" s="247"/>
      <c r="G89" s="247"/>
      <c r="I89" s="252" t="s">
        <v>565</v>
      </c>
      <c r="J89" s="252" t="s">
        <v>199</v>
      </c>
    </row>
    <row r="90" spans="1:10" ht="16">
      <c r="A90" s="55" t="s">
        <v>14</v>
      </c>
      <c r="B90" s="83" t="str">
        <f t="shared" si="4"/>
        <v>A-</v>
      </c>
      <c r="C90" s="82" t="str">
        <f t="shared" si="5"/>
        <v>A3</v>
      </c>
      <c r="E90" s="183" t="s">
        <v>14</v>
      </c>
      <c r="F90" s="247" t="s">
        <v>43</v>
      </c>
      <c r="G90" s="247" t="s">
        <v>43</v>
      </c>
      <c r="I90" s="252" t="s">
        <v>14</v>
      </c>
      <c r="J90" s="252" t="s">
        <v>198</v>
      </c>
    </row>
    <row r="91" spans="1:10" ht="16">
      <c r="A91" s="55" t="s">
        <v>419</v>
      </c>
      <c r="B91" s="83" t="str">
        <f t="shared" si="4"/>
        <v>NA</v>
      </c>
      <c r="C91" s="82" t="str">
        <f t="shared" si="5"/>
        <v>B3</v>
      </c>
      <c r="E91" s="183" t="s">
        <v>419</v>
      </c>
      <c r="F91" s="247" t="s">
        <v>78</v>
      </c>
      <c r="G91" s="247" t="s">
        <v>78</v>
      </c>
      <c r="I91" s="252"/>
      <c r="J91" s="252"/>
    </row>
    <row r="92" spans="1:10" ht="16">
      <c r="A92" s="171" t="s">
        <v>326</v>
      </c>
      <c r="B92" s="83" t="str">
        <f t="shared" si="4"/>
        <v>NA</v>
      </c>
      <c r="C92" s="82" t="str">
        <f t="shared" si="5"/>
        <v>B3</v>
      </c>
      <c r="E92" s="183" t="s">
        <v>326</v>
      </c>
      <c r="F92" s="247" t="s">
        <v>78</v>
      </c>
      <c r="G92" s="247" t="s">
        <v>78</v>
      </c>
      <c r="I92" s="252"/>
      <c r="J92" s="252"/>
    </row>
    <row r="93" spans="1:10" ht="16">
      <c r="A93" s="55" t="s">
        <v>186</v>
      </c>
      <c r="B93" s="83" t="str">
        <f t="shared" si="4"/>
        <v>A-</v>
      </c>
      <c r="C93" s="82" t="str">
        <f t="shared" si="5"/>
        <v>A2</v>
      </c>
      <c r="E93" s="183" t="s">
        <v>186</v>
      </c>
      <c r="F93" s="247" t="s">
        <v>42</v>
      </c>
      <c r="G93" s="247" t="s">
        <v>42</v>
      </c>
      <c r="I93" s="252" t="s">
        <v>186</v>
      </c>
      <c r="J93" s="252" t="s">
        <v>198</v>
      </c>
    </row>
    <row r="94" spans="1:10" ht="16">
      <c r="A94" s="55" t="s">
        <v>15</v>
      </c>
      <c r="B94" s="83" t="str">
        <f t="shared" si="4"/>
        <v>NA</v>
      </c>
      <c r="C94" s="82" t="str">
        <f t="shared" si="5"/>
        <v>Baa1</v>
      </c>
      <c r="E94" s="183" t="s">
        <v>15</v>
      </c>
      <c r="F94" s="247" t="s">
        <v>82</v>
      </c>
      <c r="G94" s="247" t="s">
        <v>82</v>
      </c>
      <c r="I94" s="252"/>
      <c r="J94" s="252"/>
    </row>
    <row r="95" spans="1:10" ht="16">
      <c r="A95" s="55" t="s">
        <v>16</v>
      </c>
      <c r="B95" s="83" t="str">
        <f t="shared" si="4"/>
        <v>BBB</v>
      </c>
      <c r="C95" s="82" t="str">
        <f t="shared" si="5"/>
        <v>Baa1</v>
      </c>
      <c r="E95" s="183" t="s">
        <v>16</v>
      </c>
      <c r="F95" s="247" t="s">
        <v>82</v>
      </c>
      <c r="G95" s="247" t="s">
        <v>82</v>
      </c>
      <c r="I95" s="252" t="s">
        <v>16</v>
      </c>
      <c r="J95" s="252" t="s">
        <v>206</v>
      </c>
    </row>
    <row r="96" spans="1:10" ht="16">
      <c r="A96" s="55" t="s">
        <v>17</v>
      </c>
      <c r="B96" s="83" t="str">
        <f t="shared" si="4"/>
        <v>NA</v>
      </c>
      <c r="C96" s="82" t="str">
        <f t="shared" si="5"/>
        <v>B3</v>
      </c>
      <c r="E96" s="183" t="s">
        <v>17</v>
      </c>
      <c r="F96" s="247" t="s">
        <v>78</v>
      </c>
      <c r="G96" s="247" t="s">
        <v>78</v>
      </c>
      <c r="I96" s="252"/>
      <c r="J96" s="252"/>
    </row>
    <row r="97" spans="1:10" ht="16">
      <c r="A97" s="55" t="s">
        <v>63</v>
      </c>
      <c r="B97" s="83" t="str">
        <f t="shared" si="4"/>
        <v>B</v>
      </c>
      <c r="C97" s="82" t="str">
        <f t="shared" si="5"/>
        <v>B3</v>
      </c>
      <c r="E97" s="183" t="s">
        <v>63</v>
      </c>
      <c r="F97" s="247" t="s">
        <v>78</v>
      </c>
      <c r="G97" s="247" t="s">
        <v>78</v>
      </c>
      <c r="I97" s="252" t="s">
        <v>63</v>
      </c>
      <c r="J97" s="252" t="s">
        <v>209</v>
      </c>
    </row>
    <row r="98" spans="1:10" ht="16">
      <c r="A98" s="55" t="s">
        <v>8</v>
      </c>
      <c r="B98" s="83" t="str">
        <f t="shared" si="4"/>
        <v>B+</v>
      </c>
      <c r="C98" s="82" t="str">
        <f t="shared" si="5"/>
        <v>B1</v>
      </c>
      <c r="E98" s="183" t="s">
        <v>8</v>
      </c>
      <c r="F98" s="247" t="s">
        <v>48</v>
      </c>
      <c r="G98" s="247" t="str">
        <f>F98</f>
        <v>B1</v>
      </c>
      <c r="I98" s="252" t="s">
        <v>8</v>
      </c>
      <c r="J98" s="252" t="s">
        <v>196</v>
      </c>
    </row>
    <row r="99" spans="1:10" ht="16">
      <c r="A99" s="55" t="s">
        <v>225</v>
      </c>
      <c r="B99" s="83" t="str">
        <f t="shared" si="4"/>
        <v>BBB-</v>
      </c>
      <c r="C99" s="82" t="str">
        <f t="shared" si="5"/>
        <v>NA</v>
      </c>
      <c r="E99" s="183"/>
      <c r="F99" s="247"/>
      <c r="G99" s="247"/>
      <c r="I99" s="252" t="s">
        <v>225</v>
      </c>
      <c r="J99" s="252" t="s">
        <v>205</v>
      </c>
    </row>
    <row r="100" spans="1:10" ht="16">
      <c r="A100" s="55" t="s">
        <v>18</v>
      </c>
      <c r="B100" s="83" t="str">
        <f t="shared" si="4"/>
        <v>BBB-</v>
      </c>
      <c r="C100" s="82" t="str">
        <f t="shared" si="5"/>
        <v>Ba1</v>
      </c>
      <c r="E100" s="183" t="s">
        <v>18</v>
      </c>
      <c r="F100" s="247" t="s">
        <v>79</v>
      </c>
      <c r="G100" s="247" t="s">
        <v>79</v>
      </c>
      <c r="I100" s="252" t="s">
        <v>18</v>
      </c>
      <c r="J100" s="252" t="s">
        <v>205</v>
      </c>
    </row>
    <row r="101" spans="1:10" ht="16">
      <c r="A101" s="55" t="s">
        <v>226</v>
      </c>
      <c r="B101" s="83" t="str">
        <f t="shared" si="4"/>
        <v>CCC+</v>
      </c>
      <c r="C101" s="82" t="str">
        <f t="shared" si="5"/>
        <v>Caa2</v>
      </c>
      <c r="E101" s="250" t="s">
        <v>226</v>
      </c>
      <c r="F101" s="247" t="s">
        <v>58</v>
      </c>
      <c r="G101" s="247" t="s">
        <v>58</v>
      </c>
      <c r="I101" s="252" t="s">
        <v>226</v>
      </c>
      <c r="J101" s="252" t="s">
        <v>218</v>
      </c>
    </row>
    <row r="102" spans="1:10" ht="16">
      <c r="A102" s="55" t="s">
        <v>136</v>
      </c>
      <c r="B102" s="83" t="str">
        <f t="shared" si="4"/>
        <v>NA</v>
      </c>
      <c r="C102" s="82" t="str">
        <f t="shared" si="5"/>
        <v>Ba2</v>
      </c>
      <c r="E102" s="183" t="s">
        <v>136</v>
      </c>
      <c r="F102" s="247" t="s">
        <v>80</v>
      </c>
      <c r="G102" s="247" t="s">
        <v>80</v>
      </c>
      <c r="I102" s="252"/>
      <c r="J102" s="252"/>
    </row>
    <row r="103" spans="1:10" ht="16">
      <c r="A103" s="55" t="s">
        <v>187</v>
      </c>
      <c r="B103" s="83" t="str">
        <f t="shared" si="4"/>
        <v>AAA</v>
      </c>
      <c r="C103" s="82" t="str">
        <f t="shared" si="5"/>
        <v>Aaa</v>
      </c>
      <c r="E103" s="183" t="s">
        <v>187</v>
      </c>
      <c r="F103" s="247" t="s">
        <v>47</v>
      </c>
      <c r="G103" s="247" t="s">
        <v>47</v>
      </c>
      <c r="I103" s="252" t="s">
        <v>187</v>
      </c>
      <c r="J103" s="252" t="s">
        <v>203</v>
      </c>
    </row>
    <row r="104" spans="1:10" ht="16">
      <c r="A104" s="55" t="s">
        <v>21</v>
      </c>
      <c r="B104" s="83" t="str">
        <f t="shared" si="4"/>
        <v>AA</v>
      </c>
      <c r="C104" s="82" t="str">
        <f t="shared" si="5"/>
        <v>Aaa</v>
      </c>
      <c r="E104" s="183" t="s">
        <v>21</v>
      </c>
      <c r="F104" s="247" t="s">
        <v>47</v>
      </c>
      <c r="G104" s="247" t="s">
        <v>47</v>
      </c>
      <c r="I104" s="252" t="s">
        <v>21</v>
      </c>
      <c r="J104" s="252" t="s">
        <v>207</v>
      </c>
    </row>
    <row r="105" spans="1:10" ht="16">
      <c r="A105" s="55" t="s">
        <v>22</v>
      </c>
      <c r="B105" s="83" t="str">
        <f t="shared" si="4"/>
        <v>B-</v>
      </c>
      <c r="C105" s="82" t="str">
        <f t="shared" si="5"/>
        <v>B3</v>
      </c>
      <c r="E105" s="183" t="s">
        <v>22</v>
      </c>
      <c r="F105" s="247" t="s">
        <v>78</v>
      </c>
      <c r="G105" s="247" t="s">
        <v>78</v>
      </c>
      <c r="I105" s="252" t="s">
        <v>22</v>
      </c>
      <c r="J105" s="252" t="s">
        <v>200</v>
      </c>
    </row>
    <row r="106" spans="1:10" ht="16">
      <c r="A106" s="121" t="s">
        <v>322</v>
      </c>
      <c r="B106" s="83" t="str">
        <f t="shared" si="4"/>
        <v>NA</v>
      </c>
      <c r="C106" s="82" t="str">
        <f t="shared" si="5"/>
        <v>B3</v>
      </c>
      <c r="E106" s="183" t="s">
        <v>322</v>
      </c>
      <c r="F106" s="247" t="s">
        <v>78</v>
      </c>
      <c r="G106" s="247" t="s">
        <v>78</v>
      </c>
      <c r="I106" s="252"/>
      <c r="J106" s="252"/>
    </row>
    <row r="107" spans="1:10" ht="16">
      <c r="A107" s="55" t="s">
        <v>188</v>
      </c>
      <c r="B107" s="83" t="str">
        <f t="shared" si="4"/>
        <v>B-</v>
      </c>
      <c r="C107" s="82" t="str">
        <f t="shared" si="5"/>
        <v>B2</v>
      </c>
      <c r="E107" s="183" t="s">
        <v>188</v>
      </c>
      <c r="F107" s="247" t="s">
        <v>49</v>
      </c>
      <c r="G107" s="247" t="s">
        <v>49</v>
      </c>
      <c r="I107" s="252" t="s">
        <v>188</v>
      </c>
      <c r="J107" s="252" t="s">
        <v>200</v>
      </c>
    </row>
    <row r="108" spans="1:10" ht="16">
      <c r="A108" s="55" t="s">
        <v>23</v>
      </c>
      <c r="B108" s="83" t="str">
        <f t="shared" si="4"/>
        <v>AAA</v>
      </c>
      <c r="C108" s="82" t="str">
        <f t="shared" si="5"/>
        <v>Aaa</v>
      </c>
      <c r="E108" s="183" t="s">
        <v>23</v>
      </c>
      <c r="F108" s="247" t="s">
        <v>47</v>
      </c>
      <c r="G108" s="247" t="s">
        <v>47</v>
      </c>
      <c r="I108" s="252" t="s">
        <v>23</v>
      </c>
      <c r="J108" s="252" t="s">
        <v>203</v>
      </c>
    </row>
    <row r="109" spans="1:10" ht="16">
      <c r="A109" s="55" t="s">
        <v>24</v>
      </c>
      <c r="B109" s="83" t="str">
        <f t="shared" si="4"/>
        <v>BB-</v>
      </c>
      <c r="C109" s="82" t="str">
        <f t="shared" si="5"/>
        <v>Ba3</v>
      </c>
      <c r="E109" s="183" t="s">
        <v>24</v>
      </c>
      <c r="F109" s="247" t="s">
        <v>81</v>
      </c>
      <c r="G109" s="247" t="s">
        <v>81</v>
      </c>
      <c r="I109" s="252" t="s">
        <v>24</v>
      </c>
      <c r="J109" s="252" t="s">
        <v>199</v>
      </c>
    </row>
    <row r="110" spans="1:10" ht="16">
      <c r="A110" s="55" t="s">
        <v>25</v>
      </c>
      <c r="B110" s="83" t="str">
        <f t="shared" si="4"/>
        <v>B-</v>
      </c>
      <c r="C110" s="82" t="str">
        <f t="shared" si="5"/>
        <v>B3</v>
      </c>
      <c r="E110" s="183" t="s">
        <v>25</v>
      </c>
      <c r="F110" s="247" t="s">
        <v>78</v>
      </c>
      <c r="G110" s="247" t="s">
        <v>78</v>
      </c>
      <c r="I110" s="252" t="s">
        <v>25</v>
      </c>
      <c r="J110" s="252" t="s">
        <v>200</v>
      </c>
    </row>
    <row r="111" spans="1:10" ht="16">
      <c r="A111" s="55" t="s">
        <v>26</v>
      </c>
      <c r="B111" s="83" t="str">
        <f t="shared" si="4"/>
        <v>BBB+</v>
      </c>
      <c r="C111" s="82" t="str">
        <f t="shared" si="5"/>
        <v>Baa1</v>
      </c>
      <c r="E111" s="183" t="s">
        <v>26</v>
      </c>
      <c r="F111" s="247" t="s">
        <v>82</v>
      </c>
      <c r="G111" s="247" t="str">
        <f>F111</f>
        <v>Baa1</v>
      </c>
      <c r="I111" s="252" t="s">
        <v>26</v>
      </c>
      <c r="J111" s="252" t="s">
        <v>202</v>
      </c>
    </row>
    <row r="112" spans="1:10" ht="16">
      <c r="A112" s="55" t="s">
        <v>9</v>
      </c>
      <c r="B112" s="83" t="str">
        <f t="shared" si="4"/>
        <v>B-</v>
      </c>
      <c r="C112" s="82" t="str">
        <f t="shared" si="5"/>
        <v>B2</v>
      </c>
      <c r="E112" s="248" t="s">
        <v>9</v>
      </c>
      <c r="F112" s="249" t="s">
        <v>49</v>
      </c>
      <c r="G112" s="249" t="s">
        <v>49</v>
      </c>
      <c r="I112" s="252" t="s">
        <v>9</v>
      </c>
      <c r="J112" s="252" t="s">
        <v>200</v>
      </c>
    </row>
    <row r="113" spans="1:10" ht="16">
      <c r="A113" s="55" t="s">
        <v>27</v>
      </c>
      <c r="B113" s="83" t="str">
        <f t="shared" si="4"/>
        <v>BB</v>
      </c>
      <c r="C113" s="82" t="str">
        <f t="shared" si="5"/>
        <v>Ba1</v>
      </c>
      <c r="E113" s="183" t="s">
        <v>27</v>
      </c>
      <c r="F113" s="247" t="s">
        <v>79</v>
      </c>
      <c r="G113" s="247" t="s">
        <v>79</v>
      </c>
      <c r="I113" s="252" t="s">
        <v>27</v>
      </c>
      <c r="J113" s="252" t="s">
        <v>215</v>
      </c>
    </row>
    <row r="114" spans="1:10" ht="16">
      <c r="A114" s="55" t="s">
        <v>28</v>
      </c>
      <c r="B114" s="83" t="str">
        <f t="shared" si="4"/>
        <v>BBB+</v>
      </c>
      <c r="C114" s="82" t="str">
        <f t="shared" si="5"/>
        <v>A3</v>
      </c>
      <c r="E114" s="183" t="s">
        <v>28</v>
      </c>
      <c r="F114" s="247" t="s">
        <v>43</v>
      </c>
      <c r="G114" s="247" t="s">
        <v>43</v>
      </c>
      <c r="I114" s="252" t="s">
        <v>28</v>
      </c>
      <c r="J114" s="252" t="s">
        <v>202</v>
      </c>
    </row>
    <row r="115" spans="1:10" ht="16">
      <c r="A115" s="55" t="s">
        <v>29</v>
      </c>
      <c r="B115" s="83" t="str">
        <f t="shared" si="4"/>
        <v>BBB+</v>
      </c>
      <c r="C115" s="82" t="str">
        <f t="shared" si="5"/>
        <v>Baa2</v>
      </c>
      <c r="E115" s="183" t="s">
        <v>29</v>
      </c>
      <c r="F115" s="247" t="s">
        <v>83</v>
      </c>
      <c r="G115" s="247" t="s">
        <v>83</v>
      </c>
      <c r="I115" s="252" t="s">
        <v>29</v>
      </c>
      <c r="J115" s="252" t="s">
        <v>202</v>
      </c>
    </row>
    <row r="116" spans="1:10" ht="16">
      <c r="A116" s="55" t="s">
        <v>30</v>
      </c>
      <c r="B116" s="83" t="str">
        <f t="shared" si="4"/>
        <v>A-</v>
      </c>
      <c r="C116" s="82" t="str">
        <f t="shared" si="5"/>
        <v>A2</v>
      </c>
      <c r="E116" s="183" t="s">
        <v>30</v>
      </c>
      <c r="F116" s="247" t="s">
        <v>42</v>
      </c>
      <c r="G116" s="247" t="s">
        <v>42</v>
      </c>
      <c r="I116" s="252" t="s">
        <v>30</v>
      </c>
      <c r="J116" s="252" t="s">
        <v>198</v>
      </c>
    </row>
    <row r="117" spans="1:10" ht="16">
      <c r="A117" s="55" t="s">
        <v>189</v>
      </c>
      <c r="B117" s="83" t="str">
        <f t="shared" si="4"/>
        <v>BBB</v>
      </c>
      <c r="C117" s="82" t="str">
        <f t="shared" si="5"/>
        <v>Baa3</v>
      </c>
      <c r="E117" s="183" t="s">
        <v>189</v>
      </c>
      <c r="F117" s="247" t="s">
        <v>124</v>
      </c>
      <c r="G117" s="247" t="s">
        <v>124</v>
      </c>
      <c r="I117" s="252" t="s">
        <v>189</v>
      </c>
      <c r="J117" s="252" t="s">
        <v>206</v>
      </c>
    </row>
    <row r="118" spans="1:10" ht="16">
      <c r="A118" s="55" t="s">
        <v>74</v>
      </c>
      <c r="B118" s="83" t="str">
        <f t="shared" si="4"/>
        <v>AA-</v>
      </c>
      <c r="C118" s="82" t="str">
        <f t="shared" si="5"/>
        <v>Aa3</v>
      </c>
      <c r="E118" s="183" t="s">
        <v>74</v>
      </c>
      <c r="F118" s="247" t="s">
        <v>46</v>
      </c>
      <c r="G118" s="247" t="s">
        <v>46</v>
      </c>
      <c r="I118" s="252" t="s">
        <v>74</v>
      </c>
      <c r="J118" s="252" t="s">
        <v>210</v>
      </c>
    </row>
    <row r="119" spans="1:10" ht="16">
      <c r="A119" s="55" t="s">
        <v>292</v>
      </c>
      <c r="B119" s="83" t="str">
        <f t="shared" si="4"/>
        <v>A</v>
      </c>
      <c r="C119" s="82" t="str">
        <f t="shared" si="5"/>
        <v>NA</v>
      </c>
      <c r="E119" s="183"/>
      <c r="F119" s="247"/>
      <c r="G119" s="247"/>
      <c r="I119" s="252" t="s">
        <v>600</v>
      </c>
      <c r="J119" s="252" t="s">
        <v>224</v>
      </c>
    </row>
    <row r="120" spans="1:10" ht="16">
      <c r="A120" s="55" t="s">
        <v>0</v>
      </c>
      <c r="B120" s="83" t="str">
        <f t="shared" si="4"/>
        <v>BBB-</v>
      </c>
      <c r="C120" s="82" t="str">
        <f t="shared" si="5"/>
        <v>Baa3</v>
      </c>
      <c r="E120" s="183" t="s">
        <v>0</v>
      </c>
      <c r="F120" s="247" t="s">
        <v>124</v>
      </c>
      <c r="G120" s="247" t="s">
        <v>124</v>
      </c>
      <c r="I120" s="252" t="s">
        <v>0</v>
      </c>
      <c r="J120" s="252" t="s">
        <v>205</v>
      </c>
    </row>
    <row r="121" spans="1:10" ht="16">
      <c r="A121" s="55" t="s">
        <v>1</v>
      </c>
      <c r="B121" s="83" t="str">
        <f t="shared" si="4"/>
        <v>BBB-</v>
      </c>
      <c r="C121" s="82" t="str">
        <f t="shared" si="5"/>
        <v>Baa3</v>
      </c>
      <c r="E121" s="248" t="s">
        <v>1</v>
      </c>
      <c r="F121" s="249" t="s">
        <v>124</v>
      </c>
      <c r="G121" s="249" t="s">
        <v>124</v>
      </c>
      <c r="I121" s="252" t="s">
        <v>1</v>
      </c>
      <c r="J121" s="252" t="s">
        <v>205</v>
      </c>
    </row>
    <row r="122" spans="1:10" ht="16">
      <c r="A122" s="55" t="s">
        <v>227</v>
      </c>
      <c r="B122" s="83" t="str">
        <f t="shared" si="4"/>
        <v>B+</v>
      </c>
      <c r="C122" s="82" t="str">
        <f t="shared" si="5"/>
        <v>B2</v>
      </c>
      <c r="E122" s="248" t="s">
        <v>227</v>
      </c>
      <c r="F122" s="249" t="s">
        <v>49</v>
      </c>
      <c r="G122" s="249" t="s">
        <v>49</v>
      </c>
      <c r="I122" s="252" t="s">
        <v>227</v>
      </c>
      <c r="J122" s="252" t="s">
        <v>196</v>
      </c>
    </row>
    <row r="123" spans="1:10" ht="16">
      <c r="A123" s="55" t="s">
        <v>2</v>
      </c>
      <c r="B123" s="83" t="str">
        <f t="shared" si="4"/>
        <v>A-</v>
      </c>
      <c r="C123" s="82" t="str">
        <f t="shared" si="5"/>
        <v>A1</v>
      </c>
      <c r="E123" s="183" t="s">
        <v>2</v>
      </c>
      <c r="F123" s="247" t="s">
        <v>41</v>
      </c>
      <c r="G123" s="247" t="s">
        <v>41</v>
      </c>
      <c r="I123" s="252" t="s">
        <v>2</v>
      </c>
      <c r="J123" s="252" t="s">
        <v>198</v>
      </c>
    </row>
    <row r="124" spans="1:10" ht="16">
      <c r="A124" s="55" t="s">
        <v>135</v>
      </c>
      <c r="B124" s="83" t="str">
        <f t="shared" si="4"/>
        <v>B+</v>
      </c>
      <c r="C124" s="82" t="str">
        <f t="shared" si="5"/>
        <v>Ba3</v>
      </c>
      <c r="E124" s="183" t="s">
        <v>135</v>
      </c>
      <c r="F124" s="247" t="s">
        <v>81</v>
      </c>
      <c r="G124" s="247" t="s">
        <v>81</v>
      </c>
      <c r="I124" s="252" t="s">
        <v>135</v>
      </c>
      <c r="J124" s="252" t="s">
        <v>196</v>
      </c>
    </row>
    <row r="125" spans="1:10" ht="16">
      <c r="A125" s="55" t="s">
        <v>147</v>
      </c>
      <c r="B125" s="83" t="str">
        <f t="shared" si="4"/>
        <v>BB+</v>
      </c>
      <c r="C125" s="82" t="str">
        <f t="shared" si="5"/>
        <v>Ba3</v>
      </c>
      <c r="E125" s="183" t="s">
        <v>147</v>
      </c>
      <c r="F125" s="247" t="s">
        <v>81</v>
      </c>
      <c r="G125" s="247" t="s">
        <v>81</v>
      </c>
      <c r="I125" s="252" t="s">
        <v>147</v>
      </c>
      <c r="J125" s="252" t="s">
        <v>216</v>
      </c>
    </row>
    <row r="126" spans="1:10" ht="16">
      <c r="A126" s="55" t="s">
        <v>286</v>
      </c>
      <c r="B126" s="83" t="str">
        <f t="shared" si="4"/>
        <v>BBB</v>
      </c>
      <c r="C126" s="82" t="str">
        <f t="shared" si="5"/>
        <v>Baa2</v>
      </c>
      <c r="E126" s="183" t="s">
        <v>286</v>
      </c>
      <c r="F126" s="247" t="s">
        <v>83</v>
      </c>
      <c r="G126" s="247" t="s">
        <v>83</v>
      </c>
      <c r="I126" s="252" t="s">
        <v>286</v>
      </c>
      <c r="J126" s="252" t="s">
        <v>206</v>
      </c>
    </row>
    <row r="127" spans="1:10" ht="16">
      <c r="A127" s="55" t="s">
        <v>3</v>
      </c>
      <c r="B127" s="83" t="str">
        <f t="shared" si="4"/>
        <v>AAA</v>
      </c>
      <c r="C127" s="82" t="str">
        <f t="shared" si="5"/>
        <v>Aaa</v>
      </c>
      <c r="E127" s="183" t="s">
        <v>3</v>
      </c>
      <c r="F127" s="247" t="s">
        <v>47</v>
      </c>
      <c r="G127" s="247" t="s">
        <v>47</v>
      </c>
      <c r="I127" s="252" t="s">
        <v>3</v>
      </c>
      <c r="J127" s="252" t="s">
        <v>203</v>
      </c>
    </row>
    <row r="128" spans="1:10" ht="16">
      <c r="A128" s="55" t="s">
        <v>61</v>
      </c>
      <c r="B128" s="83" t="str">
        <f t="shared" si="4"/>
        <v>A+</v>
      </c>
      <c r="C128" s="82" t="str">
        <f t="shared" si="5"/>
        <v>A2</v>
      </c>
      <c r="E128" s="183" t="s">
        <v>61</v>
      </c>
      <c r="F128" s="247" t="s">
        <v>42</v>
      </c>
      <c r="G128" s="247" t="s">
        <v>42</v>
      </c>
      <c r="I128" s="252" t="s">
        <v>61</v>
      </c>
      <c r="J128" s="252" t="s">
        <v>222</v>
      </c>
    </row>
    <row r="129" spans="1:10" ht="16">
      <c r="A129" s="55" t="s">
        <v>190</v>
      </c>
      <c r="B129" s="83" t="str">
        <f t="shared" si="4"/>
        <v>AA-</v>
      </c>
      <c r="C129" s="82" t="str">
        <f t="shared" si="5"/>
        <v>Baa1</v>
      </c>
      <c r="E129" s="183" t="s">
        <v>190</v>
      </c>
      <c r="F129" s="247" t="s">
        <v>82</v>
      </c>
      <c r="G129" s="247" t="s">
        <v>82</v>
      </c>
      <c r="I129" s="252" t="s">
        <v>190</v>
      </c>
      <c r="J129" s="252" t="s">
        <v>210</v>
      </c>
    </row>
    <row r="130" spans="1:10" ht="16">
      <c r="A130" s="55" t="s">
        <v>432</v>
      </c>
      <c r="B130" s="83" t="str">
        <f t="shared" si="4"/>
        <v>NA</v>
      </c>
      <c r="C130" s="82" t="str">
        <f t="shared" si="5"/>
        <v>B3</v>
      </c>
      <c r="E130" s="183" t="s">
        <v>432</v>
      </c>
      <c r="F130" s="247" t="s">
        <v>78</v>
      </c>
      <c r="G130" s="247" t="s">
        <v>78</v>
      </c>
      <c r="I130" s="252"/>
      <c r="J130" s="252"/>
    </row>
    <row r="131" spans="1:10" ht="16">
      <c r="A131" s="55" t="s">
        <v>76</v>
      </c>
      <c r="B131" s="83" t="str">
        <f t="shared" si="4"/>
        <v>BB-</v>
      </c>
      <c r="C131" s="82" t="str">
        <f t="shared" si="5"/>
        <v>Ba1</v>
      </c>
      <c r="E131" s="183" t="s">
        <v>76</v>
      </c>
      <c r="F131" s="247" t="s">
        <v>79</v>
      </c>
      <c r="G131" s="247" t="s">
        <v>79</v>
      </c>
      <c r="I131" s="252" t="s">
        <v>76</v>
      </c>
      <c r="J131" s="252" t="s">
        <v>199</v>
      </c>
    </row>
    <row r="132" spans="1:10" ht="16">
      <c r="A132" s="55" t="s">
        <v>138</v>
      </c>
      <c r="B132" s="83" t="str">
        <f t="shared" ref="B132:B158" si="6">IF(J132=0,"NA",J132)</f>
        <v>A</v>
      </c>
      <c r="C132" s="82" t="str">
        <f t="shared" ref="C132:C158" si="7">IF(G132=0,"NA",G132)</f>
        <v>Baa1</v>
      </c>
      <c r="E132" s="183" t="s">
        <v>138</v>
      </c>
      <c r="F132" s="247" t="s">
        <v>82</v>
      </c>
      <c r="G132" s="247" t="s">
        <v>82</v>
      </c>
      <c r="I132" s="252" t="s">
        <v>138</v>
      </c>
      <c r="J132" s="252" t="s">
        <v>224</v>
      </c>
    </row>
    <row r="133" spans="1:10" ht="16">
      <c r="A133" s="55" t="s">
        <v>134</v>
      </c>
      <c r="B133" s="83" t="str">
        <f t="shared" si="6"/>
        <v>B</v>
      </c>
      <c r="C133" s="82" t="str">
        <f t="shared" si="7"/>
        <v>B2</v>
      </c>
      <c r="E133" s="183" t="s">
        <v>134</v>
      </c>
      <c r="F133" s="247" t="s">
        <v>49</v>
      </c>
      <c r="G133" s="247" t="str">
        <f>F133</f>
        <v>B2</v>
      </c>
      <c r="I133" s="252" t="s">
        <v>134</v>
      </c>
      <c r="J133" s="252" t="s">
        <v>209</v>
      </c>
    </row>
    <row r="134" spans="1:10" ht="16">
      <c r="A134" s="55" t="s">
        <v>191</v>
      </c>
      <c r="B134" s="83" t="str">
        <f t="shared" si="6"/>
        <v>NA</v>
      </c>
      <c r="C134" s="82" t="str">
        <f t="shared" si="7"/>
        <v>Baa3</v>
      </c>
      <c r="E134" s="183" t="s">
        <v>537</v>
      </c>
      <c r="F134" s="247" t="s">
        <v>124</v>
      </c>
      <c r="G134" s="247" t="s">
        <v>124</v>
      </c>
      <c r="I134" s="252"/>
      <c r="J134" s="252"/>
    </row>
    <row r="135" spans="1:10" ht="16">
      <c r="A135" s="55" t="s">
        <v>10</v>
      </c>
      <c r="B135" s="83" t="str">
        <f t="shared" si="6"/>
        <v>NA</v>
      </c>
      <c r="C135" s="82" t="str">
        <f t="shared" si="7"/>
        <v>B3</v>
      </c>
      <c r="E135" s="183" t="s">
        <v>10</v>
      </c>
      <c r="F135" s="247" t="s">
        <v>78</v>
      </c>
      <c r="G135" s="247" t="s">
        <v>78</v>
      </c>
      <c r="I135" s="252"/>
      <c r="J135" s="252"/>
    </row>
    <row r="136" spans="1:10" ht="16">
      <c r="A136" s="55" t="s">
        <v>33</v>
      </c>
      <c r="B136" s="83" t="str">
        <f t="shared" si="6"/>
        <v>CCC+</v>
      </c>
      <c r="C136" s="82" t="str">
        <f t="shared" si="7"/>
        <v>B3</v>
      </c>
      <c r="E136" s="183" t="s">
        <v>33</v>
      </c>
      <c r="F136" s="247" t="s">
        <v>78</v>
      </c>
      <c r="G136" s="247" t="s">
        <v>78</v>
      </c>
      <c r="I136" s="252" t="s">
        <v>33</v>
      </c>
      <c r="J136" s="252" t="s">
        <v>218</v>
      </c>
    </row>
    <row r="137" spans="1:10" ht="16">
      <c r="A137" s="55" t="s">
        <v>418</v>
      </c>
      <c r="B137" s="83" t="str">
        <f t="shared" si="6"/>
        <v>NA</v>
      </c>
      <c r="C137" s="82" t="str">
        <f t="shared" si="7"/>
        <v>B2</v>
      </c>
      <c r="E137" s="183" t="s">
        <v>596</v>
      </c>
      <c r="F137" s="247" t="s">
        <v>49</v>
      </c>
      <c r="G137" s="247" t="s">
        <v>49</v>
      </c>
      <c r="I137" s="252"/>
      <c r="J137" s="252"/>
    </row>
    <row r="138" spans="1:10" ht="16">
      <c r="A138" s="55" t="s">
        <v>34</v>
      </c>
      <c r="B138" s="83" t="str">
        <f t="shared" si="6"/>
        <v>AAA</v>
      </c>
      <c r="C138" s="82" t="str">
        <f t="shared" si="7"/>
        <v>Aaa</v>
      </c>
      <c r="E138" s="183" t="s">
        <v>34</v>
      </c>
      <c r="F138" s="247" t="s">
        <v>47</v>
      </c>
      <c r="G138" s="247" t="s">
        <v>47</v>
      </c>
      <c r="I138" s="252" t="s">
        <v>34</v>
      </c>
      <c r="J138" s="252" t="s">
        <v>203</v>
      </c>
    </row>
    <row r="139" spans="1:10" ht="16">
      <c r="A139" s="55" t="s">
        <v>35</v>
      </c>
      <c r="B139" s="83" t="str">
        <f t="shared" si="6"/>
        <v>AAA</v>
      </c>
      <c r="C139" s="82" t="str">
        <f t="shared" si="7"/>
        <v>Aaa</v>
      </c>
      <c r="E139" s="183" t="s">
        <v>35</v>
      </c>
      <c r="F139" s="247" t="s">
        <v>47</v>
      </c>
      <c r="G139" s="247" t="s">
        <v>47</v>
      </c>
      <c r="I139" s="252" t="s">
        <v>35</v>
      </c>
      <c r="J139" s="252" t="s">
        <v>203</v>
      </c>
    </row>
    <row r="140" spans="1:10" ht="16">
      <c r="A140" s="55" t="s">
        <v>64</v>
      </c>
      <c r="B140" s="83" t="str">
        <f t="shared" si="6"/>
        <v>AA-</v>
      </c>
      <c r="C140" s="82" t="str">
        <f t="shared" si="7"/>
        <v>Aa3</v>
      </c>
      <c r="E140" s="183" t="s">
        <v>64</v>
      </c>
      <c r="F140" s="247" t="s">
        <v>46</v>
      </c>
      <c r="G140" s="247" t="s">
        <v>46</v>
      </c>
      <c r="I140" s="252" t="s">
        <v>64</v>
      </c>
      <c r="J140" s="252" t="s">
        <v>210</v>
      </c>
    </row>
    <row r="141" spans="1:10" ht="16">
      <c r="A141" s="121" t="s">
        <v>415</v>
      </c>
      <c r="B141" s="83" t="str">
        <f t="shared" si="6"/>
        <v>B-</v>
      </c>
      <c r="C141" s="82" t="str">
        <f t="shared" si="7"/>
        <v>B3</v>
      </c>
      <c r="E141" s="183" t="s">
        <v>415</v>
      </c>
      <c r="F141" s="247" t="s">
        <v>78</v>
      </c>
      <c r="G141" s="247" t="s">
        <v>78</v>
      </c>
      <c r="I141" s="252" t="s">
        <v>415</v>
      </c>
      <c r="J141" s="252" t="s">
        <v>200</v>
      </c>
    </row>
    <row r="142" spans="1:10" ht="16">
      <c r="A142" s="121" t="s">
        <v>333</v>
      </c>
      <c r="B142" s="83" t="str">
        <f t="shared" si="6"/>
        <v>NA</v>
      </c>
      <c r="C142" s="82" t="str">
        <f t="shared" si="7"/>
        <v>B1</v>
      </c>
      <c r="E142" s="183" t="s">
        <v>333</v>
      </c>
      <c r="F142" s="247" t="s">
        <v>48</v>
      </c>
      <c r="G142" s="247" t="s">
        <v>48</v>
      </c>
      <c r="I142" s="252"/>
      <c r="J142" s="252"/>
    </row>
    <row r="143" spans="1:10" ht="16">
      <c r="A143" s="55" t="s">
        <v>65</v>
      </c>
      <c r="B143" s="83" t="str">
        <f t="shared" si="6"/>
        <v>BBB+</v>
      </c>
      <c r="C143" s="82" t="str">
        <f t="shared" si="7"/>
        <v>Baa1</v>
      </c>
      <c r="E143" s="183" t="s">
        <v>65</v>
      </c>
      <c r="F143" s="247" t="s">
        <v>82</v>
      </c>
      <c r="G143" s="247" t="s">
        <v>82</v>
      </c>
      <c r="I143" s="252" t="s">
        <v>65</v>
      </c>
      <c r="J143" s="252" t="s">
        <v>202</v>
      </c>
    </row>
    <row r="144" spans="1:10" ht="16">
      <c r="A144" s="171" t="s">
        <v>325</v>
      </c>
      <c r="B144" s="83" t="str">
        <f t="shared" si="6"/>
        <v>B</v>
      </c>
      <c r="C144" s="82" t="str">
        <f t="shared" si="7"/>
        <v>B3</v>
      </c>
      <c r="E144" s="183" t="s">
        <v>325</v>
      </c>
      <c r="F144" s="247" t="s">
        <v>78</v>
      </c>
      <c r="G144" s="247" t="s">
        <v>78</v>
      </c>
      <c r="I144" s="252" t="s">
        <v>325</v>
      </c>
      <c r="J144" s="252" t="s">
        <v>209</v>
      </c>
    </row>
    <row r="145" spans="1:16" ht="16">
      <c r="A145" s="55" t="s">
        <v>11</v>
      </c>
      <c r="B145" s="83" t="str">
        <f t="shared" si="6"/>
        <v>BBB-</v>
      </c>
      <c r="C145" s="82" t="str">
        <f t="shared" si="7"/>
        <v>Ba1</v>
      </c>
      <c r="E145" s="248" t="s">
        <v>11</v>
      </c>
      <c r="F145" s="247" t="s">
        <v>79</v>
      </c>
      <c r="G145" s="247" t="s">
        <v>79</v>
      </c>
      <c r="I145" s="252" t="s">
        <v>11</v>
      </c>
      <c r="J145" s="252" t="s">
        <v>205</v>
      </c>
    </row>
    <row r="146" spans="1:16" ht="16">
      <c r="A146" s="55" t="s">
        <v>77</v>
      </c>
      <c r="B146" s="83" t="str">
        <f t="shared" si="6"/>
        <v>NA</v>
      </c>
      <c r="C146" s="82" t="str">
        <f t="shared" si="7"/>
        <v>B2</v>
      </c>
      <c r="E146" s="183" t="s">
        <v>77</v>
      </c>
      <c r="F146" s="247" t="s">
        <v>49</v>
      </c>
      <c r="G146" s="247" t="s">
        <v>49</v>
      </c>
      <c r="I146" s="252"/>
      <c r="J146" s="252"/>
    </row>
    <row r="147" spans="1:16" ht="16">
      <c r="A147" s="55" t="s">
        <v>66</v>
      </c>
      <c r="B147" s="83" t="str">
        <f t="shared" si="6"/>
        <v>B+</v>
      </c>
      <c r="C147" s="82" t="str">
        <f t="shared" si="7"/>
        <v>B1</v>
      </c>
      <c r="E147" s="183" t="s">
        <v>66</v>
      </c>
      <c r="F147" s="247" t="s">
        <v>48</v>
      </c>
      <c r="G147" s="247" t="s">
        <v>48</v>
      </c>
      <c r="I147" s="252" t="s">
        <v>66</v>
      </c>
      <c r="J147" s="252" t="s">
        <v>196</v>
      </c>
    </row>
    <row r="148" spans="1:16" ht="16">
      <c r="A148" s="55" t="s">
        <v>293</v>
      </c>
      <c r="B148" s="83" t="str">
        <f t="shared" si="6"/>
        <v>BBB+</v>
      </c>
      <c r="C148" s="82" t="str">
        <f t="shared" si="7"/>
        <v>NA</v>
      </c>
      <c r="E148" s="183"/>
      <c r="F148" s="247"/>
      <c r="G148" s="247"/>
      <c r="I148" s="252" t="s">
        <v>299</v>
      </c>
      <c r="J148" s="252" t="s">
        <v>202</v>
      </c>
    </row>
    <row r="149" spans="1:16" ht="16">
      <c r="A149" s="55" t="s">
        <v>228</v>
      </c>
      <c r="B149" s="83" t="str">
        <f t="shared" si="6"/>
        <v>B</v>
      </c>
      <c r="C149" s="82" t="str">
        <f t="shared" si="7"/>
        <v>B2</v>
      </c>
      <c r="E149" s="183" t="s">
        <v>228</v>
      </c>
      <c r="F149" s="247" t="s">
        <v>49</v>
      </c>
      <c r="G149" s="247" t="s">
        <v>49</v>
      </c>
      <c r="I149" s="252" t="s">
        <v>228</v>
      </c>
      <c r="J149" s="252" t="s">
        <v>209</v>
      </c>
    </row>
    <row r="150" spans="1:16" ht="16">
      <c r="A150" s="55" t="s">
        <v>68</v>
      </c>
      <c r="B150" s="83" t="str">
        <f t="shared" si="6"/>
        <v>B</v>
      </c>
      <c r="C150" s="82" t="str">
        <f t="shared" si="7"/>
        <v>B3</v>
      </c>
      <c r="E150" s="183" t="s">
        <v>68</v>
      </c>
      <c r="F150" s="247" t="s">
        <v>78</v>
      </c>
      <c r="G150" s="247" t="s">
        <v>78</v>
      </c>
      <c r="I150" s="252" t="s">
        <v>68</v>
      </c>
      <c r="J150" s="252" t="s">
        <v>209</v>
      </c>
    </row>
    <row r="151" spans="1:16" ht="16">
      <c r="A151" s="55" t="s">
        <v>60</v>
      </c>
      <c r="B151" s="83" t="str">
        <f t="shared" si="6"/>
        <v>NA</v>
      </c>
      <c r="C151" s="82" t="str">
        <f t="shared" si="7"/>
        <v>Aa2</v>
      </c>
      <c r="E151" s="183" t="s">
        <v>60</v>
      </c>
      <c r="F151" s="247" t="s">
        <v>45</v>
      </c>
      <c r="G151" s="247" t="s">
        <v>45</v>
      </c>
      <c r="I151" s="252"/>
      <c r="J151" s="252"/>
    </row>
    <row r="152" spans="1:16" ht="16">
      <c r="A152" s="55" t="s">
        <v>57</v>
      </c>
      <c r="B152" s="83" t="str">
        <f t="shared" si="6"/>
        <v>AA</v>
      </c>
      <c r="C152" s="82" t="str">
        <f t="shared" si="7"/>
        <v>Aa2</v>
      </c>
      <c r="E152" s="183" t="s">
        <v>57</v>
      </c>
      <c r="F152" s="247" t="s">
        <v>45</v>
      </c>
      <c r="G152" s="247" t="s">
        <v>45</v>
      </c>
      <c r="I152" s="252" t="s">
        <v>57</v>
      </c>
      <c r="J152" s="252" t="s">
        <v>207</v>
      </c>
      <c r="N152" s="183" t="s">
        <v>69</v>
      </c>
      <c r="O152" s="247" t="s">
        <v>83</v>
      </c>
      <c r="P152" s="247" t="s">
        <v>83</v>
      </c>
    </row>
    <row r="153" spans="1:16" ht="16">
      <c r="A153" s="55" t="s">
        <v>357</v>
      </c>
      <c r="B153" s="83" t="str">
        <f t="shared" si="6"/>
        <v>AA+</v>
      </c>
      <c r="C153" s="82" t="str">
        <f t="shared" si="7"/>
        <v>Aaa</v>
      </c>
      <c r="E153" s="183" t="s">
        <v>12</v>
      </c>
      <c r="F153" s="247" t="s">
        <v>47</v>
      </c>
      <c r="G153" s="247" t="s">
        <v>47</v>
      </c>
      <c r="I153" s="252" t="s">
        <v>357</v>
      </c>
      <c r="J153" s="252" t="s">
        <v>204</v>
      </c>
    </row>
    <row r="154" spans="1:16" ht="16">
      <c r="A154" s="55" t="s">
        <v>69</v>
      </c>
      <c r="B154" s="83" t="str">
        <f t="shared" si="6"/>
        <v>BBB</v>
      </c>
      <c r="C154" s="82" t="str">
        <f t="shared" si="7"/>
        <v>Baa2</v>
      </c>
      <c r="E154" s="183" t="s">
        <v>69</v>
      </c>
      <c r="F154" s="247" t="s">
        <v>83</v>
      </c>
      <c r="G154" s="247" t="s">
        <v>83</v>
      </c>
      <c r="I154" s="252" t="s">
        <v>69</v>
      </c>
      <c r="J154" s="252" t="s">
        <v>206</v>
      </c>
    </row>
    <row r="155" spans="1:16" ht="16">
      <c r="A155" s="171" t="s">
        <v>406</v>
      </c>
      <c r="B155" s="83" t="str">
        <f t="shared" si="6"/>
        <v>BB-</v>
      </c>
      <c r="C155" s="82" t="str">
        <f t="shared" si="7"/>
        <v>B1</v>
      </c>
      <c r="E155" s="183" t="s">
        <v>406</v>
      </c>
      <c r="F155" s="247" t="s">
        <v>48</v>
      </c>
      <c r="G155" s="247" t="s">
        <v>48</v>
      </c>
      <c r="I155" s="252" t="s">
        <v>406</v>
      </c>
      <c r="J155" s="252" t="s">
        <v>199</v>
      </c>
    </row>
    <row r="156" spans="1:16" ht="16">
      <c r="A156" s="55" t="s">
        <v>70</v>
      </c>
      <c r="B156" s="83" t="str">
        <f t="shared" si="6"/>
        <v>SD</v>
      </c>
      <c r="C156" s="82" t="str">
        <f t="shared" si="7"/>
        <v>C</v>
      </c>
      <c r="E156" s="183" t="s">
        <v>70</v>
      </c>
      <c r="F156" s="247" t="s">
        <v>137</v>
      </c>
      <c r="G156" s="247" t="s">
        <v>137</v>
      </c>
      <c r="I156" s="252" t="s">
        <v>70</v>
      </c>
      <c r="J156" s="252" t="s">
        <v>563</v>
      </c>
    </row>
    <row r="157" spans="1:16" ht="16">
      <c r="A157" s="55" t="s">
        <v>71</v>
      </c>
      <c r="B157" s="83" t="str">
        <f t="shared" si="6"/>
        <v>BB</v>
      </c>
      <c r="C157" s="82" t="str">
        <f t="shared" si="7"/>
        <v>Ba3</v>
      </c>
      <c r="E157" s="183" t="s">
        <v>71</v>
      </c>
      <c r="F157" s="247" t="s">
        <v>81</v>
      </c>
      <c r="G157" s="247" t="s">
        <v>81</v>
      </c>
      <c r="I157" s="252" t="s">
        <v>71</v>
      </c>
      <c r="J157" s="252" t="s">
        <v>215</v>
      </c>
    </row>
    <row r="158" spans="1:16" ht="16">
      <c r="A158" s="55" t="s">
        <v>192</v>
      </c>
      <c r="B158" s="83" t="str">
        <f t="shared" si="6"/>
        <v>CCC</v>
      </c>
      <c r="C158" s="82" t="str">
        <f t="shared" si="7"/>
        <v>Ca</v>
      </c>
      <c r="E158" s="183" t="s">
        <v>192</v>
      </c>
      <c r="F158" s="247" t="s">
        <v>347</v>
      </c>
      <c r="G158" s="247" t="s">
        <v>347</v>
      </c>
      <c r="I158" s="252" t="s">
        <v>192</v>
      </c>
      <c r="J158" s="252" t="s">
        <v>235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workbookViewId="0">
      <selection activeCell="B108" sqref="B108"/>
    </sheetView>
  </sheetViews>
  <sheetFormatPr baseColWidth="10" defaultRowHeight="12"/>
  <cols>
    <col min="1" max="1" width="27" bestFit="1" customWidth="1"/>
    <col min="2" max="2" width="32.6640625" customWidth="1"/>
    <col min="6" max="6" width="32.83203125" bestFit="1" customWidth="1"/>
    <col min="7" max="7" width="10.83203125" style="94"/>
    <col min="9" max="9" width="26.1640625" customWidth="1"/>
  </cols>
  <sheetData>
    <row r="1" spans="1:10" ht="17">
      <c r="A1" s="80" t="s">
        <v>75</v>
      </c>
      <c r="B1" s="80" t="s">
        <v>75</v>
      </c>
      <c r="C1" s="112" t="s">
        <v>358</v>
      </c>
      <c r="F1" s="172" t="s">
        <v>75</v>
      </c>
      <c r="G1" s="175">
        <v>2019</v>
      </c>
      <c r="I1" s="173" t="s">
        <v>459</v>
      </c>
      <c r="J1" s="197">
        <v>0.3236</v>
      </c>
    </row>
    <row r="2" spans="1:10" ht="16">
      <c r="A2" s="55" t="s">
        <v>272</v>
      </c>
      <c r="B2" s="55" t="str">
        <f>'Ratings worksheet'!A2</f>
        <v>Abu Dhabi</v>
      </c>
      <c r="C2" s="112">
        <v>0.55000000000000004</v>
      </c>
      <c r="F2" s="173" t="s">
        <v>409</v>
      </c>
      <c r="G2" s="174">
        <v>20</v>
      </c>
      <c r="I2" s="173" t="s">
        <v>460</v>
      </c>
      <c r="J2" s="197">
        <v>0.31290000000000001</v>
      </c>
    </row>
    <row r="3" spans="1:10" ht="16">
      <c r="A3" s="55" t="s">
        <v>4</v>
      </c>
      <c r="B3" s="55" t="str">
        <f>'Ratings worksheet'!A3</f>
        <v>Albania</v>
      </c>
      <c r="C3" s="112">
        <v>0.15</v>
      </c>
      <c r="F3" s="173" t="s">
        <v>4</v>
      </c>
      <c r="G3" s="174">
        <v>15</v>
      </c>
      <c r="I3" s="173" t="s">
        <v>461</v>
      </c>
      <c r="J3" s="197">
        <v>0.3019</v>
      </c>
    </row>
    <row r="4" spans="1:10" ht="16">
      <c r="A4" s="55" t="s">
        <v>287</v>
      </c>
      <c r="B4" s="55" t="str">
        <f>'Ratings worksheet'!A4</f>
        <v>Andorra (Principality of)</v>
      </c>
      <c r="C4" s="112">
        <v>0.1</v>
      </c>
      <c r="F4" s="173" t="s">
        <v>338</v>
      </c>
      <c r="G4" s="174">
        <v>26</v>
      </c>
      <c r="I4" s="173" t="s">
        <v>466</v>
      </c>
      <c r="J4" s="197">
        <v>0.27949999999999997</v>
      </c>
    </row>
    <row r="5" spans="1:10" ht="16">
      <c r="A5" s="55" t="s">
        <v>131</v>
      </c>
      <c r="B5" s="55" t="str">
        <f>'Ratings worksheet'!A5</f>
        <v>Angola</v>
      </c>
      <c r="C5" s="112">
        <v>0.3</v>
      </c>
      <c r="F5" s="173" t="s">
        <v>197</v>
      </c>
      <c r="G5" s="174">
        <v>10</v>
      </c>
      <c r="I5" s="173" t="s">
        <v>462</v>
      </c>
      <c r="J5" s="197">
        <v>0.26719999999999999</v>
      </c>
    </row>
    <row r="6" spans="1:10" ht="16">
      <c r="A6" s="55" t="s">
        <v>84</v>
      </c>
      <c r="B6" s="55" t="str">
        <f>'Ratings worksheet'!A6</f>
        <v>Argentina</v>
      </c>
      <c r="C6" s="112">
        <v>0.3</v>
      </c>
      <c r="F6" s="173" t="s">
        <v>131</v>
      </c>
      <c r="G6" s="174">
        <v>30</v>
      </c>
      <c r="I6" s="173" t="s">
        <v>468</v>
      </c>
      <c r="J6" s="197">
        <v>0.29420000000000002</v>
      </c>
    </row>
    <row r="7" spans="1:10" ht="16">
      <c r="A7" s="55" t="s">
        <v>19</v>
      </c>
      <c r="B7" s="55" t="str">
        <f>'Ratings worksheet'!A7</f>
        <v>Armenia</v>
      </c>
      <c r="C7" s="112">
        <v>0.2</v>
      </c>
      <c r="F7" s="173" t="s">
        <v>541</v>
      </c>
      <c r="G7" s="174">
        <v>0</v>
      </c>
      <c r="I7" s="173" t="s">
        <v>465</v>
      </c>
      <c r="J7" s="197">
        <v>0.30809999999999998</v>
      </c>
    </row>
    <row r="8" spans="1:10" ht="16">
      <c r="A8" s="55" t="s">
        <v>201</v>
      </c>
      <c r="B8" s="55" t="str">
        <f>'Ratings worksheet'!A8</f>
        <v>Aruba</v>
      </c>
      <c r="C8" s="112">
        <v>0.25</v>
      </c>
      <c r="F8" s="173" t="s">
        <v>431</v>
      </c>
      <c r="G8" s="174">
        <v>25</v>
      </c>
      <c r="I8" s="173" t="s">
        <v>464</v>
      </c>
      <c r="J8" s="197">
        <v>0.35299999999999998</v>
      </c>
    </row>
    <row r="9" spans="1:10" ht="16">
      <c r="A9" s="55" t="s">
        <v>85</v>
      </c>
      <c r="B9" s="55" t="str">
        <f>'Ratings worksheet'!A9</f>
        <v>Australia</v>
      </c>
      <c r="C9" s="112">
        <v>0.3</v>
      </c>
      <c r="F9" s="173" t="s">
        <v>84</v>
      </c>
      <c r="G9" s="174">
        <v>30</v>
      </c>
      <c r="I9" s="173" t="s">
        <v>463</v>
      </c>
      <c r="J9" s="197">
        <v>0.30199999999999999</v>
      </c>
    </row>
    <row r="10" spans="1:10" ht="16">
      <c r="A10" s="55" t="s">
        <v>176</v>
      </c>
      <c r="B10" s="55" t="str">
        <f>'Ratings worksheet'!A10</f>
        <v>Austria</v>
      </c>
      <c r="C10" s="112">
        <v>0.25</v>
      </c>
      <c r="F10" s="173" t="s">
        <v>19</v>
      </c>
      <c r="G10" s="174">
        <v>20</v>
      </c>
      <c r="I10" s="173" t="s">
        <v>467</v>
      </c>
      <c r="J10" s="197">
        <v>0.30079999999999996</v>
      </c>
    </row>
    <row r="11" spans="1:10" ht="16">
      <c r="A11" s="55" t="s">
        <v>20</v>
      </c>
      <c r="B11" s="55" t="str">
        <f>'Ratings worksheet'!A11</f>
        <v>Azerbaijan</v>
      </c>
      <c r="C11" s="178">
        <v>0.2</v>
      </c>
      <c r="F11" s="173" t="s">
        <v>201</v>
      </c>
      <c r="G11" s="174">
        <v>25</v>
      </c>
      <c r="I11" s="173" t="s">
        <v>548</v>
      </c>
      <c r="J11" s="197">
        <v>0.30809999999999998</v>
      </c>
    </row>
    <row r="12" spans="1:10" ht="16">
      <c r="A12" s="55" t="s">
        <v>86</v>
      </c>
      <c r="B12" s="55" t="str">
        <f>'Ratings worksheet'!A12</f>
        <v>Bahamas</v>
      </c>
      <c r="C12" s="112">
        <v>0</v>
      </c>
      <c r="F12" s="173" t="s">
        <v>85</v>
      </c>
      <c r="G12" s="174">
        <v>30</v>
      </c>
    </row>
    <row r="13" spans="1:10" ht="16">
      <c r="A13" s="55" t="s">
        <v>87</v>
      </c>
      <c r="B13" s="55" t="str">
        <f>'Ratings worksheet'!A13</f>
        <v>Bahrain</v>
      </c>
      <c r="C13" s="112">
        <v>0</v>
      </c>
      <c r="F13" s="173" t="s">
        <v>176</v>
      </c>
      <c r="G13" s="174">
        <v>25</v>
      </c>
    </row>
    <row r="14" spans="1:10" ht="16">
      <c r="A14" s="55" t="s">
        <v>132</v>
      </c>
      <c r="B14" s="55" t="str">
        <f>'Ratings worksheet'!A14</f>
        <v>Bangladesh</v>
      </c>
      <c r="C14" s="112">
        <v>0.25</v>
      </c>
      <c r="F14" s="173" t="s">
        <v>20</v>
      </c>
      <c r="G14" s="174">
        <v>20</v>
      </c>
    </row>
    <row r="15" spans="1:10" ht="16">
      <c r="A15" s="55" t="s">
        <v>88</v>
      </c>
      <c r="B15" s="55" t="str">
        <f>'Ratings worksheet'!A15</f>
        <v>Barbados</v>
      </c>
      <c r="C15" s="112">
        <v>5.5E-2</v>
      </c>
      <c r="F15" s="173" t="s">
        <v>86</v>
      </c>
      <c r="G15" s="174">
        <v>0</v>
      </c>
    </row>
    <row r="16" spans="1:10" ht="16">
      <c r="A16" s="55" t="s">
        <v>5</v>
      </c>
      <c r="B16" s="55" t="str">
        <f>'Ratings worksheet'!A16</f>
        <v>Belarus</v>
      </c>
      <c r="C16" s="112">
        <v>0.18</v>
      </c>
      <c r="F16" s="173" t="s">
        <v>87</v>
      </c>
      <c r="G16" s="174">
        <v>0</v>
      </c>
    </row>
    <row r="17" spans="1:7" ht="16">
      <c r="A17" s="55" t="s">
        <v>177</v>
      </c>
      <c r="B17" s="55" t="str">
        <f>'Ratings worksheet'!A17</f>
        <v>Belgium</v>
      </c>
      <c r="C17" s="112">
        <v>0.28999999999999998</v>
      </c>
      <c r="F17" s="173" t="s">
        <v>132</v>
      </c>
      <c r="G17" s="174">
        <v>25</v>
      </c>
    </row>
    <row r="18" spans="1:7" ht="16">
      <c r="A18" s="55" t="s">
        <v>89</v>
      </c>
      <c r="B18" s="55" t="str">
        <f>'Ratings worksheet'!A18</f>
        <v>Belize</v>
      </c>
      <c r="C18" s="179">
        <v>0.3236</v>
      </c>
      <c r="F18" s="173" t="s">
        <v>88</v>
      </c>
      <c r="G18" s="174">
        <v>5.5</v>
      </c>
    </row>
    <row r="19" spans="1:7" ht="16">
      <c r="A19" s="55" t="s">
        <v>208</v>
      </c>
      <c r="B19" s="55" t="str">
        <f>'Ratings worksheet'!A19</f>
        <v>Benin</v>
      </c>
      <c r="C19" s="112">
        <v>0.3</v>
      </c>
      <c r="F19" s="173" t="s">
        <v>5</v>
      </c>
      <c r="G19" s="174">
        <v>18</v>
      </c>
    </row>
    <row r="20" spans="1:7" ht="16">
      <c r="A20" s="55" t="s">
        <v>90</v>
      </c>
      <c r="B20" s="55" t="str">
        <f>'Ratings worksheet'!A20</f>
        <v>Bermuda</v>
      </c>
      <c r="C20" s="112">
        <v>0</v>
      </c>
      <c r="F20" s="173" t="s">
        <v>177</v>
      </c>
      <c r="G20" s="174">
        <v>29</v>
      </c>
    </row>
    <row r="21" spans="1:7" ht="16">
      <c r="A21" s="55" t="s">
        <v>91</v>
      </c>
      <c r="B21" s="55" t="str">
        <f>'Ratings worksheet'!A21</f>
        <v>Bolivia</v>
      </c>
      <c r="C21" s="112">
        <v>0.25</v>
      </c>
      <c r="F21" s="173" t="s">
        <v>208</v>
      </c>
      <c r="G21" s="174">
        <v>30</v>
      </c>
    </row>
    <row r="22" spans="1:7" ht="16">
      <c r="A22" s="55" t="s">
        <v>7</v>
      </c>
      <c r="B22" s="55" t="str">
        <f>'Ratings worksheet'!A22</f>
        <v>Bosnia and Herzegovina</v>
      </c>
      <c r="C22" s="112">
        <v>0.1</v>
      </c>
      <c r="F22" s="173" t="s">
        <v>90</v>
      </c>
      <c r="G22" s="174">
        <v>0</v>
      </c>
    </row>
    <row r="23" spans="1:7" ht="16">
      <c r="A23" s="55" t="s">
        <v>123</v>
      </c>
      <c r="B23" s="55" t="str">
        <f>'Ratings worksheet'!A23</f>
        <v>Botswana</v>
      </c>
      <c r="C23" s="112">
        <v>0.22</v>
      </c>
      <c r="F23" s="173" t="s">
        <v>91</v>
      </c>
      <c r="G23" s="174">
        <v>25</v>
      </c>
    </row>
    <row r="24" spans="1:7" ht="16">
      <c r="A24" s="55" t="s">
        <v>92</v>
      </c>
      <c r="B24" s="55" t="str">
        <f>'Ratings worksheet'!A24</f>
        <v>Brazil</v>
      </c>
      <c r="C24" s="112">
        <v>0.34</v>
      </c>
      <c r="F24" s="173" t="s">
        <v>450</v>
      </c>
      <c r="G24" s="174">
        <v>25</v>
      </c>
    </row>
    <row r="25" spans="1:7" ht="16">
      <c r="A25" s="55" t="s">
        <v>94</v>
      </c>
      <c r="B25" s="55" t="str">
        <f>'Ratings worksheet'!A25</f>
        <v>Bulgaria</v>
      </c>
      <c r="C25" s="178">
        <v>0.1</v>
      </c>
      <c r="F25" s="173" t="s">
        <v>7</v>
      </c>
      <c r="G25" s="174">
        <v>10</v>
      </c>
    </row>
    <row r="26" spans="1:7" ht="16">
      <c r="A26" s="55" t="s">
        <v>211</v>
      </c>
      <c r="B26" s="55" t="str">
        <f>'Ratings worksheet'!A26</f>
        <v>Burkina Faso</v>
      </c>
      <c r="C26" s="112">
        <v>0.28000000000000003</v>
      </c>
      <c r="F26" s="173" t="s">
        <v>123</v>
      </c>
      <c r="G26" s="174">
        <v>22</v>
      </c>
    </row>
    <row r="27" spans="1:7" ht="16">
      <c r="A27" s="55" t="s">
        <v>6</v>
      </c>
      <c r="B27" s="55" t="str">
        <f>'Ratings worksheet'!A27</f>
        <v>Cambodia</v>
      </c>
      <c r="C27" s="112">
        <v>0.2</v>
      </c>
      <c r="F27" s="173" t="s">
        <v>92</v>
      </c>
      <c r="G27" s="174">
        <v>34</v>
      </c>
    </row>
    <row r="28" spans="1:7" ht="16">
      <c r="A28" s="55" t="s">
        <v>212</v>
      </c>
      <c r="B28" s="55" t="str">
        <f>'Ratings worksheet'!A28</f>
        <v>Cameroon</v>
      </c>
      <c r="C28" s="112">
        <v>0.33</v>
      </c>
      <c r="F28" s="173" t="s">
        <v>410</v>
      </c>
      <c r="G28" s="174">
        <v>18.5</v>
      </c>
    </row>
    <row r="29" spans="1:7" ht="16">
      <c r="A29" s="55" t="s">
        <v>95</v>
      </c>
      <c r="B29" s="55" t="str">
        <f>'Ratings worksheet'!A29</f>
        <v>Canada</v>
      </c>
      <c r="C29" s="112">
        <v>0.26500000000000001</v>
      </c>
      <c r="F29" s="173" t="s">
        <v>94</v>
      </c>
      <c r="G29" s="174">
        <v>10</v>
      </c>
    </row>
    <row r="30" spans="1:7" ht="16">
      <c r="A30" s="55" t="s">
        <v>213</v>
      </c>
      <c r="B30" s="55" t="str">
        <f>'Ratings worksheet'!A30</f>
        <v>Cape Verde</v>
      </c>
      <c r="C30" s="178">
        <v>0</v>
      </c>
      <c r="F30" s="173" t="s">
        <v>211</v>
      </c>
      <c r="G30" s="174">
        <v>28</v>
      </c>
    </row>
    <row r="31" spans="1:7" ht="16">
      <c r="A31" s="55" t="s">
        <v>55</v>
      </c>
      <c r="B31" s="55" t="str">
        <f>'Ratings worksheet'!A31</f>
        <v>Cayman Islands</v>
      </c>
      <c r="C31" s="112">
        <v>0</v>
      </c>
      <c r="F31" s="173" t="s">
        <v>420</v>
      </c>
      <c r="G31" s="174">
        <v>30</v>
      </c>
    </row>
    <row r="32" spans="1:7" ht="16">
      <c r="A32" s="55" t="s">
        <v>96</v>
      </c>
      <c r="B32" s="55" t="str">
        <f>'Ratings worksheet'!A32</f>
        <v>Chile</v>
      </c>
      <c r="C32" s="112">
        <v>0.27</v>
      </c>
      <c r="F32" s="173" t="s">
        <v>6</v>
      </c>
      <c r="G32" s="174">
        <v>20</v>
      </c>
    </row>
    <row r="33" spans="1:7" ht="16">
      <c r="A33" s="55" t="s">
        <v>97</v>
      </c>
      <c r="B33" s="55" t="str">
        <f>'Ratings worksheet'!A33</f>
        <v>China</v>
      </c>
      <c r="C33" s="112">
        <v>0.25</v>
      </c>
      <c r="F33" s="173" t="s">
        <v>212</v>
      </c>
      <c r="G33" s="174">
        <v>33</v>
      </c>
    </row>
    <row r="34" spans="1:7" ht="16">
      <c r="A34" s="55" t="s">
        <v>50</v>
      </c>
      <c r="B34" s="55" t="str">
        <f>'Ratings worksheet'!A34</f>
        <v>Colombia</v>
      </c>
      <c r="C34" s="178">
        <v>0.33</v>
      </c>
      <c r="F34" s="173" t="s">
        <v>95</v>
      </c>
      <c r="G34" s="174">
        <v>26.5</v>
      </c>
    </row>
    <row r="35" spans="1:7" ht="16">
      <c r="A35" s="55" t="s">
        <v>288</v>
      </c>
      <c r="B35" s="55" t="str">
        <f>'Ratings worksheet'!A35</f>
        <v>Congo (Democratic Republic of)</v>
      </c>
      <c r="C35" s="180">
        <v>0.35</v>
      </c>
      <c r="F35" s="173" t="s">
        <v>55</v>
      </c>
      <c r="G35" s="174">
        <v>0</v>
      </c>
    </row>
    <row r="36" spans="1:7" ht="16">
      <c r="A36" s="55" t="s">
        <v>289</v>
      </c>
      <c r="B36" s="55" t="str">
        <f>'Ratings worksheet'!A36</f>
        <v>Congo (Republic of)</v>
      </c>
      <c r="C36" s="179">
        <v>0.3236</v>
      </c>
      <c r="F36" s="173" t="s">
        <v>96</v>
      </c>
      <c r="G36" s="174">
        <v>27</v>
      </c>
    </row>
    <row r="37" spans="1:7" ht="16">
      <c r="A37" s="55" t="s">
        <v>214</v>
      </c>
      <c r="B37" s="55" t="str">
        <f>'Ratings worksheet'!A37</f>
        <v>Cook Islands</v>
      </c>
      <c r="C37" s="112">
        <v>0.2843</v>
      </c>
      <c r="F37" s="173" t="s">
        <v>97</v>
      </c>
      <c r="G37" s="174">
        <v>25</v>
      </c>
    </row>
    <row r="38" spans="1:7" ht="16">
      <c r="A38" s="55" t="s">
        <v>56</v>
      </c>
      <c r="B38" s="55" t="str">
        <f>'Ratings worksheet'!A38</f>
        <v>Costa Rica</v>
      </c>
      <c r="C38" s="181">
        <v>0.3</v>
      </c>
      <c r="F38" s="173" t="s">
        <v>50</v>
      </c>
      <c r="G38" s="174">
        <v>33</v>
      </c>
    </row>
    <row r="39" spans="1:7" ht="16">
      <c r="A39" s="55" t="s">
        <v>284</v>
      </c>
      <c r="B39" s="55" t="str">
        <f>'Ratings worksheet'!A39</f>
        <v>Côte d'Ivoire</v>
      </c>
      <c r="C39" s="112">
        <v>0.25</v>
      </c>
      <c r="F39" s="173" t="s">
        <v>542</v>
      </c>
      <c r="G39" s="174">
        <v>35</v>
      </c>
    </row>
    <row r="40" spans="1:7" ht="16">
      <c r="A40" s="55" t="s">
        <v>98</v>
      </c>
      <c r="B40" s="55" t="str">
        <f>'Ratings worksheet'!A40</f>
        <v>Croatia</v>
      </c>
      <c r="C40" s="180">
        <v>0.18</v>
      </c>
      <c r="F40" s="173" t="s">
        <v>56</v>
      </c>
      <c r="G40" s="174">
        <v>30</v>
      </c>
    </row>
    <row r="41" spans="1:7" ht="16">
      <c r="A41" s="55" t="s">
        <v>99</v>
      </c>
      <c r="B41" s="55" t="str">
        <f>'Ratings worksheet'!A41</f>
        <v>Cuba</v>
      </c>
      <c r="C41" s="112">
        <v>0.27239999999999998</v>
      </c>
      <c r="F41" s="173" t="s">
        <v>98</v>
      </c>
      <c r="G41" s="174">
        <v>18</v>
      </c>
    </row>
    <row r="42" spans="1:7" ht="16">
      <c r="A42" s="55" t="s">
        <v>217</v>
      </c>
      <c r="B42" s="55" t="str">
        <f>'Ratings worksheet'!A42</f>
        <v>Curacao</v>
      </c>
      <c r="C42" s="112">
        <v>0.22</v>
      </c>
      <c r="F42" s="173" t="s">
        <v>217</v>
      </c>
      <c r="G42" s="174">
        <v>22</v>
      </c>
    </row>
    <row r="43" spans="1:7" ht="16">
      <c r="A43" s="55" t="s">
        <v>178</v>
      </c>
      <c r="B43" s="55" t="str">
        <f>'Ratings worksheet'!A43</f>
        <v>Cyprus</v>
      </c>
      <c r="C43" s="112">
        <v>0.125</v>
      </c>
      <c r="F43" s="173" t="s">
        <v>178</v>
      </c>
      <c r="G43" s="174">
        <v>12.5</v>
      </c>
    </row>
    <row r="44" spans="1:7" ht="16">
      <c r="A44" s="55" t="s">
        <v>101</v>
      </c>
      <c r="B44" s="55" t="str">
        <f>'Ratings worksheet'!A44</f>
        <v>Czech Republic</v>
      </c>
      <c r="C44" s="112">
        <v>0.19</v>
      </c>
      <c r="F44" s="173" t="s">
        <v>101</v>
      </c>
      <c r="G44" s="174">
        <v>19</v>
      </c>
    </row>
    <row r="45" spans="1:7" ht="16">
      <c r="A45" s="55" t="s">
        <v>102</v>
      </c>
      <c r="B45" s="55" t="str">
        <f>'Ratings worksheet'!A45</f>
        <v>Denmark</v>
      </c>
      <c r="C45" s="112">
        <v>0.22</v>
      </c>
      <c r="F45" s="173" t="s">
        <v>102</v>
      </c>
      <c r="G45" s="174">
        <v>22</v>
      </c>
    </row>
    <row r="46" spans="1:7" ht="16">
      <c r="A46" s="55" t="s">
        <v>103</v>
      </c>
      <c r="B46" s="55" t="str">
        <f>'Ratings worksheet'!A46</f>
        <v>Dominican Republic</v>
      </c>
      <c r="C46" s="112">
        <v>0.27</v>
      </c>
      <c r="F46" s="173" t="s">
        <v>425</v>
      </c>
      <c r="G46" s="174">
        <v>25</v>
      </c>
    </row>
    <row r="47" spans="1:7" ht="16">
      <c r="A47" s="55" t="s">
        <v>104</v>
      </c>
      <c r="B47" s="55" t="str">
        <f>'Ratings worksheet'!A47</f>
        <v>Ecuador</v>
      </c>
      <c r="C47" s="112">
        <v>0.25</v>
      </c>
      <c r="F47" s="173" t="s">
        <v>440</v>
      </c>
      <c r="G47" s="174">
        <v>25</v>
      </c>
    </row>
    <row r="48" spans="1:7" ht="16">
      <c r="A48" s="55" t="s">
        <v>105</v>
      </c>
      <c r="B48" s="55" t="str">
        <f>'Ratings worksheet'!A48</f>
        <v>Egypt</v>
      </c>
      <c r="C48" s="112">
        <v>0.22500000000000001</v>
      </c>
      <c r="F48" s="173" t="s">
        <v>103</v>
      </c>
      <c r="G48" s="174">
        <v>27</v>
      </c>
    </row>
    <row r="49" spans="1:7" ht="16">
      <c r="A49" s="55" t="s">
        <v>31</v>
      </c>
      <c r="B49" s="55" t="str">
        <f>'Ratings worksheet'!A49</f>
        <v>El Salvador</v>
      </c>
      <c r="C49" s="112">
        <v>0.3</v>
      </c>
      <c r="F49" s="173" t="s">
        <v>104</v>
      </c>
      <c r="G49" s="174">
        <v>25</v>
      </c>
    </row>
    <row r="50" spans="1:7" ht="16">
      <c r="A50" s="55" t="s">
        <v>106</v>
      </c>
      <c r="B50" s="55" t="str">
        <f>'Ratings worksheet'!A50</f>
        <v>Estonia</v>
      </c>
      <c r="C50" s="178">
        <v>0.2</v>
      </c>
      <c r="F50" s="173" t="s">
        <v>105</v>
      </c>
      <c r="G50" s="174">
        <v>22.5</v>
      </c>
    </row>
    <row r="51" spans="1:7" ht="16">
      <c r="A51" s="55" t="s">
        <v>285</v>
      </c>
      <c r="B51" s="55" t="str">
        <f>'Ratings worksheet'!A51</f>
        <v>Ethiopia</v>
      </c>
      <c r="C51" s="112">
        <v>0.3</v>
      </c>
      <c r="F51" s="173" t="s">
        <v>31</v>
      </c>
      <c r="G51" s="174">
        <v>30</v>
      </c>
    </row>
    <row r="52" spans="1:7" ht="16">
      <c r="A52" s="55" t="s">
        <v>219</v>
      </c>
      <c r="B52" s="55" t="str">
        <f>'Ratings worksheet'!A52</f>
        <v>Fiji</v>
      </c>
      <c r="C52" s="112">
        <v>0.2</v>
      </c>
      <c r="F52" s="173" t="s">
        <v>106</v>
      </c>
      <c r="G52" s="174">
        <v>20</v>
      </c>
    </row>
    <row r="53" spans="1:7" ht="16">
      <c r="A53" s="55" t="s">
        <v>179</v>
      </c>
      <c r="B53" s="55" t="str">
        <f>'Ratings worksheet'!A53</f>
        <v>Finland</v>
      </c>
      <c r="C53" s="112">
        <v>0.2</v>
      </c>
      <c r="F53" s="173" t="s">
        <v>285</v>
      </c>
      <c r="G53" s="174">
        <v>30</v>
      </c>
    </row>
    <row r="54" spans="1:7" ht="16">
      <c r="A54" s="55" t="s">
        <v>180</v>
      </c>
      <c r="B54" s="55" t="str">
        <f>'Ratings worksheet'!A54</f>
        <v>France</v>
      </c>
      <c r="C54" s="178">
        <v>0.31</v>
      </c>
      <c r="F54" s="173" t="s">
        <v>219</v>
      </c>
      <c r="G54" s="174">
        <v>20</v>
      </c>
    </row>
    <row r="55" spans="1:7" ht="16">
      <c r="A55" s="55" t="s">
        <v>220</v>
      </c>
      <c r="B55" s="55" t="str">
        <f>'Ratings worksheet'!A55</f>
        <v>Gabon</v>
      </c>
      <c r="C55" s="112">
        <v>0.3</v>
      </c>
      <c r="F55" s="173" t="s">
        <v>179</v>
      </c>
      <c r="G55" s="174">
        <v>20</v>
      </c>
    </row>
    <row r="56" spans="1:7" ht="16">
      <c r="A56" s="55" t="s">
        <v>133</v>
      </c>
      <c r="B56" s="55" t="str">
        <f>'Ratings worksheet'!A56</f>
        <v>Georgia</v>
      </c>
      <c r="C56" s="112">
        <v>0.15</v>
      </c>
      <c r="F56" s="173" t="s">
        <v>180</v>
      </c>
      <c r="G56" s="174">
        <v>31</v>
      </c>
    </row>
    <row r="57" spans="1:7" ht="16">
      <c r="A57" s="55" t="s">
        <v>181</v>
      </c>
      <c r="B57" s="55" t="str">
        <f>'Ratings worksheet'!A57</f>
        <v>Germany</v>
      </c>
      <c r="C57" s="112">
        <v>0.3</v>
      </c>
      <c r="F57" s="173" t="s">
        <v>220</v>
      </c>
      <c r="G57" s="174">
        <v>30</v>
      </c>
    </row>
    <row r="58" spans="1:7" ht="16">
      <c r="A58" s="55" t="s">
        <v>221</v>
      </c>
      <c r="B58" s="55" t="str">
        <f>'Ratings worksheet'!A58</f>
        <v>Ghana</v>
      </c>
      <c r="C58" s="112">
        <v>0.25</v>
      </c>
      <c r="F58" s="173" t="s">
        <v>335</v>
      </c>
      <c r="G58" s="174">
        <v>31</v>
      </c>
    </row>
    <row r="59" spans="1:7" ht="16">
      <c r="A59" s="55" t="s">
        <v>182</v>
      </c>
      <c r="B59" s="55" t="str">
        <f>'Ratings worksheet'!A59</f>
        <v>Greece</v>
      </c>
      <c r="C59" s="112">
        <v>0.28000000000000003</v>
      </c>
      <c r="F59" s="173" t="s">
        <v>133</v>
      </c>
      <c r="G59" s="174">
        <v>15</v>
      </c>
    </row>
    <row r="60" spans="1:7" ht="16">
      <c r="A60" s="55" t="s">
        <v>107</v>
      </c>
      <c r="B60" s="55" t="str">
        <f>'Ratings worksheet'!A60</f>
        <v>Guatemala</v>
      </c>
      <c r="C60" s="112">
        <v>0.25</v>
      </c>
      <c r="F60" s="173" t="s">
        <v>181</v>
      </c>
      <c r="G60" s="174">
        <v>30</v>
      </c>
    </row>
    <row r="61" spans="1:7" ht="16">
      <c r="A61" s="55" t="s">
        <v>290</v>
      </c>
      <c r="B61" s="55" t="str">
        <f>'Ratings worksheet'!A61</f>
        <v>Guernsey (States of)</v>
      </c>
      <c r="C61" s="112">
        <v>0</v>
      </c>
      <c r="F61" s="173" t="s">
        <v>221</v>
      </c>
      <c r="G61" s="174">
        <v>25</v>
      </c>
    </row>
    <row r="62" spans="1:7" ht="16">
      <c r="A62" s="55" t="s">
        <v>108</v>
      </c>
      <c r="B62" s="55" t="str">
        <f>'Ratings worksheet'!A62</f>
        <v>Honduras</v>
      </c>
      <c r="C62" s="112">
        <v>0.25</v>
      </c>
      <c r="F62" s="173" t="s">
        <v>451</v>
      </c>
      <c r="G62" s="174">
        <v>10</v>
      </c>
    </row>
    <row r="63" spans="1:7" ht="16">
      <c r="A63" s="55" t="s">
        <v>59</v>
      </c>
      <c r="B63" s="55" t="str">
        <f>'Ratings worksheet'!A63</f>
        <v>Hong Kong</v>
      </c>
      <c r="C63" s="112">
        <v>0.16500000000000001</v>
      </c>
      <c r="F63" s="173" t="s">
        <v>182</v>
      </c>
      <c r="G63" s="174">
        <v>28</v>
      </c>
    </row>
    <row r="64" spans="1:7" ht="16">
      <c r="A64" s="55" t="s">
        <v>109</v>
      </c>
      <c r="B64" s="55" t="str">
        <f>'Ratings worksheet'!A64</f>
        <v>Hungary</v>
      </c>
      <c r="C64" s="112">
        <v>0.09</v>
      </c>
      <c r="F64" s="173" t="s">
        <v>433</v>
      </c>
      <c r="G64" s="174">
        <v>28</v>
      </c>
    </row>
    <row r="65" spans="1:7" ht="16">
      <c r="A65" s="55" t="s">
        <v>110</v>
      </c>
      <c r="B65" s="55" t="str">
        <f>'Ratings worksheet'!A65</f>
        <v>Iceland</v>
      </c>
      <c r="C65" s="112">
        <v>0.2</v>
      </c>
      <c r="F65" s="173" t="s">
        <v>107</v>
      </c>
      <c r="G65" s="174">
        <v>25</v>
      </c>
    </row>
    <row r="66" spans="1:7" ht="16">
      <c r="A66" s="55" t="s">
        <v>111</v>
      </c>
      <c r="B66" s="55" t="str">
        <f>'Ratings worksheet'!A66</f>
        <v>India</v>
      </c>
      <c r="C66" s="112">
        <v>0.3</v>
      </c>
      <c r="F66" s="173" t="s">
        <v>452</v>
      </c>
      <c r="G66" s="174">
        <v>0</v>
      </c>
    </row>
    <row r="67" spans="1:7" ht="16">
      <c r="A67" s="55" t="s">
        <v>112</v>
      </c>
      <c r="B67" s="55" t="s">
        <v>332</v>
      </c>
      <c r="C67" s="112">
        <v>0.25</v>
      </c>
      <c r="F67" s="173" t="s">
        <v>108</v>
      </c>
      <c r="G67" s="174">
        <v>25</v>
      </c>
    </row>
    <row r="68" spans="1:7" ht="16">
      <c r="A68" s="55" t="s">
        <v>332</v>
      </c>
      <c r="B68" s="55" t="str">
        <f>'Ratings worksheet'!A68</f>
        <v>Iraq</v>
      </c>
      <c r="C68" s="112">
        <v>0.15</v>
      </c>
      <c r="F68" s="173" t="s">
        <v>453</v>
      </c>
      <c r="G68" s="174">
        <v>16.5</v>
      </c>
    </row>
    <row r="69" spans="1:7" ht="16">
      <c r="A69" s="55" t="s">
        <v>183</v>
      </c>
      <c r="B69" s="55" t="str">
        <f>'Ratings worksheet'!A69</f>
        <v>Ireland</v>
      </c>
      <c r="C69" s="112">
        <v>0.125</v>
      </c>
      <c r="F69" s="173" t="s">
        <v>109</v>
      </c>
      <c r="G69" s="174">
        <v>9</v>
      </c>
    </row>
    <row r="70" spans="1:7" ht="16">
      <c r="A70" s="55" t="s">
        <v>113</v>
      </c>
      <c r="B70" s="55" t="str">
        <f>'Ratings worksheet'!A70</f>
        <v>Isle of Man</v>
      </c>
      <c r="C70" s="112">
        <v>0</v>
      </c>
      <c r="F70" s="173" t="s">
        <v>110</v>
      </c>
      <c r="G70" s="174">
        <v>20</v>
      </c>
    </row>
    <row r="71" spans="1:7" ht="16">
      <c r="A71" s="55" t="s">
        <v>114</v>
      </c>
      <c r="B71" s="55" t="str">
        <f>'Ratings worksheet'!A71</f>
        <v>Israel</v>
      </c>
      <c r="C71" s="112">
        <v>0.23</v>
      </c>
      <c r="F71" s="173" t="s">
        <v>111</v>
      </c>
      <c r="G71" s="174">
        <v>30</v>
      </c>
    </row>
    <row r="72" spans="1:7" ht="16">
      <c r="A72" s="55" t="s">
        <v>145</v>
      </c>
      <c r="B72" s="55" t="str">
        <f>'Ratings worksheet'!A72</f>
        <v>Italy</v>
      </c>
      <c r="C72" s="112">
        <v>0.24</v>
      </c>
      <c r="F72" s="173" t="s">
        <v>112</v>
      </c>
      <c r="G72" s="174">
        <v>25</v>
      </c>
    </row>
    <row r="73" spans="1:7" ht="16">
      <c r="A73" s="55" t="s">
        <v>115</v>
      </c>
      <c r="B73" s="55" t="str">
        <f>'Ratings worksheet'!A73</f>
        <v>Jamaica</v>
      </c>
      <c r="C73" s="112">
        <v>0.25</v>
      </c>
      <c r="F73" s="173" t="s">
        <v>332</v>
      </c>
      <c r="G73" s="174">
        <v>15</v>
      </c>
    </row>
    <row r="74" spans="1:7" ht="16">
      <c r="A74" s="55" t="s">
        <v>116</v>
      </c>
      <c r="B74" s="55" t="str">
        <f>'Ratings worksheet'!A74</f>
        <v>Japan</v>
      </c>
      <c r="C74" s="112">
        <v>0.30620000000000003</v>
      </c>
      <c r="F74" s="173" t="s">
        <v>183</v>
      </c>
      <c r="G74" s="174">
        <v>12.5</v>
      </c>
    </row>
    <row r="75" spans="1:7" ht="16">
      <c r="A75" s="55" t="s">
        <v>291</v>
      </c>
      <c r="B75" s="55" t="str">
        <f>'Ratings worksheet'!A75</f>
        <v>Jersey (States of)</v>
      </c>
      <c r="C75" s="112">
        <v>0</v>
      </c>
      <c r="F75" s="173" t="s">
        <v>113</v>
      </c>
      <c r="G75" s="174">
        <v>0</v>
      </c>
    </row>
    <row r="76" spans="1:7" ht="16">
      <c r="A76" s="55" t="s">
        <v>117</v>
      </c>
      <c r="B76" s="55" t="str">
        <f>'Ratings worksheet'!A76</f>
        <v>Jordan</v>
      </c>
      <c r="C76" s="112">
        <v>0.2</v>
      </c>
      <c r="F76" s="173" t="s">
        <v>114</v>
      </c>
      <c r="G76" s="174">
        <v>23</v>
      </c>
    </row>
    <row r="77" spans="1:7" ht="16">
      <c r="A77" s="55" t="s">
        <v>118</v>
      </c>
      <c r="B77" s="55" t="str">
        <f>'Ratings worksheet'!A77</f>
        <v>Kazakhstan</v>
      </c>
      <c r="C77" s="112">
        <v>0.2</v>
      </c>
      <c r="F77" s="173" t="s">
        <v>145</v>
      </c>
      <c r="G77" s="174">
        <v>24</v>
      </c>
    </row>
    <row r="78" spans="1:7" ht="16">
      <c r="A78" s="55" t="s">
        <v>184</v>
      </c>
      <c r="B78" s="55" t="str">
        <f>'Ratings worksheet'!A78</f>
        <v>Kenya</v>
      </c>
      <c r="C78" s="112">
        <v>0.3</v>
      </c>
      <c r="F78" s="173" t="s">
        <v>543</v>
      </c>
      <c r="G78" s="174">
        <v>25</v>
      </c>
    </row>
    <row r="79" spans="1:7" ht="16">
      <c r="A79" s="55" t="s">
        <v>119</v>
      </c>
      <c r="B79" s="55" t="str">
        <f>'Ratings worksheet'!A79</f>
        <v>Korea</v>
      </c>
      <c r="C79" s="112">
        <v>0.25</v>
      </c>
      <c r="F79" s="173" t="s">
        <v>115</v>
      </c>
      <c r="G79" s="174">
        <v>25</v>
      </c>
    </row>
    <row r="80" spans="1:7" ht="16">
      <c r="A80" s="55" t="s">
        <v>120</v>
      </c>
      <c r="B80" s="55" t="str">
        <f>'Ratings worksheet'!A80</f>
        <v>Kuwait</v>
      </c>
      <c r="C80" s="112">
        <v>0.15</v>
      </c>
      <c r="F80" s="173" t="s">
        <v>116</v>
      </c>
      <c r="G80" s="174">
        <v>30.62</v>
      </c>
    </row>
    <row r="81" spans="1:7" ht="16">
      <c r="A81" s="17" t="s">
        <v>354</v>
      </c>
      <c r="B81" s="55" t="str">
        <f>'Ratings worksheet'!A81</f>
        <v>Kyrgyzstan</v>
      </c>
      <c r="C81" s="112">
        <v>0.1</v>
      </c>
      <c r="F81" s="173" t="s">
        <v>454</v>
      </c>
      <c r="G81" s="174">
        <v>0</v>
      </c>
    </row>
    <row r="82" spans="1:7" ht="16">
      <c r="A82" s="17" t="s">
        <v>344</v>
      </c>
      <c r="B82" s="55" t="s">
        <v>344</v>
      </c>
      <c r="C82" s="182">
        <v>0.3019</v>
      </c>
      <c r="F82" s="173" t="s">
        <v>117</v>
      </c>
      <c r="G82" s="174">
        <v>20</v>
      </c>
    </row>
    <row r="83" spans="1:7" ht="16">
      <c r="A83" s="55" t="s">
        <v>121</v>
      </c>
      <c r="B83" s="55" t="str">
        <f>'Ratings worksheet'!A83</f>
        <v>Latvia</v>
      </c>
      <c r="C83" s="112">
        <v>0.2</v>
      </c>
      <c r="F83" s="173" t="s">
        <v>118</v>
      </c>
      <c r="G83" s="174">
        <v>20</v>
      </c>
    </row>
    <row r="84" spans="1:7" ht="16">
      <c r="A84" s="55" t="s">
        <v>122</v>
      </c>
      <c r="B84" s="55" t="str">
        <f>'Ratings worksheet'!A84</f>
        <v>Lebanon</v>
      </c>
      <c r="C84" s="112">
        <v>0.17</v>
      </c>
      <c r="F84" s="173" t="s">
        <v>184</v>
      </c>
      <c r="G84" s="174">
        <v>30</v>
      </c>
    </row>
    <row r="85" spans="1:7" ht="16">
      <c r="A85" s="55" t="s">
        <v>223</v>
      </c>
      <c r="B85" s="55" t="str">
        <f>'Ratings worksheet'!A85</f>
        <v>Liechtenstein</v>
      </c>
      <c r="C85" s="112">
        <v>0.125</v>
      </c>
      <c r="F85" s="173" t="s">
        <v>455</v>
      </c>
      <c r="G85" s="174">
        <v>25</v>
      </c>
    </row>
    <row r="86" spans="1:7" ht="16">
      <c r="A86" s="55" t="s">
        <v>13</v>
      </c>
      <c r="B86" s="55" t="str">
        <f>'Ratings worksheet'!A86</f>
        <v>Lithuania</v>
      </c>
      <c r="C86" s="112">
        <v>0.15</v>
      </c>
      <c r="F86" s="173" t="s">
        <v>120</v>
      </c>
      <c r="G86" s="174">
        <v>15</v>
      </c>
    </row>
    <row r="87" spans="1:7" ht="16">
      <c r="A87" s="55" t="s">
        <v>185</v>
      </c>
      <c r="B87" s="55" t="str">
        <f>'Ratings worksheet'!A87</f>
        <v>Luxembourg</v>
      </c>
      <c r="C87" s="112">
        <v>0.2601</v>
      </c>
      <c r="F87" s="173" t="s">
        <v>354</v>
      </c>
      <c r="G87" s="174">
        <v>10</v>
      </c>
    </row>
    <row r="88" spans="1:7" ht="16">
      <c r="A88" s="55" t="s">
        <v>32</v>
      </c>
      <c r="B88" s="55" t="str">
        <f>'Ratings worksheet'!A88</f>
        <v>Macao</v>
      </c>
      <c r="C88" s="112">
        <v>0.12</v>
      </c>
      <c r="F88" s="173" t="s">
        <v>121</v>
      </c>
      <c r="G88" s="174">
        <v>20</v>
      </c>
    </row>
    <row r="89" spans="1:7" ht="16">
      <c r="A89" s="55" t="s">
        <v>146</v>
      </c>
      <c r="B89" s="55" t="str">
        <f>'Ratings worksheet'!A89</f>
        <v>Macedonia</v>
      </c>
      <c r="C89" s="112">
        <v>0.1</v>
      </c>
      <c r="F89" s="173" t="s">
        <v>122</v>
      </c>
      <c r="G89" s="174">
        <v>17</v>
      </c>
    </row>
    <row r="90" spans="1:7" ht="16">
      <c r="A90" s="55" t="s">
        <v>14</v>
      </c>
      <c r="B90" s="55" t="s">
        <v>14</v>
      </c>
      <c r="C90" s="112">
        <v>0.24</v>
      </c>
      <c r="F90" s="173" t="s">
        <v>323</v>
      </c>
      <c r="G90" s="174">
        <v>20</v>
      </c>
    </row>
    <row r="91" spans="1:7" ht="16">
      <c r="A91" s="55" t="s">
        <v>419</v>
      </c>
      <c r="B91" s="55" t="str">
        <f>'Ratings worksheet'!A91</f>
        <v>Maldives</v>
      </c>
      <c r="C91" s="182">
        <v>0.3019</v>
      </c>
      <c r="F91" s="173" t="s">
        <v>223</v>
      </c>
      <c r="G91" s="174">
        <v>12.5</v>
      </c>
    </row>
    <row r="92" spans="1:7" ht="16">
      <c r="A92" s="171" t="s">
        <v>326</v>
      </c>
      <c r="B92" s="55" t="s">
        <v>326</v>
      </c>
      <c r="C92" s="182">
        <v>0.28239999999999998</v>
      </c>
      <c r="F92" s="173" t="s">
        <v>13</v>
      </c>
      <c r="G92" s="174">
        <v>15</v>
      </c>
    </row>
    <row r="93" spans="1:7" ht="16">
      <c r="A93" s="55" t="s">
        <v>186</v>
      </c>
      <c r="B93" s="55" t="s">
        <v>186</v>
      </c>
      <c r="C93" s="112">
        <v>0.35</v>
      </c>
      <c r="F93" s="173" t="s">
        <v>185</v>
      </c>
      <c r="G93" s="174">
        <v>26.01</v>
      </c>
    </row>
    <row r="94" spans="1:7" ht="16">
      <c r="A94" s="55" t="s">
        <v>15</v>
      </c>
      <c r="B94" s="55" t="str">
        <f>'Ratings worksheet'!A94</f>
        <v>Mauritius</v>
      </c>
      <c r="C94" s="112">
        <v>0.15</v>
      </c>
      <c r="F94" s="173" t="s">
        <v>356</v>
      </c>
      <c r="G94" s="174">
        <v>12</v>
      </c>
    </row>
    <row r="95" spans="1:7" ht="16">
      <c r="A95" s="55" t="s">
        <v>16</v>
      </c>
      <c r="B95" s="55" t="str">
        <f>'Ratings worksheet'!A95</f>
        <v>Mexico</v>
      </c>
      <c r="C95" s="112">
        <v>0.3</v>
      </c>
      <c r="F95" s="173" t="s">
        <v>146</v>
      </c>
      <c r="G95" s="174">
        <v>10</v>
      </c>
    </row>
    <row r="96" spans="1:7" ht="16">
      <c r="A96" s="55" t="s">
        <v>17</v>
      </c>
      <c r="B96" s="55" t="str">
        <f>'Ratings worksheet'!A96</f>
        <v>Moldova</v>
      </c>
      <c r="C96" s="178">
        <v>0.12</v>
      </c>
      <c r="F96" s="173" t="s">
        <v>337</v>
      </c>
      <c r="G96" s="174">
        <v>20</v>
      </c>
    </row>
    <row r="97" spans="1:7" ht="16">
      <c r="A97" s="55" t="s">
        <v>63</v>
      </c>
      <c r="B97" s="55" t="str">
        <f>'Ratings worksheet'!A97</f>
        <v>Mongolia</v>
      </c>
      <c r="C97" s="112">
        <v>0.25</v>
      </c>
      <c r="F97" s="173" t="s">
        <v>328</v>
      </c>
      <c r="G97" s="174">
        <v>30</v>
      </c>
    </row>
    <row r="98" spans="1:7" ht="16">
      <c r="A98" s="55" t="s">
        <v>8</v>
      </c>
      <c r="B98" s="55" t="str">
        <f>'Ratings worksheet'!A98</f>
        <v>Montenegro</v>
      </c>
      <c r="C98" s="180">
        <v>0.09</v>
      </c>
      <c r="F98" s="173" t="s">
        <v>14</v>
      </c>
      <c r="G98" s="174">
        <v>24</v>
      </c>
    </row>
    <row r="99" spans="1:7" ht="16">
      <c r="A99" s="55" t="s">
        <v>225</v>
      </c>
      <c r="B99" s="55" t="str">
        <f>'Ratings worksheet'!A99</f>
        <v>Montserrat</v>
      </c>
      <c r="C99" s="112">
        <v>0.27239999999999998</v>
      </c>
      <c r="F99" s="173" t="s">
        <v>186</v>
      </c>
      <c r="G99" s="174">
        <v>35</v>
      </c>
    </row>
    <row r="100" spans="1:7" ht="16">
      <c r="A100" s="55" t="s">
        <v>18</v>
      </c>
      <c r="B100" s="55" t="str">
        <f>'Ratings worksheet'!A100</f>
        <v>Morocco</v>
      </c>
      <c r="C100" s="112">
        <v>0.31</v>
      </c>
      <c r="F100" s="173" t="s">
        <v>15</v>
      </c>
      <c r="G100" s="174">
        <v>15</v>
      </c>
    </row>
    <row r="101" spans="1:7" ht="16">
      <c r="A101" s="55" t="s">
        <v>226</v>
      </c>
      <c r="B101" s="55" t="str">
        <f>'Ratings worksheet'!A101</f>
        <v>Mozambique</v>
      </c>
      <c r="C101" s="112">
        <v>0.32</v>
      </c>
      <c r="F101" s="173" t="s">
        <v>16</v>
      </c>
      <c r="G101" s="174">
        <v>30</v>
      </c>
    </row>
    <row r="102" spans="1:7" ht="16">
      <c r="A102" s="55" t="s">
        <v>136</v>
      </c>
      <c r="B102" s="55" t="str">
        <f>'Ratings worksheet'!A102</f>
        <v>Namibia</v>
      </c>
      <c r="C102" s="112">
        <v>0.32</v>
      </c>
      <c r="F102" s="173" t="s">
        <v>17</v>
      </c>
      <c r="G102" s="174">
        <v>12</v>
      </c>
    </row>
    <row r="103" spans="1:7" ht="16">
      <c r="A103" s="55" t="s">
        <v>187</v>
      </c>
      <c r="B103" s="55" t="str">
        <f>'Ratings worksheet'!A103</f>
        <v>Netherlands</v>
      </c>
      <c r="C103" s="112">
        <v>0.25</v>
      </c>
      <c r="F103" s="173" t="s">
        <v>505</v>
      </c>
      <c r="G103" s="174">
        <v>33</v>
      </c>
    </row>
    <row r="104" spans="1:7" ht="16">
      <c r="A104" s="55" t="s">
        <v>21</v>
      </c>
      <c r="B104" s="55" t="str">
        <f>'Ratings worksheet'!A104</f>
        <v>New Zealand</v>
      </c>
      <c r="C104" s="178">
        <v>0.28000000000000003</v>
      </c>
      <c r="F104" s="173" t="s">
        <v>63</v>
      </c>
      <c r="G104" s="174">
        <v>25</v>
      </c>
    </row>
    <row r="105" spans="1:7" ht="16">
      <c r="A105" s="55" t="s">
        <v>22</v>
      </c>
      <c r="B105" s="55" t="str">
        <f>'Ratings worksheet'!A105</f>
        <v>Nicaragua</v>
      </c>
      <c r="C105" s="112">
        <v>0.3</v>
      </c>
      <c r="F105" s="173" t="s">
        <v>8</v>
      </c>
      <c r="G105" s="174">
        <v>9</v>
      </c>
    </row>
    <row r="106" spans="1:7" ht="16">
      <c r="A106" s="55" t="s">
        <v>322</v>
      </c>
      <c r="B106" s="55" t="s">
        <v>322</v>
      </c>
      <c r="C106" s="182">
        <v>0.3236</v>
      </c>
      <c r="F106" s="173" t="s">
        <v>18</v>
      </c>
      <c r="G106" s="174">
        <v>31</v>
      </c>
    </row>
    <row r="107" spans="1:7" ht="16">
      <c r="A107" s="55" t="s">
        <v>188</v>
      </c>
      <c r="B107" s="55" t="str">
        <f>'Ratings worksheet'!A107</f>
        <v>Nigeria</v>
      </c>
      <c r="C107" s="112">
        <v>0.3</v>
      </c>
      <c r="F107" s="173" t="s">
        <v>226</v>
      </c>
      <c r="G107" s="174">
        <v>32</v>
      </c>
    </row>
    <row r="108" spans="1:7" ht="16">
      <c r="A108" s="55" t="s">
        <v>23</v>
      </c>
      <c r="B108" s="55" t="str">
        <f>'Ratings worksheet'!A108</f>
        <v>Norway</v>
      </c>
      <c r="C108" s="112">
        <v>0.22</v>
      </c>
      <c r="F108" s="173" t="s">
        <v>336</v>
      </c>
      <c r="G108" s="174">
        <v>25</v>
      </c>
    </row>
    <row r="109" spans="1:7" ht="16">
      <c r="A109" s="55" t="s">
        <v>24</v>
      </c>
      <c r="B109" s="55" t="str">
        <f>'Ratings worksheet'!A109</f>
        <v>Oman</v>
      </c>
      <c r="C109" s="112">
        <v>0.15</v>
      </c>
      <c r="F109" s="173" t="s">
        <v>136</v>
      </c>
      <c r="G109" s="174">
        <v>32</v>
      </c>
    </row>
    <row r="110" spans="1:7" ht="16">
      <c r="A110" s="55" t="s">
        <v>25</v>
      </c>
      <c r="B110" s="55" t="str">
        <f>'Ratings worksheet'!A110</f>
        <v>Pakistan</v>
      </c>
      <c r="C110" s="112">
        <v>0.3</v>
      </c>
      <c r="F110" s="173" t="s">
        <v>187</v>
      </c>
      <c r="G110" s="174">
        <v>25</v>
      </c>
    </row>
    <row r="111" spans="1:7" ht="16">
      <c r="A111" s="55" t="s">
        <v>26</v>
      </c>
      <c r="B111" s="55" t="str">
        <f>'Ratings worksheet'!A111</f>
        <v>Panama</v>
      </c>
      <c r="C111" s="112">
        <v>0.25</v>
      </c>
      <c r="F111" s="173" t="s">
        <v>21</v>
      </c>
      <c r="G111" s="174">
        <v>28</v>
      </c>
    </row>
    <row r="112" spans="1:7" ht="16">
      <c r="A112" s="55" t="s">
        <v>9</v>
      </c>
      <c r="B112" s="55" t="str">
        <f>'Ratings worksheet'!A112</f>
        <v>Papua New Guinea</v>
      </c>
      <c r="C112" s="112">
        <v>0.3</v>
      </c>
      <c r="F112" s="173" t="s">
        <v>22</v>
      </c>
      <c r="G112" s="174">
        <v>30</v>
      </c>
    </row>
    <row r="113" spans="1:7" ht="16">
      <c r="A113" s="55" t="s">
        <v>27</v>
      </c>
      <c r="B113" s="55" t="str">
        <f>'Ratings worksheet'!A113</f>
        <v>Paraguay</v>
      </c>
      <c r="C113" s="112">
        <v>0.1</v>
      </c>
      <c r="F113" s="173" t="s">
        <v>188</v>
      </c>
      <c r="G113" s="174">
        <v>30</v>
      </c>
    </row>
    <row r="114" spans="1:7" ht="16">
      <c r="A114" s="55" t="s">
        <v>28</v>
      </c>
      <c r="B114" s="55" t="str">
        <f>'Ratings worksheet'!A114</f>
        <v>Peru</v>
      </c>
      <c r="C114" s="112">
        <v>0.29499999999999998</v>
      </c>
      <c r="F114" s="173" t="s">
        <v>23</v>
      </c>
      <c r="G114" s="174">
        <v>22</v>
      </c>
    </row>
    <row r="115" spans="1:7" ht="16">
      <c r="A115" s="55" t="s">
        <v>29</v>
      </c>
      <c r="B115" s="55" t="str">
        <f>'Ratings worksheet'!A115</f>
        <v>Philippines</v>
      </c>
      <c r="C115" s="112">
        <v>0.3</v>
      </c>
      <c r="F115" s="173" t="s">
        <v>24</v>
      </c>
      <c r="G115" s="174">
        <v>15</v>
      </c>
    </row>
    <row r="116" spans="1:7" ht="16">
      <c r="A116" s="55" t="s">
        <v>30</v>
      </c>
      <c r="B116" s="55" t="str">
        <f>'Ratings worksheet'!A116</f>
        <v>Poland</v>
      </c>
      <c r="C116" s="112">
        <v>0.19</v>
      </c>
      <c r="F116" s="173" t="s">
        <v>25</v>
      </c>
      <c r="G116" s="174">
        <v>30</v>
      </c>
    </row>
    <row r="117" spans="1:7" ht="16">
      <c r="A117" s="55" t="s">
        <v>189</v>
      </c>
      <c r="B117" s="55" t="str">
        <f>'Ratings worksheet'!A117</f>
        <v>Portugal</v>
      </c>
      <c r="C117" s="112">
        <v>0.21</v>
      </c>
      <c r="F117" s="173" t="s">
        <v>544</v>
      </c>
      <c r="G117" s="174">
        <v>15</v>
      </c>
    </row>
    <row r="118" spans="1:7" ht="16">
      <c r="A118" s="55" t="s">
        <v>74</v>
      </c>
      <c r="B118" s="55" t="str">
        <f>'Ratings worksheet'!A118</f>
        <v>Qatar</v>
      </c>
      <c r="C118" s="112">
        <v>0.1</v>
      </c>
      <c r="F118" s="173" t="s">
        <v>26</v>
      </c>
      <c r="G118" s="174">
        <v>25</v>
      </c>
    </row>
    <row r="119" spans="1:7" ht="16">
      <c r="A119" s="55" t="s">
        <v>292</v>
      </c>
      <c r="B119" s="55" t="str">
        <f>'Ratings worksheet'!A119</f>
        <v>Ras Al Khaimah (Emirate of)</v>
      </c>
      <c r="C119" s="112">
        <v>0</v>
      </c>
      <c r="F119" s="173" t="s">
        <v>9</v>
      </c>
      <c r="G119" s="174">
        <v>30</v>
      </c>
    </row>
    <row r="120" spans="1:7" ht="16">
      <c r="A120" s="55" t="s">
        <v>0</v>
      </c>
      <c r="B120" s="55" t="str">
        <f>'Ratings worksheet'!A120</f>
        <v>Romania</v>
      </c>
      <c r="C120" s="112">
        <v>0.16</v>
      </c>
      <c r="F120" s="173" t="s">
        <v>27</v>
      </c>
      <c r="G120" s="174">
        <v>10</v>
      </c>
    </row>
    <row r="121" spans="1:7" ht="16">
      <c r="A121" s="55" t="s">
        <v>1</v>
      </c>
      <c r="B121" s="55" t="str">
        <f>'Ratings worksheet'!A121</f>
        <v>Russia</v>
      </c>
      <c r="C121" s="178">
        <v>0.2</v>
      </c>
      <c r="F121" s="173" t="s">
        <v>28</v>
      </c>
      <c r="G121" s="174">
        <v>29.5</v>
      </c>
    </row>
    <row r="122" spans="1:7" ht="16">
      <c r="A122" s="55" t="s">
        <v>227</v>
      </c>
      <c r="B122" s="55" t="str">
        <f>'Ratings worksheet'!A122</f>
        <v>Rwanda</v>
      </c>
      <c r="C122" s="112">
        <v>0.3</v>
      </c>
      <c r="F122" s="173" t="s">
        <v>29</v>
      </c>
      <c r="G122" s="174">
        <v>30</v>
      </c>
    </row>
    <row r="123" spans="1:7" ht="16">
      <c r="A123" s="55" t="s">
        <v>2</v>
      </c>
      <c r="B123" s="55" t="str">
        <f>'Ratings worksheet'!A123</f>
        <v>Saudi Arabia</v>
      </c>
      <c r="C123" s="178">
        <v>0.2</v>
      </c>
      <c r="F123" s="173" t="s">
        <v>30</v>
      </c>
      <c r="G123" s="174">
        <v>19</v>
      </c>
    </row>
    <row r="124" spans="1:7" ht="16">
      <c r="A124" s="55" t="s">
        <v>135</v>
      </c>
      <c r="B124" s="55" t="str">
        <f>'Ratings worksheet'!A124</f>
        <v>Senegal</v>
      </c>
      <c r="C124" s="112">
        <v>0.3</v>
      </c>
      <c r="F124" s="173" t="s">
        <v>189</v>
      </c>
      <c r="G124" s="174">
        <v>21</v>
      </c>
    </row>
    <row r="125" spans="1:7" ht="16">
      <c r="A125" s="55" t="s">
        <v>147</v>
      </c>
      <c r="B125" s="55" t="str">
        <f>'Ratings worksheet'!A125</f>
        <v>Serbia</v>
      </c>
      <c r="C125" s="112">
        <v>0.15</v>
      </c>
      <c r="F125" s="173" t="s">
        <v>74</v>
      </c>
      <c r="G125" s="174">
        <v>10</v>
      </c>
    </row>
    <row r="126" spans="1:7" ht="16">
      <c r="A126" s="55" t="s">
        <v>286</v>
      </c>
      <c r="B126" s="55" t="str">
        <f>'Ratings worksheet'!A126</f>
        <v>Sharjah</v>
      </c>
      <c r="C126" s="112">
        <v>0</v>
      </c>
      <c r="F126" s="173" t="s">
        <v>0</v>
      </c>
      <c r="G126" s="174">
        <v>16</v>
      </c>
    </row>
    <row r="127" spans="1:7" ht="16">
      <c r="A127" s="55" t="s">
        <v>3</v>
      </c>
      <c r="B127" s="55" t="str">
        <f>'Ratings worksheet'!A127</f>
        <v>Singapore</v>
      </c>
      <c r="C127" s="112">
        <v>0.17</v>
      </c>
      <c r="F127" s="173" t="s">
        <v>1</v>
      </c>
      <c r="G127" s="174">
        <v>20</v>
      </c>
    </row>
    <row r="128" spans="1:7" ht="16">
      <c r="A128" s="55" t="s">
        <v>61</v>
      </c>
      <c r="B128" s="55" t="str">
        <f>'Ratings worksheet'!A128</f>
        <v>Slovakia</v>
      </c>
      <c r="C128" s="112">
        <v>0.21</v>
      </c>
      <c r="F128" s="173" t="s">
        <v>227</v>
      </c>
      <c r="G128" s="174">
        <v>30</v>
      </c>
    </row>
    <row r="129" spans="1:7" ht="16">
      <c r="A129" s="55" t="s">
        <v>190</v>
      </c>
      <c r="B129" s="55" t="s">
        <v>190</v>
      </c>
      <c r="C129" s="112">
        <v>0.19</v>
      </c>
      <c r="F129" s="173" t="s">
        <v>545</v>
      </c>
      <c r="G129" s="174">
        <v>33</v>
      </c>
    </row>
    <row r="130" spans="1:7" ht="16">
      <c r="A130" s="55" t="s">
        <v>432</v>
      </c>
      <c r="B130" s="55" t="str">
        <f>'Ratings worksheet'!A130</f>
        <v>Solomon Islands</v>
      </c>
      <c r="C130" s="112">
        <v>0.3</v>
      </c>
      <c r="F130" s="173" t="s">
        <v>546</v>
      </c>
      <c r="G130" s="174">
        <v>30</v>
      </c>
    </row>
    <row r="131" spans="1:7" ht="16">
      <c r="A131" s="55" t="s">
        <v>76</v>
      </c>
      <c r="B131" s="55" t="str">
        <f>'Ratings worksheet'!A131</f>
        <v>South Africa</v>
      </c>
      <c r="C131" s="112">
        <v>0.28000000000000003</v>
      </c>
      <c r="F131" s="173" t="s">
        <v>547</v>
      </c>
      <c r="G131" s="174">
        <v>30</v>
      </c>
    </row>
    <row r="132" spans="1:7" ht="16">
      <c r="A132" s="55" t="s">
        <v>138</v>
      </c>
      <c r="B132" s="55" t="str">
        <f>'Ratings worksheet'!A132</f>
        <v>Spain</v>
      </c>
      <c r="C132" s="112">
        <v>0.25</v>
      </c>
      <c r="F132" s="173" t="s">
        <v>436</v>
      </c>
      <c r="G132" s="174">
        <v>27</v>
      </c>
    </row>
    <row r="133" spans="1:7" ht="16">
      <c r="A133" s="55" t="s">
        <v>134</v>
      </c>
      <c r="B133" s="55" t="str">
        <f>'Ratings worksheet'!A133</f>
        <v>Sri Lanka</v>
      </c>
      <c r="C133" s="112">
        <v>0.28000000000000003</v>
      </c>
      <c r="F133" s="173" t="s">
        <v>2</v>
      </c>
      <c r="G133" s="174">
        <v>20</v>
      </c>
    </row>
    <row r="134" spans="1:7" ht="16">
      <c r="A134" s="55" t="s">
        <v>191</v>
      </c>
      <c r="B134" s="55" t="str">
        <f>'Ratings worksheet'!A134</f>
        <v>St. Maarten</v>
      </c>
      <c r="C134" s="180">
        <v>0.35</v>
      </c>
      <c r="F134" s="173" t="s">
        <v>135</v>
      </c>
      <c r="G134" s="174">
        <v>30</v>
      </c>
    </row>
    <row r="135" spans="1:7" ht="16">
      <c r="A135" s="55" t="s">
        <v>10</v>
      </c>
      <c r="B135" s="55" t="str">
        <f>'Ratings worksheet'!A135</f>
        <v>St. Vincent &amp; the Grenadines</v>
      </c>
      <c r="C135" s="178">
        <v>0.3</v>
      </c>
      <c r="F135" s="173" t="s">
        <v>147</v>
      </c>
      <c r="G135" s="174">
        <v>15</v>
      </c>
    </row>
    <row r="136" spans="1:7" ht="16">
      <c r="A136" s="55" t="s">
        <v>33</v>
      </c>
      <c r="B136" s="55" t="s">
        <v>33</v>
      </c>
      <c r="C136" s="178">
        <v>0.36</v>
      </c>
      <c r="F136" s="173" t="s">
        <v>330</v>
      </c>
      <c r="G136" s="174">
        <v>30</v>
      </c>
    </row>
    <row r="137" spans="1:7" ht="16">
      <c r="A137" s="55" t="s">
        <v>418</v>
      </c>
      <c r="B137" s="55" t="str">
        <f>'Ratings worksheet'!A137</f>
        <v>Swaziland</v>
      </c>
      <c r="C137" s="112">
        <v>0.27500000000000002</v>
      </c>
      <c r="F137" s="173" t="s">
        <v>3</v>
      </c>
      <c r="G137" s="174">
        <v>17</v>
      </c>
    </row>
    <row r="138" spans="1:7" ht="16">
      <c r="A138" s="55" t="s">
        <v>34</v>
      </c>
      <c r="B138" s="55" t="str">
        <f>'Ratings worksheet'!A138</f>
        <v>Sweden</v>
      </c>
      <c r="C138" s="112">
        <v>0.214</v>
      </c>
      <c r="F138" s="173" t="s">
        <v>456</v>
      </c>
      <c r="G138" s="174">
        <v>35</v>
      </c>
    </row>
    <row r="139" spans="1:7" ht="16">
      <c r="A139" s="55" t="s">
        <v>35</v>
      </c>
      <c r="B139" s="55" t="str">
        <f>'Ratings worksheet'!A139</f>
        <v>Switzerland</v>
      </c>
      <c r="C139" s="112">
        <v>0.18</v>
      </c>
      <c r="F139" s="173" t="s">
        <v>61</v>
      </c>
      <c r="G139" s="174">
        <v>21</v>
      </c>
    </row>
    <row r="140" spans="1:7" ht="16">
      <c r="A140" s="55" t="s">
        <v>64</v>
      </c>
      <c r="B140" s="55" t="s">
        <v>64</v>
      </c>
      <c r="C140" s="112">
        <v>0.2</v>
      </c>
      <c r="F140" s="173" t="s">
        <v>190</v>
      </c>
      <c r="G140" s="174">
        <v>19</v>
      </c>
    </row>
    <row r="141" spans="1:7" ht="16">
      <c r="A141" s="183" t="s">
        <v>415</v>
      </c>
      <c r="B141" s="55" t="s">
        <v>415</v>
      </c>
      <c r="C141" s="182">
        <v>0.3019</v>
      </c>
      <c r="F141" s="173" t="s">
        <v>432</v>
      </c>
      <c r="G141" s="174">
        <v>30</v>
      </c>
    </row>
    <row r="142" spans="1:7" ht="16">
      <c r="A142" s="183" t="s">
        <v>333</v>
      </c>
      <c r="B142" s="55" t="str">
        <f>'Ratings worksheet'!A142</f>
        <v>Tanzania</v>
      </c>
      <c r="C142" s="112">
        <v>0.3</v>
      </c>
      <c r="F142" s="173" t="s">
        <v>76</v>
      </c>
      <c r="G142" s="174">
        <v>28</v>
      </c>
    </row>
    <row r="143" spans="1:7" ht="16">
      <c r="A143" s="55" t="s">
        <v>65</v>
      </c>
      <c r="B143" s="55" t="str">
        <f>'Ratings worksheet'!A143</f>
        <v>Thailand</v>
      </c>
      <c r="C143" s="112">
        <v>0.2</v>
      </c>
      <c r="F143" s="173" t="s">
        <v>138</v>
      </c>
      <c r="G143" s="174">
        <v>25</v>
      </c>
    </row>
    <row r="144" spans="1:7" ht="16">
      <c r="A144" s="171" t="s">
        <v>325</v>
      </c>
      <c r="B144" s="55" t="s">
        <v>325</v>
      </c>
      <c r="C144" s="182">
        <v>0.3236</v>
      </c>
      <c r="F144" s="173" t="s">
        <v>134</v>
      </c>
      <c r="G144" s="174">
        <v>28</v>
      </c>
    </row>
    <row r="145" spans="1:7" ht="16">
      <c r="A145" s="55" t="s">
        <v>11</v>
      </c>
      <c r="B145" s="55" t="str">
        <f>'Ratings worksheet'!A145</f>
        <v>Trinidad and Tobago</v>
      </c>
      <c r="C145" s="181">
        <v>0.25</v>
      </c>
      <c r="F145" s="173" t="s">
        <v>457</v>
      </c>
      <c r="G145" s="174">
        <v>35</v>
      </c>
    </row>
    <row r="146" spans="1:7" ht="16">
      <c r="A146" s="55" t="s">
        <v>77</v>
      </c>
      <c r="B146" s="55" t="str">
        <f>'Ratings worksheet'!A146</f>
        <v>Tunisia</v>
      </c>
      <c r="C146" s="112">
        <v>0.25</v>
      </c>
      <c r="F146" s="173" t="s">
        <v>320</v>
      </c>
      <c r="G146" s="174">
        <v>35</v>
      </c>
    </row>
    <row r="147" spans="1:7" ht="16">
      <c r="A147" s="55" t="s">
        <v>66</v>
      </c>
      <c r="B147" s="55" t="str">
        <f>'Ratings worksheet'!A147</f>
        <v>Turkey</v>
      </c>
      <c r="C147" s="180">
        <v>0.22</v>
      </c>
      <c r="F147" s="173" t="s">
        <v>33</v>
      </c>
      <c r="G147" s="174">
        <v>36</v>
      </c>
    </row>
    <row r="148" spans="1:7" ht="16">
      <c r="A148" s="55" t="s">
        <v>293</v>
      </c>
      <c r="B148" s="55" t="str">
        <f>'Ratings worksheet'!A148</f>
        <v>Turks and Caicos Islands</v>
      </c>
      <c r="C148" s="112">
        <v>0</v>
      </c>
      <c r="F148" s="173" t="s">
        <v>418</v>
      </c>
      <c r="G148" s="174">
        <v>27.5</v>
      </c>
    </row>
    <row r="149" spans="1:7" ht="16">
      <c r="A149" s="55" t="s">
        <v>228</v>
      </c>
      <c r="B149" s="55" t="str">
        <f>'Ratings worksheet'!A149</f>
        <v>Uganda</v>
      </c>
      <c r="C149" s="112">
        <v>0.3</v>
      </c>
      <c r="F149" s="173" t="s">
        <v>34</v>
      </c>
      <c r="G149" s="174">
        <v>21.4</v>
      </c>
    </row>
    <row r="150" spans="1:7" ht="16">
      <c r="A150" s="55" t="s">
        <v>68</v>
      </c>
      <c r="B150" s="55" t="str">
        <f>'Ratings worksheet'!A150</f>
        <v>Ukraine</v>
      </c>
      <c r="C150" s="112">
        <v>0.18</v>
      </c>
      <c r="F150" s="173" t="s">
        <v>35</v>
      </c>
      <c r="G150" s="174">
        <v>18</v>
      </c>
    </row>
    <row r="151" spans="1:7" ht="16">
      <c r="A151" s="55" t="s">
        <v>60</v>
      </c>
      <c r="B151" s="55" t="str">
        <f>'Ratings worksheet'!A151</f>
        <v>United Arab Emirates</v>
      </c>
      <c r="C151" s="112">
        <v>0.55000000000000004</v>
      </c>
      <c r="F151" s="173" t="s">
        <v>317</v>
      </c>
      <c r="G151" s="174">
        <v>28</v>
      </c>
    </row>
    <row r="152" spans="1:7" ht="16">
      <c r="A152" s="55" t="s">
        <v>57</v>
      </c>
      <c r="B152" s="55" t="str">
        <f>'Ratings worksheet'!A152</f>
        <v>United Kingdom</v>
      </c>
      <c r="C152" s="112">
        <v>0.19</v>
      </c>
      <c r="F152" s="173" t="s">
        <v>64</v>
      </c>
      <c r="G152" s="174">
        <v>20</v>
      </c>
    </row>
    <row r="153" spans="1:7" ht="16">
      <c r="A153" s="55" t="s">
        <v>357</v>
      </c>
      <c r="B153" s="55" t="str">
        <f>'Ratings worksheet'!A153</f>
        <v>United States</v>
      </c>
      <c r="C153" s="112">
        <v>0.25</v>
      </c>
      <c r="F153" s="173" t="s">
        <v>333</v>
      </c>
      <c r="G153" s="174">
        <v>30</v>
      </c>
    </row>
    <row r="154" spans="1:7" ht="16">
      <c r="A154" s="55" t="s">
        <v>69</v>
      </c>
      <c r="B154" s="55" t="str">
        <f>'Ratings worksheet'!A154</f>
        <v>Uruguay</v>
      </c>
      <c r="C154" s="112">
        <v>0.25</v>
      </c>
      <c r="F154" s="173" t="s">
        <v>65</v>
      </c>
      <c r="G154" s="174">
        <v>20</v>
      </c>
    </row>
    <row r="155" spans="1:7" ht="16">
      <c r="A155" s="198" t="s">
        <v>406</v>
      </c>
      <c r="B155" s="198" t="s">
        <v>406</v>
      </c>
      <c r="C155" s="181">
        <v>7.4999999999999997E-2</v>
      </c>
      <c r="F155" s="173" t="s">
        <v>11</v>
      </c>
      <c r="G155" s="174">
        <v>25</v>
      </c>
    </row>
    <row r="156" spans="1:7" ht="16">
      <c r="A156" s="55" t="s">
        <v>70</v>
      </c>
      <c r="B156" s="55" t="str">
        <f>'Ratings worksheet'!A156</f>
        <v>Venezuela</v>
      </c>
      <c r="C156" s="112">
        <v>0.34</v>
      </c>
      <c r="F156" s="173" t="s">
        <v>77</v>
      </c>
      <c r="G156" s="174">
        <v>25</v>
      </c>
    </row>
    <row r="157" spans="1:7" ht="16">
      <c r="A157" s="55" t="s">
        <v>71</v>
      </c>
      <c r="B157" s="55" t="s">
        <v>71</v>
      </c>
      <c r="C157" s="112">
        <v>0.2</v>
      </c>
      <c r="F157" s="173" t="s">
        <v>66</v>
      </c>
      <c r="G157" s="174">
        <v>22</v>
      </c>
    </row>
    <row r="158" spans="1:7" ht="16">
      <c r="A158" s="55" t="s">
        <v>192</v>
      </c>
      <c r="B158" s="17" t="s">
        <v>192</v>
      </c>
      <c r="C158" s="112">
        <v>0.35</v>
      </c>
      <c r="F158" s="173" t="s">
        <v>67</v>
      </c>
      <c r="G158" s="174">
        <v>20</v>
      </c>
    </row>
    <row r="159" spans="1:7" ht="16">
      <c r="F159" s="173" t="s">
        <v>293</v>
      </c>
      <c r="G159" s="174">
        <v>0</v>
      </c>
    </row>
    <row r="160" spans="1:7" ht="16">
      <c r="F160" s="173" t="s">
        <v>228</v>
      </c>
      <c r="G160" s="174">
        <v>30</v>
      </c>
    </row>
    <row r="161" spans="6:11" ht="16">
      <c r="F161" s="173" t="s">
        <v>68</v>
      </c>
      <c r="G161" s="174">
        <v>18</v>
      </c>
    </row>
    <row r="162" spans="6:11" ht="16">
      <c r="F162" s="173" t="s">
        <v>60</v>
      </c>
      <c r="G162" s="174">
        <v>55</v>
      </c>
    </row>
    <row r="163" spans="6:11" ht="16">
      <c r="F163" s="173" t="s">
        <v>57</v>
      </c>
      <c r="G163" s="174">
        <v>19</v>
      </c>
    </row>
    <row r="164" spans="6:11" ht="16">
      <c r="F164" s="173" t="s">
        <v>357</v>
      </c>
      <c r="G164" s="174">
        <v>27</v>
      </c>
    </row>
    <row r="165" spans="6:11" ht="16">
      <c r="F165" s="173" t="s">
        <v>69</v>
      </c>
      <c r="G165" s="174">
        <v>25</v>
      </c>
    </row>
    <row r="166" spans="6:11" ht="16">
      <c r="F166" s="173" t="s">
        <v>406</v>
      </c>
      <c r="G166" s="174">
        <v>7.5</v>
      </c>
    </row>
    <row r="167" spans="6:11" ht="16">
      <c r="F167" s="173" t="s">
        <v>437</v>
      </c>
      <c r="G167" s="174">
        <v>0</v>
      </c>
    </row>
    <row r="168" spans="6:11" ht="16">
      <c r="F168" s="173" t="s">
        <v>70</v>
      </c>
      <c r="G168" s="174">
        <v>34</v>
      </c>
    </row>
    <row r="169" spans="6:11" ht="16">
      <c r="F169" s="173" t="s">
        <v>71</v>
      </c>
      <c r="G169" s="174">
        <v>20</v>
      </c>
    </row>
    <row r="170" spans="6:11" ht="16">
      <c r="F170" s="173" t="s">
        <v>458</v>
      </c>
      <c r="G170" s="174">
        <v>20</v>
      </c>
    </row>
    <row r="171" spans="6:11" ht="16">
      <c r="F171" s="173" t="s">
        <v>192</v>
      </c>
      <c r="G171" s="174">
        <v>35</v>
      </c>
    </row>
    <row r="172" spans="6:11" ht="16">
      <c r="F172" s="173" t="s">
        <v>321</v>
      </c>
      <c r="G172" s="174">
        <v>25</v>
      </c>
    </row>
    <row r="173" spans="6:11">
      <c r="J173" s="64"/>
      <c r="K173" s="56"/>
    </row>
    <row r="174" spans="6:11">
      <c r="J174" s="64"/>
      <c r="K174" s="56"/>
    </row>
    <row r="175" spans="6:11">
      <c r="J175" s="64"/>
      <c r="K175" s="56"/>
    </row>
    <row r="176" spans="6:11">
      <c r="J176" s="64"/>
      <c r="K176" s="56"/>
    </row>
    <row r="177" spans="10:11">
      <c r="J177" s="64"/>
      <c r="K177" s="56"/>
    </row>
    <row r="178" spans="10:11">
      <c r="J178" s="64"/>
      <c r="K178" s="56"/>
    </row>
    <row r="179" spans="10:11">
      <c r="J179" s="64"/>
      <c r="K179" s="56"/>
    </row>
    <row r="180" spans="10:11">
      <c r="J180" s="64"/>
      <c r="K180" s="56"/>
    </row>
    <row r="181" spans="10:11">
      <c r="J181" s="64"/>
      <c r="K181" s="56"/>
    </row>
    <row r="182" spans="10:11">
      <c r="J182" s="64"/>
      <c r="K182" s="56"/>
    </row>
    <row r="183" spans="10:11">
      <c r="J183" s="64"/>
      <c r="K183" s="56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C47" sqref="C47"/>
    </sheetView>
  </sheetViews>
  <sheetFormatPr baseColWidth="10" defaultRowHeight="16"/>
  <cols>
    <col min="1" max="1" width="26.83203125" style="103" bestFit="1" customWidth="1"/>
    <col min="2" max="2" width="14.33203125" style="165" customWidth="1"/>
    <col min="3" max="4" width="22.1640625" style="23" customWidth="1"/>
    <col min="5" max="6" width="20.83203125" style="31" customWidth="1"/>
    <col min="7" max="7" width="20.83203125" style="57" customWidth="1"/>
    <col min="10" max="10" width="18.5" customWidth="1"/>
    <col min="22" max="22" width="22.6640625" customWidth="1"/>
  </cols>
  <sheetData>
    <row r="1" spans="1:15" s="2" customFormat="1" ht="16" customHeight="1">
      <c r="A1" s="115" t="s">
        <v>75</v>
      </c>
      <c r="B1" s="162" t="s">
        <v>350</v>
      </c>
      <c r="C1" s="115" t="s">
        <v>140</v>
      </c>
      <c r="D1" s="115" t="s">
        <v>139</v>
      </c>
      <c r="E1" s="184" t="s">
        <v>351</v>
      </c>
      <c r="F1" s="184" t="s">
        <v>358</v>
      </c>
      <c r="G1" s="184" t="s">
        <v>394</v>
      </c>
      <c r="H1" s="185"/>
      <c r="I1" s="272" t="s">
        <v>350</v>
      </c>
      <c r="J1" s="272"/>
      <c r="K1" s="186"/>
      <c r="N1" s="253" t="s">
        <v>75</v>
      </c>
      <c r="O1" s="254" t="s">
        <v>350</v>
      </c>
    </row>
    <row r="2" spans="1:15">
      <c r="A2" s="55" t="str">
        <f>'ERPs by country'!A8</f>
        <v>Abu Dhabi</v>
      </c>
      <c r="B2" s="163" t="e">
        <f>VLOOKUP(A2,$N$2:$O$141,2,FALSE)</f>
        <v>#N/A</v>
      </c>
      <c r="C2" s="116">
        <f>'ERPs by country'!E8</f>
        <v>5.9590703655369198E-2</v>
      </c>
      <c r="D2" s="27">
        <f>'ERPs by country'!D8</f>
        <v>5.8229604364363613E-3</v>
      </c>
      <c r="E2" s="27">
        <f>C2</f>
        <v>5.9590703655369198E-2</v>
      </c>
      <c r="F2" s="71">
        <f>'Country Tax Rates'!C2</f>
        <v>0.55000000000000004</v>
      </c>
      <c r="G2" s="71">
        <f>E2-'ERPs by country'!$E$3</f>
        <v>7.290703655369199E-3</v>
      </c>
      <c r="I2" s="17" t="s">
        <v>348</v>
      </c>
      <c r="J2" s="17" t="s">
        <v>349</v>
      </c>
      <c r="K2" s="17" t="s">
        <v>313</v>
      </c>
      <c r="L2" s="122" t="s">
        <v>394</v>
      </c>
      <c r="N2" s="255" t="s">
        <v>4</v>
      </c>
      <c r="O2" s="256">
        <v>63</v>
      </c>
    </row>
    <row r="3" spans="1:15" ht="16" customHeight="1">
      <c r="A3" s="55" t="str">
        <f>'ERPs by country'!A9</f>
        <v>Albania</v>
      </c>
      <c r="B3" s="163">
        <f>VLOOKUP(A3,$N$2:$O$141,2,FALSE)</f>
        <v>63</v>
      </c>
      <c r="C3" s="116">
        <f>'ERPs by country'!E9</f>
        <v>0.11844656589144056</v>
      </c>
      <c r="D3" s="27">
        <f>'ERPs by country'!D9</f>
        <v>5.2830131959668084E-2</v>
      </c>
      <c r="E3" s="27">
        <f t="shared" ref="E3:E66" si="0">C3</f>
        <v>0.11844656589144056</v>
      </c>
      <c r="F3" s="71">
        <f>'Country Tax Rates'!C3</f>
        <v>0.15</v>
      </c>
      <c r="G3" s="71">
        <f>E3-'ERPs by country'!$E$3</f>
        <v>6.6146565891440565E-2</v>
      </c>
      <c r="H3" s="89"/>
      <c r="I3" s="17">
        <v>0</v>
      </c>
      <c r="J3" s="117">
        <v>50</v>
      </c>
      <c r="K3" s="112">
        <f>$K$18+L3*'Relative Equity Volatility'!$B$4</f>
        <v>0.27141073475718847</v>
      </c>
      <c r="L3" s="56">
        <f>J41</f>
        <v>0.17499999999999999</v>
      </c>
      <c r="M3" t="s">
        <v>473</v>
      </c>
      <c r="N3" s="255" t="s">
        <v>338</v>
      </c>
      <c r="O3" s="256">
        <v>55</v>
      </c>
    </row>
    <row r="4" spans="1:15">
      <c r="A4" s="55" t="str">
        <f>'ERPs by country'!A10</f>
        <v>Andorra (Principality of)</v>
      </c>
      <c r="B4" s="163" t="e">
        <f t="shared" ref="B4:B67" si="1">VLOOKUP(A4,$N$2:$O$141,2,FALSE)</f>
        <v>#N/A</v>
      </c>
      <c r="C4" s="116">
        <f>'ERPs by country'!E10</f>
        <v>8.0269790386961845E-2</v>
      </c>
      <c r="D4" s="27">
        <f>'ERPs by country'!D10</f>
        <v>2.2338993674328587E-2</v>
      </c>
      <c r="E4" s="27">
        <f t="shared" si="0"/>
        <v>8.0269790386961845E-2</v>
      </c>
      <c r="F4" s="71">
        <f>'Country Tax Rates'!C4</f>
        <v>0.1</v>
      </c>
      <c r="G4" s="71">
        <f>E4-'ERPs by country'!$E$3</f>
        <v>2.7969790386961846E-2</v>
      </c>
      <c r="H4" s="89"/>
      <c r="I4" s="117">
        <v>50.000999999999998</v>
      </c>
      <c r="J4" s="117">
        <v>55</v>
      </c>
      <c r="K4" s="112">
        <f>$K$18+L4*'Relative Equity Volatility'!$B$4</f>
        <v>0.22860247021165525</v>
      </c>
      <c r="L4" s="56">
        <f>J40</f>
        <v>0.14080977055382476</v>
      </c>
      <c r="M4" s="26" t="s">
        <v>472</v>
      </c>
      <c r="N4" s="255" t="s">
        <v>131</v>
      </c>
      <c r="O4" s="256">
        <v>50.5</v>
      </c>
    </row>
    <row r="5" spans="1:15">
      <c r="A5" s="55" t="str">
        <f>'ERPs by country'!A11</f>
        <v>Angola</v>
      </c>
      <c r="B5" s="163">
        <f t="shared" si="1"/>
        <v>50.5</v>
      </c>
      <c r="C5" s="116">
        <f>'ERPs by country'!E11</f>
        <v>0.14787449700947625</v>
      </c>
      <c r="D5" s="27">
        <f>'ERPs by country'!D11</f>
        <v>7.6333717721283945E-2</v>
      </c>
      <c r="E5" s="27">
        <f t="shared" si="0"/>
        <v>0.14787449700947625</v>
      </c>
      <c r="F5" s="71">
        <f>'Country Tax Rates'!C5</f>
        <v>0.3</v>
      </c>
      <c r="G5" s="71">
        <f>E5-'ERPs by country'!$E$3</f>
        <v>9.5574497009476247E-2</v>
      </c>
      <c r="H5" s="89"/>
      <c r="I5" s="117">
        <v>55.000999999999998</v>
      </c>
      <c r="J5" s="117">
        <v>57</v>
      </c>
      <c r="K5" s="112">
        <f>$K$18+L5*'Relative Equity Volatility'!$B$4</f>
        <v>0.19917453909361954</v>
      </c>
      <c r="L5" s="56">
        <f>J39</f>
        <v>0.1173061847922089</v>
      </c>
      <c r="M5" t="s">
        <v>62</v>
      </c>
      <c r="N5" s="255" t="s">
        <v>84</v>
      </c>
      <c r="O5" s="256">
        <v>60.8</v>
      </c>
    </row>
    <row r="6" spans="1:15">
      <c r="A6" s="55" t="str">
        <f>'ERPs by country'!A12</f>
        <v>Argentina</v>
      </c>
      <c r="B6" s="163">
        <f t="shared" si="1"/>
        <v>60.8</v>
      </c>
      <c r="C6" s="116">
        <f>'ERPs by country'!E12</f>
        <v>0.22860247021165525</v>
      </c>
      <c r="D6" s="27">
        <f>'ERPs by country'!D12</f>
        <v>0.14080977055382476</v>
      </c>
      <c r="E6" s="27">
        <f t="shared" si="0"/>
        <v>0.22860247021165525</v>
      </c>
      <c r="F6" s="71">
        <f>'Country Tax Rates'!C6</f>
        <v>0.3</v>
      </c>
      <c r="G6" s="71">
        <f>E6-'ERPs by country'!$E$3</f>
        <v>0.17630247021165524</v>
      </c>
      <c r="H6" s="89"/>
      <c r="I6" s="117">
        <v>57.000999999999998</v>
      </c>
      <c r="J6" s="117">
        <v>60</v>
      </c>
      <c r="K6" s="112">
        <f>$K$18+L6*'Relative Equity Volatility'!$B$4</f>
        <v>0.18459313178288111</v>
      </c>
      <c r="L6" s="56">
        <f>J38</f>
        <v>0.10566026391933617</v>
      </c>
      <c r="M6" t="s">
        <v>58</v>
      </c>
      <c r="N6" s="255" t="s">
        <v>19</v>
      </c>
      <c r="O6" s="256">
        <v>63.5</v>
      </c>
    </row>
    <row r="7" spans="1:15">
      <c r="A7" s="55" t="str">
        <f>'ERPs by country'!A13</f>
        <v>Armenia</v>
      </c>
      <c r="B7" s="163">
        <f t="shared" si="1"/>
        <v>63.5</v>
      </c>
      <c r="C7" s="116">
        <f>'ERPs by country'!E13</f>
        <v>0.10519074106349657</v>
      </c>
      <c r="D7" s="27">
        <f>'ERPs by country'!D13</f>
        <v>4.2242931166147427E-2</v>
      </c>
      <c r="E7" s="27">
        <f t="shared" si="0"/>
        <v>0.10519074106349657</v>
      </c>
      <c r="F7" s="71">
        <f>'Country Tax Rates'!C7</f>
        <v>0.2</v>
      </c>
      <c r="G7" s="71">
        <f>E7-'ERPs by country'!$E$3</f>
        <v>5.2890741063496574E-2</v>
      </c>
      <c r="H7" s="89"/>
      <c r="I7" s="117">
        <v>60.000999999999998</v>
      </c>
      <c r="J7" s="117">
        <v>62</v>
      </c>
      <c r="K7" s="112">
        <f>$K$18+L7*'Relative Equity Volatility'!$B$4</f>
        <v>0.16245590432021467</v>
      </c>
      <c r="L7" s="56">
        <f>J37</f>
        <v>8.7979638594156681E-2</v>
      </c>
      <c r="M7" t="s">
        <v>100</v>
      </c>
      <c r="N7" s="255" t="s">
        <v>85</v>
      </c>
      <c r="O7" s="256">
        <v>74</v>
      </c>
    </row>
    <row r="8" spans="1:15">
      <c r="A8" s="55" t="str">
        <f>'ERPs by country'!A14</f>
        <v>Aruba</v>
      </c>
      <c r="B8" s="163" t="e">
        <f t="shared" si="1"/>
        <v>#N/A</v>
      </c>
      <c r="C8" s="116">
        <f>'ERPs by country'!E14</f>
        <v>7.5762809945460891E-2</v>
      </c>
      <c r="D8" s="27">
        <f>'ERPs by country'!D14</f>
        <v>1.8739345404531565E-2</v>
      </c>
      <c r="E8" s="27">
        <f t="shared" si="0"/>
        <v>7.5762809945460891E-2</v>
      </c>
      <c r="F8" s="71">
        <f>'Country Tax Rates'!C8</f>
        <v>0.25</v>
      </c>
      <c r="G8" s="71">
        <f>E8-'ERPs by country'!$E$3</f>
        <v>2.3462809945460891E-2</v>
      </c>
      <c r="H8" s="89"/>
      <c r="I8" s="117">
        <v>62.000999999999998</v>
      </c>
      <c r="J8" s="117">
        <v>64</v>
      </c>
      <c r="K8" s="112">
        <f>$K$18+L8*'Relative Equity Volatility'!$B$4</f>
        <v>0.14787449700947625</v>
      </c>
      <c r="L8" s="56">
        <f>J36</f>
        <v>7.6333717721283945E-2</v>
      </c>
      <c r="M8" t="s">
        <v>78</v>
      </c>
      <c r="N8" s="255" t="s">
        <v>176</v>
      </c>
      <c r="O8" s="256">
        <v>75.3</v>
      </c>
    </row>
    <row r="9" spans="1:15">
      <c r="A9" s="55" t="str">
        <f>'ERPs by country'!A15</f>
        <v>Australia</v>
      </c>
      <c r="B9" s="163">
        <f t="shared" si="1"/>
        <v>74</v>
      </c>
      <c r="C9" s="116">
        <f>'ERPs by country'!E15</f>
        <v>5.2299999999999999E-2</v>
      </c>
      <c r="D9" s="27">
        <f>'ERPs by country'!D15</f>
        <v>0</v>
      </c>
      <c r="E9" s="27">
        <f t="shared" si="0"/>
        <v>5.2299999999999999E-2</v>
      </c>
      <c r="F9" s="71">
        <f>'Country Tax Rates'!C9</f>
        <v>0.3</v>
      </c>
      <c r="G9" s="71">
        <f>E9-'ERPs by country'!$E$3</f>
        <v>0</v>
      </c>
      <c r="H9" s="89"/>
      <c r="I9" s="117">
        <v>64.001000000000005</v>
      </c>
      <c r="J9" s="117">
        <v>66</v>
      </c>
      <c r="K9" s="112">
        <f>$K$18+L9*'Relative Equity Volatility'!$B$4</f>
        <v>0.13316053145045842</v>
      </c>
      <c r="L9" s="56">
        <f>J35</f>
        <v>6.4581924840476007E-2</v>
      </c>
      <c r="M9" t="s">
        <v>49</v>
      </c>
      <c r="N9" s="255" t="s">
        <v>20</v>
      </c>
      <c r="O9" s="256">
        <v>63.5</v>
      </c>
    </row>
    <row r="10" spans="1:15">
      <c r="A10" s="55" t="str">
        <f>'ERPs by country'!A16</f>
        <v>Austria</v>
      </c>
      <c r="B10" s="163">
        <f t="shared" si="1"/>
        <v>75.3</v>
      </c>
      <c r="C10" s="116">
        <f>'ERPs by country'!E16</f>
        <v>5.8132562924295361E-2</v>
      </c>
      <c r="D10" s="27">
        <f>'ERPs by country'!D16</f>
        <v>4.6583683491490885E-3</v>
      </c>
      <c r="E10" s="27">
        <f t="shared" si="0"/>
        <v>5.8132562924295361E-2</v>
      </c>
      <c r="F10" s="71">
        <f>'Country Tax Rates'!C10</f>
        <v>0.25</v>
      </c>
      <c r="G10" s="71">
        <f>E10-'ERPs by country'!$E$3</f>
        <v>5.8325629242953619E-3</v>
      </c>
      <c r="H10" s="89"/>
      <c r="I10" s="117">
        <v>66.001000000000005</v>
      </c>
      <c r="J10" s="117">
        <v>68</v>
      </c>
      <c r="K10" s="112">
        <f>$K$18+L10*'Relative Equity Volatility'!$B$4</f>
        <v>0.11844656589144056</v>
      </c>
      <c r="L10" s="56">
        <f>J34</f>
        <v>5.2830131959668084E-2</v>
      </c>
      <c r="M10" t="s">
        <v>48</v>
      </c>
      <c r="N10" s="255" t="s">
        <v>86</v>
      </c>
      <c r="O10" s="256">
        <v>70.5</v>
      </c>
    </row>
    <row r="11" spans="1:15">
      <c r="A11" s="55" t="str">
        <f>'ERPs by country'!A17</f>
        <v>Azerbaijan</v>
      </c>
      <c r="B11" s="163">
        <f t="shared" si="1"/>
        <v>63.5</v>
      </c>
      <c r="C11" s="116">
        <f>'ERPs by country'!E17</f>
        <v>9.6441896677053524E-2</v>
      </c>
      <c r="D11" s="27">
        <f>'ERPs by country'!D17</f>
        <v>3.5255378642423785E-2</v>
      </c>
      <c r="E11" s="27">
        <f t="shared" si="0"/>
        <v>9.6441896677053524E-2</v>
      </c>
      <c r="F11" s="71">
        <f>'Country Tax Rates'!C11</f>
        <v>0.2</v>
      </c>
      <c r="G11" s="71">
        <f>E11-'ERPs by country'!$E$3</f>
        <v>4.4141896677053524E-2</v>
      </c>
      <c r="H11" s="89"/>
      <c r="I11" s="117">
        <v>68.001000000000005</v>
      </c>
      <c r="J11" s="117">
        <v>69</v>
      </c>
      <c r="K11" s="112">
        <f>$K$18+L11*'Relative Equity Volatility'!$B$4</f>
        <v>0.10519074106349657</v>
      </c>
      <c r="L11" s="56">
        <f>J33</f>
        <v>4.2242931166147427E-2</v>
      </c>
      <c r="M11" t="s">
        <v>81</v>
      </c>
      <c r="N11" s="255" t="s">
        <v>87</v>
      </c>
      <c r="O11" s="256">
        <v>61.5</v>
      </c>
    </row>
    <row r="12" spans="1:15">
      <c r="A12" s="55" t="str">
        <f>'ERPs by country'!A18</f>
        <v>Bahamas</v>
      </c>
      <c r="B12" s="163">
        <f t="shared" si="1"/>
        <v>70.5</v>
      </c>
      <c r="C12" s="116">
        <f>'ERPs by country'!E18</f>
        <v>9.6441896677053524E-2</v>
      </c>
      <c r="D12" s="27">
        <f>'ERPs by country'!D18</f>
        <v>3.5255378642423785E-2</v>
      </c>
      <c r="E12" s="27">
        <f t="shared" si="0"/>
        <v>9.6441896677053524E-2</v>
      </c>
      <c r="F12" s="71">
        <f>'Country Tax Rates'!C12</f>
        <v>0</v>
      </c>
      <c r="G12" s="71">
        <f>E12-'ERPs by country'!$E$3</f>
        <v>4.4141896677053524E-2</v>
      </c>
      <c r="H12" s="89"/>
      <c r="I12" s="117">
        <v>69.001000000000005</v>
      </c>
      <c r="J12" s="117">
        <v>72</v>
      </c>
      <c r="K12" s="112">
        <f>$K$18+L12*'Relative Equity Volatility'!$B$4</f>
        <v>9.6441896677053524E-2</v>
      </c>
      <c r="L12" s="56">
        <f>J32</f>
        <v>3.5255378642423785E-2</v>
      </c>
      <c r="M12" t="s">
        <v>80</v>
      </c>
      <c r="N12" s="255" t="s">
        <v>132</v>
      </c>
      <c r="O12" s="256">
        <v>64.3</v>
      </c>
    </row>
    <row r="13" spans="1:15">
      <c r="A13" s="55" t="str">
        <f>'ERPs by country'!A19</f>
        <v>Bahrain</v>
      </c>
      <c r="B13" s="163">
        <f t="shared" si="1"/>
        <v>61.5</v>
      </c>
      <c r="C13" s="116">
        <f>'ERPs by country'!E19</f>
        <v>0.13316053145045842</v>
      </c>
      <c r="D13" s="27">
        <f>'ERPs by country'!D19</f>
        <v>6.4581924840476007E-2</v>
      </c>
      <c r="E13" s="27">
        <f t="shared" si="0"/>
        <v>0.13316053145045842</v>
      </c>
      <c r="F13" s="71">
        <f>'Country Tax Rates'!C13</f>
        <v>0</v>
      </c>
      <c r="G13" s="71">
        <f>E13-'ERPs by country'!$E$3</f>
        <v>8.086053145045842E-2</v>
      </c>
      <c r="H13" s="89"/>
      <c r="I13" s="117">
        <v>72.001000000000005</v>
      </c>
      <c r="J13" s="117">
        <v>74</v>
      </c>
      <c r="K13" s="112">
        <f>$K$18+L13*'Relative Equity Volatility'!$B$4</f>
        <v>8.0269790386961845E-2</v>
      </c>
      <c r="L13" s="56">
        <f>J29</f>
        <v>2.2338993674328587E-2</v>
      </c>
      <c r="M13" t="s">
        <v>83</v>
      </c>
      <c r="N13" s="255" t="s">
        <v>5</v>
      </c>
      <c r="O13" s="256">
        <v>59.5</v>
      </c>
    </row>
    <row r="14" spans="1:15">
      <c r="A14" s="55" t="str">
        <f>'ERPs by country'!A20</f>
        <v>Bangladesh</v>
      </c>
      <c r="B14" s="163">
        <f t="shared" si="1"/>
        <v>64.3</v>
      </c>
      <c r="C14" s="116">
        <f>'ERPs by country'!E20</f>
        <v>0.10519074106349657</v>
      </c>
      <c r="D14" s="27">
        <f>'ERPs by country'!D20</f>
        <v>4.2242931166147427E-2</v>
      </c>
      <c r="E14" s="27">
        <f t="shared" si="0"/>
        <v>0.10519074106349657</v>
      </c>
      <c r="F14" s="71">
        <f>'Country Tax Rates'!C14</f>
        <v>0.25</v>
      </c>
      <c r="G14" s="71">
        <f>E14-'ERPs by country'!$E$3</f>
        <v>5.2890741063496574E-2</v>
      </c>
      <c r="H14" s="89"/>
      <c r="I14" s="117">
        <v>74.001000000000005</v>
      </c>
      <c r="J14" s="117">
        <v>76</v>
      </c>
      <c r="K14" s="112">
        <f>$K$18+L14*'Relative Equity Volatility'!$B$4</f>
        <v>7.5762809945460891E-2</v>
      </c>
      <c r="L14" s="56">
        <f>J28</f>
        <v>1.8739345404531565E-2</v>
      </c>
      <c r="M14" t="s">
        <v>82</v>
      </c>
      <c r="N14" s="255" t="s">
        <v>177</v>
      </c>
      <c r="O14" s="256">
        <v>71.8</v>
      </c>
    </row>
    <row r="15" spans="1:15">
      <c r="A15" s="55" t="str">
        <f>'ERPs by country'!A21</f>
        <v>Barbados</v>
      </c>
      <c r="B15" s="163" t="e">
        <f t="shared" si="1"/>
        <v>#N/A</v>
      </c>
      <c r="C15" s="116">
        <f>'ERPs by country'!E21</f>
        <v>0.16245590432021467</v>
      </c>
      <c r="D15" s="27">
        <f>'ERPs by country'!D21</f>
        <v>8.7979638594156681E-2</v>
      </c>
      <c r="E15" s="27">
        <f t="shared" si="0"/>
        <v>0.16245590432021467</v>
      </c>
      <c r="F15" s="71">
        <f>'Country Tax Rates'!C15</f>
        <v>5.5E-2</v>
      </c>
      <c r="G15" s="71">
        <f>E15-'ERPs by country'!$E$3</f>
        <v>0.11015590432021467</v>
      </c>
      <c r="H15" s="89"/>
      <c r="I15" s="117">
        <v>76.001000000000005</v>
      </c>
      <c r="J15" s="117">
        <v>80</v>
      </c>
      <c r="K15" s="112">
        <f>$K$18+L15*'Relative Equity Volatility'!$B$4</f>
        <v>6.4760475338267356E-2</v>
      </c>
      <c r="L15" s="56">
        <f>J26</f>
        <v>9.9519687459094178E-3</v>
      </c>
      <c r="M15" t="s">
        <v>42</v>
      </c>
      <c r="N15" s="255" t="s">
        <v>91</v>
      </c>
      <c r="O15" s="256">
        <v>61.8</v>
      </c>
    </row>
    <row r="16" spans="1:15">
      <c r="A16" s="55" t="str">
        <f>'ERPs by country'!A22</f>
        <v>Belarus</v>
      </c>
      <c r="B16" s="163">
        <f t="shared" si="1"/>
        <v>59.5</v>
      </c>
      <c r="C16" s="116">
        <f>'ERPs by country'!E22</f>
        <v>0.14787449700947625</v>
      </c>
      <c r="D16" s="27">
        <f>'ERPs by country'!D22</f>
        <v>7.6333717721283945E-2</v>
      </c>
      <c r="E16" s="27">
        <f t="shared" si="0"/>
        <v>0.14787449700947625</v>
      </c>
      <c r="F16" s="71">
        <f>'Country Tax Rates'!C16</f>
        <v>0.18</v>
      </c>
      <c r="G16" s="71">
        <f>E16-'ERPs by country'!$E$3</f>
        <v>9.5574497009476247E-2</v>
      </c>
      <c r="H16" s="89"/>
      <c r="I16" s="117">
        <v>80.001000000000005</v>
      </c>
      <c r="J16" s="117">
        <v>82.5</v>
      </c>
      <c r="K16" s="112">
        <f>$K$18+L16*'Relative Equity Volatility'!$B$4</f>
        <v>6.1181402634722479E-2</v>
      </c>
      <c r="L16" s="56">
        <f>J24</f>
        <v>7.0934245316588403E-3</v>
      </c>
      <c r="M16" t="s">
        <v>46</v>
      </c>
      <c r="N16" s="255" t="s">
        <v>123</v>
      </c>
      <c r="O16" s="256">
        <v>72</v>
      </c>
    </row>
    <row r="17" spans="1:15">
      <c r="A17" s="55" t="str">
        <f>'ERPs by country'!A23</f>
        <v>Belgium</v>
      </c>
      <c r="B17" s="163">
        <f t="shared" si="1"/>
        <v>71.8</v>
      </c>
      <c r="C17" s="116">
        <f>'ERPs by country'!E23</f>
        <v>6.1181402634722479E-2</v>
      </c>
      <c r="D17" s="27">
        <f>'ERPs by country'!D23</f>
        <v>7.0934245316588403E-3</v>
      </c>
      <c r="E17" s="27">
        <f t="shared" si="0"/>
        <v>6.1181402634722479E-2</v>
      </c>
      <c r="F17" s="71">
        <f>'Country Tax Rates'!C17</f>
        <v>0.28999999999999998</v>
      </c>
      <c r="G17" s="71">
        <f>E17-'ERPs by country'!$E$3</f>
        <v>8.8814026347224795E-3</v>
      </c>
      <c r="H17" s="89"/>
      <c r="I17" s="117">
        <v>82.501000000000005</v>
      </c>
      <c r="J17" s="117">
        <v>85</v>
      </c>
      <c r="K17" s="112">
        <f>$K$18+L17*'Relative Equity Volatility'!$B$4</f>
        <v>5.8132562924295361E-2</v>
      </c>
      <c r="L17" s="56">
        <f>J22</f>
        <v>4.6583683491490885E-3</v>
      </c>
      <c r="M17" t="s">
        <v>44</v>
      </c>
      <c r="N17" s="255" t="s">
        <v>92</v>
      </c>
      <c r="O17" s="256">
        <v>62.3</v>
      </c>
    </row>
    <row r="18" spans="1:15">
      <c r="A18" s="55" t="str">
        <f>'ERPs by country'!A24</f>
        <v>Belize</v>
      </c>
      <c r="B18" s="163" t="e">
        <f t="shared" si="1"/>
        <v>#N/A</v>
      </c>
      <c r="C18" s="116">
        <f>'ERPs by country'!E24</f>
        <v>0.16245590432021467</v>
      </c>
      <c r="D18" s="27">
        <f>'ERPs by country'!D24</f>
        <v>8.7979638594156681E-2</v>
      </c>
      <c r="E18" s="27">
        <f t="shared" si="0"/>
        <v>0.16245590432021467</v>
      </c>
      <c r="F18" s="71">
        <f>'Country Tax Rates'!C18</f>
        <v>0.3236</v>
      </c>
      <c r="G18" s="71">
        <f>E18-'ERPs by country'!$E$3</f>
        <v>0.11015590432021467</v>
      </c>
      <c r="H18" s="89"/>
      <c r="I18" s="117">
        <v>85.001000000000005</v>
      </c>
      <c r="J18" s="117">
        <v>90.000100000000003</v>
      </c>
      <c r="K18" s="112">
        <f>'ERPs by country'!E3</f>
        <v>5.2299999999999999E-2</v>
      </c>
      <c r="L18" s="56">
        <f>J21</f>
        <v>0</v>
      </c>
      <c r="M18" t="s">
        <v>47</v>
      </c>
      <c r="N18" s="255" t="s">
        <v>339</v>
      </c>
      <c r="O18" s="256">
        <v>80</v>
      </c>
    </row>
    <row r="19" spans="1:15">
      <c r="A19" s="55" t="str">
        <f>'ERPs by country'!A25</f>
        <v>Benin</v>
      </c>
      <c r="B19" s="163" t="e">
        <f t="shared" si="1"/>
        <v>#N/A</v>
      </c>
      <c r="C19" s="116">
        <f>'ERPs by country'!E25</f>
        <v>0.13316053145045842</v>
      </c>
      <c r="D19" s="27">
        <f>'ERPs by country'!D25</f>
        <v>6.4581924840476007E-2</v>
      </c>
      <c r="E19" s="27">
        <f t="shared" si="0"/>
        <v>0.13316053145045842</v>
      </c>
      <c r="F19" s="71">
        <f>'Country Tax Rates'!C19</f>
        <v>0.3</v>
      </c>
      <c r="G19" s="71">
        <f>E19-'ERPs by country'!$E$3</f>
        <v>8.086053145045842E-2</v>
      </c>
      <c r="H19" s="89"/>
      <c r="N19" s="255" t="s">
        <v>94</v>
      </c>
      <c r="O19" s="256">
        <v>71.5</v>
      </c>
    </row>
    <row r="20" spans="1:15">
      <c r="A20" s="55" t="str">
        <f>'ERPs by country'!A26</f>
        <v>Bermuda</v>
      </c>
      <c r="B20" s="163" t="e">
        <f t="shared" si="1"/>
        <v>#N/A</v>
      </c>
      <c r="C20" s="116">
        <f>'ERPs by country'!E26</f>
        <v>6.4760475338267356E-2</v>
      </c>
      <c r="D20" s="27">
        <f>'ERPs by country'!D26</f>
        <v>9.9519687459094178E-3</v>
      </c>
      <c r="E20" s="27">
        <f t="shared" si="0"/>
        <v>6.4760475338267356E-2</v>
      </c>
      <c r="F20" s="71">
        <f>'Country Tax Rates'!C20</f>
        <v>0</v>
      </c>
      <c r="G20" s="71">
        <f>E20-'ERPs by country'!$E$3</f>
        <v>1.2460475338267357E-2</v>
      </c>
      <c r="H20" s="89"/>
      <c r="I20" s="20" t="s">
        <v>39</v>
      </c>
      <c r="J20" s="17" t="s">
        <v>604</v>
      </c>
      <c r="N20" s="255" t="s">
        <v>211</v>
      </c>
      <c r="O20" s="256">
        <v>61.3</v>
      </c>
    </row>
    <row r="21" spans="1:15">
      <c r="A21" s="55" t="str">
        <f>'ERPs by country'!A27</f>
        <v>Bolivia</v>
      </c>
      <c r="B21" s="163">
        <f t="shared" si="1"/>
        <v>61.8</v>
      </c>
      <c r="C21" s="116">
        <f>'ERPs by country'!E27</f>
        <v>0.11844656589144056</v>
      </c>
      <c r="D21" s="27">
        <f>'ERPs by country'!D27</f>
        <v>5.2830131959668084E-2</v>
      </c>
      <c r="E21" s="27">
        <f t="shared" si="0"/>
        <v>0.11844656589144056</v>
      </c>
      <c r="F21" s="71">
        <f>'Country Tax Rates'!C21</f>
        <v>0.25</v>
      </c>
      <c r="G21" s="71">
        <f>E21-'ERPs by country'!$E$3</f>
        <v>6.6146565891440565E-2</v>
      </c>
      <c r="H21" s="89"/>
      <c r="I21" s="170" t="s">
        <v>47</v>
      </c>
      <c r="J21" s="112">
        <f>'Default Spreads for Ratings'!C8/10000</f>
        <v>0</v>
      </c>
      <c r="K21" s="92"/>
      <c r="N21" s="255" t="s">
        <v>212</v>
      </c>
      <c r="O21" s="256">
        <v>56.8</v>
      </c>
    </row>
    <row r="22" spans="1:15">
      <c r="A22" s="55" t="str">
        <f>'ERPs by country'!A28</f>
        <v>Bosnia and Herzegovina</v>
      </c>
      <c r="B22" s="163" t="e">
        <f t="shared" si="1"/>
        <v>#N/A</v>
      </c>
      <c r="C22" s="116">
        <f>'ERPs by country'!E28</f>
        <v>0.14787449700947625</v>
      </c>
      <c r="D22" s="27">
        <f>'ERPs by country'!D28</f>
        <v>7.6333717721283945E-2</v>
      </c>
      <c r="E22" s="27">
        <f t="shared" si="0"/>
        <v>0.14787449700947625</v>
      </c>
      <c r="F22" s="71">
        <f>'Country Tax Rates'!C22</f>
        <v>0.1</v>
      </c>
      <c r="G22" s="71">
        <f>E22-'ERPs by country'!$E$3</f>
        <v>9.5574497009476247E-2</v>
      </c>
      <c r="H22" s="89"/>
      <c r="I22" s="170" t="s">
        <v>44</v>
      </c>
      <c r="J22" s="112">
        <f>'Default Spreads for Ratings'!C5/10000</f>
        <v>4.6583683491490885E-3</v>
      </c>
      <c r="K22" s="92"/>
      <c r="N22" s="255" t="s">
        <v>95</v>
      </c>
      <c r="O22" s="256">
        <v>76.8</v>
      </c>
    </row>
    <row r="23" spans="1:15">
      <c r="A23" s="55" t="str">
        <f>'ERPs by country'!A29</f>
        <v>Botswana</v>
      </c>
      <c r="B23" s="163">
        <f t="shared" si="1"/>
        <v>72</v>
      </c>
      <c r="C23" s="116">
        <f>'ERPs by country'!E29</f>
        <v>6.4760475338267356E-2</v>
      </c>
      <c r="D23" s="27">
        <f>'ERPs by country'!D29</f>
        <v>9.9519687459094178E-3</v>
      </c>
      <c r="E23" s="27">
        <f t="shared" si="0"/>
        <v>6.4760475338267356E-2</v>
      </c>
      <c r="F23" s="71">
        <f>'Country Tax Rates'!C23</f>
        <v>0.22</v>
      </c>
      <c r="G23" s="71">
        <f>E23-'ERPs by country'!$E$3</f>
        <v>1.2460475338267357E-2</v>
      </c>
      <c r="H23" s="89"/>
      <c r="I23" s="170" t="s">
        <v>45</v>
      </c>
      <c r="J23" s="112">
        <f>'Default Spreads for Ratings'!C6/10000</f>
        <v>5.8229604364363613E-3</v>
      </c>
      <c r="K23" s="92"/>
      <c r="N23" s="255" t="s">
        <v>96</v>
      </c>
      <c r="O23" s="256">
        <v>67.8</v>
      </c>
    </row>
    <row r="24" spans="1:15">
      <c r="A24" s="55" t="str">
        <f>'ERPs by country'!A30</f>
        <v>Brazil</v>
      </c>
      <c r="B24" s="163">
        <f t="shared" si="1"/>
        <v>62.3</v>
      </c>
      <c r="C24" s="116">
        <f>'ERPs by country'!E30</f>
        <v>9.6441896677053524E-2</v>
      </c>
      <c r="D24" s="27">
        <f>'ERPs by country'!D30</f>
        <v>3.5255378642423785E-2</v>
      </c>
      <c r="E24" s="27">
        <f t="shared" si="0"/>
        <v>9.6441896677053524E-2</v>
      </c>
      <c r="F24" s="71">
        <f>'Country Tax Rates'!C24</f>
        <v>0.34</v>
      </c>
      <c r="G24" s="71">
        <f>E24-'ERPs by country'!$E$3</f>
        <v>4.4141896677053524E-2</v>
      </c>
      <c r="H24" s="89"/>
      <c r="I24" s="170" t="s">
        <v>46</v>
      </c>
      <c r="J24" s="112">
        <f>'Default Spreads for Ratings'!C7/10000</f>
        <v>7.0934245316588403E-3</v>
      </c>
      <c r="K24" s="92"/>
      <c r="N24" s="255" t="s">
        <v>570</v>
      </c>
      <c r="O24" s="256">
        <v>70</v>
      </c>
    </row>
    <row r="25" spans="1:15">
      <c r="A25" s="55" t="str">
        <f>'ERPs by country'!A31</f>
        <v>Bulgaria</v>
      </c>
      <c r="B25" s="163">
        <f t="shared" si="1"/>
        <v>71.5</v>
      </c>
      <c r="C25" s="116">
        <f>'ERPs by country'!E31</f>
        <v>8.0269790386961845E-2</v>
      </c>
      <c r="D25" s="27">
        <f>'ERPs by country'!D31</f>
        <v>2.2338993674328587E-2</v>
      </c>
      <c r="E25" s="27">
        <f t="shared" si="0"/>
        <v>8.0269790386961845E-2</v>
      </c>
      <c r="F25" s="71">
        <f>'Country Tax Rates'!C25</f>
        <v>0.1</v>
      </c>
      <c r="G25" s="71">
        <f>E25-'ERPs by country'!$E$3</f>
        <v>2.7969790386961846E-2</v>
      </c>
      <c r="H25" s="89"/>
      <c r="I25" s="170" t="s">
        <v>41</v>
      </c>
      <c r="J25" s="112">
        <f>'Default Spreads for Ratings'!C2/10000</f>
        <v>8.2580166189461131E-3</v>
      </c>
      <c r="K25" s="92"/>
      <c r="N25" s="255" t="s">
        <v>50</v>
      </c>
      <c r="O25" s="256">
        <v>63</v>
      </c>
    </row>
    <row r="26" spans="1:15">
      <c r="A26" s="55" t="str">
        <f>'ERPs by country'!A32</f>
        <v>Burkina Faso</v>
      </c>
      <c r="B26" s="163">
        <f t="shared" si="1"/>
        <v>61.3</v>
      </c>
      <c r="C26" s="116">
        <f>'ERPs by country'!E32</f>
        <v>0.13316053145045842</v>
      </c>
      <c r="D26" s="27">
        <f>'ERPs by country'!D32</f>
        <v>6.4581924840476007E-2</v>
      </c>
      <c r="E26" s="27">
        <f t="shared" si="0"/>
        <v>0.13316053145045842</v>
      </c>
      <c r="F26" s="71">
        <f>'Country Tax Rates'!C26</f>
        <v>0.28000000000000003</v>
      </c>
      <c r="G26" s="71">
        <f>E26-'ERPs by country'!$E$3</f>
        <v>8.086053145045842E-2</v>
      </c>
      <c r="H26" s="89"/>
      <c r="I26" s="170" t="s">
        <v>42</v>
      </c>
      <c r="J26" s="112">
        <f>'Default Spreads for Ratings'!C3/10000</f>
        <v>9.9519687459094178E-3</v>
      </c>
      <c r="K26" s="92"/>
      <c r="N26" s="255" t="s">
        <v>573</v>
      </c>
      <c r="O26" s="256">
        <v>52.5</v>
      </c>
    </row>
    <row r="27" spans="1:15">
      <c r="A27" s="55" t="str">
        <f>'ERPs by country'!A33</f>
        <v>Cambodia</v>
      </c>
      <c r="B27" s="163" t="e">
        <f t="shared" si="1"/>
        <v>#N/A</v>
      </c>
      <c r="C27" s="116">
        <f>'ERPs by country'!E33</f>
        <v>0.13316053145045842</v>
      </c>
      <c r="D27" s="27">
        <f>'ERPs by country'!D33</f>
        <v>6.4581924840476007E-2</v>
      </c>
      <c r="E27" s="27">
        <f t="shared" si="0"/>
        <v>0.13316053145045842</v>
      </c>
      <c r="F27" s="71">
        <f>'Country Tax Rates'!C27</f>
        <v>0.2</v>
      </c>
      <c r="G27" s="71">
        <f>E27-'ERPs by country'!$E$3</f>
        <v>8.086053145045842E-2</v>
      </c>
      <c r="H27" s="89"/>
      <c r="I27" s="170" t="s">
        <v>43</v>
      </c>
      <c r="J27" s="112">
        <f>'Default Spreads for Ratings'!C4/10000</f>
        <v>1.4080977055382476E-2</v>
      </c>
      <c r="K27" s="92"/>
      <c r="N27" s="255" t="s">
        <v>572</v>
      </c>
      <c r="O27" s="256">
        <v>62.3</v>
      </c>
    </row>
    <row r="28" spans="1:15">
      <c r="A28" s="55" t="str">
        <f>'ERPs by country'!A34</f>
        <v>Cameroon</v>
      </c>
      <c r="B28" s="163">
        <f t="shared" si="1"/>
        <v>56.8</v>
      </c>
      <c r="C28" s="116">
        <f>'ERPs by country'!E34</f>
        <v>0.13316053145045842</v>
      </c>
      <c r="D28" s="27">
        <f>'ERPs by country'!D34</f>
        <v>6.4581924840476007E-2</v>
      </c>
      <c r="E28" s="27">
        <f t="shared" si="0"/>
        <v>0.13316053145045842</v>
      </c>
      <c r="F28" s="71">
        <f>'Country Tax Rates'!C28</f>
        <v>0.33</v>
      </c>
      <c r="G28" s="71">
        <f>E28-'ERPs by country'!$E$3</f>
        <v>8.086053145045842E-2</v>
      </c>
      <c r="H28" s="89"/>
      <c r="I28" s="170" t="s">
        <v>82</v>
      </c>
      <c r="J28" s="112">
        <f>'Default Spreads for Ratings'!C15/10000</f>
        <v>1.8739345404531565E-2</v>
      </c>
      <c r="K28" s="92"/>
      <c r="N28" s="255" t="s">
        <v>56</v>
      </c>
      <c r="O28" s="256">
        <v>69.3</v>
      </c>
    </row>
    <row r="29" spans="1:15">
      <c r="A29" s="55" t="str">
        <f>'ERPs by country'!A35</f>
        <v>Canada</v>
      </c>
      <c r="B29" s="163">
        <f t="shared" si="1"/>
        <v>76.8</v>
      </c>
      <c r="C29" s="116">
        <f>'ERPs by country'!E35</f>
        <v>5.2299999999999999E-2</v>
      </c>
      <c r="D29" s="27">
        <f>'ERPs by country'!D35</f>
        <v>0</v>
      </c>
      <c r="E29" s="27">
        <f t="shared" si="0"/>
        <v>5.2299999999999999E-2</v>
      </c>
      <c r="F29" s="71">
        <f>'Country Tax Rates'!C29</f>
        <v>0.26500000000000001</v>
      </c>
      <c r="G29" s="71">
        <f>E29-'ERPs by country'!$E$3</f>
        <v>0</v>
      </c>
      <c r="H29" s="89"/>
      <c r="I29" s="170" t="s">
        <v>83</v>
      </c>
      <c r="J29" s="112">
        <f>'Default Spreads for Ratings'!C16/10000</f>
        <v>2.2338993674328587E-2</v>
      </c>
      <c r="K29" s="92"/>
      <c r="N29" s="255" t="s">
        <v>386</v>
      </c>
      <c r="O29" s="256">
        <v>61.5</v>
      </c>
    </row>
    <row r="30" spans="1:15">
      <c r="A30" s="55" t="str">
        <f>'ERPs by country'!A36</f>
        <v>Cape Verde</v>
      </c>
      <c r="B30" s="163" t="e">
        <f t="shared" si="1"/>
        <v>#N/A</v>
      </c>
      <c r="C30" s="116">
        <f>'ERPs by country'!E36</f>
        <v>0.13316053145045842</v>
      </c>
      <c r="D30" s="27">
        <f>'ERPs by country'!D36</f>
        <v>6.4581924840476007E-2</v>
      </c>
      <c r="E30" s="27">
        <f t="shared" si="0"/>
        <v>0.13316053145045842</v>
      </c>
      <c r="F30" s="71">
        <f>'Country Tax Rates'!C30</f>
        <v>0</v>
      </c>
      <c r="G30" s="71">
        <f>E30-'ERPs by country'!$E$3</f>
        <v>8.086053145045842E-2</v>
      </c>
      <c r="H30" s="89"/>
      <c r="I30" s="170" t="s">
        <v>124</v>
      </c>
      <c r="J30" s="112">
        <f>'Default Spreads for Ratings'!C17/10000</f>
        <v>2.5832769936190408E-2</v>
      </c>
      <c r="K30" s="92"/>
      <c r="N30" s="255" t="s">
        <v>98</v>
      </c>
      <c r="O30" s="256">
        <v>68.3</v>
      </c>
    </row>
    <row r="31" spans="1:15">
      <c r="A31" s="55" t="str">
        <f>'ERPs by country'!A37</f>
        <v>Cayman Islands</v>
      </c>
      <c r="B31" s="163" t="e">
        <f t="shared" si="1"/>
        <v>#N/A</v>
      </c>
      <c r="C31" s="116">
        <f>'ERPs by country'!E37</f>
        <v>6.1181402634722479E-2</v>
      </c>
      <c r="D31" s="27">
        <f>'ERPs by country'!D37</f>
        <v>7.0934245316588403E-3</v>
      </c>
      <c r="E31" s="27">
        <f t="shared" si="0"/>
        <v>6.1181402634722479E-2</v>
      </c>
      <c r="F31" s="71">
        <f>'Country Tax Rates'!C31</f>
        <v>0</v>
      </c>
      <c r="G31" s="71">
        <f>E31-'ERPs by country'!$E$3</f>
        <v>8.8814026347224795E-3</v>
      </c>
      <c r="H31" s="89"/>
      <c r="I31" s="170" t="s">
        <v>79</v>
      </c>
      <c r="J31" s="112">
        <f>'Default Spreads for Ratings'!C12/10000</f>
        <v>2.9326546198052226E-2</v>
      </c>
      <c r="K31" s="92"/>
      <c r="N31" s="255" t="s">
        <v>99</v>
      </c>
      <c r="O31" s="256">
        <v>69.5</v>
      </c>
    </row>
    <row r="32" spans="1:15">
      <c r="A32" s="55" t="str">
        <f>'ERPs by country'!A38</f>
        <v>Chile</v>
      </c>
      <c r="B32" s="163">
        <f t="shared" si="1"/>
        <v>67.8</v>
      </c>
      <c r="C32" s="116">
        <f>'ERPs by country'!E38</f>
        <v>6.2639543365796316E-2</v>
      </c>
      <c r="D32" s="27">
        <f>'ERPs by country'!D38</f>
        <v>8.2580166189461131E-3</v>
      </c>
      <c r="E32" s="27">
        <f t="shared" si="0"/>
        <v>6.2639543365796316E-2</v>
      </c>
      <c r="F32" s="71">
        <f>'Country Tax Rates'!C32</f>
        <v>0.27</v>
      </c>
      <c r="G32" s="71">
        <f>E32-'ERPs by country'!$E$3</f>
        <v>1.0339543365796316E-2</v>
      </c>
      <c r="H32" s="89"/>
      <c r="I32" s="170" t="s">
        <v>80</v>
      </c>
      <c r="J32" s="112">
        <f>'Default Spreads for Ratings'!C13/10000</f>
        <v>3.5255378642423785E-2</v>
      </c>
      <c r="K32" s="92"/>
      <c r="N32" s="255" t="s">
        <v>178</v>
      </c>
      <c r="O32" s="256">
        <v>70.3</v>
      </c>
    </row>
    <row r="33" spans="1:15">
      <c r="A33" s="55" t="str">
        <f>'ERPs by country'!A39</f>
        <v>China</v>
      </c>
      <c r="B33" s="163" t="e">
        <f t="shared" si="1"/>
        <v>#N/A</v>
      </c>
      <c r="C33" s="116">
        <f>'ERPs by country'!E39</f>
        <v>6.2639543365796316E-2</v>
      </c>
      <c r="D33" s="27">
        <f>'ERPs by country'!D39</f>
        <v>8.2580166189461131E-3</v>
      </c>
      <c r="E33" s="27">
        <f t="shared" si="0"/>
        <v>6.2639543365796316E-2</v>
      </c>
      <c r="F33" s="71">
        <f>'Country Tax Rates'!C33</f>
        <v>0.25</v>
      </c>
      <c r="G33" s="71">
        <f>E33-'ERPs by country'!$E$3</f>
        <v>1.0339543365796316E-2</v>
      </c>
      <c r="H33" s="89"/>
      <c r="I33" s="170" t="s">
        <v>81</v>
      </c>
      <c r="J33" s="112">
        <f>'Default Spreads for Ratings'!C14/10000</f>
        <v>4.2242931166147427E-2</v>
      </c>
      <c r="K33" s="92"/>
      <c r="N33" s="255" t="s">
        <v>101</v>
      </c>
      <c r="O33" s="256">
        <v>74</v>
      </c>
    </row>
    <row r="34" spans="1:15">
      <c r="A34" s="55" t="str">
        <f>'ERPs by country'!A40</f>
        <v>Colombia</v>
      </c>
      <c r="B34" s="163">
        <f t="shared" si="1"/>
        <v>63</v>
      </c>
      <c r="C34" s="116">
        <f>'ERPs by country'!E40</f>
        <v>8.0269790386961845E-2</v>
      </c>
      <c r="D34" s="27">
        <f>'ERPs by country'!D40</f>
        <v>2.2338993674328587E-2</v>
      </c>
      <c r="E34" s="27">
        <f t="shared" si="0"/>
        <v>8.0269790386961845E-2</v>
      </c>
      <c r="F34" s="71">
        <f>'Country Tax Rates'!C34</f>
        <v>0.33</v>
      </c>
      <c r="G34" s="71">
        <f>E34-'ERPs by country'!$E$3</f>
        <v>2.7969790386961846E-2</v>
      </c>
      <c r="H34" s="89"/>
      <c r="I34" s="170" t="s">
        <v>48</v>
      </c>
      <c r="J34" s="112">
        <f>'Default Spreads for Ratings'!C9/10000</f>
        <v>5.2830131959668084E-2</v>
      </c>
      <c r="K34" s="92"/>
      <c r="N34" s="255" t="s">
        <v>102</v>
      </c>
      <c r="O34" s="256">
        <v>78.8</v>
      </c>
    </row>
    <row r="35" spans="1:15">
      <c r="A35" s="55" t="str">
        <f>'ERPs by country'!A41</f>
        <v>Congo (Democratic Republic of)</v>
      </c>
      <c r="B35" s="163" t="e">
        <f t="shared" si="1"/>
        <v>#N/A</v>
      </c>
      <c r="C35" s="116">
        <f>'ERPs by country'!E41</f>
        <v>0.16245590432021467</v>
      </c>
      <c r="D35" s="27">
        <f>'ERPs by country'!D41</f>
        <v>8.7979638594156681E-2</v>
      </c>
      <c r="E35" s="27">
        <f t="shared" si="0"/>
        <v>0.16245590432021467</v>
      </c>
      <c r="F35" s="71">
        <f>'Country Tax Rates'!C35</f>
        <v>0.35</v>
      </c>
      <c r="G35" s="71">
        <f>E35-'ERPs by country'!$E$3</f>
        <v>0.11015590432021467</v>
      </c>
      <c r="H35" s="89"/>
      <c r="I35" s="170" t="s">
        <v>49</v>
      </c>
      <c r="J35" s="112">
        <f>'Default Spreads for Ratings'!C10/10000</f>
        <v>6.4581924840476007E-2</v>
      </c>
      <c r="K35" s="92"/>
      <c r="N35" s="255" t="s">
        <v>103</v>
      </c>
      <c r="O35" s="256">
        <v>68</v>
      </c>
    </row>
    <row r="36" spans="1:15">
      <c r="A36" s="55" t="str">
        <f>'ERPs by country'!A42</f>
        <v>Congo (Republic of)</v>
      </c>
      <c r="B36" s="163" t="e">
        <f t="shared" si="1"/>
        <v>#N/A</v>
      </c>
      <c r="C36" s="116">
        <f>'ERPs by country'!E42</f>
        <v>0.18459313178288111</v>
      </c>
      <c r="D36" s="27">
        <f>'ERPs by country'!D42</f>
        <v>0.10566026391933617</v>
      </c>
      <c r="E36" s="27">
        <f t="shared" si="0"/>
        <v>0.18459313178288111</v>
      </c>
      <c r="F36" s="71">
        <f>'Country Tax Rates'!C36</f>
        <v>0.3236</v>
      </c>
      <c r="G36" s="71">
        <f>E36-'ERPs by country'!$E$3</f>
        <v>0.1322931317828811</v>
      </c>
      <c r="H36" s="89"/>
      <c r="I36" s="170" t="s">
        <v>78</v>
      </c>
      <c r="J36" s="112">
        <f>'Default Spreads for Ratings'!C11/10000</f>
        <v>7.6333717721283945E-2</v>
      </c>
      <c r="K36" s="92"/>
      <c r="N36" s="255" t="s">
        <v>104</v>
      </c>
      <c r="O36" s="256">
        <v>57.5</v>
      </c>
    </row>
    <row r="37" spans="1:15">
      <c r="A37" s="55" t="str">
        <f>'ERPs by country'!A43</f>
        <v>Cook Islands</v>
      </c>
      <c r="B37" s="163" t="e">
        <f t="shared" si="1"/>
        <v>#N/A</v>
      </c>
      <c r="C37" s="116">
        <f>'ERPs by country'!E43</f>
        <v>0.11844656589144056</v>
      </c>
      <c r="D37" s="27">
        <f>'ERPs by country'!D43</f>
        <v>5.2830131959668084E-2</v>
      </c>
      <c r="E37" s="27">
        <f t="shared" si="0"/>
        <v>0.11844656589144056</v>
      </c>
      <c r="F37" s="71">
        <f>'Country Tax Rates'!C37</f>
        <v>0.2843</v>
      </c>
      <c r="G37" s="71">
        <f>E37-'ERPs by country'!$E$3</f>
        <v>6.6146565891440565E-2</v>
      </c>
      <c r="H37" s="89"/>
      <c r="I37" s="170" t="s">
        <v>100</v>
      </c>
      <c r="J37" s="112">
        <f>'Default Spreads for Ratings'!C19/10000</f>
        <v>8.7979638594156681E-2</v>
      </c>
      <c r="K37" s="92"/>
      <c r="N37" s="201" t="s">
        <v>105</v>
      </c>
      <c r="O37" s="89">
        <v>62.8</v>
      </c>
    </row>
    <row r="38" spans="1:15">
      <c r="A38" s="55" t="str">
        <f>'ERPs by country'!A44</f>
        <v>Costa Rica</v>
      </c>
      <c r="B38" s="163">
        <f t="shared" si="1"/>
        <v>69.3</v>
      </c>
      <c r="C38" s="116">
        <f>'ERPs by country'!E44</f>
        <v>0.13316053145045842</v>
      </c>
      <c r="D38" s="27">
        <f>'ERPs by country'!D44</f>
        <v>6.4581924840476007E-2</v>
      </c>
      <c r="E38" s="27">
        <f t="shared" si="0"/>
        <v>0.13316053145045842</v>
      </c>
      <c r="F38" s="71">
        <f>'Country Tax Rates'!C38</f>
        <v>0.3</v>
      </c>
      <c r="G38" s="71">
        <f>E38-'ERPs by country'!$E$3</f>
        <v>8.086053145045842E-2</v>
      </c>
      <c r="H38" s="89"/>
      <c r="I38" s="170" t="s">
        <v>58</v>
      </c>
      <c r="J38" s="112">
        <f>'Default Spreads for Ratings'!C20/10000</f>
        <v>0.10566026391933617</v>
      </c>
      <c r="K38" s="92"/>
      <c r="N38" s="201" t="s">
        <v>31</v>
      </c>
      <c r="O38" s="89">
        <v>65.8</v>
      </c>
    </row>
    <row r="39" spans="1:15">
      <c r="A39" s="55" t="str">
        <f>'ERPs by country'!A45</f>
        <v>Côte d'Ivoire</v>
      </c>
      <c r="B39" s="163" t="e">
        <f t="shared" si="1"/>
        <v>#N/A</v>
      </c>
      <c r="C39" s="116">
        <f>'ERPs by country'!E45</f>
        <v>0.10519074106349657</v>
      </c>
      <c r="D39" s="27">
        <f>'ERPs by country'!D45</f>
        <v>4.2242931166147427E-2</v>
      </c>
      <c r="E39" s="27">
        <f t="shared" si="0"/>
        <v>0.10519074106349657</v>
      </c>
      <c r="F39" s="71">
        <f>'Country Tax Rates'!C39</f>
        <v>0.25</v>
      </c>
      <c r="G39" s="71">
        <f>E39-'ERPs by country'!$E$3</f>
        <v>5.2890741063496574E-2</v>
      </c>
      <c r="H39" s="89"/>
      <c r="I39" s="170" t="s">
        <v>62</v>
      </c>
      <c r="J39" s="112">
        <f>'Default Spreads for Ratings'!C21/10000</f>
        <v>0.1173061847922089</v>
      </c>
      <c r="K39" s="92"/>
      <c r="N39" s="201" t="s">
        <v>106</v>
      </c>
      <c r="O39" s="89">
        <v>68.5</v>
      </c>
    </row>
    <row r="40" spans="1:15">
      <c r="A40" s="55" t="str">
        <f>'ERPs by country'!A46</f>
        <v>Croatia</v>
      </c>
      <c r="B40" s="163">
        <f t="shared" si="1"/>
        <v>68.3</v>
      </c>
      <c r="C40" s="116">
        <f>'ERPs by country'!E46</f>
        <v>9.6441896677053524E-2</v>
      </c>
      <c r="D40" s="27">
        <f>'ERPs by country'!D46</f>
        <v>3.5255378642423785E-2</v>
      </c>
      <c r="E40" s="27">
        <f t="shared" si="0"/>
        <v>9.6441896677053524E-2</v>
      </c>
      <c r="F40" s="71">
        <f>'Country Tax Rates'!C40</f>
        <v>0.18</v>
      </c>
      <c r="G40" s="71">
        <f>E40-'ERPs by country'!$E$3</f>
        <v>4.4141896677053524E-2</v>
      </c>
      <c r="H40" s="89"/>
      <c r="I40" s="170" t="s">
        <v>347</v>
      </c>
      <c r="J40" s="112">
        <f>'Default Spreads for Ratings'!C18/10000</f>
        <v>0.14080977055382476</v>
      </c>
      <c r="K40" s="92"/>
      <c r="N40" s="201" t="s">
        <v>285</v>
      </c>
      <c r="O40" s="89">
        <v>60</v>
      </c>
    </row>
    <row r="41" spans="1:15">
      <c r="A41" s="55" t="str">
        <f>'ERPs by country'!A47</f>
        <v>Cuba</v>
      </c>
      <c r="B41" s="163">
        <f t="shared" si="1"/>
        <v>69.5</v>
      </c>
      <c r="C41" s="116">
        <f>'ERPs by country'!E47</f>
        <v>0.18459313178288111</v>
      </c>
      <c r="D41" s="27">
        <f>'ERPs by country'!D47</f>
        <v>0.10566026391933617</v>
      </c>
      <c r="E41" s="27">
        <f t="shared" si="0"/>
        <v>0.18459313178288111</v>
      </c>
      <c r="F41" s="71">
        <f>'Country Tax Rates'!C41</f>
        <v>0.27239999999999998</v>
      </c>
      <c r="G41" s="71">
        <f>E41-'ERPs by country'!$E$3</f>
        <v>0.1322931317828811</v>
      </c>
      <c r="H41" s="89"/>
      <c r="I41" s="170" t="s">
        <v>137</v>
      </c>
      <c r="J41" s="112">
        <f>'ERPs by country'!C205/10000</f>
        <v>0.17499999999999999</v>
      </c>
      <c r="K41" s="101"/>
      <c r="N41" s="201" t="s">
        <v>179</v>
      </c>
      <c r="O41" s="89">
        <v>76.8</v>
      </c>
    </row>
    <row r="42" spans="1:15">
      <c r="A42" s="55" t="str">
        <f>'ERPs by country'!A48</f>
        <v>Curacao</v>
      </c>
      <c r="B42" s="163" t="e">
        <f t="shared" si="1"/>
        <v>#N/A</v>
      </c>
      <c r="C42" s="116">
        <f>'ERPs by country'!E48</f>
        <v>8.0269790386961845E-2</v>
      </c>
      <c r="D42" s="27">
        <f>'ERPs by country'!D48</f>
        <v>2.2338993674328587E-2</v>
      </c>
      <c r="E42" s="27">
        <f t="shared" si="0"/>
        <v>8.0269790386961845E-2</v>
      </c>
      <c r="F42" s="71">
        <f>'Country Tax Rates'!C42</f>
        <v>0.22</v>
      </c>
      <c r="G42" s="71">
        <f>E42-'ERPs by country'!$E$3</f>
        <v>2.7969790386961846E-2</v>
      </c>
      <c r="H42" s="89"/>
      <c r="N42" s="201" t="s">
        <v>180</v>
      </c>
      <c r="O42" s="89">
        <v>69.8</v>
      </c>
    </row>
    <row r="43" spans="1:15">
      <c r="A43" s="55" t="str">
        <f>'ERPs by country'!A49</f>
        <v>Cyprus</v>
      </c>
      <c r="B43" s="163">
        <f t="shared" si="1"/>
        <v>70.3</v>
      </c>
      <c r="C43" s="116">
        <f>'ERPs by country'!E49</f>
        <v>9.6441896677053524E-2</v>
      </c>
      <c r="D43" s="27">
        <f>'ERPs by country'!D49</f>
        <v>3.5255378642423785E-2</v>
      </c>
      <c r="E43" s="27">
        <f t="shared" si="0"/>
        <v>9.6441896677053524E-2</v>
      </c>
      <c r="F43" s="71">
        <f>'Country Tax Rates'!C43</f>
        <v>0.125</v>
      </c>
      <c r="G43" s="71">
        <f>E43-'ERPs by country'!$E$3</f>
        <v>4.4141896677053524E-2</v>
      </c>
      <c r="H43" s="89"/>
      <c r="N43" s="201" t="s">
        <v>220</v>
      </c>
      <c r="O43" s="89">
        <v>63</v>
      </c>
    </row>
    <row r="44" spans="1:15">
      <c r="A44" s="55" t="str">
        <f>'ERPs by country'!A50</f>
        <v>Czech Republic</v>
      </c>
      <c r="B44" s="163">
        <f t="shared" si="1"/>
        <v>74</v>
      </c>
      <c r="C44" s="116">
        <f>'ERPs by country'!E50</f>
        <v>6.1181402634722479E-2</v>
      </c>
      <c r="D44" s="27">
        <f>'ERPs by country'!D50</f>
        <v>7.0934245316588403E-3</v>
      </c>
      <c r="E44" s="27">
        <f t="shared" si="0"/>
        <v>6.1181402634722479E-2</v>
      </c>
      <c r="F44" s="71">
        <f>'Country Tax Rates'!C44</f>
        <v>0.19</v>
      </c>
      <c r="G44" s="71">
        <f>E44-'ERPs by country'!$E$3</f>
        <v>8.8814026347224795E-3</v>
      </c>
      <c r="H44" s="89"/>
      <c r="N44" s="201" t="s">
        <v>335</v>
      </c>
      <c r="O44" s="89">
        <v>63.5</v>
      </c>
    </row>
    <row r="45" spans="1:15">
      <c r="A45" s="55" t="str">
        <f>'ERPs by country'!A51</f>
        <v>Denmark</v>
      </c>
      <c r="B45" s="163">
        <f t="shared" si="1"/>
        <v>78.8</v>
      </c>
      <c r="C45" s="116">
        <f>'ERPs by country'!E51</f>
        <v>5.2299999999999999E-2</v>
      </c>
      <c r="D45" s="27">
        <f>'ERPs by country'!D51</f>
        <v>0</v>
      </c>
      <c r="E45" s="27">
        <f t="shared" si="0"/>
        <v>5.2299999999999999E-2</v>
      </c>
      <c r="F45" s="71">
        <f>'Country Tax Rates'!C45</f>
        <v>0.22</v>
      </c>
      <c r="G45" s="71">
        <f>E45-'ERPs by country'!$E$3</f>
        <v>0</v>
      </c>
      <c r="H45" s="89"/>
      <c r="N45" s="201" t="s">
        <v>181</v>
      </c>
      <c r="O45" s="89">
        <v>79</v>
      </c>
    </row>
    <row r="46" spans="1:15">
      <c r="A46" s="55" t="str">
        <f>'ERPs by country'!A52</f>
        <v>Dominican Republic</v>
      </c>
      <c r="B46" s="163">
        <f t="shared" si="1"/>
        <v>68</v>
      </c>
      <c r="C46" s="116">
        <f>'ERPs by country'!E52</f>
        <v>0.10519074106349657</v>
      </c>
      <c r="D46" s="27">
        <f>'ERPs by country'!D52</f>
        <v>4.2242931166147427E-2</v>
      </c>
      <c r="E46" s="27">
        <f t="shared" si="0"/>
        <v>0.10519074106349657</v>
      </c>
      <c r="F46" s="71">
        <f>'Country Tax Rates'!C46</f>
        <v>0.27</v>
      </c>
      <c r="G46" s="71">
        <f>E46-'ERPs by country'!$E$3</f>
        <v>5.2890741063496574E-2</v>
      </c>
      <c r="H46" s="89"/>
      <c r="N46" s="201" t="s">
        <v>221</v>
      </c>
      <c r="O46" s="89">
        <v>66</v>
      </c>
    </row>
    <row r="47" spans="1:15">
      <c r="A47" s="55" t="str">
        <f>'ERPs by country'!A53</f>
        <v>Ecuador</v>
      </c>
      <c r="B47" s="163">
        <f t="shared" si="1"/>
        <v>57.5</v>
      </c>
      <c r="C47" s="116">
        <f>'ERPs by country'!E53</f>
        <v>0.19917453909361954</v>
      </c>
      <c r="D47" s="27">
        <f>'ERPs by country'!D53</f>
        <v>0.1173061847922089</v>
      </c>
      <c r="E47" s="27">
        <f t="shared" si="0"/>
        <v>0.19917453909361954</v>
      </c>
      <c r="F47" s="71">
        <f>'Country Tax Rates'!C47</f>
        <v>0.25</v>
      </c>
      <c r="G47" s="71">
        <f>E47-'ERPs by country'!$E$3</f>
        <v>0.14687453909361953</v>
      </c>
      <c r="H47" s="89"/>
      <c r="N47" s="201" t="s">
        <v>182</v>
      </c>
      <c r="O47" s="89">
        <v>65.3</v>
      </c>
    </row>
    <row r="48" spans="1:15">
      <c r="A48" s="55" t="str">
        <f>'ERPs by country'!A54</f>
        <v>Egypt</v>
      </c>
      <c r="B48" s="163">
        <f t="shared" si="1"/>
        <v>62.8</v>
      </c>
      <c r="C48" s="116">
        <f>'ERPs by country'!E54</f>
        <v>0.13316053145045842</v>
      </c>
      <c r="D48" s="27">
        <f>'ERPs by country'!D54</f>
        <v>6.4581924840476007E-2</v>
      </c>
      <c r="E48" s="27">
        <f t="shared" si="0"/>
        <v>0.13316053145045842</v>
      </c>
      <c r="F48" s="71">
        <f>'Country Tax Rates'!C48</f>
        <v>0.22500000000000001</v>
      </c>
      <c r="G48" s="71">
        <f>E48-'ERPs by country'!$E$3</f>
        <v>8.086053145045842E-2</v>
      </c>
      <c r="H48" s="89"/>
      <c r="N48" s="201" t="s">
        <v>107</v>
      </c>
      <c r="O48" s="89">
        <v>70</v>
      </c>
    </row>
    <row r="49" spans="1:15">
      <c r="A49" s="55" t="str">
        <f>'ERPs by country'!A55</f>
        <v>El Salvador</v>
      </c>
      <c r="B49" s="163">
        <f t="shared" si="1"/>
        <v>65.8</v>
      </c>
      <c r="C49" s="116">
        <f>'ERPs by country'!E55</f>
        <v>0.14787449700947625</v>
      </c>
      <c r="D49" s="27">
        <f>'ERPs by country'!D55</f>
        <v>7.6333717721283945E-2</v>
      </c>
      <c r="E49" s="27">
        <f t="shared" si="0"/>
        <v>0.14787449700947625</v>
      </c>
      <c r="F49" s="71">
        <f>'Country Tax Rates'!C49</f>
        <v>0.3</v>
      </c>
      <c r="G49" s="71">
        <f>E49-'ERPs by country'!$E$3</f>
        <v>9.5574497009476247E-2</v>
      </c>
      <c r="H49" s="89"/>
      <c r="N49" s="201" t="s">
        <v>318</v>
      </c>
      <c r="O49" s="89">
        <v>54</v>
      </c>
    </row>
    <row r="50" spans="1:15">
      <c r="A50" s="55" t="str">
        <f>'ERPs by country'!A56</f>
        <v>Estonia</v>
      </c>
      <c r="B50" s="163">
        <f t="shared" si="1"/>
        <v>68.5</v>
      </c>
      <c r="C50" s="116">
        <f>'ERPs by country'!E56</f>
        <v>6.2639543365796316E-2</v>
      </c>
      <c r="D50" s="27">
        <f>'ERPs by country'!D56</f>
        <v>8.2580166189461131E-3</v>
      </c>
      <c r="E50" s="27">
        <f t="shared" si="0"/>
        <v>6.2639543365796316E-2</v>
      </c>
      <c r="F50" s="71">
        <f>'Country Tax Rates'!C50</f>
        <v>0.2</v>
      </c>
      <c r="G50" s="71">
        <f>E50-'ERPs by country'!$E$3</f>
        <v>1.0339543365796316E-2</v>
      </c>
      <c r="H50" s="89"/>
      <c r="N50" s="201" t="s">
        <v>334</v>
      </c>
      <c r="O50" s="89">
        <v>62</v>
      </c>
    </row>
    <row r="51" spans="1:15">
      <c r="A51" s="55" t="str">
        <f>'ERPs by country'!A57</f>
        <v>Ethiopia</v>
      </c>
      <c r="B51" s="163">
        <f t="shared" si="1"/>
        <v>60</v>
      </c>
      <c r="C51" s="116">
        <f>'ERPs by country'!E57</f>
        <v>0.13316053145045842</v>
      </c>
      <c r="D51" s="27">
        <f>'ERPs by country'!D57</f>
        <v>6.4581924840476007E-2</v>
      </c>
      <c r="E51" s="27">
        <f t="shared" si="0"/>
        <v>0.13316053145045842</v>
      </c>
      <c r="F51" s="71">
        <f>'Country Tax Rates'!C51</f>
        <v>0.3</v>
      </c>
      <c r="G51" s="71">
        <f>E51-'ERPs by country'!$E$3</f>
        <v>8.086053145045842E-2</v>
      </c>
      <c r="H51" s="89"/>
      <c r="N51" s="201" t="s">
        <v>331</v>
      </c>
      <c r="O51" s="89">
        <v>65</v>
      </c>
    </row>
    <row r="52" spans="1:15">
      <c r="A52" s="55" t="str">
        <f>'ERPs by country'!A58</f>
        <v>Fiji</v>
      </c>
      <c r="B52" s="163" t="e">
        <f t="shared" si="1"/>
        <v>#N/A</v>
      </c>
      <c r="C52" s="116">
        <f>'ERPs by country'!E58</f>
        <v>0.10519074106349657</v>
      </c>
      <c r="D52" s="27">
        <f>'ERPs by country'!D58</f>
        <v>4.2242931166147427E-2</v>
      </c>
      <c r="E52" s="27">
        <f t="shared" si="0"/>
        <v>0.10519074106349657</v>
      </c>
      <c r="F52" s="71">
        <f>'Country Tax Rates'!C52</f>
        <v>0.2</v>
      </c>
      <c r="G52" s="71">
        <f>E52-'ERPs by country'!$E$3</f>
        <v>5.2890741063496574E-2</v>
      </c>
      <c r="H52" s="89"/>
      <c r="N52" s="201" t="s">
        <v>327</v>
      </c>
      <c r="O52" s="89">
        <v>54.5</v>
      </c>
    </row>
    <row r="53" spans="1:15">
      <c r="A53" s="55" t="str">
        <f>'ERPs by country'!A59</f>
        <v>Finland</v>
      </c>
      <c r="B53" s="163">
        <f t="shared" si="1"/>
        <v>76.8</v>
      </c>
      <c r="C53" s="116">
        <f>'ERPs by country'!E59</f>
        <v>5.8132562924295361E-2</v>
      </c>
      <c r="D53" s="27">
        <f>'ERPs by country'!D59</f>
        <v>4.6583683491490885E-3</v>
      </c>
      <c r="E53" s="27">
        <f t="shared" si="0"/>
        <v>5.8132562924295361E-2</v>
      </c>
      <c r="F53" s="71">
        <f>'Country Tax Rates'!C53</f>
        <v>0.2</v>
      </c>
      <c r="G53" s="71">
        <f>E53-'ERPs by country'!$E$3</f>
        <v>5.8325629242953619E-3</v>
      </c>
      <c r="H53" s="89"/>
      <c r="N53" s="201" t="s">
        <v>108</v>
      </c>
      <c r="O53" s="89">
        <v>65</v>
      </c>
    </row>
    <row r="54" spans="1:15">
      <c r="A54" s="55" t="str">
        <f>'ERPs by country'!A60</f>
        <v>France</v>
      </c>
      <c r="B54" s="163">
        <f t="shared" si="1"/>
        <v>69.8</v>
      </c>
      <c r="C54" s="116">
        <f>'ERPs by country'!E60</f>
        <v>5.9590703655369198E-2</v>
      </c>
      <c r="D54" s="27">
        <f>'ERPs by country'!D60</f>
        <v>5.8229604364363613E-3</v>
      </c>
      <c r="E54" s="27">
        <f t="shared" si="0"/>
        <v>5.9590703655369198E-2</v>
      </c>
      <c r="F54" s="71">
        <f>'Country Tax Rates'!C54</f>
        <v>0.31</v>
      </c>
      <c r="G54" s="71">
        <f>E54-'ERPs by country'!$E$3</f>
        <v>7.290703655369199E-3</v>
      </c>
      <c r="H54" s="89"/>
      <c r="N54" s="201" t="s">
        <v>59</v>
      </c>
      <c r="O54" s="89">
        <v>74.8</v>
      </c>
    </row>
    <row r="55" spans="1:15">
      <c r="A55" s="55" t="str">
        <f>'ERPs by country'!A61</f>
        <v>Gabon</v>
      </c>
      <c r="B55" s="163">
        <f t="shared" si="1"/>
        <v>63</v>
      </c>
      <c r="C55" s="116">
        <f>'ERPs by country'!E61</f>
        <v>0.16245590432021467</v>
      </c>
      <c r="D55" s="27">
        <f>'ERPs by country'!D61</f>
        <v>8.7979638594156681E-2</v>
      </c>
      <c r="E55" s="27">
        <f t="shared" si="0"/>
        <v>0.16245590432021467</v>
      </c>
      <c r="F55" s="71">
        <f>'Country Tax Rates'!C55</f>
        <v>0.3</v>
      </c>
      <c r="G55" s="71">
        <f>E55-'ERPs by country'!$E$3</f>
        <v>0.11015590432021467</v>
      </c>
      <c r="H55" s="89"/>
      <c r="N55" s="201" t="s">
        <v>109</v>
      </c>
      <c r="O55" s="89">
        <v>72</v>
      </c>
    </row>
    <row r="56" spans="1:15">
      <c r="A56" s="55" t="str">
        <f>'ERPs by country'!A62</f>
        <v>Georgia</v>
      </c>
      <c r="B56" s="163" t="e">
        <f t="shared" si="1"/>
        <v>#N/A</v>
      </c>
      <c r="C56" s="116">
        <f>'ERPs by country'!E62</f>
        <v>9.6441896677053524E-2</v>
      </c>
      <c r="D56" s="27">
        <f>'ERPs by country'!D62</f>
        <v>3.5255378642423785E-2</v>
      </c>
      <c r="E56" s="27">
        <f t="shared" si="0"/>
        <v>9.6441896677053524E-2</v>
      </c>
      <c r="F56" s="71">
        <f>'Country Tax Rates'!C56</f>
        <v>0.15</v>
      </c>
      <c r="G56" s="71">
        <f>E56-'ERPs by country'!$E$3</f>
        <v>4.4141896677053524E-2</v>
      </c>
      <c r="H56" s="89"/>
      <c r="N56" s="201" t="s">
        <v>110</v>
      </c>
      <c r="O56" s="89">
        <v>77.3</v>
      </c>
    </row>
    <row r="57" spans="1:15">
      <c r="A57" s="55" t="str">
        <f>'ERPs by country'!A63</f>
        <v>Germany</v>
      </c>
      <c r="B57" s="163">
        <f t="shared" si="1"/>
        <v>79</v>
      </c>
      <c r="C57" s="116">
        <f>'ERPs by country'!E63</f>
        <v>5.2299999999999999E-2</v>
      </c>
      <c r="D57" s="27">
        <f>'ERPs by country'!D63</f>
        <v>0</v>
      </c>
      <c r="E57" s="27">
        <f t="shared" si="0"/>
        <v>5.2299999999999999E-2</v>
      </c>
      <c r="F57" s="71">
        <f>'Country Tax Rates'!C57</f>
        <v>0.3</v>
      </c>
      <c r="G57" s="71">
        <f>E57-'ERPs by country'!$E$3</f>
        <v>0</v>
      </c>
      <c r="H57" s="89"/>
      <c r="N57" s="201" t="s">
        <v>111</v>
      </c>
      <c r="O57" s="89">
        <v>67.3</v>
      </c>
    </row>
    <row r="58" spans="1:15">
      <c r="A58" s="55" t="str">
        <f>'ERPs by country'!A64</f>
        <v>Ghana</v>
      </c>
      <c r="B58" s="163">
        <f t="shared" si="1"/>
        <v>66</v>
      </c>
      <c r="C58" s="116">
        <f>'ERPs by country'!E64</f>
        <v>0.14787449700947625</v>
      </c>
      <c r="D58" s="27">
        <f>'ERPs by country'!D64</f>
        <v>7.6333717721283945E-2</v>
      </c>
      <c r="E58" s="27">
        <f t="shared" si="0"/>
        <v>0.14787449700947625</v>
      </c>
      <c r="F58" s="71">
        <f>'Country Tax Rates'!C58</f>
        <v>0.25</v>
      </c>
      <c r="G58" s="71">
        <f>E58-'ERPs by country'!$E$3</f>
        <v>9.5574497009476247E-2</v>
      </c>
      <c r="H58" s="89"/>
      <c r="N58" s="201" t="s">
        <v>112</v>
      </c>
      <c r="O58" s="89">
        <v>63.8</v>
      </c>
    </row>
    <row r="59" spans="1:15">
      <c r="A59" s="55" t="str">
        <f>'ERPs by country'!A65</f>
        <v>Greece</v>
      </c>
      <c r="B59" s="163">
        <f t="shared" si="1"/>
        <v>65.3</v>
      </c>
      <c r="C59" s="116">
        <f>'ERPs by country'!E65</f>
        <v>0.11844656589144056</v>
      </c>
      <c r="D59" s="27">
        <f>'ERPs by country'!D65</f>
        <v>5.2830131959668084E-2</v>
      </c>
      <c r="E59" s="27">
        <f t="shared" si="0"/>
        <v>0.11844656589144056</v>
      </c>
      <c r="F59" s="71">
        <f>'Country Tax Rates'!C59</f>
        <v>0.28000000000000003</v>
      </c>
      <c r="G59" s="71">
        <f>E59-'ERPs by country'!$E$3</f>
        <v>6.6146565891440565E-2</v>
      </c>
      <c r="H59" s="89"/>
      <c r="N59" s="201" t="s">
        <v>329</v>
      </c>
      <c r="O59" s="89">
        <v>58.5</v>
      </c>
    </row>
    <row r="60" spans="1:15">
      <c r="A60" s="55" t="str">
        <f>'ERPs by country'!A66</f>
        <v>Guatemala</v>
      </c>
      <c r="B60" s="163">
        <f t="shared" si="1"/>
        <v>70</v>
      </c>
      <c r="C60" s="116">
        <f>'ERPs by country'!E66</f>
        <v>8.9018634773404881E-2</v>
      </c>
      <c r="D60" s="27">
        <f>'ERPs by country'!D66</f>
        <v>2.9326546198052226E-2</v>
      </c>
      <c r="E60" s="27">
        <f t="shared" si="0"/>
        <v>8.9018634773404881E-2</v>
      </c>
      <c r="F60" s="71">
        <f>'Country Tax Rates'!C60</f>
        <v>0.25</v>
      </c>
      <c r="G60" s="71">
        <f>E60-'ERPs by country'!$E$3</f>
        <v>3.6718634773404882E-2</v>
      </c>
      <c r="H60" s="89"/>
      <c r="N60" s="201" t="s">
        <v>332</v>
      </c>
      <c r="O60" s="89">
        <v>52.5</v>
      </c>
    </row>
    <row r="61" spans="1:15">
      <c r="A61" s="55" t="str">
        <f>'ERPs by country'!A67</f>
        <v>Guernsey (States of)</v>
      </c>
      <c r="B61" s="163" t="e">
        <f t="shared" si="1"/>
        <v>#N/A</v>
      </c>
      <c r="C61" s="116">
        <f>'ERPs by country'!E67</f>
        <v>6.1181402634722479E-2</v>
      </c>
      <c r="D61" s="27">
        <f>'ERPs by country'!D67</f>
        <v>7.0934245316588403E-3</v>
      </c>
      <c r="E61" s="27">
        <f t="shared" si="0"/>
        <v>6.1181402634722479E-2</v>
      </c>
      <c r="F61" s="71">
        <f>'Country Tax Rates'!C61</f>
        <v>0</v>
      </c>
      <c r="G61" s="71">
        <f>E61-'ERPs by country'!$E$3</f>
        <v>8.8814026347224795E-3</v>
      </c>
      <c r="H61" s="89"/>
      <c r="N61" s="201" t="s">
        <v>183</v>
      </c>
      <c r="O61" s="89">
        <v>76</v>
      </c>
    </row>
    <row r="62" spans="1:15">
      <c r="A62" s="55" t="str">
        <f>'ERPs by country'!A68</f>
        <v>Honduras</v>
      </c>
      <c r="B62" s="163">
        <f t="shared" si="1"/>
        <v>65</v>
      </c>
      <c r="C62" s="116">
        <f>'ERPs by country'!E68</f>
        <v>0.11844656589144056</v>
      </c>
      <c r="D62" s="27">
        <f>'ERPs by country'!D68</f>
        <v>5.2830131959668084E-2</v>
      </c>
      <c r="E62" s="27">
        <f t="shared" si="0"/>
        <v>0.11844656589144056</v>
      </c>
      <c r="F62" s="71">
        <f>'Country Tax Rates'!C62</f>
        <v>0.25</v>
      </c>
      <c r="G62" s="71">
        <f>E62-'ERPs by country'!$E$3</f>
        <v>6.6146565891440565E-2</v>
      </c>
      <c r="H62" s="89"/>
      <c r="N62" s="201" t="s">
        <v>114</v>
      </c>
      <c r="O62" s="89">
        <v>69.5</v>
      </c>
    </row>
    <row r="63" spans="1:15">
      <c r="A63" s="55" t="str">
        <f>'ERPs by country'!A69</f>
        <v>Hong Kong</v>
      </c>
      <c r="B63" s="163">
        <f t="shared" si="1"/>
        <v>74.8</v>
      </c>
      <c r="C63" s="116">
        <f>'ERPs by country'!E69</f>
        <v>6.1181402634722479E-2</v>
      </c>
      <c r="D63" s="27">
        <f>'ERPs by country'!D69</f>
        <v>7.0934245316588403E-3</v>
      </c>
      <c r="E63" s="27">
        <f t="shared" si="0"/>
        <v>6.1181402634722479E-2</v>
      </c>
      <c r="F63" s="71">
        <f>'Country Tax Rates'!C63</f>
        <v>0.16500000000000001</v>
      </c>
      <c r="G63" s="71">
        <f>E63-'ERPs by country'!$E$3</f>
        <v>8.8814026347224795E-3</v>
      </c>
      <c r="H63" s="89"/>
      <c r="N63" s="201" t="s">
        <v>145</v>
      </c>
      <c r="O63" s="89">
        <v>70.5</v>
      </c>
    </row>
    <row r="64" spans="1:15">
      <c r="A64" s="55" t="str">
        <f>'ERPs by country'!A70</f>
        <v>Hungary</v>
      </c>
      <c r="B64" s="163">
        <f t="shared" si="1"/>
        <v>72</v>
      </c>
      <c r="C64" s="116">
        <f>'ERPs by country'!E70</f>
        <v>8.464421258018337E-2</v>
      </c>
      <c r="D64" s="27">
        <f>'ERPs by country'!D70</f>
        <v>2.5832769936190408E-2</v>
      </c>
      <c r="E64" s="27">
        <f t="shared" si="0"/>
        <v>8.464421258018337E-2</v>
      </c>
      <c r="F64" s="71">
        <f>'Country Tax Rates'!C64</f>
        <v>0.09</v>
      </c>
      <c r="G64" s="71">
        <f>E64-'ERPs by country'!$E$3</f>
        <v>3.2344212580183371E-2</v>
      </c>
      <c r="H64" s="89"/>
      <c r="N64" s="201" t="s">
        <v>115</v>
      </c>
      <c r="O64" s="89">
        <v>67</v>
      </c>
    </row>
    <row r="65" spans="1:15">
      <c r="A65" s="55" t="str">
        <f>'ERPs by country'!A71</f>
        <v>Iceland</v>
      </c>
      <c r="B65" s="163">
        <f t="shared" si="1"/>
        <v>77.3</v>
      </c>
      <c r="C65" s="116">
        <f>'ERPs by country'!E71</f>
        <v>6.4760475338267356E-2</v>
      </c>
      <c r="D65" s="27">
        <f>'ERPs by country'!D71</f>
        <v>9.9519687459094178E-3</v>
      </c>
      <c r="E65" s="27">
        <f t="shared" si="0"/>
        <v>6.4760475338267356E-2</v>
      </c>
      <c r="F65" s="71">
        <f>'Country Tax Rates'!C65</f>
        <v>0.2</v>
      </c>
      <c r="G65" s="71">
        <f>E65-'ERPs by country'!$E$3</f>
        <v>1.2460475338267357E-2</v>
      </c>
      <c r="H65" s="89"/>
      <c r="N65" s="201" t="s">
        <v>116</v>
      </c>
      <c r="O65" s="89">
        <v>79</v>
      </c>
    </row>
    <row r="66" spans="1:15">
      <c r="A66" s="55" t="str">
        <f>'ERPs by country'!A72</f>
        <v>India</v>
      </c>
      <c r="B66" s="163">
        <f t="shared" si="1"/>
        <v>67.3</v>
      </c>
      <c r="C66" s="116">
        <f>'ERPs by country'!E72</f>
        <v>8.464421258018337E-2</v>
      </c>
      <c r="D66" s="27">
        <f>'ERPs by country'!D72</f>
        <v>2.5832769936190408E-2</v>
      </c>
      <c r="E66" s="27">
        <f t="shared" si="0"/>
        <v>8.464421258018337E-2</v>
      </c>
      <c r="F66" s="71">
        <f>'Country Tax Rates'!C66</f>
        <v>0.3</v>
      </c>
      <c r="G66" s="71">
        <f>E66-'ERPs by country'!$E$3</f>
        <v>3.2344212580183371E-2</v>
      </c>
      <c r="H66" s="89"/>
      <c r="N66" s="201" t="s">
        <v>117</v>
      </c>
      <c r="O66" s="89">
        <v>61.3</v>
      </c>
    </row>
    <row r="67" spans="1:15">
      <c r="A67" s="55" t="str">
        <f>'ERPs by country'!A73</f>
        <v>Indonesia</v>
      </c>
      <c r="B67" s="163">
        <f t="shared" si="1"/>
        <v>63.8</v>
      </c>
      <c r="C67" s="116">
        <f>'ERPs by country'!E73</f>
        <v>8.0269790386961845E-2</v>
      </c>
      <c r="D67" s="27">
        <f>'ERPs by country'!D73</f>
        <v>2.2338993674328587E-2</v>
      </c>
      <c r="E67" s="27">
        <f t="shared" ref="E67:E131" si="2">C67</f>
        <v>8.0269790386961845E-2</v>
      </c>
      <c r="F67" s="71">
        <f>'Country Tax Rates'!C67</f>
        <v>0.25</v>
      </c>
      <c r="G67" s="71">
        <f>E67-'ERPs by country'!$E$3</f>
        <v>2.7969790386961846E-2</v>
      </c>
      <c r="H67" s="89"/>
      <c r="N67" s="201" t="s">
        <v>118</v>
      </c>
      <c r="O67" s="89">
        <v>66.8</v>
      </c>
    </row>
    <row r="68" spans="1:15">
      <c r="A68" s="55" t="str">
        <f>'ERPs by country'!A74</f>
        <v>Iraq</v>
      </c>
      <c r="B68" s="163">
        <f t="shared" ref="B68:B132" si="3">VLOOKUP(A68,$N$2:$O$141,2,FALSE)</f>
        <v>52.5</v>
      </c>
      <c r="C68" s="116">
        <f>'ERPs by country'!E74</f>
        <v>0.16245590432021467</v>
      </c>
      <c r="D68" s="27">
        <f>'ERPs by country'!D74</f>
        <v>8.7979638594156681E-2</v>
      </c>
      <c r="E68" s="27">
        <f t="shared" si="2"/>
        <v>0.16245590432021467</v>
      </c>
      <c r="F68" s="71">
        <f>'Country Tax Rates'!C68</f>
        <v>0.15</v>
      </c>
      <c r="G68" s="71">
        <f>E68-'ERPs by country'!$E$3</f>
        <v>0.11015590432021467</v>
      </c>
      <c r="H68" s="89"/>
      <c r="N68" s="201" t="s">
        <v>184</v>
      </c>
      <c r="O68" s="89">
        <v>60.3</v>
      </c>
    </row>
    <row r="69" spans="1:15">
      <c r="A69" s="55" t="str">
        <f>'ERPs by country'!A75</f>
        <v>Ireland</v>
      </c>
      <c r="B69" s="163">
        <f t="shared" si="3"/>
        <v>76</v>
      </c>
      <c r="C69" s="116">
        <f>'ERPs by country'!E75</f>
        <v>6.4760475338267356E-2</v>
      </c>
      <c r="D69" s="27">
        <f>'ERPs by country'!D75</f>
        <v>9.9519687459094178E-3</v>
      </c>
      <c r="E69" s="27">
        <f t="shared" si="2"/>
        <v>6.4760475338267356E-2</v>
      </c>
      <c r="F69" s="71">
        <f>'Country Tax Rates'!C69</f>
        <v>0.125</v>
      </c>
      <c r="G69" s="71">
        <f>E69-'ERPs by country'!$E$3</f>
        <v>1.2460475338267357E-2</v>
      </c>
      <c r="H69" s="89"/>
      <c r="N69" s="201" t="s">
        <v>387</v>
      </c>
      <c r="O69" s="89">
        <v>50.3</v>
      </c>
    </row>
    <row r="70" spans="1:15">
      <c r="A70" s="55" t="str">
        <f>'ERPs by country'!A76</f>
        <v>Isle of Man</v>
      </c>
      <c r="B70" s="163" t="e">
        <f t="shared" si="3"/>
        <v>#N/A</v>
      </c>
      <c r="C70" s="116">
        <f>'ERPs by country'!E76</f>
        <v>5.9590703655369198E-2</v>
      </c>
      <c r="D70" s="27">
        <f>'ERPs by country'!D76</f>
        <v>5.8229604364363613E-3</v>
      </c>
      <c r="E70" s="27">
        <f t="shared" si="2"/>
        <v>5.9590703655369198E-2</v>
      </c>
      <c r="F70" s="71">
        <f>'Country Tax Rates'!C70</f>
        <v>0</v>
      </c>
      <c r="G70" s="71">
        <f>E70-'ERPs by country'!$E$3</f>
        <v>7.290703655369199E-3</v>
      </c>
      <c r="H70" s="89"/>
      <c r="N70" s="201" t="s">
        <v>568</v>
      </c>
      <c r="O70" s="89">
        <v>80.3</v>
      </c>
    </row>
    <row r="71" spans="1:15">
      <c r="A71" s="55" t="str">
        <f>'ERPs by country'!A77</f>
        <v>Israel</v>
      </c>
      <c r="B71" s="163">
        <f t="shared" si="3"/>
        <v>69.5</v>
      </c>
      <c r="C71" s="116">
        <f>'ERPs by country'!E77</f>
        <v>6.2639543365796316E-2</v>
      </c>
      <c r="D71" s="27">
        <f>'ERPs by country'!D77</f>
        <v>8.2580166189461131E-3</v>
      </c>
      <c r="E71" s="27">
        <f t="shared" si="2"/>
        <v>6.2639543365796316E-2</v>
      </c>
      <c r="F71" s="71">
        <f>'Country Tax Rates'!C71</f>
        <v>0.23</v>
      </c>
      <c r="G71" s="71">
        <f>E71-'ERPs by country'!$E$3</f>
        <v>1.0339543365796316E-2</v>
      </c>
      <c r="H71" s="89"/>
      <c r="N71" s="201" t="s">
        <v>120</v>
      </c>
      <c r="O71" s="89">
        <v>68.8</v>
      </c>
    </row>
    <row r="72" spans="1:15">
      <c r="A72" s="55" t="str">
        <f>'ERPs by country'!A78</f>
        <v>Italy</v>
      </c>
      <c r="B72" s="163">
        <f t="shared" si="3"/>
        <v>70.5</v>
      </c>
      <c r="C72" s="116">
        <f>'ERPs by country'!E78</f>
        <v>8.464421258018337E-2</v>
      </c>
      <c r="D72" s="27">
        <f>'ERPs by country'!D78</f>
        <v>2.5832769936190408E-2</v>
      </c>
      <c r="E72" s="27">
        <f t="shared" si="2"/>
        <v>8.464421258018337E-2</v>
      </c>
      <c r="F72" s="71">
        <f>'Country Tax Rates'!C72</f>
        <v>0.24</v>
      </c>
      <c r="G72" s="71">
        <f>E72-'ERPs by country'!$E$3</f>
        <v>3.2344212580183371E-2</v>
      </c>
      <c r="H72" s="89"/>
      <c r="N72" s="201" t="s">
        <v>121</v>
      </c>
      <c r="O72" s="89">
        <v>69</v>
      </c>
    </row>
    <row r="73" spans="1:15">
      <c r="A73" s="55" t="str">
        <f>'ERPs by country'!A79</f>
        <v>Jamaica</v>
      </c>
      <c r="B73" s="163">
        <f t="shared" si="3"/>
        <v>67</v>
      </c>
      <c r="C73" s="116">
        <f>'ERPs by country'!E79</f>
        <v>0.13316053145045842</v>
      </c>
      <c r="D73" s="27">
        <f>'ERPs by country'!D79</f>
        <v>6.4581924840476007E-2</v>
      </c>
      <c r="E73" s="27">
        <f t="shared" si="2"/>
        <v>0.13316053145045842</v>
      </c>
      <c r="F73" s="71">
        <f>'Country Tax Rates'!C73</f>
        <v>0.25</v>
      </c>
      <c r="G73" s="71">
        <f>E73-'ERPs by country'!$E$3</f>
        <v>8.086053145045842E-2</v>
      </c>
      <c r="H73" s="89"/>
      <c r="N73" s="201" t="s">
        <v>122</v>
      </c>
      <c r="O73" s="89">
        <v>51.3</v>
      </c>
    </row>
    <row r="74" spans="1:15">
      <c r="A74" s="55" t="str">
        <f>'ERPs by country'!A80</f>
        <v>Japan</v>
      </c>
      <c r="B74" s="163">
        <f t="shared" si="3"/>
        <v>79</v>
      </c>
      <c r="C74" s="116">
        <f>'ERPs by country'!E80</f>
        <v>6.2639543365796316E-2</v>
      </c>
      <c r="D74" s="27">
        <f>'ERPs by country'!D80</f>
        <v>8.2580166189461131E-3</v>
      </c>
      <c r="E74" s="27">
        <f t="shared" si="2"/>
        <v>6.2639543365796316E-2</v>
      </c>
      <c r="F74" s="71">
        <f>'Country Tax Rates'!C74</f>
        <v>0.30620000000000003</v>
      </c>
      <c r="G74" s="71">
        <f>E74-'ERPs by country'!$E$3</f>
        <v>1.0339543365796316E-2</v>
      </c>
      <c r="H74" s="89"/>
      <c r="N74" s="201" t="s">
        <v>319</v>
      </c>
      <c r="O74" s="89">
        <v>53.5</v>
      </c>
    </row>
    <row r="75" spans="1:15">
      <c r="A75" s="55" t="str">
        <f>'ERPs by country'!A81</f>
        <v>Jersey (States of)</v>
      </c>
      <c r="B75" s="163" t="e">
        <f t="shared" si="3"/>
        <v>#N/A</v>
      </c>
      <c r="C75" s="116">
        <f>'ERPs by country'!E81</f>
        <v>6.1181402634722479E-2</v>
      </c>
      <c r="D75" s="27">
        <f>'ERPs by country'!D81</f>
        <v>7.0934245316588403E-3</v>
      </c>
      <c r="E75" s="27">
        <f t="shared" si="2"/>
        <v>6.1181402634722479E-2</v>
      </c>
      <c r="F75" s="71">
        <f>'Country Tax Rates'!C75</f>
        <v>0</v>
      </c>
      <c r="G75" s="71">
        <f>E75-'ERPs by country'!$E$3</f>
        <v>8.8814026347224795E-3</v>
      </c>
      <c r="H75" s="89"/>
      <c r="N75" s="201" t="s">
        <v>323</v>
      </c>
      <c r="O75" s="89">
        <v>58.3</v>
      </c>
    </row>
    <row r="76" spans="1:15">
      <c r="A76" s="55" t="str">
        <f>'ERPs by country'!A82</f>
        <v>Jordan</v>
      </c>
      <c r="B76" s="163">
        <f t="shared" si="3"/>
        <v>61.3</v>
      </c>
      <c r="C76" s="116">
        <f>'ERPs by country'!E82</f>
        <v>0.11844656589144056</v>
      </c>
      <c r="D76" s="27">
        <f>'ERPs by country'!D82</f>
        <v>5.2830131959668084E-2</v>
      </c>
      <c r="E76" s="27">
        <f t="shared" si="2"/>
        <v>0.11844656589144056</v>
      </c>
      <c r="F76" s="71">
        <f>'Country Tax Rates'!C76</f>
        <v>0.2</v>
      </c>
      <c r="G76" s="71">
        <f>E76-'ERPs by country'!$E$3</f>
        <v>6.6146565891440565E-2</v>
      </c>
      <c r="H76" s="89"/>
      <c r="N76" s="201" t="s">
        <v>13</v>
      </c>
      <c r="O76" s="89">
        <v>69.8</v>
      </c>
    </row>
    <row r="77" spans="1:15">
      <c r="A77" s="55" t="str">
        <f>'ERPs by country'!A83</f>
        <v>Kazakhstan</v>
      </c>
      <c r="B77" s="163">
        <f t="shared" si="3"/>
        <v>66.8</v>
      </c>
      <c r="C77" s="116">
        <f>'ERPs by country'!E83</f>
        <v>8.464421258018337E-2</v>
      </c>
      <c r="D77" s="27">
        <f>'ERPs by country'!D83</f>
        <v>2.5832769936190408E-2</v>
      </c>
      <c r="E77" s="27">
        <f t="shared" si="2"/>
        <v>8.464421258018337E-2</v>
      </c>
      <c r="F77" s="71">
        <f>'Country Tax Rates'!C77</f>
        <v>0.2</v>
      </c>
      <c r="G77" s="71">
        <f>E77-'ERPs by country'!$E$3</f>
        <v>3.2344212580183371E-2</v>
      </c>
      <c r="H77" s="89"/>
      <c r="N77" s="201" t="s">
        <v>185</v>
      </c>
      <c r="O77" s="89">
        <v>82.5</v>
      </c>
    </row>
    <row r="78" spans="1:15">
      <c r="A78" s="55" t="str">
        <f>'ERPs by country'!A84</f>
        <v>Kenya</v>
      </c>
      <c r="B78" s="163">
        <f t="shared" si="3"/>
        <v>60.3</v>
      </c>
      <c r="C78" s="116">
        <f>'ERPs by country'!E84</f>
        <v>0.13316053145045842</v>
      </c>
      <c r="D78" s="27">
        <f>'ERPs by country'!D84</f>
        <v>6.4581924840476007E-2</v>
      </c>
      <c r="E78" s="27">
        <f t="shared" si="2"/>
        <v>0.13316053145045842</v>
      </c>
      <c r="F78" s="71">
        <f>'Country Tax Rates'!C78</f>
        <v>0.3</v>
      </c>
      <c r="G78" s="71">
        <f>E78-'ERPs by country'!$E$3</f>
        <v>8.086053145045842E-2</v>
      </c>
      <c r="H78" s="89"/>
      <c r="N78" s="201" t="s">
        <v>337</v>
      </c>
      <c r="O78" s="89">
        <v>63</v>
      </c>
    </row>
    <row r="79" spans="1:15">
      <c r="A79" s="55" t="str">
        <f>'ERPs by country'!A85</f>
        <v>Korea</v>
      </c>
      <c r="B79" s="163" t="e">
        <f t="shared" si="3"/>
        <v>#N/A</v>
      </c>
      <c r="C79" s="116">
        <f>'ERPs by country'!E85</f>
        <v>5.9590703655369198E-2</v>
      </c>
      <c r="D79" s="27">
        <f>'ERPs by country'!D85</f>
        <v>5.8229604364363613E-3</v>
      </c>
      <c r="E79" s="27">
        <f t="shared" si="2"/>
        <v>5.9590703655369198E-2</v>
      </c>
      <c r="F79" s="71">
        <f>'Country Tax Rates'!C79</f>
        <v>0.25</v>
      </c>
      <c r="G79" s="71">
        <f>E79-'ERPs by country'!$E$3</f>
        <v>7.290703655369199E-3</v>
      </c>
      <c r="H79" s="89"/>
      <c r="N79" s="201" t="s">
        <v>328</v>
      </c>
      <c r="O79" s="89">
        <v>57.8</v>
      </c>
    </row>
    <row r="80" spans="1:15">
      <c r="A80" s="55" t="str">
        <f>'ERPs by country'!A86</f>
        <v>Kuwait</v>
      </c>
      <c r="B80" s="163">
        <f t="shared" si="3"/>
        <v>68.8</v>
      </c>
      <c r="C80" s="116">
        <f>'ERPs by country'!E86</f>
        <v>5.9590703655369198E-2</v>
      </c>
      <c r="D80" s="27">
        <f>'ERPs by country'!D86</f>
        <v>5.8229604364363613E-3</v>
      </c>
      <c r="E80" s="27">
        <f t="shared" si="2"/>
        <v>5.9590703655369198E-2</v>
      </c>
      <c r="F80" s="71">
        <f>'Country Tax Rates'!C80</f>
        <v>0.15</v>
      </c>
      <c r="G80" s="71">
        <f>E80-'ERPs by country'!$E$3</f>
        <v>7.290703655369199E-3</v>
      </c>
      <c r="H80" s="89"/>
      <c r="N80" s="201" t="s">
        <v>14</v>
      </c>
      <c r="O80" s="89">
        <v>71.8</v>
      </c>
    </row>
    <row r="81" spans="1:15">
      <c r="A81" s="55" t="str">
        <f>'ERPs by country'!A87</f>
        <v>Kyrgyzstan</v>
      </c>
      <c r="B81" s="163" t="e">
        <f t="shared" si="3"/>
        <v>#N/A</v>
      </c>
      <c r="C81" s="116">
        <f>'ERPs by country'!E87</f>
        <v>0.13316053145045842</v>
      </c>
      <c r="D81" s="27">
        <f>'ERPs by country'!D87</f>
        <v>6.4581924840476007E-2</v>
      </c>
      <c r="E81" s="27">
        <f t="shared" si="2"/>
        <v>0.13316053145045842</v>
      </c>
      <c r="F81" s="71">
        <f>'Country Tax Rates'!C81</f>
        <v>0.1</v>
      </c>
      <c r="G81" s="71">
        <f>E81-'ERPs by country'!$E$3</f>
        <v>8.086053145045842E-2</v>
      </c>
      <c r="H81" s="89"/>
      <c r="N81" s="201" t="s">
        <v>326</v>
      </c>
      <c r="O81" s="89">
        <v>60</v>
      </c>
    </row>
    <row r="82" spans="1:15">
      <c r="A82" s="55" t="str">
        <f>'ERPs by country'!A89</f>
        <v>Latvia</v>
      </c>
      <c r="B82" s="163">
        <f t="shared" si="3"/>
        <v>69</v>
      </c>
      <c r="C82" s="116">
        <f>'ERPs by country'!E89</f>
        <v>6.9930247021165515E-2</v>
      </c>
      <c r="D82" s="27">
        <f>'ERPs by country'!D89</f>
        <v>1.4080977055382476E-2</v>
      </c>
      <c r="E82" s="27">
        <f t="shared" si="2"/>
        <v>6.9930247021165515E-2</v>
      </c>
      <c r="F82" s="71">
        <f>'Country Tax Rates'!C83</f>
        <v>0.2</v>
      </c>
      <c r="G82" s="71">
        <f>E82-'ERPs by country'!$E$3</f>
        <v>1.7630247021165515E-2</v>
      </c>
      <c r="H82" s="89"/>
      <c r="N82" s="201" t="s">
        <v>186</v>
      </c>
      <c r="O82" s="89">
        <v>73.8</v>
      </c>
    </row>
    <row r="83" spans="1:15">
      <c r="A83" s="55" t="str">
        <f>'ERPs by country'!A90</f>
        <v>Lebanon</v>
      </c>
      <c r="B83" s="163">
        <f t="shared" si="3"/>
        <v>51.3</v>
      </c>
      <c r="C83" s="116">
        <f>'ERPs by country'!E90</f>
        <v>0.22860247021165525</v>
      </c>
      <c r="D83" s="27">
        <f>'ERPs by country'!D90</f>
        <v>0.14080977055382476</v>
      </c>
      <c r="E83" s="27">
        <f t="shared" si="2"/>
        <v>0.22860247021165525</v>
      </c>
      <c r="F83" s="71">
        <f>'Country Tax Rates'!C84</f>
        <v>0.17</v>
      </c>
      <c r="G83" s="71">
        <f>E83-'ERPs by country'!$E$3</f>
        <v>0.17630247021165524</v>
      </c>
      <c r="H83" s="89"/>
      <c r="N83" s="201" t="s">
        <v>16</v>
      </c>
      <c r="O83" s="89">
        <v>63.3</v>
      </c>
    </row>
    <row r="84" spans="1:15">
      <c r="A84" s="55" t="str">
        <f>'ERPs by country'!A91</f>
        <v>Liechtenstein</v>
      </c>
      <c r="B84" s="163" t="e">
        <f t="shared" si="3"/>
        <v>#N/A</v>
      </c>
      <c r="C84" s="116">
        <f>'ERPs by country'!E91</f>
        <v>5.2299999999999999E-2</v>
      </c>
      <c r="D84" s="27">
        <f>'ERPs by country'!D91</f>
        <v>0</v>
      </c>
      <c r="E84" s="27">
        <f t="shared" si="2"/>
        <v>5.2299999999999999E-2</v>
      </c>
      <c r="F84" s="71">
        <f>'Country Tax Rates'!C85</f>
        <v>0.125</v>
      </c>
      <c r="G84" s="71">
        <f>E84-'ERPs by country'!$E$3</f>
        <v>0</v>
      </c>
      <c r="H84" s="89"/>
      <c r="N84" s="201" t="s">
        <v>17</v>
      </c>
      <c r="O84" s="89">
        <v>63.5</v>
      </c>
    </row>
    <row r="85" spans="1:15">
      <c r="A85" s="55" t="str">
        <f>'ERPs by country'!A92</f>
        <v>Lithuania</v>
      </c>
      <c r="B85" s="163">
        <f t="shared" si="3"/>
        <v>69.8</v>
      </c>
      <c r="C85" s="116">
        <f>'ERPs by country'!E92</f>
        <v>6.9930247021165515E-2</v>
      </c>
      <c r="D85" s="27">
        <f>'ERPs by country'!D92</f>
        <v>1.4080977055382476E-2</v>
      </c>
      <c r="E85" s="27">
        <f t="shared" si="2"/>
        <v>6.9930247021165515E-2</v>
      </c>
      <c r="F85" s="71">
        <f>'Country Tax Rates'!C86</f>
        <v>0.15</v>
      </c>
      <c r="G85" s="71">
        <f>E85-'ERPs by country'!$E$3</f>
        <v>1.7630247021165515E-2</v>
      </c>
      <c r="H85" s="89"/>
      <c r="N85" s="201" t="s">
        <v>63</v>
      </c>
      <c r="O85" s="89">
        <v>59.5</v>
      </c>
    </row>
    <row r="86" spans="1:15">
      <c r="A86" s="55" t="str">
        <f>'ERPs by country'!A93</f>
        <v>Luxembourg</v>
      </c>
      <c r="B86" s="163">
        <f t="shared" si="3"/>
        <v>82.5</v>
      </c>
      <c r="C86" s="116">
        <f>'ERPs by country'!E93</f>
        <v>5.2299999999999999E-2</v>
      </c>
      <c r="D86" s="27">
        <f>'ERPs by country'!D93</f>
        <v>0</v>
      </c>
      <c r="E86" s="27">
        <f t="shared" si="2"/>
        <v>5.2299999999999999E-2</v>
      </c>
      <c r="F86" s="71">
        <f>'Country Tax Rates'!C87</f>
        <v>0.2601</v>
      </c>
      <c r="G86" s="71">
        <f>E86-'ERPs by country'!$E$3</f>
        <v>0</v>
      </c>
      <c r="H86" s="89"/>
      <c r="N86" s="201" t="s">
        <v>18</v>
      </c>
      <c r="O86" s="89">
        <v>64</v>
      </c>
    </row>
    <row r="87" spans="1:15">
      <c r="A87" s="55" t="str">
        <f>'ERPs by country'!A94</f>
        <v>Macao</v>
      </c>
      <c r="B87" s="163" t="e">
        <f t="shared" si="3"/>
        <v>#N/A</v>
      </c>
      <c r="C87" s="116">
        <f>'ERPs by country'!E94</f>
        <v>6.1181402634722479E-2</v>
      </c>
      <c r="D87" s="27">
        <f>'ERPs by country'!D94</f>
        <v>7.0934245316588403E-3</v>
      </c>
      <c r="E87" s="27">
        <f t="shared" si="2"/>
        <v>6.1181402634722479E-2</v>
      </c>
      <c r="F87" s="71">
        <f>'Country Tax Rates'!C88</f>
        <v>0.12</v>
      </c>
      <c r="G87" s="71">
        <f>E87-'ERPs by country'!$E$3</f>
        <v>8.8814026347224795E-3</v>
      </c>
      <c r="H87" s="89"/>
      <c r="N87" s="201" t="s">
        <v>226</v>
      </c>
      <c r="O87" s="89">
        <v>50.5</v>
      </c>
    </row>
    <row r="88" spans="1:15">
      <c r="A88" s="55" t="str">
        <f>'ERPs by country'!A95</f>
        <v>Macedonia</v>
      </c>
      <c r="B88" s="163" t="e">
        <f t="shared" si="3"/>
        <v>#N/A</v>
      </c>
      <c r="C88" s="116">
        <f>'ERPs by country'!E95</f>
        <v>0.10519074106349657</v>
      </c>
      <c r="D88" s="27">
        <f>'ERPs by country'!D95</f>
        <v>4.2242931166147427E-2</v>
      </c>
      <c r="E88" s="27">
        <f t="shared" si="2"/>
        <v>0.10519074106349657</v>
      </c>
      <c r="F88" s="71">
        <f>'Country Tax Rates'!C89</f>
        <v>0.1</v>
      </c>
      <c r="G88" s="71">
        <f>E88-'ERPs by country'!$E$3</f>
        <v>5.2890741063496574E-2</v>
      </c>
      <c r="H88" s="89"/>
      <c r="N88" s="201" t="s">
        <v>336</v>
      </c>
      <c r="O88" s="89">
        <v>62.8</v>
      </c>
    </row>
    <row r="89" spans="1:15">
      <c r="A89" s="55" t="str">
        <f>'ERPs by country'!A96</f>
        <v>Malaysia</v>
      </c>
      <c r="B89" s="163">
        <f t="shared" si="3"/>
        <v>71.8</v>
      </c>
      <c r="C89" s="116">
        <f>'ERPs by country'!E96</f>
        <v>6.9930247021165515E-2</v>
      </c>
      <c r="D89" s="27">
        <f>'ERPs by country'!D96</f>
        <v>1.4080977055382476E-2</v>
      </c>
      <c r="E89" s="27">
        <f t="shared" si="2"/>
        <v>6.9930247021165515E-2</v>
      </c>
      <c r="F89" s="71">
        <f>'Country Tax Rates'!C90</f>
        <v>0.24</v>
      </c>
      <c r="G89" s="71">
        <f>E89-'ERPs by country'!$E$3</f>
        <v>1.7630247021165515E-2</v>
      </c>
      <c r="H89" s="89"/>
      <c r="N89" s="201" t="s">
        <v>136</v>
      </c>
      <c r="O89" s="89">
        <v>68</v>
      </c>
    </row>
    <row r="90" spans="1:15">
      <c r="A90" s="55" t="str">
        <f>'ERPs by country'!A97</f>
        <v>Maldives</v>
      </c>
      <c r="B90" s="163" t="e">
        <f t="shared" si="3"/>
        <v>#N/A</v>
      </c>
      <c r="C90" s="116">
        <f>'ERPs by country'!E97</f>
        <v>0.14787449700947625</v>
      </c>
      <c r="D90" s="27">
        <f>'ERPs by country'!D97</f>
        <v>7.6333717721283945E-2</v>
      </c>
      <c r="E90" s="27">
        <f t="shared" si="2"/>
        <v>0.14787449700947625</v>
      </c>
      <c r="F90" s="71">
        <f>'Country Tax Rates'!C91</f>
        <v>0.3019</v>
      </c>
      <c r="G90" s="71">
        <f>E90-'ERPs by country'!$E$3</f>
        <v>9.5574497009476247E-2</v>
      </c>
      <c r="H90" s="89"/>
      <c r="N90" s="201" t="s">
        <v>187</v>
      </c>
      <c r="O90" s="89">
        <v>76.5</v>
      </c>
    </row>
    <row r="91" spans="1:15">
      <c r="A91" s="55" t="str">
        <f>'ERPs by country'!A98</f>
        <v>Mali</v>
      </c>
      <c r="B91" s="163">
        <f t="shared" si="3"/>
        <v>60</v>
      </c>
      <c r="C91" s="116">
        <f>'ERPs by country'!E98</f>
        <v>0.14787449700947625</v>
      </c>
      <c r="D91" s="27">
        <f>'ERPs by country'!D98</f>
        <v>7.6333717721283945E-2</v>
      </c>
      <c r="E91" s="27">
        <f t="shared" si="2"/>
        <v>0.14787449700947625</v>
      </c>
      <c r="F91" s="71">
        <f>'Country Tax Rates'!C92</f>
        <v>0.28239999999999998</v>
      </c>
      <c r="G91" s="71">
        <f>E91-'ERPs by country'!$E$3</f>
        <v>9.5574497009476247E-2</v>
      </c>
      <c r="H91" s="89"/>
      <c r="N91" s="201" t="s">
        <v>21</v>
      </c>
      <c r="O91" s="89">
        <v>79.5</v>
      </c>
    </row>
    <row r="92" spans="1:15">
      <c r="A92" s="55" t="str">
        <f>'ERPs by country'!A99</f>
        <v>Malta</v>
      </c>
      <c r="B92" s="163">
        <f t="shared" si="3"/>
        <v>73.8</v>
      </c>
      <c r="C92" s="116">
        <f>'ERPs by country'!E99</f>
        <v>6.4760475338267356E-2</v>
      </c>
      <c r="D92" s="27">
        <f>'ERPs by country'!D99</f>
        <v>9.9519687459094178E-3</v>
      </c>
      <c r="E92" s="27">
        <f t="shared" si="2"/>
        <v>6.4760475338267356E-2</v>
      </c>
      <c r="F92" s="71">
        <f>'Country Tax Rates'!C93</f>
        <v>0.35</v>
      </c>
      <c r="G92" s="71">
        <f>E92-'ERPs by country'!$E$3</f>
        <v>1.2460475338267357E-2</v>
      </c>
      <c r="H92" s="89"/>
      <c r="N92" s="201" t="s">
        <v>22</v>
      </c>
      <c r="O92" s="89">
        <v>60.8</v>
      </c>
    </row>
    <row r="93" spans="1:15">
      <c r="A93" s="55" t="str">
        <f>'ERPs by country'!A100</f>
        <v>Mauritius</v>
      </c>
      <c r="B93" s="163" t="e">
        <f t="shared" si="3"/>
        <v>#N/A</v>
      </c>
      <c r="C93" s="116">
        <f>'ERPs by country'!E100</f>
        <v>7.5762809945460891E-2</v>
      </c>
      <c r="D93" s="27">
        <f>'ERPs by country'!D100</f>
        <v>1.8739345404531565E-2</v>
      </c>
      <c r="E93" s="27">
        <f t="shared" si="2"/>
        <v>7.5762809945460891E-2</v>
      </c>
      <c r="F93" s="71">
        <f>'Country Tax Rates'!C94</f>
        <v>0.15</v>
      </c>
      <c r="G93" s="71">
        <f>E93-'ERPs by country'!$E$3</f>
        <v>2.3462809945460891E-2</v>
      </c>
      <c r="H93" s="89"/>
      <c r="N93" s="201" t="s">
        <v>322</v>
      </c>
      <c r="O93" s="89">
        <v>53.8</v>
      </c>
    </row>
    <row r="94" spans="1:15">
      <c r="A94" s="55" t="str">
        <f>'ERPs by country'!A101</f>
        <v>Mexico</v>
      </c>
      <c r="B94" s="163">
        <f t="shared" si="3"/>
        <v>63.3</v>
      </c>
      <c r="C94" s="116">
        <f>'ERPs by country'!E101</f>
        <v>7.5762809945460891E-2</v>
      </c>
      <c r="D94" s="27">
        <f>'ERPs by country'!D101</f>
        <v>1.8739345404531565E-2</v>
      </c>
      <c r="E94" s="27">
        <f t="shared" si="2"/>
        <v>7.5762809945460891E-2</v>
      </c>
      <c r="F94" s="71">
        <f>'Country Tax Rates'!C95</f>
        <v>0.3</v>
      </c>
      <c r="G94" s="71">
        <f>E94-'ERPs by country'!$E$3</f>
        <v>2.3462809945460891E-2</v>
      </c>
      <c r="H94" s="89"/>
      <c r="N94" s="201" t="s">
        <v>188</v>
      </c>
      <c r="O94" s="89">
        <v>57</v>
      </c>
    </row>
    <row r="95" spans="1:15">
      <c r="A95" s="55" t="str">
        <f>'ERPs by country'!A102</f>
        <v>Moldova</v>
      </c>
      <c r="B95" s="163">
        <f t="shared" si="3"/>
        <v>63.5</v>
      </c>
      <c r="C95" s="116">
        <f>'ERPs by country'!E102</f>
        <v>0.14787449700947625</v>
      </c>
      <c r="D95" s="27">
        <f>'ERPs by country'!D102</f>
        <v>7.6333717721283945E-2</v>
      </c>
      <c r="E95" s="27">
        <f t="shared" si="2"/>
        <v>0.14787449700947625</v>
      </c>
      <c r="F95" s="71">
        <f>'Country Tax Rates'!C96</f>
        <v>0.12</v>
      </c>
      <c r="G95" s="71">
        <f>E95-'ERPs by country'!$E$3</f>
        <v>9.5574497009476247E-2</v>
      </c>
      <c r="H95" s="89"/>
      <c r="N95" s="201" t="s">
        <v>23</v>
      </c>
      <c r="O95" s="89">
        <v>79.5</v>
      </c>
    </row>
    <row r="96" spans="1:15">
      <c r="A96" s="55" t="str">
        <f>'ERPs by country'!A103</f>
        <v>Mongolia</v>
      </c>
      <c r="B96" s="163">
        <f t="shared" si="3"/>
        <v>59.5</v>
      </c>
      <c r="C96" s="116">
        <f>'ERPs by country'!E103</f>
        <v>0.14787449700947625</v>
      </c>
      <c r="D96" s="27">
        <f>'ERPs by country'!D103</f>
        <v>7.6333717721283945E-2</v>
      </c>
      <c r="E96" s="27">
        <f t="shared" si="2"/>
        <v>0.14787449700947625</v>
      </c>
      <c r="F96" s="71">
        <f>'Country Tax Rates'!C97</f>
        <v>0.25</v>
      </c>
      <c r="G96" s="71">
        <f>E96-'ERPs by country'!$E$3</f>
        <v>9.5574497009476247E-2</v>
      </c>
      <c r="H96" s="89"/>
      <c r="N96" s="201" t="s">
        <v>24</v>
      </c>
      <c r="O96" s="89">
        <v>65.5</v>
      </c>
    </row>
    <row r="97" spans="1:15">
      <c r="A97" s="55" t="str">
        <f>'ERPs by country'!A104</f>
        <v>Montenegro</v>
      </c>
      <c r="B97" s="163" t="e">
        <f t="shared" si="3"/>
        <v>#N/A</v>
      </c>
      <c r="C97" s="116">
        <f>'ERPs by country'!E104</f>
        <v>0.11844656589144056</v>
      </c>
      <c r="D97" s="27">
        <f>'ERPs by country'!D104</f>
        <v>5.2830131959668084E-2</v>
      </c>
      <c r="E97" s="27">
        <f t="shared" si="2"/>
        <v>0.11844656589144056</v>
      </c>
      <c r="F97" s="71">
        <f>'Country Tax Rates'!C98</f>
        <v>0.09</v>
      </c>
      <c r="G97" s="71">
        <f>E97-'ERPs by country'!$E$3</f>
        <v>6.6146565891440565E-2</v>
      </c>
      <c r="H97" s="89"/>
      <c r="N97" s="201" t="s">
        <v>25</v>
      </c>
      <c r="O97" s="89">
        <v>55</v>
      </c>
    </row>
    <row r="98" spans="1:15">
      <c r="A98" s="55" t="str">
        <f>'ERPs by country'!A105</f>
        <v>Montserrat</v>
      </c>
      <c r="B98" s="163" t="e">
        <f t="shared" si="3"/>
        <v>#N/A</v>
      </c>
      <c r="C98" s="116">
        <f>'ERPs by country'!E105</f>
        <v>8.464421258018337E-2</v>
      </c>
      <c r="D98" s="27">
        <f>'ERPs by country'!D105</f>
        <v>2.5832769936190408E-2</v>
      </c>
      <c r="E98" s="27">
        <f t="shared" si="2"/>
        <v>8.464421258018337E-2</v>
      </c>
      <c r="F98" s="71">
        <f>'Country Tax Rates'!C99</f>
        <v>0.27239999999999998</v>
      </c>
      <c r="G98" s="71">
        <f>E98-'ERPs by country'!$E$3</f>
        <v>3.2344212580183371E-2</v>
      </c>
      <c r="H98" s="89"/>
      <c r="N98" s="201" t="s">
        <v>26</v>
      </c>
      <c r="O98" s="89">
        <v>70</v>
      </c>
    </row>
    <row r="99" spans="1:15">
      <c r="A99" s="55" t="str">
        <f>'ERPs by country'!A106</f>
        <v>Morocco</v>
      </c>
      <c r="B99" s="163">
        <f t="shared" si="3"/>
        <v>64</v>
      </c>
      <c r="C99" s="116">
        <f>'ERPs by country'!E106</f>
        <v>8.9018634773404881E-2</v>
      </c>
      <c r="D99" s="27">
        <f>'ERPs by country'!D106</f>
        <v>2.9326546198052226E-2</v>
      </c>
      <c r="E99" s="27">
        <f t="shared" si="2"/>
        <v>8.9018634773404881E-2</v>
      </c>
      <c r="F99" s="71">
        <f>'Country Tax Rates'!C100</f>
        <v>0.31</v>
      </c>
      <c r="G99" s="71">
        <f>E99-'ERPs by country'!$E$3</f>
        <v>3.6718634773404882E-2</v>
      </c>
      <c r="H99" s="89"/>
      <c r="N99" s="201" t="s">
        <v>9</v>
      </c>
      <c r="O99" s="89">
        <v>63.3</v>
      </c>
    </row>
    <row r="100" spans="1:15">
      <c r="A100" s="55" t="str">
        <f>'ERPs by country'!A107</f>
        <v>Mozambique</v>
      </c>
      <c r="B100" s="163">
        <f t="shared" si="3"/>
        <v>50.5</v>
      </c>
      <c r="C100" s="116">
        <f>'ERPs by country'!E107</f>
        <v>0.18459313178288111</v>
      </c>
      <c r="D100" s="27">
        <f>'ERPs by country'!D107</f>
        <v>0.10566026391933617</v>
      </c>
      <c r="E100" s="27">
        <f t="shared" si="2"/>
        <v>0.18459313178288111</v>
      </c>
      <c r="F100" s="71">
        <f>'Country Tax Rates'!C101</f>
        <v>0.32</v>
      </c>
      <c r="G100" s="71">
        <f>E100-'ERPs by country'!$E$3</f>
        <v>0.1322931317828811</v>
      </c>
      <c r="H100" s="89"/>
      <c r="N100" s="201" t="s">
        <v>27</v>
      </c>
      <c r="O100" s="89">
        <v>64</v>
      </c>
    </row>
    <row r="101" spans="1:15">
      <c r="A101" s="55" t="str">
        <f>'ERPs by country'!A108</f>
        <v>Namibia</v>
      </c>
      <c r="B101" s="163">
        <f t="shared" si="3"/>
        <v>68</v>
      </c>
      <c r="C101" s="116">
        <f>'ERPs by country'!E108</f>
        <v>9.6441896677053524E-2</v>
      </c>
      <c r="D101" s="27">
        <f>'ERPs by country'!D108</f>
        <v>3.5255378642423785E-2</v>
      </c>
      <c r="E101" s="27">
        <f t="shared" si="2"/>
        <v>9.6441896677053524E-2</v>
      </c>
      <c r="F101" s="71">
        <f>'Country Tax Rates'!C102</f>
        <v>0.32</v>
      </c>
      <c r="G101" s="71">
        <f>E101-'ERPs by country'!$E$3</f>
        <v>4.4141896677053524E-2</v>
      </c>
      <c r="H101" s="89"/>
      <c r="N101" s="201" t="s">
        <v>28</v>
      </c>
      <c r="O101" s="89">
        <v>70.5</v>
      </c>
    </row>
    <row r="102" spans="1:15">
      <c r="A102" s="55" t="str">
        <f>'ERPs by country'!A109</f>
        <v>Netherlands</v>
      </c>
      <c r="B102" s="163">
        <f t="shared" si="3"/>
        <v>76.5</v>
      </c>
      <c r="C102" s="116">
        <f>'ERPs by country'!E109</f>
        <v>5.2299999999999999E-2</v>
      </c>
      <c r="D102" s="27">
        <f>'ERPs by country'!D109</f>
        <v>0</v>
      </c>
      <c r="E102" s="27">
        <f t="shared" si="2"/>
        <v>5.2299999999999999E-2</v>
      </c>
      <c r="F102" s="71">
        <f>'Country Tax Rates'!C103</f>
        <v>0.25</v>
      </c>
      <c r="G102" s="71">
        <f>E102-'ERPs by country'!$E$3</f>
        <v>0</v>
      </c>
      <c r="H102" s="89"/>
      <c r="N102" s="201" t="s">
        <v>29</v>
      </c>
      <c r="O102" s="89">
        <v>72.8</v>
      </c>
    </row>
    <row r="103" spans="1:15">
      <c r="A103" s="55" t="str">
        <f>'ERPs by country'!A110</f>
        <v>New Zealand</v>
      </c>
      <c r="B103" s="163">
        <f t="shared" si="3"/>
        <v>79.5</v>
      </c>
      <c r="C103" s="116">
        <f>'ERPs by country'!E110</f>
        <v>5.2299999999999999E-2</v>
      </c>
      <c r="D103" s="27">
        <f>'ERPs by country'!D110</f>
        <v>0</v>
      </c>
      <c r="E103" s="27">
        <f t="shared" si="2"/>
        <v>5.2299999999999999E-2</v>
      </c>
      <c r="F103" s="71">
        <f>'Country Tax Rates'!C104</f>
        <v>0.28000000000000003</v>
      </c>
      <c r="G103" s="71">
        <f>E103-'ERPs by country'!$E$3</f>
        <v>0</v>
      </c>
      <c r="H103" s="89"/>
      <c r="N103" s="201" t="s">
        <v>30</v>
      </c>
      <c r="O103" s="89">
        <v>73</v>
      </c>
    </row>
    <row r="104" spans="1:15">
      <c r="A104" s="55" t="str">
        <f>'ERPs by country'!A111</f>
        <v>Nicaragua</v>
      </c>
      <c r="B104" s="163">
        <f t="shared" si="3"/>
        <v>60.8</v>
      </c>
      <c r="C104" s="116">
        <f>'ERPs by country'!E111</f>
        <v>0.14787449700947625</v>
      </c>
      <c r="D104" s="27">
        <f>'ERPs by country'!D111</f>
        <v>7.6333717721283945E-2</v>
      </c>
      <c r="E104" s="27">
        <f t="shared" si="2"/>
        <v>0.14787449700947625</v>
      </c>
      <c r="F104" s="71">
        <f>'Country Tax Rates'!C105</f>
        <v>0.3</v>
      </c>
      <c r="G104" s="71">
        <f>E104-'ERPs by country'!$E$3</f>
        <v>9.5574497009476247E-2</v>
      </c>
      <c r="H104" s="89"/>
      <c r="N104" s="201" t="s">
        <v>189</v>
      </c>
      <c r="O104" s="89">
        <v>73.3</v>
      </c>
    </row>
    <row r="105" spans="1:15">
      <c r="A105" s="55" t="str">
        <f>'ERPs by country'!A112</f>
        <v>Niger</v>
      </c>
      <c r="B105" s="163">
        <f t="shared" si="3"/>
        <v>53.8</v>
      </c>
      <c r="C105" s="116">
        <f>'ERPs by country'!E112</f>
        <v>0.14787449700947625</v>
      </c>
      <c r="D105" s="27">
        <f>'ERPs by country'!D112</f>
        <v>7.6333717721283945E-2</v>
      </c>
      <c r="E105" s="27">
        <f t="shared" ref="E105" si="4">C105</f>
        <v>0.14787449700947625</v>
      </c>
      <c r="F105" s="71">
        <f>'Country Tax Rates'!C106</f>
        <v>0.3236</v>
      </c>
      <c r="G105" s="71">
        <f>E105-'ERPs by country'!$E$3</f>
        <v>9.5574497009476247E-2</v>
      </c>
      <c r="H105" s="89"/>
      <c r="N105" s="201" t="s">
        <v>74</v>
      </c>
      <c r="O105" s="89">
        <v>70.8</v>
      </c>
    </row>
    <row r="106" spans="1:15">
      <c r="A106" s="55" t="str">
        <f>'ERPs by country'!A113</f>
        <v>Nigeria</v>
      </c>
      <c r="B106" s="163">
        <f t="shared" si="3"/>
        <v>57</v>
      </c>
      <c r="C106" s="116">
        <f>'ERPs by country'!E113</f>
        <v>0.13316053145045842</v>
      </c>
      <c r="D106" s="27">
        <f>'ERPs by country'!D113</f>
        <v>6.4581924840476007E-2</v>
      </c>
      <c r="E106" s="27">
        <f t="shared" si="2"/>
        <v>0.13316053145045842</v>
      </c>
      <c r="F106" s="71">
        <f>'Country Tax Rates'!C107</f>
        <v>0.3</v>
      </c>
      <c r="G106" s="71">
        <f>E106-'ERPs by country'!$E$3</f>
        <v>8.086053145045842E-2</v>
      </c>
      <c r="H106" s="89"/>
      <c r="N106" s="201" t="s">
        <v>0</v>
      </c>
      <c r="O106" s="89">
        <v>67.3</v>
      </c>
    </row>
    <row r="107" spans="1:15">
      <c r="A107" s="55" t="str">
        <f>'ERPs by country'!A114</f>
        <v>Norway</v>
      </c>
      <c r="B107" s="163">
        <f t="shared" si="3"/>
        <v>79.5</v>
      </c>
      <c r="C107" s="116">
        <f>'ERPs by country'!E114</f>
        <v>5.2299999999999999E-2</v>
      </c>
      <c r="D107" s="27">
        <f>'ERPs by country'!D114</f>
        <v>0</v>
      </c>
      <c r="E107" s="27">
        <f t="shared" si="2"/>
        <v>5.2299999999999999E-2</v>
      </c>
      <c r="F107" s="71">
        <f>'Country Tax Rates'!C108</f>
        <v>0.22</v>
      </c>
      <c r="G107" s="71">
        <f>E107-'ERPs by country'!$E$3</f>
        <v>0</v>
      </c>
      <c r="H107" s="89"/>
      <c r="N107" s="201" t="s">
        <v>1</v>
      </c>
      <c r="O107" s="89">
        <v>65.8</v>
      </c>
    </row>
    <row r="108" spans="1:15">
      <c r="A108" s="55" t="str">
        <f>'ERPs by country'!A115</f>
        <v>Oman</v>
      </c>
      <c r="B108" s="163">
        <f t="shared" si="3"/>
        <v>65.5</v>
      </c>
      <c r="C108" s="116">
        <f>'ERPs by country'!E115</f>
        <v>0.10519074106349657</v>
      </c>
      <c r="D108" s="27">
        <f>'ERPs by country'!D115</f>
        <v>4.2242931166147427E-2</v>
      </c>
      <c r="E108" s="27">
        <f t="shared" si="2"/>
        <v>0.10519074106349657</v>
      </c>
      <c r="F108" s="71">
        <f>'Country Tax Rates'!C109</f>
        <v>0.15</v>
      </c>
      <c r="G108" s="71">
        <f>E108-'ERPs by country'!$E$3</f>
        <v>5.2890741063496574E-2</v>
      </c>
      <c r="H108" s="89"/>
      <c r="N108" s="201" t="s">
        <v>2</v>
      </c>
      <c r="O108" s="89">
        <v>69.3</v>
      </c>
    </row>
    <row r="109" spans="1:15">
      <c r="A109" s="55" t="str">
        <f>'ERPs by country'!A116</f>
        <v>Pakistan</v>
      </c>
      <c r="B109" s="163">
        <f t="shared" si="3"/>
        <v>55</v>
      </c>
      <c r="C109" s="116">
        <f>'ERPs by country'!E116</f>
        <v>0.14787449700947625</v>
      </c>
      <c r="D109" s="27">
        <f>'ERPs by country'!D116</f>
        <v>7.6333717721283945E-2</v>
      </c>
      <c r="E109" s="27">
        <f t="shared" si="2"/>
        <v>0.14787449700947625</v>
      </c>
      <c r="F109" s="71">
        <f>'Country Tax Rates'!C110</f>
        <v>0.3</v>
      </c>
      <c r="G109" s="71">
        <f>E109-'ERPs by country'!$E$3</f>
        <v>9.5574497009476247E-2</v>
      </c>
      <c r="H109" s="89"/>
      <c r="N109" s="201" t="s">
        <v>135</v>
      </c>
      <c r="O109" s="89">
        <v>62</v>
      </c>
    </row>
    <row r="110" spans="1:15">
      <c r="A110" s="55" t="str">
        <f>'ERPs by country'!A117</f>
        <v>Panama</v>
      </c>
      <c r="B110" s="163">
        <f t="shared" si="3"/>
        <v>70</v>
      </c>
      <c r="C110" s="116">
        <f>'ERPs by country'!E117</f>
        <v>7.5762809945460891E-2</v>
      </c>
      <c r="D110" s="27">
        <f>'ERPs by country'!D117</f>
        <v>1.8739345404531565E-2</v>
      </c>
      <c r="E110" s="27">
        <f t="shared" si="2"/>
        <v>7.5762809945460891E-2</v>
      </c>
      <c r="F110" s="71">
        <f>'Country Tax Rates'!C111</f>
        <v>0.25</v>
      </c>
      <c r="G110" s="71">
        <f>E110-'ERPs by country'!$E$3</f>
        <v>2.3462809945460891E-2</v>
      </c>
      <c r="H110" s="89"/>
      <c r="N110" s="201" t="s">
        <v>571</v>
      </c>
      <c r="O110" s="89">
        <v>65.5</v>
      </c>
    </row>
    <row r="111" spans="1:15">
      <c r="A111" s="55" t="str">
        <f>'ERPs by country'!A118</f>
        <v>Papua New Guinea</v>
      </c>
      <c r="B111" s="163">
        <f t="shared" si="3"/>
        <v>63.3</v>
      </c>
      <c r="C111" s="116">
        <f>'ERPs by country'!E118</f>
        <v>0.13316053145045842</v>
      </c>
      <c r="D111" s="27">
        <f>'ERPs by country'!D118</f>
        <v>6.4581924840476007E-2</v>
      </c>
      <c r="E111" s="27">
        <f t="shared" si="2"/>
        <v>0.13316053145045842</v>
      </c>
      <c r="F111" s="71">
        <f>'Country Tax Rates'!C112</f>
        <v>0.3</v>
      </c>
      <c r="G111" s="71">
        <f>E111-'ERPs by country'!$E$3</f>
        <v>8.086053145045842E-2</v>
      </c>
      <c r="H111" s="89"/>
      <c r="N111" s="201" t="s">
        <v>330</v>
      </c>
      <c r="O111" s="89">
        <v>59</v>
      </c>
    </row>
    <row r="112" spans="1:15">
      <c r="A112" s="55" t="str">
        <f>'ERPs by country'!A119</f>
        <v>Paraguay</v>
      </c>
      <c r="B112" s="163">
        <f t="shared" si="3"/>
        <v>64</v>
      </c>
      <c r="C112" s="116">
        <f>'ERPs by country'!E119</f>
        <v>8.9018634773404881E-2</v>
      </c>
      <c r="D112" s="27">
        <f>'ERPs by country'!D119</f>
        <v>2.9326546198052226E-2</v>
      </c>
      <c r="E112" s="27">
        <f t="shared" si="2"/>
        <v>8.9018634773404881E-2</v>
      </c>
      <c r="F112" s="71">
        <f>'Country Tax Rates'!C113</f>
        <v>0.1</v>
      </c>
      <c r="G112" s="71">
        <f>E112-'ERPs by country'!$E$3</f>
        <v>3.6718634773404882E-2</v>
      </c>
      <c r="H112" s="89"/>
      <c r="N112" s="201" t="s">
        <v>3</v>
      </c>
      <c r="O112" s="89">
        <v>81.5</v>
      </c>
    </row>
    <row r="113" spans="1:15">
      <c r="A113" s="55" t="str">
        <f>'ERPs by country'!A120</f>
        <v>Peru</v>
      </c>
      <c r="B113" s="163">
        <f t="shared" si="3"/>
        <v>70.5</v>
      </c>
      <c r="C113" s="116">
        <f>'ERPs by country'!E120</f>
        <v>6.9930247021165515E-2</v>
      </c>
      <c r="D113" s="27">
        <f>'ERPs by country'!D120</f>
        <v>1.4080977055382476E-2</v>
      </c>
      <c r="E113" s="27">
        <f t="shared" si="2"/>
        <v>6.9930247021165515E-2</v>
      </c>
      <c r="F113" s="71">
        <f>'Country Tax Rates'!C114</f>
        <v>0.29499999999999998</v>
      </c>
      <c r="G113" s="71">
        <f>E113-'ERPs by country'!$E$3</f>
        <v>1.7630247021165515E-2</v>
      </c>
      <c r="H113" s="89"/>
      <c r="N113" s="201" t="s">
        <v>61</v>
      </c>
      <c r="O113" s="89">
        <v>69</v>
      </c>
    </row>
    <row r="114" spans="1:15">
      <c r="A114" s="55" t="str">
        <f>'ERPs by country'!A121</f>
        <v>Philippines</v>
      </c>
      <c r="B114" s="163">
        <f t="shared" si="3"/>
        <v>72.8</v>
      </c>
      <c r="C114" s="116">
        <f>'ERPs by country'!E121</f>
        <v>8.0269790386961845E-2</v>
      </c>
      <c r="D114" s="27">
        <f>'ERPs by country'!D121</f>
        <v>2.2338993674328587E-2</v>
      </c>
      <c r="E114" s="27">
        <f t="shared" si="2"/>
        <v>8.0269790386961845E-2</v>
      </c>
      <c r="F114" s="71">
        <f>'Country Tax Rates'!C115</f>
        <v>0.3</v>
      </c>
      <c r="G114" s="71">
        <f>E114-'ERPs by country'!$E$3</f>
        <v>2.7969790386961846E-2</v>
      </c>
      <c r="H114" s="89"/>
      <c r="N114" s="201" t="s">
        <v>190</v>
      </c>
      <c r="O114" s="89">
        <v>69.8</v>
      </c>
    </row>
    <row r="115" spans="1:15">
      <c r="A115" s="55" t="str">
        <f>'ERPs by country'!A122</f>
        <v>Poland</v>
      </c>
      <c r="B115" s="163">
        <f t="shared" si="3"/>
        <v>73</v>
      </c>
      <c r="C115" s="116">
        <f>'ERPs by country'!E122</f>
        <v>6.4760475338267356E-2</v>
      </c>
      <c r="D115" s="27">
        <f>'ERPs by country'!D122</f>
        <v>9.9519687459094178E-3</v>
      </c>
      <c r="E115" s="27">
        <f t="shared" si="2"/>
        <v>6.4760475338267356E-2</v>
      </c>
      <c r="F115" s="71">
        <f>'Country Tax Rates'!C116</f>
        <v>0.19</v>
      </c>
      <c r="G115" s="71">
        <f>E115-'ERPs by country'!$E$3</f>
        <v>1.2460475338267357E-2</v>
      </c>
      <c r="H115" s="89"/>
      <c r="N115" s="201" t="s">
        <v>316</v>
      </c>
      <c r="O115" s="89">
        <v>50.5</v>
      </c>
    </row>
    <row r="116" spans="1:15">
      <c r="A116" s="55" t="str">
        <f>'ERPs by country'!A123</f>
        <v>Portugal</v>
      </c>
      <c r="B116" s="163">
        <f t="shared" si="3"/>
        <v>73.3</v>
      </c>
      <c r="C116" s="116">
        <f>'ERPs by country'!E123</f>
        <v>8.464421258018337E-2</v>
      </c>
      <c r="D116" s="27">
        <f>'ERPs by country'!D123</f>
        <v>2.5832769936190408E-2</v>
      </c>
      <c r="E116" s="27">
        <f t="shared" si="2"/>
        <v>8.464421258018337E-2</v>
      </c>
      <c r="F116" s="71">
        <f>'Country Tax Rates'!C117</f>
        <v>0.21</v>
      </c>
      <c r="G116" s="71">
        <f>E116-'ERPs by country'!$E$3</f>
        <v>3.2344212580183371E-2</v>
      </c>
      <c r="H116" s="89"/>
      <c r="N116" s="201" t="s">
        <v>76</v>
      </c>
      <c r="O116" s="89">
        <v>63.5</v>
      </c>
    </row>
    <row r="117" spans="1:15">
      <c r="A117" s="55" t="str">
        <f>'ERPs by country'!A124</f>
        <v>Qatar</v>
      </c>
      <c r="B117" s="163">
        <f t="shared" si="3"/>
        <v>70.8</v>
      </c>
      <c r="C117" s="116">
        <f>'ERPs by country'!E124</f>
        <v>6.1181402634722479E-2</v>
      </c>
      <c r="D117" s="27">
        <f>'ERPs by country'!D124</f>
        <v>7.0934245316588403E-3</v>
      </c>
      <c r="E117" s="27">
        <f t="shared" si="2"/>
        <v>6.1181402634722479E-2</v>
      </c>
      <c r="F117" s="71">
        <f>'Country Tax Rates'!C118</f>
        <v>0.1</v>
      </c>
      <c r="G117" s="71">
        <f>E117-'ERPs by country'!$E$3</f>
        <v>8.8814026347224795E-3</v>
      </c>
      <c r="H117" s="89"/>
      <c r="N117" s="201" t="s">
        <v>138</v>
      </c>
      <c r="O117" s="89">
        <v>68.5</v>
      </c>
    </row>
    <row r="118" spans="1:15">
      <c r="A118" s="55" t="str">
        <f>'ERPs by country'!A125</f>
        <v>Ras Al Khaimah (Emirate of)</v>
      </c>
      <c r="B118" s="163" t="e">
        <f t="shared" si="3"/>
        <v>#N/A</v>
      </c>
      <c r="C118" s="116">
        <f>'ERPs by country'!E125</f>
        <v>6.4760475338267356E-2</v>
      </c>
      <c r="D118" s="27">
        <f>'ERPs by country'!D125</f>
        <v>9.9519687459094178E-3</v>
      </c>
      <c r="E118" s="27">
        <f t="shared" si="2"/>
        <v>6.4760475338267356E-2</v>
      </c>
      <c r="F118" s="71">
        <f>'Country Tax Rates'!C119</f>
        <v>0</v>
      </c>
      <c r="G118" s="71">
        <f>E118-'ERPs by country'!$E$3</f>
        <v>1.2460475338267357E-2</v>
      </c>
      <c r="H118" s="89"/>
      <c r="N118" s="201" t="s">
        <v>134</v>
      </c>
      <c r="O118" s="89">
        <v>59.5</v>
      </c>
    </row>
    <row r="119" spans="1:15">
      <c r="A119" s="55" t="str">
        <f>'ERPs by country'!A126</f>
        <v>Romania</v>
      </c>
      <c r="B119" s="163">
        <f t="shared" si="3"/>
        <v>67.3</v>
      </c>
      <c r="C119" s="116">
        <f>'ERPs by country'!E126</f>
        <v>8.464421258018337E-2</v>
      </c>
      <c r="D119" s="27">
        <f>'ERPs by country'!D126</f>
        <v>2.5832769936190408E-2</v>
      </c>
      <c r="E119" s="27">
        <f t="shared" si="2"/>
        <v>8.464421258018337E-2</v>
      </c>
      <c r="F119" s="71">
        <f>'Country Tax Rates'!C120</f>
        <v>0.16</v>
      </c>
      <c r="G119" s="71">
        <f>E119-'ERPs by country'!$E$3</f>
        <v>3.2344212580183371E-2</v>
      </c>
      <c r="H119" s="89"/>
      <c r="N119" s="201" t="s">
        <v>320</v>
      </c>
      <c r="O119" s="89">
        <v>36.299999999999997</v>
      </c>
    </row>
    <row r="120" spans="1:15">
      <c r="A120" s="55" t="str">
        <f>'ERPs by country'!A127</f>
        <v>Russia</v>
      </c>
      <c r="B120" s="163">
        <f t="shared" si="3"/>
        <v>65.8</v>
      </c>
      <c r="C120" s="116">
        <f>'ERPs by country'!E127</f>
        <v>8.464421258018337E-2</v>
      </c>
      <c r="D120" s="27">
        <f>'ERPs by country'!D127</f>
        <v>2.5832769936190408E-2</v>
      </c>
      <c r="E120" s="27">
        <f t="shared" si="2"/>
        <v>8.464421258018337E-2</v>
      </c>
      <c r="F120" s="71">
        <f>'Country Tax Rates'!C121</f>
        <v>0.2</v>
      </c>
      <c r="G120" s="71">
        <f>E120-'ERPs by country'!$E$3</f>
        <v>3.2344212580183371E-2</v>
      </c>
      <c r="H120" s="89"/>
      <c r="N120" s="201" t="s">
        <v>33</v>
      </c>
      <c r="O120" s="89">
        <v>58</v>
      </c>
    </row>
    <row r="121" spans="1:15">
      <c r="A121" s="55" t="str">
        <f>'ERPs by country'!A128</f>
        <v>Rwanda</v>
      </c>
      <c r="B121" s="163" t="e">
        <f t="shared" si="3"/>
        <v>#N/A</v>
      </c>
      <c r="C121" s="116">
        <f>'ERPs by country'!E128</f>
        <v>0.13316053145045842</v>
      </c>
      <c r="D121" s="27">
        <f>'ERPs by country'!D128</f>
        <v>6.4581924840476007E-2</v>
      </c>
      <c r="E121" s="27">
        <f t="shared" si="2"/>
        <v>0.13316053145045842</v>
      </c>
      <c r="F121" s="71">
        <f>'Country Tax Rates'!C122</f>
        <v>0.3</v>
      </c>
      <c r="G121" s="71">
        <f>E121-'ERPs by country'!$E$3</f>
        <v>8.086053145045842E-2</v>
      </c>
      <c r="H121" s="89"/>
      <c r="N121" s="201" t="s">
        <v>34</v>
      </c>
      <c r="O121" s="89">
        <v>80.3</v>
      </c>
    </row>
    <row r="122" spans="1:15">
      <c r="A122" s="55" t="str">
        <f>'ERPs by country'!A129</f>
        <v>Saudi Arabia</v>
      </c>
      <c r="B122" s="163">
        <f t="shared" si="3"/>
        <v>69.3</v>
      </c>
      <c r="C122" s="116">
        <f>'ERPs by country'!E129</f>
        <v>6.2639543365796316E-2</v>
      </c>
      <c r="D122" s="27">
        <f>'ERPs by country'!D129</f>
        <v>8.2580166189461131E-3</v>
      </c>
      <c r="E122" s="27">
        <f t="shared" si="2"/>
        <v>6.2639543365796316E-2</v>
      </c>
      <c r="F122" s="71">
        <f>'Country Tax Rates'!C123</f>
        <v>0.2</v>
      </c>
      <c r="G122" s="71">
        <f>E122-'ERPs by country'!$E$3</f>
        <v>1.0339543365796316E-2</v>
      </c>
      <c r="H122" s="89"/>
      <c r="N122" s="201" t="s">
        <v>35</v>
      </c>
      <c r="O122" s="89">
        <v>82.3</v>
      </c>
    </row>
    <row r="123" spans="1:15">
      <c r="A123" s="55" t="str">
        <f>'ERPs by country'!A130</f>
        <v>Senegal</v>
      </c>
      <c r="B123" s="163">
        <f t="shared" si="3"/>
        <v>62</v>
      </c>
      <c r="C123" s="116">
        <f>'ERPs by country'!E130</f>
        <v>0.10519074106349657</v>
      </c>
      <c r="D123" s="27">
        <f>'ERPs by country'!D130</f>
        <v>4.2242931166147427E-2</v>
      </c>
      <c r="E123" s="27">
        <f t="shared" si="2"/>
        <v>0.10519074106349657</v>
      </c>
      <c r="F123" s="71">
        <f>'Country Tax Rates'!C124</f>
        <v>0.3</v>
      </c>
      <c r="G123" s="71">
        <f>E123-'ERPs by country'!$E$3</f>
        <v>5.2890741063496574E-2</v>
      </c>
      <c r="H123" s="89"/>
      <c r="N123" s="201" t="s">
        <v>317</v>
      </c>
      <c r="O123" s="89">
        <v>53.8</v>
      </c>
    </row>
    <row r="124" spans="1:15">
      <c r="A124" s="55" t="str">
        <f>'ERPs by country'!A131</f>
        <v>Serbia</v>
      </c>
      <c r="B124" s="163" t="e">
        <f t="shared" si="3"/>
        <v>#N/A</v>
      </c>
      <c r="C124" s="116">
        <f>'ERPs by country'!E131</f>
        <v>0.10519074106349657</v>
      </c>
      <c r="D124" s="27">
        <f>'ERPs by country'!D131</f>
        <v>4.2242931166147427E-2</v>
      </c>
      <c r="E124" s="27">
        <f t="shared" si="2"/>
        <v>0.10519074106349657</v>
      </c>
      <c r="F124" s="71">
        <f>'Country Tax Rates'!C125</f>
        <v>0.15</v>
      </c>
      <c r="G124" s="71">
        <f>E124-'ERPs by country'!$E$3</f>
        <v>5.2890741063496574E-2</v>
      </c>
      <c r="H124" s="89"/>
      <c r="N124" s="201" t="s">
        <v>64</v>
      </c>
      <c r="O124" s="89">
        <v>81.8</v>
      </c>
    </row>
    <row r="125" spans="1:15">
      <c r="A125" s="55" t="str">
        <f>'ERPs by country'!A132</f>
        <v>Sharjah</v>
      </c>
      <c r="B125" s="163" t="e">
        <f t="shared" si="3"/>
        <v>#N/A</v>
      </c>
      <c r="C125" s="116">
        <f>'ERPs by country'!E132</f>
        <v>8.0269790386961845E-2</v>
      </c>
      <c r="D125" s="27">
        <f>'ERPs by country'!D132</f>
        <v>2.2338993674328587E-2</v>
      </c>
      <c r="E125" s="27">
        <f t="shared" si="2"/>
        <v>8.0269790386961845E-2</v>
      </c>
      <c r="F125" s="71">
        <f>'Country Tax Rates'!C126</f>
        <v>0</v>
      </c>
      <c r="G125" s="71">
        <f>E125-'ERPs by country'!$E$3</f>
        <v>2.7969790386961846E-2</v>
      </c>
      <c r="H125" s="89"/>
      <c r="N125" s="201" t="s">
        <v>333</v>
      </c>
      <c r="O125" s="89">
        <v>64.3</v>
      </c>
    </row>
    <row r="126" spans="1:15">
      <c r="A126" s="55" t="str">
        <f>'ERPs by country'!A133</f>
        <v>Singapore</v>
      </c>
      <c r="B126" s="163">
        <f t="shared" si="3"/>
        <v>81.5</v>
      </c>
      <c r="C126" s="116">
        <f>'ERPs by country'!E133</f>
        <v>5.2299999999999999E-2</v>
      </c>
      <c r="D126" s="27">
        <f>'ERPs by country'!D133</f>
        <v>0</v>
      </c>
      <c r="E126" s="27">
        <f t="shared" si="2"/>
        <v>5.2299999999999999E-2</v>
      </c>
      <c r="F126" s="71">
        <f>'Country Tax Rates'!C127</f>
        <v>0.17</v>
      </c>
      <c r="G126" s="71">
        <f>E126-'ERPs by country'!$E$3</f>
        <v>0</v>
      </c>
      <c r="H126" s="89"/>
      <c r="N126" s="201" t="s">
        <v>65</v>
      </c>
      <c r="O126" s="89">
        <v>65.8</v>
      </c>
    </row>
    <row r="127" spans="1:15">
      <c r="A127" s="55" t="str">
        <f>'ERPs by country'!A134</f>
        <v>Slovakia</v>
      </c>
      <c r="B127" s="163">
        <f t="shared" si="3"/>
        <v>69</v>
      </c>
      <c r="C127" s="116">
        <f>'ERPs by country'!E134</f>
        <v>6.4760475338267356E-2</v>
      </c>
      <c r="D127" s="27">
        <f>'ERPs by country'!D134</f>
        <v>9.9519687459094178E-3</v>
      </c>
      <c r="E127" s="27">
        <f t="shared" si="2"/>
        <v>6.4760475338267356E-2</v>
      </c>
      <c r="F127" s="71">
        <f>'Country Tax Rates'!C128</f>
        <v>0.21</v>
      </c>
      <c r="G127" s="71">
        <f>E127-'ERPs by country'!$E$3</f>
        <v>1.2460475338267357E-2</v>
      </c>
      <c r="H127" s="89"/>
      <c r="N127" s="201" t="s">
        <v>325</v>
      </c>
      <c r="O127" s="89">
        <v>61.8</v>
      </c>
    </row>
    <row r="128" spans="1:15">
      <c r="A128" s="55" t="str">
        <f>'ERPs by country'!A135</f>
        <v>Slovenia</v>
      </c>
      <c r="B128" s="163">
        <f t="shared" si="3"/>
        <v>69.8</v>
      </c>
      <c r="C128" s="116">
        <f>'ERPs by country'!E135</f>
        <v>7.5762809945460891E-2</v>
      </c>
      <c r="D128" s="27">
        <f>'ERPs by country'!D135</f>
        <v>1.8739345404531565E-2</v>
      </c>
      <c r="E128" s="27">
        <f t="shared" si="2"/>
        <v>7.5762809945460891E-2</v>
      </c>
      <c r="F128" s="71">
        <f>'Country Tax Rates'!C129</f>
        <v>0.19</v>
      </c>
      <c r="G128" s="71">
        <f>E128-'ERPs by country'!$E$3</f>
        <v>2.3462809945460891E-2</v>
      </c>
      <c r="H128" s="89"/>
      <c r="N128" s="201" t="s">
        <v>569</v>
      </c>
      <c r="O128" s="89">
        <v>68.8</v>
      </c>
    </row>
    <row r="129" spans="1:15">
      <c r="A129" s="55" t="str">
        <f>'ERPs by country'!A136</f>
        <v>Solomon Islands</v>
      </c>
      <c r="B129" s="163" t="e">
        <f t="shared" si="3"/>
        <v>#N/A</v>
      </c>
      <c r="C129" s="116">
        <f>'ERPs by country'!E136</f>
        <v>0.14787449700947625</v>
      </c>
      <c r="D129" s="27">
        <f>'ERPs by country'!D136</f>
        <v>7.6333717721283945E-2</v>
      </c>
      <c r="E129" s="27">
        <f t="shared" si="2"/>
        <v>0.14787449700947625</v>
      </c>
      <c r="F129" s="71">
        <f>'Country Tax Rates'!C130</f>
        <v>0.3</v>
      </c>
      <c r="G129" s="71">
        <f>E129-'ERPs by country'!$E$3</f>
        <v>9.5574497009476247E-2</v>
      </c>
      <c r="H129" s="89"/>
      <c r="N129" s="201" t="s">
        <v>77</v>
      </c>
      <c r="O129" s="89">
        <v>61</v>
      </c>
    </row>
    <row r="130" spans="1:15">
      <c r="A130" s="55" t="str">
        <f>'ERPs by country'!A137</f>
        <v>South Africa</v>
      </c>
      <c r="B130" s="163">
        <f t="shared" si="3"/>
        <v>63.5</v>
      </c>
      <c r="C130" s="116">
        <f>'ERPs by country'!E137</f>
        <v>8.9018634773404881E-2</v>
      </c>
      <c r="D130" s="27">
        <f>'ERPs by country'!D137</f>
        <v>2.9326546198052226E-2</v>
      </c>
      <c r="E130" s="27">
        <f t="shared" si="2"/>
        <v>8.9018634773404881E-2</v>
      </c>
      <c r="F130" s="71">
        <f>'Country Tax Rates'!C131</f>
        <v>0.28000000000000003</v>
      </c>
      <c r="G130" s="71">
        <f>E130-'ERPs by country'!$E$3</f>
        <v>3.6718634773404882E-2</v>
      </c>
      <c r="H130" s="89"/>
      <c r="N130" s="201" t="s">
        <v>66</v>
      </c>
      <c r="O130" s="89">
        <v>57.8</v>
      </c>
    </row>
    <row r="131" spans="1:15">
      <c r="A131" s="55" t="str">
        <f>'ERPs by country'!A138</f>
        <v>Spain</v>
      </c>
      <c r="B131" s="163">
        <f t="shared" si="3"/>
        <v>68.5</v>
      </c>
      <c r="C131" s="116">
        <f>'ERPs by country'!E138</f>
        <v>7.5762809945460891E-2</v>
      </c>
      <c r="D131" s="27">
        <f>'ERPs by country'!D138</f>
        <v>1.8739345404531565E-2</v>
      </c>
      <c r="E131" s="27">
        <f t="shared" si="2"/>
        <v>7.5762809945460891E-2</v>
      </c>
      <c r="F131" s="71">
        <f>'Country Tax Rates'!C132</f>
        <v>0.25</v>
      </c>
      <c r="G131" s="71">
        <f>E131-'ERPs by country'!$E$3</f>
        <v>2.3462809945460891E-2</v>
      </c>
      <c r="H131" s="89"/>
      <c r="N131" s="201" t="s">
        <v>228</v>
      </c>
      <c r="O131" s="89">
        <v>61.8</v>
      </c>
    </row>
    <row r="132" spans="1:15">
      <c r="A132" s="55" t="str">
        <f>'ERPs by country'!A139</f>
        <v>Sri Lanka</v>
      </c>
      <c r="B132" s="163">
        <f t="shared" si="3"/>
        <v>59.5</v>
      </c>
      <c r="C132" s="116">
        <f>'ERPs by country'!E139</f>
        <v>0.13316053145045842</v>
      </c>
      <c r="D132" s="27">
        <f>'ERPs by country'!D139</f>
        <v>6.4581924840476007E-2</v>
      </c>
      <c r="E132" s="27">
        <f t="shared" ref="E132:E157" si="5">C132</f>
        <v>0.13316053145045842</v>
      </c>
      <c r="F132" s="71">
        <f>'Country Tax Rates'!C133</f>
        <v>0.28000000000000003</v>
      </c>
      <c r="G132" s="71">
        <f>E132-'ERPs by country'!$E$3</f>
        <v>8.086053145045842E-2</v>
      </c>
      <c r="H132" s="89"/>
      <c r="N132" s="201" t="s">
        <v>68</v>
      </c>
      <c r="O132" s="89">
        <v>62.8</v>
      </c>
    </row>
    <row r="133" spans="1:15">
      <c r="A133" s="55" t="str">
        <f>'ERPs by country'!A140</f>
        <v>St. Maarten</v>
      </c>
      <c r="B133" s="163" t="e">
        <f t="shared" ref="B133:B157" si="6">VLOOKUP(A133,$N$2:$O$141,2,FALSE)</f>
        <v>#N/A</v>
      </c>
      <c r="C133" s="116">
        <f>'ERPs by country'!E140</f>
        <v>8.464421258018337E-2</v>
      </c>
      <c r="D133" s="27">
        <f>'ERPs by country'!D140</f>
        <v>2.5832769936190408E-2</v>
      </c>
      <c r="E133" s="27">
        <f t="shared" si="5"/>
        <v>8.464421258018337E-2</v>
      </c>
      <c r="F133" s="71">
        <f>'Country Tax Rates'!C134</f>
        <v>0.35</v>
      </c>
      <c r="G133" s="71">
        <f>E133-'ERPs by country'!$E$3</f>
        <v>3.2344212580183371E-2</v>
      </c>
      <c r="H133" s="89"/>
      <c r="N133" s="201" t="s">
        <v>60</v>
      </c>
      <c r="O133" s="89">
        <v>74.3</v>
      </c>
    </row>
    <row r="134" spans="1:15">
      <c r="A134" s="55" t="str">
        <f>'ERPs by country'!A141</f>
        <v>St. Vincent &amp; the Grenadines</v>
      </c>
      <c r="B134" s="163" t="e">
        <f t="shared" si="6"/>
        <v>#N/A</v>
      </c>
      <c r="C134" s="116">
        <f>'ERPs by country'!E141</f>
        <v>0.14787449700947625</v>
      </c>
      <c r="D134" s="27">
        <f>'ERPs by country'!D141</f>
        <v>7.6333717721283945E-2</v>
      </c>
      <c r="E134" s="27">
        <f t="shared" si="5"/>
        <v>0.14787449700947625</v>
      </c>
      <c r="F134" s="71">
        <f>'Country Tax Rates'!C135</f>
        <v>0.3</v>
      </c>
      <c r="G134" s="71">
        <f>E134-'ERPs by country'!$E$3</f>
        <v>9.5574497009476247E-2</v>
      </c>
      <c r="H134" s="89"/>
      <c r="N134" s="201" t="s">
        <v>57</v>
      </c>
      <c r="O134" s="89">
        <v>72.3</v>
      </c>
    </row>
    <row r="135" spans="1:15">
      <c r="A135" s="55" t="str">
        <f>'ERPs by country'!A142</f>
        <v>Suriname</v>
      </c>
      <c r="B135" s="163">
        <f t="shared" si="6"/>
        <v>58</v>
      </c>
      <c r="C135" s="116">
        <f>'ERPs by country'!E142</f>
        <v>0.14787449700947625</v>
      </c>
      <c r="D135" s="27">
        <f>'ERPs by country'!D142</f>
        <v>7.6333717721283945E-2</v>
      </c>
      <c r="E135" s="27">
        <f t="shared" si="5"/>
        <v>0.14787449700947625</v>
      </c>
      <c r="F135" s="71">
        <f>'Country Tax Rates'!C136</f>
        <v>0.36</v>
      </c>
      <c r="G135" s="71">
        <f>E135-'ERPs by country'!$E$3</f>
        <v>9.5574497009476247E-2</v>
      </c>
      <c r="H135" s="89"/>
      <c r="N135" s="201" t="s">
        <v>357</v>
      </c>
      <c r="O135" s="89">
        <v>70.3</v>
      </c>
    </row>
    <row r="136" spans="1:15">
      <c r="A136" s="55" t="str">
        <f>'ERPs by country'!A143</f>
        <v>Swaziland</v>
      </c>
      <c r="B136" s="163" t="e">
        <f t="shared" si="6"/>
        <v>#N/A</v>
      </c>
      <c r="C136" s="116">
        <f>'ERPs by country'!E143</f>
        <v>0.13316053145045842</v>
      </c>
      <c r="D136" s="27">
        <f>'ERPs by country'!D143</f>
        <v>6.4581924840476007E-2</v>
      </c>
      <c r="E136" s="27">
        <f t="shared" si="5"/>
        <v>0.13316053145045842</v>
      </c>
      <c r="F136" s="71">
        <f>'Country Tax Rates'!C137</f>
        <v>0.27500000000000002</v>
      </c>
      <c r="G136" s="71">
        <f>E136-'ERPs by country'!$E$3</f>
        <v>8.086053145045842E-2</v>
      </c>
      <c r="H136" s="89"/>
      <c r="N136" s="201" t="s">
        <v>69</v>
      </c>
      <c r="O136" s="89">
        <v>68.8</v>
      </c>
    </row>
    <row r="137" spans="1:15">
      <c r="A137" s="55" t="str">
        <f>'ERPs by country'!A144</f>
        <v>Sweden</v>
      </c>
      <c r="B137" s="163">
        <f t="shared" si="6"/>
        <v>80.3</v>
      </c>
      <c r="C137" s="116">
        <f>'ERPs by country'!E144</f>
        <v>5.2299999999999999E-2</v>
      </c>
      <c r="D137" s="27">
        <f>'ERPs by country'!D144</f>
        <v>0</v>
      </c>
      <c r="E137" s="27">
        <f t="shared" si="5"/>
        <v>5.2299999999999999E-2</v>
      </c>
      <c r="F137" s="71">
        <f>'Country Tax Rates'!C138</f>
        <v>0.214</v>
      </c>
      <c r="G137" s="71">
        <f>E137-'ERPs by country'!$E$3</f>
        <v>0</v>
      </c>
      <c r="H137" s="89"/>
      <c r="N137" s="201" t="s">
        <v>70</v>
      </c>
      <c r="O137" s="89">
        <v>41.5</v>
      </c>
    </row>
    <row r="138" spans="1:15">
      <c r="A138" s="55" t="str">
        <f>'ERPs by country'!A145</f>
        <v>Switzerland</v>
      </c>
      <c r="B138" s="163">
        <f t="shared" si="6"/>
        <v>82.3</v>
      </c>
      <c r="C138" s="116">
        <f>'ERPs by country'!E145</f>
        <v>5.2299999999999999E-2</v>
      </c>
      <c r="D138" s="27">
        <f>'ERPs by country'!D145</f>
        <v>0</v>
      </c>
      <c r="E138" s="27">
        <f t="shared" si="5"/>
        <v>5.2299999999999999E-2</v>
      </c>
      <c r="F138" s="71">
        <f>'Country Tax Rates'!C139</f>
        <v>0.18</v>
      </c>
      <c r="G138" s="71">
        <f>E138-'ERPs by country'!$E$3</f>
        <v>0</v>
      </c>
      <c r="H138" s="89"/>
      <c r="N138" s="201" t="s">
        <v>71</v>
      </c>
      <c r="O138" s="89">
        <v>69.8</v>
      </c>
    </row>
    <row r="139" spans="1:15">
      <c r="A139" s="55" t="str">
        <f>'ERPs by country'!A146</f>
        <v>Taiwan</v>
      </c>
      <c r="B139" s="163">
        <f t="shared" si="6"/>
        <v>81.8</v>
      </c>
      <c r="C139" s="116">
        <f>'ERPs by country'!E146</f>
        <v>6.1181402634722479E-2</v>
      </c>
      <c r="D139" s="27">
        <f>'ERPs by country'!D146</f>
        <v>7.0934245316588403E-3</v>
      </c>
      <c r="E139" s="27">
        <f t="shared" si="5"/>
        <v>6.1181402634722479E-2</v>
      </c>
      <c r="F139" s="71">
        <f>'Country Tax Rates'!C140</f>
        <v>0.2</v>
      </c>
      <c r="G139" s="71">
        <f>E139-'ERPs by country'!$E$3</f>
        <v>8.8814026347224795E-3</v>
      </c>
      <c r="N139" s="201" t="s">
        <v>324</v>
      </c>
      <c r="O139" s="89">
        <v>50</v>
      </c>
    </row>
    <row r="140" spans="1:15">
      <c r="A140" s="55" t="str">
        <f>'ERPs by country'!A147</f>
        <v>Tajikistan</v>
      </c>
      <c r="B140" s="163" t="e">
        <f t="shared" si="6"/>
        <v>#N/A</v>
      </c>
      <c r="C140" s="116">
        <f>'ERPs by country'!E147</f>
        <v>0.14787449700947625</v>
      </c>
      <c r="D140" s="27">
        <f>'ERPs by country'!D147</f>
        <v>7.6333717721283945E-2</v>
      </c>
      <c r="E140" s="27">
        <f t="shared" si="5"/>
        <v>0.14787449700947625</v>
      </c>
      <c r="F140" s="71">
        <f>'Country Tax Rates'!C141</f>
        <v>0.3019</v>
      </c>
      <c r="G140" s="71">
        <f>E140-'ERPs by country'!$E$3</f>
        <v>9.5574497009476247E-2</v>
      </c>
      <c r="N140" s="201" t="s">
        <v>192</v>
      </c>
      <c r="O140" s="89">
        <v>55.8</v>
      </c>
    </row>
    <row r="141" spans="1:15">
      <c r="A141" s="55" t="str">
        <f>'ERPs by country'!A148</f>
        <v>Tanzania</v>
      </c>
      <c r="B141" s="163">
        <f t="shared" si="6"/>
        <v>64.3</v>
      </c>
      <c r="C141" s="116">
        <f>'ERPs by country'!E148</f>
        <v>0.11844656589144056</v>
      </c>
      <c r="D141" s="27">
        <f>'ERPs by country'!D148</f>
        <v>5.2830131959668084E-2</v>
      </c>
      <c r="E141" s="27">
        <f t="shared" si="5"/>
        <v>0.11844656589144056</v>
      </c>
      <c r="F141" s="71">
        <f>'Country Tax Rates'!C142</f>
        <v>0.3</v>
      </c>
      <c r="G141" s="71">
        <f>E141-'ERPs by country'!$E$3</f>
        <v>6.6146565891440565E-2</v>
      </c>
      <c r="N141" s="201" t="s">
        <v>321</v>
      </c>
      <c r="O141" s="89">
        <v>51.3</v>
      </c>
    </row>
    <row r="142" spans="1:15">
      <c r="A142" s="55" t="str">
        <f>'ERPs by country'!A149</f>
        <v>Thailand</v>
      </c>
      <c r="B142" s="163">
        <f t="shared" si="6"/>
        <v>65.8</v>
      </c>
      <c r="C142" s="116">
        <f>'ERPs by country'!E149</f>
        <v>7.5762809945460891E-2</v>
      </c>
      <c r="D142" s="27">
        <f>'ERPs by country'!D149</f>
        <v>1.8739345404531565E-2</v>
      </c>
      <c r="E142" s="27">
        <f t="shared" si="5"/>
        <v>7.5762809945460891E-2</v>
      </c>
      <c r="F142" s="71">
        <f>'Country Tax Rates'!C143</f>
        <v>0.2</v>
      </c>
      <c r="G142" s="71">
        <f>E142-'ERPs by country'!$E$3</f>
        <v>2.3462809945460891E-2</v>
      </c>
    </row>
    <row r="143" spans="1:15">
      <c r="A143" s="55" t="str">
        <f>'ERPs by country'!A150</f>
        <v>Togo</v>
      </c>
      <c r="B143" s="163">
        <f t="shared" si="6"/>
        <v>61.8</v>
      </c>
      <c r="C143" s="116">
        <f>'ERPs by country'!E150</f>
        <v>0.14787449700947625</v>
      </c>
      <c r="D143" s="27">
        <f>'ERPs by country'!D150</f>
        <v>7.6333717721283945E-2</v>
      </c>
      <c r="E143" s="27">
        <f t="shared" si="5"/>
        <v>0.14787449700947625</v>
      </c>
      <c r="F143" s="71">
        <f>'Country Tax Rates'!C144</f>
        <v>0.3236</v>
      </c>
      <c r="G143" s="71">
        <f>E143-'ERPs by country'!$E$3</f>
        <v>9.5574497009476247E-2</v>
      </c>
    </row>
    <row r="144" spans="1:15">
      <c r="A144" s="55" t="str">
        <f>'ERPs by country'!A151</f>
        <v>Trinidad and Tobago</v>
      </c>
      <c r="B144" s="163" t="e">
        <f t="shared" si="6"/>
        <v>#N/A</v>
      </c>
      <c r="C144" s="116">
        <f>'ERPs by country'!E151</f>
        <v>8.9018634773404881E-2</v>
      </c>
      <c r="D144" s="27">
        <f>'ERPs by country'!D151</f>
        <v>2.9326546198052226E-2</v>
      </c>
      <c r="E144" s="27">
        <f t="shared" si="5"/>
        <v>8.9018634773404881E-2</v>
      </c>
      <c r="F144" s="71">
        <f>'Country Tax Rates'!C145</f>
        <v>0.25</v>
      </c>
      <c r="G144" s="71">
        <f>E144-'ERPs by country'!$E$3</f>
        <v>3.6718634773404882E-2</v>
      </c>
    </row>
    <row r="145" spans="1:11">
      <c r="A145" s="55" t="str">
        <f>'ERPs by country'!A152</f>
        <v>Tunisia</v>
      </c>
      <c r="B145" s="163">
        <f t="shared" si="6"/>
        <v>61</v>
      </c>
      <c r="C145" s="116">
        <f>'ERPs by country'!E152</f>
        <v>0.13316053145045842</v>
      </c>
      <c r="D145" s="27">
        <f>'ERPs by country'!D152</f>
        <v>6.4581924840476007E-2</v>
      </c>
      <c r="E145" s="27">
        <f t="shared" si="5"/>
        <v>0.13316053145045842</v>
      </c>
      <c r="F145" s="71">
        <f>'Country Tax Rates'!C146</f>
        <v>0.25</v>
      </c>
      <c r="G145" s="71">
        <f>E145-'ERPs by country'!$E$3</f>
        <v>8.086053145045842E-2</v>
      </c>
    </row>
    <row r="146" spans="1:11">
      <c r="A146" s="55" t="str">
        <f>'ERPs by country'!A153</f>
        <v>Turkey</v>
      </c>
      <c r="B146" s="163">
        <f t="shared" si="6"/>
        <v>57.8</v>
      </c>
      <c r="C146" s="116">
        <f>'ERPs by country'!E153</f>
        <v>0.11844656589144056</v>
      </c>
      <c r="D146" s="27">
        <f>'ERPs by country'!D153</f>
        <v>5.2830131959668084E-2</v>
      </c>
      <c r="E146" s="27">
        <f t="shared" si="5"/>
        <v>0.11844656589144056</v>
      </c>
      <c r="F146" s="71">
        <f>'Country Tax Rates'!C147</f>
        <v>0.22</v>
      </c>
      <c r="G146" s="71">
        <f>E146-'ERPs by country'!$E$3</f>
        <v>6.6146565891440565E-2</v>
      </c>
    </row>
    <row r="147" spans="1:11">
      <c r="A147" s="55" t="str">
        <f>'ERPs by country'!A154</f>
        <v>Turks and Caicos Islands</v>
      </c>
      <c r="B147" s="163" t="e">
        <f t="shared" si="6"/>
        <v>#N/A</v>
      </c>
      <c r="C147" s="116">
        <f>'ERPs by country'!E154</f>
        <v>7.5762809945460891E-2</v>
      </c>
      <c r="D147" s="27">
        <f>'ERPs by country'!D154</f>
        <v>1.8739345404531565E-2</v>
      </c>
      <c r="E147" s="27">
        <f t="shared" si="5"/>
        <v>7.5762809945460891E-2</v>
      </c>
      <c r="F147" s="71">
        <f>'Country Tax Rates'!C148</f>
        <v>0</v>
      </c>
      <c r="G147" s="71">
        <f>E147-'ERPs by country'!$E$3</f>
        <v>2.3462809945460891E-2</v>
      </c>
    </row>
    <row r="148" spans="1:11">
      <c r="A148" s="55" t="str">
        <f>'ERPs by country'!A155</f>
        <v>Uganda</v>
      </c>
      <c r="B148" s="163">
        <f t="shared" si="6"/>
        <v>61.8</v>
      </c>
      <c r="C148" s="116">
        <f>'ERPs by country'!E155</f>
        <v>0.13316053145045842</v>
      </c>
      <c r="D148" s="27">
        <f>'ERPs by country'!D155</f>
        <v>6.4581924840476007E-2</v>
      </c>
      <c r="E148" s="27">
        <f t="shared" si="5"/>
        <v>0.13316053145045842</v>
      </c>
      <c r="F148" s="71">
        <f>'Country Tax Rates'!C149</f>
        <v>0.3</v>
      </c>
      <c r="G148" s="71">
        <f>E148-'ERPs by country'!$E$3</f>
        <v>8.086053145045842E-2</v>
      </c>
    </row>
    <row r="149" spans="1:11">
      <c r="A149" s="55" t="str">
        <f>'ERPs by country'!A156</f>
        <v>Ukraine</v>
      </c>
      <c r="B149" s="163">
        <f t="shared" si="6"/>
        <v>62.8</v>
      </c>
      <c r="C149" s="116">
        <f>'ERPs by country'!E156</f>
        <v>0.14787449700947625</v>
      </c>
      <c r="D149" s="27">
        <f>'ERPs by country'!D156</f>
        <v>7.6333717721283945E-2</v>
      </c>
      <c r="E149" s="27">
        <f t="shared" si="5"/>
        <v>0.14787449700947625</v>
      </c>
      <c r="F149" s="71">
        <f>'Country Tax Rates'!C150</f>
        <v>0.18</v>
      </c>
      <c r="G149" s="71">
        <f>E149-'ERPs by country'!$E$3</f>
        <v>9.5574497009476247E-2</v>
      </c>
    </row>
    <row r="150" spans="1:11">
      <c r="A150" s="55" t="str">
        <f>'ERPs by country'!A157</f>
        <v>United Arab Emirates</v>
      </c>
      <c r="B150" s="163">
        <f t="shared" si="6"/>
        <v>74.3</v>
      </c>
      <c r="C150" s="116">
        <f>'ERPs by country'!E157</f>
        <v>5.9590703655369198E-2</v>
      </c>
      <c r="D150" s="27">
        <f>'ERPs by country'!D157</f>
        <v>5.8229604364363613E-3</v>
      </c>
      <c r="E150" s="27">
        <f t="shared" si="5"/>
        <v>5.9590703655369198E-2</v>
      </c>
      <c r="F150" s="71">
        <f>'Country Tax Rates'!C151</f>
        <v>0.55000000000000004</v>
      </c>
      <c r="G150" s="71">
        <f>E150-'ERPs by country'!$E$3</f>
        <v>7.290703655369199E-3</v>
      </c>
    </row>
    <row r="151" spans="1:11">
      <c r="A151" s="55" t="str">
        <f>'ERPs by country'!A158</f>
        <v>United Kingdom</v>
      </c>
      <c r="B151" s="163">
        <f t="shared" si="6"/>
        <v>72.3</v>
      </c>
      <c r="C151" s="116">
        <f>'ERPs by country'!E158</f>
        <v>5.9590703655369198E-2</v>
      </c>
      <c r="D151" s="27">
        <f>'ERPs by country'!D158</f>
        <v>5.8229604364363613E-3</v>
      </c>
      <c r="E151" s="27">
        <f t="shared" si="5"/>
        <v>5.9590703655369198E-2</v>
      </c>
      <c r="F151" s="71">
        <f>'Country Tax Rates'!C152</f>
        <v>0.19</v>
      </c>
      <c r="G151" s="71">
        <f>E151-'ERPs by country'!$E$3</f>
        <v>7.290703655369199E-3</v>
      </c>
    </row>
    <row r="152" spans="1:11">
      <c r="A152" s="55" t="str">
        <f>'ERPs by country'!A159</f>
        <v>United States</v>
      </c>
      <c r="B152" s="163">
        <f t="shared" si="6"/>
        <v>70.3</v>
      </c>
      <c r="C152" s="116">
        <f>'ERPs by country'!E159</f>
        <v>5.2299999999999999E-2</v>
      </c>
      <c r="D152" s="27">
        <f>'ERPs by country'!D159</f>
        <v>0</v>
      </c>
      <c r="E152" s="27">
        <f t="shared" si="5"/>
        <v>5.2299999999999999E-2</v>
      </c>
      <c r="F152" s="71">
        <f>'Country Tax Rates'!C153</f>
        <v>0.25</v>
      </c>
      <c r="G152" s="71">
        <f>E152-'ERPs by country'!$E$3</f>
        <v>0</v>
      </c>
    </row>
    <row r="153" spans="1:11">
      <c r="A153" s="55" t="str">
        <f>'ERPs by country'!A160</f>
        <v>Uruguay</v>
      </c>
      <c r="B153" s="163">
        <f t="shared" si="6"/>
        <v>68.8</v>
      </c>
      <c r="C153" s="116">
        <f>'ERPs by country'!E160</f>
        <v>8.0269790386961845E-2</v>
      </c>
      <c r="D153" s="27">
        <f>'ERPs by country'!D160</f>
        <v>2.2338993674328587E-2</v>
      </c>
      <c r="E153" s="27">
        <f t="shared" si="5"/>
        <v>8.0269790386961845E-2</v>
      </c>
      <c r="F153" s="71">
        <f>'Country Tax Rates'!C154</f>
        <v>0.25</v>
      </c>
      <c r="G153" s="71">
        <f>E153-'ERPs by country'!$E$3</f>
        <v>2.7969790386961846E-2</v>
      </c>
    </row>
    <row r="154" spans="1:11">
      <c r="A154" s="55" t="str">
        <f>'ERPs by country'!A161</f>
        <v>Uzbekistan</v>
      </c>
      <c r="B154" s="163" t="e">
        <f t="shared" si="6"/>
        <v>#N/A</v>
      </c>
      <c r="C154" s="116">
        <f>'ERPs by country'!E161</f>
        <v>0.11844656589144056</v>
      </c>
      <c r="D154" s="27">
        <f>'ERPs by country'!D161</f>
        <v>5.2830131959668084E-2</v>
      </c>
      <c r="E154" s="27">
        <f t="shared" si="5"/>
        <v>0.11844656589144056</v>
      </c>
      <c r="F154" s="71">
        <f>'Country Tax Rates'!C155</f>
        <v>7.4999999999999997E-2</v>
      </c>
      <c r="G154" s="71">
        <f>E154-'ERPs by country'!$E$3</f>
        <v>6.6146565891440565E-2</v>
      </c>
    </row>
    <row r="155" spans="1:11">
      <c r="A155" s="55" t="str">
        <f>'ERPs by country'!A162</f>
        <v>Venezuela</v>
      </c>
      <c r="B155" s="163">
        <f t="shared" si="6"/>
        <v>41.5</v>
      </c>
      <c r="C155" s="116">
        <f>'ERPs by country'!E162</f>
        <v>0.27141073475718847</v>
      </c>
      <c r="D155" s="27">
        <f>'ERPs by country'!D162</f>
        <v>0.17499999999999999</v>
      </c>
      <c r="E155" s="27">
        <f t="shared" si="5"/>
        <v>0.27141073475718847</v>
      </c>
      <c r="F155" s="71">
        <f>'Country Tax Rates'!C156</f>
        <v>0.34</v>
      </c>
      <c r="G155" s="71">
        <f>E155-'ERPs by country'!$E$3</f>
        <v>0.21911073475718845</v>
      </c>
    </row>
    <row r="156" spans="1:11">
      <c r="A156" s="55" t="str">
        <f>'ERPs by country'!A163</f>
        <v>Vietnam</v>
      </c>
      <c r="B156" s="163">
        <f t="shared" si="6"/>
        <v>69.8</v>
      </c>
      <c r="C156" s="116">
        <f>'ERPs by country'!E163</f>
        <v>0.10519074106349657</v>
      </c>
      <c r="D156" s="27">
        <f>'ERPs by country'!D163</f>
        <v>4.2242931166147427E-2</v>
      </c>
      <c r="E156" s="27">
        <f t="shared" si="5"/>
        <v>0.10519074106349657</v>
      </c>
      <c r="F156" s="71">
        <f>'Country Tax Rates'!C157</f>
        <v>0.2</v>
      </c>
      <c r="G156" s="71">
        <f>E156-'ERPs by country'!$E$3</f>
        <v>5.2890741063496574E-2</v>
      </c>
    </row>
    <row r="157" spans="1:11">
      <c r="A157" s="55" t="str">
        <f>'ERPs by country'!A164</f>
        <v>Zambia</v>
      </c>
      <c r="B157" s="163">
        <f t="shared" si="6"/>
        <v>55.8</v>
      </c>
      <c r="C157" s="116">
        <f>'ERPs by country'!E164</f>
        <v>0.22860247021165525</v>
      </c>
      <c r="D157" s="27">
        <f>'ERPs by country'!D164</f>
        <v>0.14080977055382476</v>
      </c>
      <c r="E157" s="27">
        <f t="shared" si="5"/>
        <v>0.22860247021165525</v>
      </c>
      <c r="F157" s="71">
        <f>'Country Tax Rates'!C158</f>
        <v>0.35</v>
      </c>
      <c r="G157" s="71">
        <f>E157-'ERPs by country'!$E$3</f>
        <v>0.17630247021165524</v>
      </c>
    </row>
    <row r="158" spans="1:11">
      <c r="A158" s="55"/>
      <c r="B158" s="164"/>
      <c r="C158" s="116"/>
      <c r="D158" s="27"/>
      <c r="E158" s="27"/>
      <c r="F158" s="71"/>
      <c r="G158" s="71"/>
    </row>
    <row r="159" spans="1:11">
      <c r="A159" s="55"/>
      <c r="B159" s="164"/>
      <c r="C159" s="116"/>
      <c r="D159" s="27"/>
      <c r="E159" s="27"/>
      <c r="F159" s="71"/>
      <c r="G159" s="71"/>
    </row>
    <row r="160" spans="1:11">
      <c r="A160" s="55"/>
      <c r="B160" s="164"/>
      <c r="C160" s="116"/>
      <c r="D160" s="27"/>
      <c r="E160" s="27"/>
      <c r="F160" s="71"/>
      <c r="G160" s="71"/>
      <c r="H160" s="89"/>
      <c r="J160" s="166" t="s">
        <v>171</v>
      </c>
      <c r="K160" s="167" t="s">
        <v>553</v>
      </c>
    </row>
    <row r="161" spans="1:11">
      <c r="A161" s="55" t="s">
        <v>338</v>
      </c>
      <c r="B161" s="163">
        <f t="shared" ref="B161:B180" si="7">VLOOKUP(A161,$N$2:$O$141,2,FALSE)</f>
        <v>55</v>
      </c>
      <c r="C161" s="71"/>
      <c r="D161" s="71">
        <f>G161/'ERPs by country'!$E$5</f>
        <v>0.14080977055382476</v>
      </c>
      <c r="E161" s="111">
        <f t="shared" ref="E161:E180" si="8">IF(C161&gt;0,C161,VLOOKUP(B161,$I$3:$K$19,3))</f>
        <v>0.22860247021165525</v>
      </c>
      <c r="F161" s="111">
        <v>0.26</v>
      </c>
      <c r="G161" s="71">
        <f>E161-'ERPs by country'!$E$3</f>
        <v>0.17630247021165524</v>
      </c>
      <c r="H161" s="89"/>
      <c r="J161" s="168" t="s">
        <v>128</v>
      </c>
      <c r="K161" s="169">
        <v>0.29153846153846152</v>
      </c>
    </row>
    <row r="162" spans="1:11">
      <c r="A162" s="55" t="s">
        <v>339</v>
      </c>
      <c r="B162" s="163">
        <f t="shared" si="7"/>
        <v>80</v>
      </c>
      <c r="C162" s="71"/>
      <c r="D162" s="71">
        <f>G162/'ERPs by country'!$E$5</f>
        <v>9.9519687459094161E-3</v>
      </c>
      <c r="E162" s="111">
        <f t="shared" si="8"/>
        <v>6.4760475338267356E-2</v>
      </c>
      <c r="F162" s="71">
        <v>0.185</v>
      </c>
      <c r="G162" s="71">
        <f>E162-'ERPs by country'!$E$3</f>
        <v>1.2460475338267357E-2</v>
      </c>
      <c r="H162" s="89"/>
      <c r="J162" s="168" t="s">
        <v>129</v>
      </c>
      <c r="K162" s="169">
        <v>0.23102608695652177</v>
      </c>
    </row>
    <row r="163" spans="1:11">
      <c r="A163" s="55" t="s">
        <v>335</v>
      </c>
      <c r="B163" s="163">
        <f t="shared" si="7"/>
        <v>63.5</v>
      </c>
      <c r="C163" s="71"/>
      <c r="D163" s="71">
        <f>G163/'ERPs by country'!$E$5</f>
        <v>7.6333717721283945E-2</v>
      </c>
      <c r="E163" s="111">
        <f t="shared" si="8"/>
        <v>0.14787449700947625</v>
      </c>
      <c r="F163" s="71">
        <v>0.31</v>
      </c>
      <c r="G163" s="71">
        <f>E163-'ERPs by country'!$E$3</f>
        <v>9.5574497009476247E-2</v>
      </c>
      <c r="H163" s="89"/>
      <c r="J163" s="168" t="s">
        <v>53</v>
      </c>
      <c r="K163" s="169">
        <v>0.19333333333333336</v>
      </c>
    </row>
    <row r="164" spans="1:11">
      <c r="A164" s="55" t="s">
        <v>318</v>
      </c>
      <c r="B164" s="163">
        <f t="shared" si="7"/>
        <v>54</v>
      </c>
      <c r="C164" s="71"/>
      <c r="D164" s="71">
        <f>G164/'ERPs by country'!$E$5</f>
        <v>0.14080977055382476</v>
      </c>
      <c r="E164" s="111">
        <f t="shared" si="8"/>
        <v>0.22860247021165525</v>
      </c>
      <c r="F164" s="71">
        <v>0.29149999999999998</v>
      </c>
      <c r="G164" s="71">
        <f>E164-'ERPs by country'!$E$3</f>
        <v>0.17630247021165524</v>
      </c>
      <c r="H164" s="89"/>
      <c r="J164" s="168" t="s">
        <v>54</v>
      </c>
      <c r="K164" s="169">
        <v>0.18641428571428573</v>
      </c>
    </row>
    <row r="165" spans="1:11">
      <c r="A165" s="55" t="s">
        <v>334</v>
      </c>
      <c r="B165" s="163">
        <f t="shared" si="7"/>
        <v>62</v>
      </c>
      <c r="C165" s="71"/>
      <c r="D165" s="71">
        <f>G165/'ERPs by country'!$E$5</f>
        <v>8.7979638594156681E-2</v>
      </c>
      <c r="E165" s="111">
        <f t="shared" si="8"/>
        <v>0.16245590432021467</v>
      </c>
      <c r="F165" s="71">
        <v>0.29149999999999998</v>
      </c>
      <c r="G165" s="71">
        <f>E165-'ERPs by country'!$E$3</f>
        <v>0.11015590432021467</v>
      </c>
      <c r="H165" s="89"/>
      <c r="J165" s="168" t="s">
        <v>51</v>
      </c>
      <c r="K165" s="169">
        <v>0.27932105263157891</v>
      </c>
    </row>
    <row r="166" spans="1:11">
      <c r="A166" s="55" t="s">
        <v>331</v>
      </c>
      <c r="B166" s="163">
        <f t="shared" si="7"/>
        <v>65</v>
      </c>
      <c r="C166" s="71"/>
      <c r="D166" s="71">
        <f>G166/'ERPs by country'!$E$5</f>
        <v>6.4581924840476021E-2</v>
      </c>
      <c r="E166" s="111">
        <f t="shared" si="8"/>
        <v>0.13316053145045842</v>
      </c>
      <c r="F166" s="71">
        <v>0.18640000000000001</v>
      </c>
      <c r="G166" s="71">
        <f>E166-'ERPs by country'!$E$3</f>
        <v>8.086053145045842E-2</v>
      </c>
      <c r="H166" s="89"/>
      <c r="J166" s="168" t="s">
        <v>125</v>
      </c>
      <c r="K166" s="169">
        <v>0.16692307692307692</v>
      </c>
    </row>
    <row r="167" spans="1:11">
      <c r="A167" s="55" t="s">
        <v>327</v>
      </c>
      <c r="B167" s="163">
        <f t="shared" si="7"/>
        <v>54.5</v>
      </c>
      <c r="C167" s="71"/>
      <c r="D167" s="71">
        <f>G167/'ERPs by country'!$E$5</f>
        <v>0.14080977055382476</v>
      </c>
      <c r="E167" s="111">
        <f t="shared" si="8"/>
        <v>0.22860247021165525</v>
      </c>
      <c r="F167" s="71">
        <v>0.18640000000000001</v>
      </c>
      <c r="G167" s="71">
        <f>E167-'ERPs by country'!$E$3</f>
        <v>0.17630247021165524</v>
      </c>
      <c r="H167" s="89"/>
      <c r="J167" s="168" t="s">
        <v>127</v>
      </c>
      <c r="K167" s="169">
        <v>0.2023076923076923</v>
      </c>
    </row>
    <row r="168" spans="1:11">
      <c r="A168" s="55" t="s">
        <v>329</v>
      </c>
      <c r="B168" s="163">
        <f t="shared" si="7"/>
        <v>58.5</v>
      </c>
      <c r="C168" s="71"/>
      <c r="D168" s="71">
        <f>G168/'ERPs by country'!$E$5</f>
        <v>0.10566026391933614</v>
      </c>
      <c r="E168" s="111">
        <f t="shared" si="8"/>
        <v>0.18459313178288111</v>
      </c>
      <c r="F168" s="71">
        <v>0.20230000000000001</v>
      </c>
      <c r="G168" s="71">
        <f>E168-'ERPs by country'!$E$3</f>
        <v>0.1322931317828811</v>
      </c>
      <c r="H168" s="89"/>
      <c r="J168" s="168" t="s">
        <v>130</v>
      </c>
      <c r="K168" s="169">
        <v>0.25750000000000001</v>
      </c>
    </row>
    <row r="169" spans="1:11">
      <c r="A169" s="55" t="s">
        <v>387</v>
      </c>
      <c r="B169" s="163">
        <f t="shared" si="7"/>
        <v>50.3</v>
      </c>
      <c r="C169" s="71"/>
      <c r="D169" s="71">
        <f>G169/'ERPs by country'!$E$5</f>
        <v>0.14080977055382476</v>
      </c>
      <c r="E169" s="111">
        <f t="shared" si="8"/>
        <v>0.22860247021165525</v>
      </c>
      <c r="F169" s="71">
        <v>0.23100000000000001</v>
      </c>
      <c r="G169" s="71">
        <f>E169-'ERPs by country'!$E$3</f>
        <v>0.17630247021165524</v>
      </c>
      <c r="H169" s="89"/>
      <c r="J169" s="168" t="s">
        <v>126</v>
      </c>
      <c r="K169" s="169">
        <v>0.20019615384615383</v>
      </c>
    </row>
    <row r="170" spans="1:11">
      <c r="A170" s="55" t="s">
        <v>319</v>
      </c>
      <c r="B170" s="163">
        <f t="shared" si="7"/>
        <v>53.5</v>
      </c>
      <c r="C170" s="71"/>
      <c r="D170" s="71">
        <f>G170/'ERPs by country'!$E$5</f>
        <v>0.14080977055382476</v>
      </c>
      <c r="E170" s="111">
        <f t="shared" si="8"/>
        <v>0.22860247021165525</v>
      </c>
      <c r="F170" s="71">
        <v>0.29149999999999998</v>
      </c>
      <c r="G170" s="71">
        <f>E170-'ERPs by country'!$E$3</f>
        <v>0.17630247021165524</v>
      </c>
      <c r="H170" s="89"/>
    </row>
    <row r="171" spans="1:11">
      <c r="A171" s="55" t="s">
        <v>323</v>
      </c>
      <c r="B171" s="163">
        <f t="shared" si="7"/>
        <v>58.3</v>
      </c>
      <c r="C171" s="71"/>
      <c r="D171" s="71">
        <f>G171/'ERPs by country'!$E$5</f>
        <v>0.10566026391933614</v>
      </c>
      <c r="E171" s="111">
        <f t="shared" si="8"/>
        <v>0.18459313178288111</v>
      </c>
      <c r="F171" s="111">
        <v>0.2</v>
      </c>
      <c r="G171" s="71">
        <f>E171-'ERPs by country'!$E$3</f>
        <v>0.1322931317828811</v>
      </c>
      <c r="H171" s="89"/>
    </row>
    <row r="172" spans="1:11">
      <c r="A172" s="55" t="s">
        <v>337</v>
      </c>
      <c r="B172" s="163">
        <f t="shared" si="7"/>
        <v>63</v>
      </c>
      <c r="C172" s="71"/>
      <c r="D172" s="71">
        <f>G172/'ERPs by country'!$E$5</f>
        <v>7.6333717721283945E-2</v>
      </c>
      <c r="E172" s="111">
        <f t="shared" si="8"/>
        <v>0.14787449700947625</v>
      </c>
      <c r="F172" s="71">
        <v>0.2</v>
      </c>
      <c r="G172" s="71">
        <f>E172-'ERPs by country'!$E$3</f>
        <v>9.5574497009476247E-2</v>
      </c>
      <c r="H172" s="89"/>
    </row>
    <row r="173" spans="1:11">
      <c r="A173" s="55" t="s">
        <v>328</v>
      </c>
      <c r="B173" s="163">
        <f t="shared" si="7"/>
        <v>57.8</v>
      </c>
      <c r="C173" s="71"/>
      <c r="D173" s="71">
        <f>G173/'ERPs by country'!$E$5</f>
        <v>0.10566026391933614</v>
      </c>
      <c r="E173" s="111">
        <f t="shared" si="8"/>
        <v>0.18459313178288111</v>
      </c>
      <c r="F173" s="71">
        <v>0.3</v>
      </c>
      <c r="G173" s="71">
        <f>E173-'ERPs by country'!$E$3</f>
        <v>0.1322931317828811</v>
      </c>
      <c r="H173" s="89"/>
    </row>
    <row r="174" spans="1:11">
      <c r="A174" s="55" t="s">
        <v>336</v>
      </c>
      <c r="B174" s="163">
        <f t="shared" si="7"/>
        <v>62.8</v>
      </c>
      <c r="C174" s="71"/>
      <c r="D174" s="71">
        <f>G174/'ERPs by country'!$E$5</f>
        <v>7.6333717721283945E-2</v>
      </c>
      <c r="E174" s="111">
        <f t="shared" si="8"/>
        <v>0.14787449700947625</v>
      </c>
      <c r="F174" s="71">
        <v>0.25</v>
      </c>
      <c r="G174" s="71">
        <f>E174-'ERPs by country'!$E$3</f>
        <v>9.5574497009476247E-2</v>
      </c>
      <c r="H174" s="89"/>
    </row>
    <row r="175" spans="1:11">
      <c r="A175" s="55" t="s">
        <v>330</v>
      </c>
      <c r="B175" s="163">
        <f t="shared" si="7"/>
        <v>59</v>
      </c>
      <c r="C175" s="71"/>
      <c r="D175" s="71">
        <f>G175/'ERPs by country'!$E$5</f>
        <v>0.10566026391933614</v>
      </c>
      <c r="E175" s="111">
        <f t="shared" si="8"/>
        <v>0.18459313178288111</v>
      </c>
      <c r="F175" s="71">
        <v>0.3</v>
      </c>
      <c r="G175" s="71">
        <f>E175-'ERPs by country'!$E$3</f>
        <v>0.1322931317828811</v>
      </c>
      <c r="H175" s="89"/>
    </row>
    <row r="176" spans="1:11">
      <c r="A176" s="55" t="s">
        <v>316</v>
      </c>
      <c r="B176" s="163">
        <f t="shared" si="7"/>
        <v>50.5</v>
      </c>
      <c r="C176" s="71"/>
      <c r="D176" s="71">
        <f>G176/'ERPs by country'!$E$5</f>
        <v>0.14080977055382476</v>
      </c>
      <c r="E176" s="111">
        <f t="shared" si="8"/>
        <v>0.22860247021165525</v>
      </c>
      <c r="F176" s="71">
        <v>0.29149999999999998</v>
      </c>
      <c r="G176" s="71">
        <f>E176-'ERPs by country'!$E$3</f>
        <v>0.17630247021165524</v>
      </c>
      <c r="H176" s="89"/>
    </row>
    <row r="177" spans="1:8">
      <c r="A177" s="55" t="s">
        <v>320</v>
      </c>
      <c r="B177" s="163">
        <f t="shared" si="7"/>
        <v>36.299999999999997</v>
      </c>
      <c r="C177" s="71"/>
      <c r="D177" s="71">
        <f>G177/'ERPs by country'!$E$5</f>
        <v>0.17499999999999999</v>
      </c>
      <c r="E177" s="111">
        <f t="shared" si="8"/>
        <v>0.27141073475718847</v>
      </c>
      <c r="F177" s="71">
        <v>0.35</v>
      </c>
      <c r="G177" s="71">
        <f>E177-'ERPs by country'!$E$3</f>
        <v>0.21911073475718845</v>
      </c>
      <c r="H177" s="89"/>
    </row>
    <row r="178" spans="1:8">
      <c r="A178" s="55" t="s">
        <v>317</v>
      </c>
      <c r="B178" s="163">
        <f t="shared" si="7"/>
        <v>53.8</v>
      </c>
      <c r="C178" s="71"/>
      <c r="D178" s="71">
        <f>G178/'ERPs by country'!$E$5</f>
        <v>0.14080977055382476</v>
      </c>
      <c r="E178" s="111">
        <f t="shared" si="8"/>
        <v>0.22860247021165525</v>
      </c>
      <c r="F178" s="71">
        <v>0.28000000000000003</v>
      </c>
      <c r="G178" s="71">
        <f>E178-'ERPs by country'!$E$3</f>
        <v>0.17630247021165524</v>
      </c>
      <c r="H178" s="89"/>
    </row>
    <row r="179" spans="1:8">
      <c r="A179" s="55" t="s">
        <v>324</v>
      </c>
      <c r="B179" s="163">
        <f t="shared" si="7"/>
        <v>50</v>
      </c>
      <c r="C179" s="71"/>
      <c r="D179" s="71">
        <f>G179/'ERPs by country'!$E$5</f>
        <v>0.17499999999999999</v>
      </c>
      <c r="E179" s="111">
        <f t="shared" si="8"/>
        <v>0.27141073475718847</v>
      </c>
      <c r="F179" s="71">
        <v>0.2</v>
      </c>
      <c r="G179" s="71">
        <f>E179-'ERPs by country'!$E$3</f>
        <v>0.21911073475718845</v>
      </c>
    </row>
    <row r="180" spans="1:8">
      <c r="A180" s="55" t="s">
        <v>321</v>
      </c>
      <c r="B180" s="163">
        <f t="shared" si="7"/>
        <v>51.3</v>
      </c>
      <c r="C180" s="71"/>
      <c r="D180" s="71">
        <f>G180/'ERPs by country'!$E$5</f>
        <v>0.14080977055382476</v>
      </c>
      <c r="E180" s="111">
        <f t="shared" si="8"/>
        <v>0.22860247021165525</v>
      </c>
      <c r="F180" s="71">
        <v>0.25</v>
      </c>
      <c r="G180" s="71">
        <f>E180-'ERPs by country'!$E$3</f>
        <v>0.17630247021165524</v>
      </c>
    </row>
    <row r="181" spans="1:8" ht="12">
      <c r="A181"/>
      <c r="B181" s="94"/>
      <c r="C181"/>
      <c r="D181"/>
    </row>
  </sheetData>
  <sortState xmlns:xlrd2="http://schemas.microsoft.com/office/spreadsheetml/2017/richdata2" ref="N2:O142">
    <sortCondition ref="N2:N142"/>
  </sortState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baseColWidth="10" defaultRowHeight="16"/>
  <cols>
    <col min="1" max="1" width="35.6640625" style="47" bestFit="1" customWidth="1"/>
    <col min="2" max="2" width="22" customWidth="1"/>
  </cols>
  <sheetData>
    <row r="1" spans="1:4" s="46" customFormat="1" ht="19">
      <c r="A1" s="46" t="s">
        <v>256</v>
      </c>
    </row>
    <row r="2" spans="1:4">
      <c r="A2" s="47" t="s">
        <v>75</v>
      </c>
      <c r="B2" s="48" t="s">
        <v>182</v>
      </c>
      <c r="D2" s="1" t="s">
        <v>340</v>
      </c>
    </row>
    <row r="3" spans="1:4">
      <c r="B3" s="47"/>
      <c r="D3" s="1" t="s">
        <v>341</v>
      </c>
    </row>
    <row r="4" spans="1:4">
      <c r="A4" s="47" t="s">
        <v>259</v>
      </c>
      <c r="B4" s="50" t="str">
        <f>VLOOKUP(B2,'Ratings worksheet'!$A$2:$C$158,3, FALSE)</f>
        <v>B1</v>
      </c>
      <c r="C4" t="s">
        <v>261</v>
      </c>
    </row>
    <row r="5" spans="1:4">
      <c r="A5" s="47" t="s">
        <v>260</v>
      </c>
      <c r="B5" s="50" t="str">
        <f>VLOOKUP(B2,'Ratings worksheet'!$A$2:$C$158,2, FALSE)</f>
        <v>BB-</v>
      </c>
      <c r="C5" t="s">
        <v>261</v>
      </c>
    </row>
    <row r="6" spans="1:4">
      <c r="A6" s="47" t="s">
        <v>258</v>
      </c>
      <c r="B6" s="51">
        <f>VLOOKUP(B2,'10-year CDS Spreads'!A2:D158,3, FALSE)</f>
        <v>1.9300000000000001E-2</v>
      </c>
    </row>
    <row r="7" spans="1:4">
      <c r="A7" s="47" t="s">
        <v>268</v>
      </c>
      <c r="B7" s="51">
        <f>IF(B6="NA","NA",VLOOKUP(B2,'ERPs by country'!A8:I164,9,FALSE)/'ERPs by country'!E5)</f>
        <v>1.67E-2</v>
      </c>
    </row>
    <row r="8" spans="1:4">
      <c r="B8" s="49"/>
    </row>
    <row r="9" spans="1:4">
      <c r="A9" s="47" t="s">
        <v>352</v>
      </c>
      <c r="B9" s="90">
        <f>VLOOKUP(B2,'ERPs by country'!A8:I164,4,FALSE)</f>
        <v>5.2830131959668084E-2</v>
      </c>
    </row>
    <row r="10" spans="1:4">
      <c r="A10" s="47" t="s">
        <v>262</v>
      </c>
      <c r="B10" s="51">
        <f>VLOOKUP(B2,'ERPs by country'!A8:I164,6,FALSE)</f>
        <v>6.6146565891440565E-2</v>
      </c>
    </row>
    <row r="11" spans="1:4">
      <c r="A11" s="47" t="s">
        <v>263</v>
      </c>
      <c r="B11" s="51">
        <f>VLOOKUP(B2,'ERPs by country'!A8:I164,5,FALSE)</f>
        <v>0.11844656589144056</v>
      </c>
    </row>
    <row r="12" spans="1:4">
      <c r="B12" s="49"/>
    </row>
    <row r="13" spans="1:4">
      <c r="A13" s="47" t="s">
        <v>264</v>
      </c>
      <c r="B13" s="51">
        <f>VLOOKUP(B2,'ERPs by country'!A8:I164,9,FALSE)</f>
        <v>2.0909424402543127E-2</v>
      </c>
    </row>
    <row r="14" spans="1:4">
      <c r="A14" s="47" t="s">
        <v>265</v>
      </c>
      <c r="B14" s="51">
        <f>VLOOKUP(B2,'ERPs by country'!A8:I164,8,FALSE)</f>
        <v>7.3209424402543133E-2</v>
      </c>
    </row>
    <row r="16" spans="1:4" ht="19">
      <c r="A16" s="46" t="s">
        <v>257</v>
      </c>
    </row>
    <row r="17" spans="1:2">
      <c r="A17" s="47" t="s">
        <v>52</v>
      </c>
      <c r="B17" s="52" t="s">
        <v>53</v>
      </c>
    </row>
    <row r="19" spans="1:2">
      <c r="A19" s="47" t="s">
        <v>280</v>
      </c>
      <c r="B19" s="53">
        <f>VLOOKUP(B17,'Regional Simple Averages'!$A$5:$E$13,3,FALSE)</f>
        <v>2.2048855297146855E-2</v>
      </c>
    </row>
    <row r="20" spans="1:2">
      <c r="A20" s="47" t="s">
        <v>281</v>
      </c>
      <c r="B20" s="53">
        <f>VLOOKUP(B17,'Regional Simple Averages'!$A$5:$E$13,4,FALSE)</f>
        <v>7.4348855297146854E-2</v>
      </c>
    </row>
    <row r="22" spans="1:2">
      <c r="A22" s="47" t="s">
        <v>266</v>
      </c>
      <c r="B22" s="53">
        <f>VLOOKUP(B17,'Regional Weighted Averages'!A171:C179,3,FALSE)</f>
        <v>4.8399092075067082E-5</v>
      </c>
    </row>
    <row r="23" spans="1:2">
      <c r="A23" s="47" t="s">
        <v>267</v>
      </c>
      <c r="B23" s="53">
        <f>VLOOKUP(B17,'Regional Weighted Averages'!A171:C179,2,FALSE)</f>
        <v>5.2348399092075067E-2</v>
      </c>
    </row>
    <row r="25" spans="1:2">
      <c r="A25" s="73" t="s">
        <v>353</v>
      </c>
    </row>
    <row r="27" spans="1:2" s="106" customFormat="1" ht="19">
      <c r="A27" s="46" t="s">
        <v>388</v>
      </c>
    </row>
    <row r="28" spans="1:2">
      <c r="A28" s="47" t="s">
        <v>75</v>
      </c>
      <c r="B28" s="48" t="s">
        <v>321</v>
      </c>
    </row>
    <row r="30" spans="1:2">
      <c r="A30" s="47" t="s">
        <v>350</v>
      </c>
      <c r="B30" s="104">
        <f>VLOOKUP(B28,'PRS Worksheet'!A161:E180,2,FALSE)</f>
        <v>51.3</v>
      </c>
    </row>
    <row r="31" spans="1:2">
      <c r="A31" s="47" t="s">
        <v>389</v>
      </c>
      <c r="B31" s="105">
        <f>VLOOKUP(B28,'PRS Worksheet'!A161:E180,5,FALSE)</f>
        <v>0.22860247021165525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topLeftCell="A162" zoomScale="87" zoomScaleNormal="87" workbookViewId="0">
      <selection activeCell="E182" sqref="E182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  <col min="10" max="51" width="10.83203125" style="258"/>
  </cols>
  <sheetData>
    <row r="1" spans="1:51" ht="16">
      <c r="A1" s="124" t="s">
        <v>558</v>
      </c>
      <c r="B1" s="124"/>
      <c r="C1" s="7"/>
      <c r="D1" s="7"/>
      <c r="E1" s="7"/>
      <c r="F1" s="7"/>
      <c r="G1" s="7"/>
      <c r="H1" s="7"/>
      <c r="I1" s="7"/>
      <c r="J1" s="257"/>
      <c r="K1" s="257"/>
      <c r="L1" s="257"/>
    </row>
    <row r="2" spans="1:51" ht="16">
      <c r="A2" s="6" t="s">
        <v>559</v>
      </c>
      <c r="B2" s="204">
        <v>42551</v>
      </c>
      <c r="C2" s="4"/>
      <c r="D2" s="4"/>
      <c r="E2" s="4"/>
      <c r="F2" s="4"/>
      <c r="G2" s="4"/>
      <c r="H2" s="4"/>
      <c r="I2" s="4"/>
      <c r="J2" s="259"/>
      <c r="K2" s="259"/>
      <c r="L2" s="259"/>
    </row>
    <row r="3" spans="1:51">
      <c r="A3" s="22" t="s">
        <v>72</v>
      </c>
      <c r="E3" s="14">
        <v>5.2299999999999999E-2</v>
      </c>
      <c r="F3" s="1" t="s">
        <v>601</v>
      </c>
    </row>
    <row r="4" spans="1:51">
      <c r="A4" s="22" t="s">
        <v>141</v>
      </c>
      <c r="E4" s="15" t="s">
        <v>73</v>
      </c>
      <c r="F4" s="21"/>
      <c r="G4" s="21"/>
    </row>
    <row r="5" spans="1:51">
      <c r="A5" s="22" t="s">
        <v>142</v>
      </c>
      <c r="E5" s="102">
        <f>'Relative Equity Volatility'!B4</f>
        <v>1.2520613414696484</v>
      </c>
      <c r="F5" s="113" t="s">
        <v>601</v>
      </c>
      <c r="G5" s="21"/>
    </row>
    <row r="6" spans="1:51">
      <c r="F6" s="3"/>
      <c r="G6" s="3"/>
      <c r="H6" s="3"/>
      <c r="I6" s="3"/>
    </row>
    <row r="7" spans="1:51" s="2" customFormat="1" ht="17">
      <c r="A7" s="129" t="s">
        <v>75</v>
      </c>
      <c r="B7" s="130" t="s">
        <v>128</v>
      </c>
      <c r="C7" s="131" t="s">
        <v>271</v>
      </c>
      <c r="D7" s="132" t="s">
        <v>139</v>
      </c>
      <c r="E7" s="132" t="s">
        <v>140</v>
      </c>
      <c r="F7" s="132" t="s">
        <v>37</v>
      </c>
      <c r="G7" s="133" t="s">
        <v>401</v>
      </c>
      <c r="H7" s="132" t="s">
        <v>469</v>
      </c>
      <c r="I7" s="134" t="s">
        <v>470</v>
      </c>
      <c r="J7" s="260" t="s">
        <v>38</v>
      </c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</row>
    <row r="8" spans="1:51" ht="16">
      <c r="A8" s="128" t="str">
        <f>'Sovereign Ratings (Moody''s,S&amp;P)'!A2</f>
        <v>Abu Dhabi</v>
      </c>
      <c r="B8" s="123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5.8229604364363613E-3</v>
      </c>
      <c r="E8" s="24">
        <f>$E$3+F8</f>
        <v>5.9590703655369198E-2</v>
      </c>
      <c r="F8" s="13">
        <f>IF($E$4="Yes",D8*$E$5,D8)</f>
        <v>7.2907036553691998E-3</v>
      </c>
      <c r="G8" s="13">
        <f>VLOOKUP(A8,'10-year CDS Spreads'!$A$2:$D$157,4)</f>
        <v>7.1000000000000004E-3</v>
      </c>
      <c r="H8" s="13">
        <f>IF(I8="NA","NA",$E$3+I8)</f>
        <v>6.1189635524434502E-2</v>
      </c>
      <c r="I8" s="16">
        <f>IF(G8="NA","NA",G8*$E$5)</f>
        <v>8.8896355244345044E-3</v>
      </c>
      <c r="J8" s="262" t="s">
        <v>39</v>
      </c>
      <c r="K8" s="262" t="s">
        <v>40</v>
      </c>
    </row>
    <row r="9" spans="1:51" ht="16">
      <c r="A9" s="128" t="str">
        <f>'Sovereign Ratings (Moody''s,S&amp;P)'!A3</f>
        <v>Albania</v>
      </c>
      <c r="B9" s="123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5.2830131959668084E-2</v>
      </c>
      <c r="E9" s="24">
        <f t="shared" ref="E9:E72" si="1">$E$3+F9</f>
        <v>0.11844656589144056</v>
      </c>
      <c r="F9" s="13">
        <f t="shared" ref="F9:F72" si="2">IF($E$4="Yes",D9*$E$5,D9)</f>
        <v>6.6146565891440565E-2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263">
        <f t="shared" ref="K9:K22" si="5">C189</f>
        <v>82.580166189461139</v>
      </c>
    </row>
    <row r="10" spans="1:51" ht="16">
      <c r="A10" s="128" t="str">
        <f>'Sovereign Ratings (Moody''s,S&amp;P)'!A4</f>
        <v>Andorra (Principality of)</v>
      </c>
      <c r="B10" s="123" t="str">
        <f>VLOOKUP(A10,'Regional lookup table'!$A$3:$B$161,2)</f>
        <v>Western Europe</v>
      </c>
      <c r="C10" s="11" t="str">
        <f>'Sovereign Ratings (Moody''s,S&amp;P)'!C4</f>
        <v>Baa2</v>
      </c>
      <c r="D10" s="24">
        <f t="shared" si="0"/>
        <v>2.2338993674328587E-2</v>
      </c>
      <c r="E10" s="24">
        <f t="shared" si="1"/>
        <v>8.0269790386961845E-2</v>
      </c>
      <c r="F10" s="13">
        <f t="shared" si="2"/>
        <v>2.7969790386961842E-2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263">
        <f t="shared" si="5"/>
        <v>99.519687459094172</v>
      </c>
    </row>
    <row r="11" spans="1:51" ht="16">
      <c r="A11" s="128" t="str">
        <f>'Sovereign Ratings (Moody''s,S&amp;P)'!A5</f>
        <v>Angola</v>
      </c>
      <c r="B11" s="123" t="str">
        <f>VLOOKUP(A11,'Regional lookup table'!$A$3:$B$161,2)</f>
        <v>Africa</v>
      </c>
      <c r="C11" s="11" t="str">
        <f>'Sovereign Ratings (Moody''s,S&amp;P)'!C5</f>
        <v>B3</v>
      </c>
      <c r="D11" s="24">
        <f t="shared" si="0"/>
        <v>7.6333717721283945E-2</v>
      </c>
      <c r="E11" s="24">
        <f t="shared" si="1"/>
        <v>0.14787449700947625</v>
      </c>
      <c r="F11" s="13">
        <f t="shared" si="2"/>
        <v>9.5574497009476247E-2</v>
      </c>
      <c r="G11" s="13">
        <f>VLOOKUP(A11,'10-year CDS Spreads'!$A$2:$D$157,4)</f>
        <v>0.10199999999999999</v>
      </c>
      <c r="H11" s="13">
        <f t="shared" si="3"/>
        <v>0.18001025682990413</v>
      </c>
      <c r="I11" s="16">
        <f t="shared" si="4"/>
        <v>0.12771025682990414</v>
      </c>
      <c r="J11" s="8" t="s">
        <v>43</v>
      </c>
      <c r="K11" s="263">
        <f t="shared" si="5"/>
        <v>140.80977055382476</v>
      </c>
    </row>
    <row r="12" spans="1:51" ht="16">
      <c r="A12" s="128" t="str">
        <f>'Sovereign Ratings (Moody''s,S&amp;P)'!A6</f>
        <v>Argentina</v>
      </c>
      <c r="B12" s="123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0.14080977055382476</v>
      </c>
      <c r="E12" s="24">
        <f t="shared" si="1"/>
        <v>0.22860247021165525</v>
      </c>
      <c r="F12" s="13">
        <f t="shared" si="2"/>
        <v>0.17630247021165524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8" t="s">
        <v>44</v>
      </c>
      <c r="K12" s="263">
        <f t="shared" si="5"/>
        <v>46.583683491490888</v>
      </c>
    </row>
    <row r="13" spans="1:51" ht="16">
      <c r="A13" s="128" t="str">
        <f>'Sovereign Ratings (Moody''s,S&amp;P)'!A7</f>
        <v>Armenia</v>
      </c>
      <c r="B13" s="123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4.2242931166147427E-2</v>
      </c>
      <c r="E13" s="24">
        <f t="shared" si="1"/>
        <v>0.10519074106349657</v>
      </c>
      <c r="F13" s="13">
        <f t="shared" si="2"/>
        <v>5.2890741063496567E-2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263">
        <f t="shared" si="5"/>
        <v>58.229604364363617</v>
      </c>
    </row>
    <row r="14" spans="1:51" ht="16">
      <c r="A14" s="128" t="str">
        <f>'Sovereign Ratings (Moody''s,S&amp;P)'!A8</f>
        <v>Aruba</v>
      </c>
      <c r="B14" s="123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1.8739345404531565E-2</v>
      </c>
      <c r="E14" s="24">
        <f t="shared" si="1"/>
        <v>7.5762809945460891E-2</v>
      </c>
      <c r="F14" s="13">
        <f t="shared" si="2"/>
        <v>2.3462809945460884E-2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263">
        <f t="shared" si="5"/>
        <v>70.934245316588402</v>
      </c>
    </row>
    <row r="15" spans="1:51" ht="16">
      <c r="A15" s="128" t="str">
        <f>'Sovereign Ratings (Moody''s,S&amp;P)'!A9</f>
        <v>Australia</v>
      </c>
      <c r="B15" s="123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5.2299999999999999E-2</v>
      </c>
      <c r="F15" s="13">
        <f t="shared" si="2"/>
        <v>0</v>
      </c>
      <c r="G15" s="13">
        <f>VLOOKUP(A15,'10-year CDS Spreads'!$A$2:$D$157,4)</f>
        <v>6.0000000000000027E-4</v>
      </c>
      <c r="H15" s="13">
        <f t="shared" si="3"/>
        <v>5.3051236804881788E-2</v>
      </c>
      <c r="I15" s="16">
        <f t="shared" si="4"/>
        <v>7.5123680488178943E-4</v>
      </c>
      <c r="J15" s="8" t="s">
        <v>47</v>
      </c>
      <c r="K15" s="263">
        <f t="shared" si="5"/>
        <v>0</v>
      </c>
    </row>
    <row r="16" spans="1:51" ht="16">
      <c r="A16" s="128" t="str">
        <f>'Sovereign Ratings (Moody''s,S&amp;P)'!A10</f>
        <v>Austria</v>
      </c>
      <c r="B16" s="123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4.6583683491490885E-3</v>
      </c>
      <c r="E16" s="24">
        <f t="shared" si="1"/>
        <v>5.8132562924295361E-2</v>
      </c>
      <c r="F16" s="13">
        <f t="shared" si="2"/>
        <v>5.8325629242953593E-3</v>
      </c>
      <c r="G16" s="13">
        <f>VLOOKUP(A16,'10-year CDS Spreads'!$A$2:$D$157,4)</f>
        <v>0</v>
      </c>
      <c r="H16" s="13">
        <f t="shared" si="3"/>
        <v>5.2299999999999999E-2</v>
      </c>
      <c r="I16" s="16">
        <f t="shared" si="4"/>
        <v>0</v>
      </c>
      <c r="J16" s="8" t="s">
        <v>48</v>
      </c>
      <c r="K16" s="263">
        <f t="shared" si="5"/>
        <v>528.30131959668086</v>
      </c>
    </row>
    <row r="17" spans="1:11" ht="16">
      <c r="A17" s="128" t="str">
        <f>'Sovereign Ratings (Moody''s,S&amp;P)'!A11</f>
        <v>Azerbaijan</v>
      </c>
      <c r="B17" s="123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3.5255378642423785E-2</v>
      </c>
      <c r="E17" s="24">
        <f t="shared" si="1"/>
        <v>9.6441896677053524E-2</v>
      </c>
      <c r="F17" s="13">
        <f t="shared" si="2"/>
        <v>4.4141896677053517E-2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263">
        <f t="shared" si="5"/>
        <v>645.81924840476006</v>
      </c>
    </row>
    <row r="18" spans="1:11" ht="16">
      <c r="A18" s="128" t="str">
        <f>'Sovereign Ratings (Moody''s,S&amp;P)'!A12</f>
        <v>Bahamas</v>
      </c>
      <c r="B18" s="123" t="str">
        <f>VLOOKUP(A18,'Regional lookup table'!$A$3:$B$161,2)</f>
        <v>Caribbean</v>
      </c>
      <c r="C18" s="11" t="str">
        <f>'Sovereign Ratings (Moody''s,S&amp;P)'!C12</f>
        <v>Ba2</v>
      </c>
      <c r="D18" s="24">
        <f t="shared" si="0"/>
        <v>3.5255378642423785E-2</v>
      </c>
      <c r="E18" s="24">
        <f t="shared" si="1"/>
        <v>9.6441896677053524E-2</v>
      </c>
      <c r="F18" s="13">
        <f t="shared" si="2"/>
        <v>4.4141896677053517E-2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263">
        <f t="shared" si="5"/>
        <v>763.33717721283938</v>
      </c>
    </row>
    <row r="19" spans="1:11" ht="16">
      <c r="A19" s="128" t="str">
        <f>'Sovereign Ratings (Moody''s,S&amp;P)'!A13</f>
        <v>Bahrain</v>
      </c>
      <c r="B19" s="123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6.4581924840476007E-2</v>
      </c>
      <c r="E19" s="24">
        <f t="shared" si="1"/>
        <v>0.13316053145045842</v>
      </c>
      <c r="F19" s="13">
        <f t="shared" si="2"/>
        <v>8.0860531450458406E-2</v>
      </c>
      <c r="G19" s="13">
        <f>VLOOKUP(A19,'10-year CDS Spreads'!$A$2:$D$157,4)</f>
        <v>3.85E-2</v>
      </c>
      <c r="H19" s="13">
        <f t="shared" si="3"/>
        <v>0.10050436164658147</v>
      </c>
      <c r="I19" s="16">
        <f t="shared" si="4"/>
        <v>4.8204361646581463E-2</v>
      </c>
      <c r="J19" s="8" t="s">
        <v>79</v>
      </c>
      <c r="K19" s="263">
        <f t="shared" si="5"/>
        <v>293.26546198052228</v>
      </c>
    </row>
    <row r="20" spans="1:11" ht="16">
      <c r="A20" s="128" t="str">
        <f>'Sovereign Ratings (Moody''s,S&amp;P)'!A14</f>
        <v>Bangladesh</v>
      </c>
      <c r="B20" s="123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4.2242931166147427E-2</v>
      </c>
      <c r="E20" s="24">
        <f t="shared" si="1"/>
        <v>0.10519074106349657</v>
      </c>
      <c r="F20" s="13">
        <f t="shared" si="2"/>
        <v>5.2890741063496567E-2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263">
        <f t="shared" si="5"/>
        <v>352.55378642423784</v>
      </c>
    </row>
    <row r="21" spans="1:11" ht="16">
      <c r="A21" s="128" t="str">
        <f>'Sovereign Ratings (Moody''s,S&amp;P)'!A15</f>
        <v>Barbados</v>
      </c>
      <c r="B21" s="123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8.7979638594156681E-2</v>
      </c>
      <c r="E21" s="24">
        <f t="shared" si="1"/>
        <v>0.16245590432021467</v>
      </c>
      <c r="F21" s="13">
        <f t="shared" si="2"/>
        <v>0.11015590432021467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263">
        <f t="shared" si="5"/>
        <v>422.42931166147429</v>
      </c>
    </row>
    <row r="22" spans="1:11" ht="16">
      <c r="A22" s="128" t="str">
        <f>'Sovereign Ratings (Moody''s,S&amp;P)'!A16</f>
        <v>Belarus</v>
      </c>
      <c r="B22" s="123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7.6333717721283945E-2</v>
      </c>
      <c r="E22" s="24">
        <f t="shared" si="1"/>
        <v>0.14787449700947625</v>
      </c>
      <c r="F22" s="13">
        <f t="shared" si="2"/>
        <v>9.5574497009476247E-2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263">
        <f t="shared" si="5"/>
        <v>187.39345404531565</v>
      </c>
    </row>
    <row r="23" spans="1:11" ht="16">
      <c r="A23" s="128" t="str">
        <f>'Sovereign Ratings (Moody''s,S&amp;P)'!A17</f>
        <v>Belgium</v>
      </c>
      <c r="B23" s="123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7.0934245316588403E-3</v>
      </c>
      <c r="E23" s="24">
        <f t="shared" si="1"/>
        <v>6.1181402634722479E-2</v>
      </c>
      <c r="F23" s="13">
        <f t="shared" si="2"/>
        <v>8.8814026347224795E-3</v>
      </c>
      <c r="G23" s="13">
        <f>VLOOKUP(A23,'10-year CDS Spreads'!$A$2:$D$157,4)</f>
        <v>5.0000000000000001E-4</v>
      </c>
      <c r="H23" s="13">
        <f t="shared" si="3"/>
        <v>5.2926030670734821E-2</v>
      </c>
      <c r="I23" s="16">
        <f t="shared" si="4"/>
        <v>6.260306707348242E-4</v>
      </c>
      <c r="J23" s="8" t="s">
        <v>83</v>
      </c>
      <c r="K23" s="263">
        <f t="shared" ref="K23:K29" si="6">C203</f>
        <v>223.38993674328589</v>
      </c>
    </row>
    <row r="24" spans="1:11" ht="16">
      <c r="A24" s="128" t="str">
        <f>'Sovereign Ratings (Moody''s,S&amp;P)'!A18</f>
        <v>Belize</v>
      </c>
      <c r="B24" s="123" t="str">
        <f>VLOOKUP(A24,'Regional lookup table'!$A$3:$B$161,2)</f>
        <v>Central and South America</v>
      </c>
      <c r="C24" s="11" t="str">
        <f>'Sovereign Ratings (Moody''s,S&amp;P)'!C18</f>
        <v>Caa1</v>
      </c>
      <c r="D24" s="24">
        <f t="shared" si="0"/>
        <v>8.7979638594156681E-2</v>
      </c>
      <c r="E24" s="24">
        <f t="shared" si="1"/>
        <v>0.16245590432021467</v>
      </c>
      <c r="F24" s="13">
        <f t="shared" si="2"/>
        <v>0.11015590432021467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263">
        <f t="shared" si="6"/>
        <v>258.32769936190408</v>
      </c>
    </row>
    <row r="25" spans="1:11" ht="16">
      <c r="A25" s="128" t="str">
        <f>'Sovereign Ratings (Moody''s,S&amp;P)'!A19</f>
        <v>Benin</v>
      </c>
      <c r="B25" s="123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6.4581924840476007E-2</v>
      </c>
      <c r="E25" s="24">
        <f t="shared" si="1"/>
        <v>0.13316053145045842</v>
      </c>
      <c r="F25" s="13">
        <f t="shared" si="2"/>
        <v>8.0860531450458406E-2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263">
        <f t="shared" si="6"/>
        <v>1750</v>
      </c>
    </row>
    <row r="26" spans="1:11" ht="16">
      <c r="A26" s="128" t="str">
        <f>'Sovereign Ratings (Moody''s,S&amp;P)'!A20</f>
        <v>Bermuda</v>
      </c>
      <c r="B26" s="123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9.9519687459094178E-3</v>
      </c>
      <c r="E26" s="24">
        <f t="shared" si="1"/>
        <v>6.4760475338267356E-2</v>
      </c>
      <c r="F26" s="13">
        <f t="shared" si="2"/>
        <v>1.2460475338267361E-2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347</v>
      </c>
      <c r="K26" s="263">
        <f t="shared" si="6"/>
        <v>1408.0977055382475</v>
      </c>
    </row>
    <row r="27" spans="1:11" ht="16">
      <c r="A27" s="128" t="str">
        <f>'Sovereign Ratings (Moody''s,S&amp;P)'!A21</f>
        <v>Bolivia</v>
      </c>
      <c r="B27" s="123" t="str">
        <f>VLOOKUP(A27,'Regional lookup table'!$A$3:$B$161,2)</f>
        <v>Central and South America</v>
      </c>
      <c r="C27" s="11" t="str">
        <f>'Sovereign Ratings (Moody''s,S&amp;P)'!C21</f>
        <v>B1</v>
      </c>
      <c r="D27" s="24">
        <f t="shared" si="0"/>
        <v>5.2830131959668084E-2</v>
      </c>
      <c r="E27" s="24">
        <f t="shared" si="1"/>
        <v>0.11844656589144056</v>
      </c>
      <c r="F27" s="13">
        <f t="shared" si="2"/>
        <v>6.6146565891440565E-2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263">
        <f t="shared" si="6"/>
        <v>879.79638594156677</v>
      </c>
    </row>
    <row r="28" spans="1:11" ht="16">
      <c r="A28" s="128" t="str">
        <f>'Sovereign Ratings (Moody''s,S&amp;P)'!A22</f>
        <v>Bosnia and Herzegovina</v>
      </c>
      <c r="B28" s="123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7.6333717721283945E-2</v>
      </c>
      <c r="E28" s="24">
        <f t="shared" si="1"/>
        <v>0.14787449700947625</v>
      </c>
      <c r="F28" s="13">
        <f t="shared" si="2"/>
        <v>9.5574497009476247E-2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263">
        <f t="shared" si="6"/>
        <v>1056.6026391933617</v>
      </c>
    </row>
    <row r="29" spans="1:11" ht="16">
      <c r="A29" s="128" t="str">
        <f>'Sovereign Ratings (Moody''s,S&amp;P)'!A23</f>
        <v>Botswana</v>
      </c>
      <c r="B29" s="123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9.9519687459094178E-3</v>
      </c>
      <c r="E29" s="24">
        <f t="shared" si="1"/>
        <v>6.4760475338267356E-2</v>
      </c>
      <c r="F29" s="13">
        <f t="shared" si="2"/>
        <v>1.2460475338267361E-2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263">
        <f t="shared" si="6"/>
        <v>1173.0618479220891</v>
      </c>
    </row>
    <row r="30" spans="1:11" ht="16">
      <c r="A30" s="128" t="str">
        <f>'Sovereign Ratings (Moody''s,S&amp;P)'!A24</f>
        <v>Brazil</v>
      </c>
      <c r="B30" s="123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3.5255378642423785E-2</v>
      </c>
      <c r="E30" s="24">
        <f t="shared" si="1"/>
        <v>9.6441896677053524E-2</v>
      </c>
      <c r="F30" s="13">
        <f t="shared" si="2"/>
        <v>4.4141896677053517E-2</v>
      </c>
      <c r="G30" s="13">
        <f>VLOOKUP(A30,'10-year CDS Spreads'!$A$2:$D$157,4)</f>
        <v>2.7499999999999997E-2</v>
      </c>
      <c r="H30" s="13">
        <f t="shared" si="3"/>
        <v>8.6731686890415327E-2</v>
      </c>
      <c r="I30" s="16">
        <f t="shared" si="4"/>
        <v>3.4431686890415328E-2</v>
      </c>
      <c r="J30" s="8" t="s">
        <v>277</v>
      </c>
      <c r="K30" s="264" t="str">
        <f>C210</f>
        <v>NA</v>
      </c>
    </row>
    <row r="31" spans="1:11" ht="16">
      <c r="A31" s="128" t="str">
        <f>'Sovereign Ratings (Moody''s,S&amp;P)'!A25</f>
        <v>Bulgaria</v>
      </c>
      <c r="B31" s="123" t="str">
        <f>VLOOKUP(A31,'Regional lookup table'!$A$3:$B$161,2)</f>
        <v>Eastern Europe &amp; Russia</v>
      </c>
      <c r="C31" s="11" t="str">
        <f>'Sovereign Ratings (Moody''s,S&amp;P)'!C25</f>
        <v>Baa2</v>
      </c>
      <c r="D31" s="24">
        <f t="shared" si="0"/>
        <v>2.2338993674328587E-2</v>
      </c>
      <c r="E31" s="24">
        <f t="shared" si="1"/>
        <v>8.0269790386961845E-2</v>
      </c>
      <c r="F31" s="13">
        <f t="shared" si="2"/>
        <v>2.7969790386961842E-2</v>
      </c>
      <c r="G31" s="13">
        <f>VLOOKUP(A31,'10-year CDS Spreads'!$A$2:$D$157,4)</f>
        <v>6.5000000000000006E-3</v>
      </c>
      <c r="H31" s="13">
        <f t="shared" si="3"/>
        <v>6.0438398719552713E-2</v>
      </c>
      <c r="I31" s="16">
        <f t="shared" si="4"/>
        <v>8.1383987195527158E-3</v>
      </c>
    </row>
    <row r="32" spans="1:11" ht="16">
      <c r="A32" s="128" t="str">
        <f>'Sovereign Ratings (Moody''s,S&amp;P)'!A26</f>
        <v>Burkina Faso</v>
      </c>
      <c r="B32" s="123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6.4581924840476007E-2</v>
      </c>
      <c r="E32" s="24">
        <f t="shared" si="1"/>
        <v>0.13316053145045842</v>
      </c>
      <c r="F32" s="13">
        <f t="shared" si="2"/>
        <v>8.0860531450458406E-2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8" t="str">
        <f>'Sovereign Ratings (Moody''s,S&amp;P)'!A27</f>
        <v>Cambodia</v>
      </c>
      <c r="B33" s="123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6.4581924840476007E-2</v>
      </c>
      <c r="E33" s="24">
        <f t="shared" si="1"/>
        <v>0.13316053145045842</v>
      </c>
      <c r="F33" s="13">
        <f t="shared" si="2"/>
        <v>8.0860531450458406E-2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8" t="str">
        <f>'Sovereign Ratings (Moody''s,S&amp;P)'!A28</f>
        <v>Cameroon</v>
      </c>
      <c r="B34" s="123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6.4581924840476007E-2</v>
      </c>
      <c r="E34" s="24">
        <f t="shared" si="1"/>
        <v>0.13316053145045842</v>
      </c>
      <c r="F34" s="13">
        <f t="shared" si="2"/>
        <v>8.0860531450458406E-2</v>
      </c>
      <c r="G34" s="13">
        <f>VLOOKUP(A34,'10-year CDS Spreads'!$A$2:$D$157,4)</f>
        <v>8.1499999999999989E-2</v>
      </c>
      <c r="H34" s="13">
        <f t="shared" si="3"/>
        <v>0.15434299932977633</v>
      </c>
      <c r="I34" s="16">
        <f t="shared" si="4"/>
        <v>0.10204299932977633</v>
      </c>
    </row>
    <row r="35" spans="1:9" ht="16">
      <c r="A35" s="128" t="str">
        <f>'Sovereign Ratings (Moody''s,S&amp;P)'!A29</f>
        <v>Canada</v>
      </c>
      <c r="B35" s="123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5.2299999999999999E-2</v>
      </c>
      <c r="F35" s="13">
        <f t="shared" si="2"/>
        <v>0</v>
      </c>
      <c r="G35" s="13">
        <f>VLOOKUP(A35,'10-year CDS Spreads'!$A$2:$D$157,4)</f>
        <v>1.1000000000000003E-3</v>
      </c>
      <c r="H35" s="13">
        <f t="shared" si="3"/>
        <v>5.3677267475616616E-2</v>
      </c>
      <c r="I35" s="16">
        <f t="shared" si="4"/>
        <v>1.3772674756166135E-3</v>
      </c>
    </row>
    <row r="36" spans="1:9" ht="16">
      <c r="A36" s="128" t="str">
        <f>'Sovereign Ratings (Moody''s,S&amp;P)'!A30</f>
        <v>Cape Verde</v>
      </c>
      <c r="B36" s="123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6.4581924840476007E-2</v>
      </c>
      <c r="E36" s="24">
        <f t="shared" si="1"/>
        <v>0.13316053145045842</v>
      </c>
      <c r="F36" s="13">
        <f t="shared" si="2"/>
        <v>8.0860531450458406E-2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8" t="str">
        <f>'Sovereign Ratings (Moody''s,S&amp;P)'!A31</f>
        <v>Cayman Islands</v>
      </c>
      <c r="B37" s="123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7.0934245316588403E-3</v>
      </c>
      <c r="E37" s="24">
        <f t="shared" si="1"/>
        <v>6.1181402634722479E-2</v>
      </c>
      <c r="F37" s="13">
        <f t="shared" si="2"/>
        <v>8.8814026347224795E-3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8" t="str">
        <f>'Sovereign Ratings (Moody''s,S&amp;P)'!A32</f>
        <v>Chile</v>
      </c>
      <c r="B38" s="123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8.2580166189461131E-3</v>
      </c>
      <c r="E38" s="24">
        <f t="shared" si="1"/>
        <v>6.2639543365796316E-2</v>
      </c>
      <c r="F38" s="13">
        <f t="shared" si="2"/>
        <v>1.0339543365796322E-2</v>
      </c>
      <c r="G38" s="13">
        <f>VLOOKUP(A38,'10-year CDS Spreads'!$A$2:$D$157,4)</f>
        <v>1.01E-2</v>
      </c>
      <c r="H38" s="13">
        <f t="shared" si="3"/>
        <v>6.4945819548843445E-2</v>
      </c>
      <c r="I38" s="16">
        <f t="shared" si="4"/>
        <v>1.2645819548843449E-2</v>
      </c>
    </row>
    <row r="39" spans="1:9" ht="16">
      <c r="A39" s="128" t="str">
        <f>'Sovereign Ratings (Moody''s,S&amp;P)'!A33</f>
        <v>China</v>
      </c>
      <c r="B39" s="123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8.2580166189461131E-3</v>
      </c>
      <c r="E39" s="24">
        <f t="shared" si="1"/>
        <v>6.2639543365796316E-2</v>
      </c>
      <c r="F39" s="13">
        <f t="shared" si="2"/>
        <v>1.0339543365796322E-2</v>
      </c>
      <c r="G39" s="13">
        <f>VLOOKUP(A39,'10-year CDS Spreads'!$A$2:$D$157,4)</f>
        <v>5.4000000000000003E-3</v>
      </c>
      <c r="H39" s="13">
        <f t="shared" si="3"/>
        <v>5.9061131243936103E-2</v>
      </c>
      <c r="I39" s="16">
        <f t="shared" si="4"/>
        <v>6.7611312439361014E-3</v>
      </c>
    </row>
    <row r="40" spans="1:9" ht="16">
      <c r="A40" s="128" t="str">
        <f>'Sovereign Ratings (Moody''s,S&amp;P)'!A34</f>
        <v>Colombia</v>
      </c>
      <c r="B40" s="123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2.2338993674328587E-2</v>
      </c>
      <c r="E40" s="24">
        <f t="shared" si="1"/>
        <v>8.0269790386961845E-2</v>
      </c>
      <c r="F40" s="13">
        <f t="shared" si="2"/>
        <v>2.7969790386961842E-2</v>
      </c>
      <c r="G40" s="13">
        <f>VLOOKUP(A40,'10-year CDS Spreads'!$A$2:$D$157,4)</f>
        <v>1.7599999999999998E-2</v>
      </c>
      <c r="H40" s="13">
        <f t="shared" si="3"/>
        <v>7.4336279609865802E-2</v>
      </c>
      <c r="I40" s="16">
        <f t="shared" si="4"/>
        <v>2.203627960986581E-2</v>
      </c>
    </row>
    <row r="41" spans="1:9" ht="16">
      <c r="A41" s="128" t="str">
        <f>'Sovereign Ratings (Moody''s,S&amp;P)'!A35</f>
        <v>Congo (Democratic Republic of)</v>
      </c>
      <c r="B41" s="123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8.7979638594156681E-2</v>
      </c>
      <c r="E41" s="24">
        <f t="shared" si="1"/>
        <v>0.16245590432021467</v>
      </c>
      <c r="F41" s="13">
        <f t="shared" si="2"/>
        <v>0.11015590432021467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8" t="str">
        <f>'Sovereign Ratings (Moody''s,S&amp;P)'!A36</f>
        <v>Congo (Republic of)</v>
      </c>
      <c r="B42" s="123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0.10566026391933617</v>
      </c>
      <c r="E42" s="24">
        <f t="shared" si="1"/>
        <v>0.18459313178288111</v>
      </c>
      <c r="F42" s="13">
        <f t="shared" si="2"/>
        <v>0.13229313178288113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8" t="str">
        <f>'Sovereign Ratings (Moody''s,S&amp;P)'!A37</f>
        <v>Cook Islands</v>
      </c>
      <c r="B43" s="123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5.2830131959668084E-2</v>
      </c>
      <c r="E43" s="24">
        <f t="shared" si="1"/>
        <v>0.11844656589144056</v>
      </c>
      <c r="F43" s="13">
        <f t="shared" si="2"/>
        <v>6.6146565891440565E-2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8" t="str">
        <f>'Sovereign Ratings (Moody''s,S&amp;P)'!A38</f>
        <v>Costa Rica</v>
      </c>
      <c r="B44" s="123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6.4581924840476007E-2</v>
      </c>
      <c r="E44" s="24">
        <f t="shared" si="1"/>
        <v>0.13316053145045842</v>
      </c>
      <c r="F44" s="13">
        <f t="shared" si="2"/>
        <v>8.0860531450458406E-2</v>
      </c>
      <c r="G44" s="13">
        <f>VLOOKUP(A44,'10-year CDS Spreads'!$A$2:$D$157,4)</f>
        <v>5.3800000000000001E-2</v>
      </c>
      <c r="H44" s="13">
        <f t="shared" si="3"/>
        <v>0.11966090017106709</v>
      </c>
      <c r="I44" s="16">
        <f t="shared" si="4"/>
        <v>6.7360900171067092E-2</v>
      </c>
    </row>
    <row r="45" spans="1:9" ht="16">
      <c r="A45" s="128" t="str">
        <f>'Sovereign Ratings (Moody''s,S&amp;P)'!A39</f>
        <v>Côte d'Ivoire</v>
      </c>
      <c r="B45" s="123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4.2242931166147427E-2</v>
      </c>
      <c r="E45" s="24">
        <f t="shared" si="1"/>
        <v>0.10519074106349657</v>
      </c>
      <c r="F45" s="13">
        <f t="shared" si="2"/>
        <v>5.2890741063496567E-2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8" t="str">
        <f>'Sovereign Ratings (Moody''s,S&amp;P)'!A40</f>
        <v>Croatia</v>
      </c>
      <c r="B46" s="123" t="str">
        <f>VLOOKUP(A46,'Regional lookup table'!$A$3:$B$161,2)</f>
        <v>Eastern Europe &amp; Russia</v>
      </c>
      <c r="C46" s="11" t="str">
        <f>'Sovereign Ratings (Moody''s,S&amp;P)'!C40</f>
        <v>Ba2</v>
      </c>
      <c r="D46" s="24">
        <f t="shared" si="0"/>
        <v>3.5255378642423785E-2</v>
      </c>
      <c r="E46" s="24">
        <f t="shared" si="1"/>
        <v>9.6441896677053524E-2</v>
      </c>
      <c r="F46" s="13">
        <f t="shared" si="2"/>
        <v>4.4141896677053517E-2</v>
      </c>
      <c r="G46" s="13">
        <f>VLOOKUP(A46,'10-year CDS Spreads'!$A$2:$D$157,4)</f>
        <v>8.2000000000000007E-3</v>
      </c>
      <c r="H46" s="13">
        <f t="shared" si="3"/>
        <v>6.2566903000051119E-2</v>
      </c>
      <c r="I46" s="16">
        <f t="shared" si="4"/>
        <v>1.0266903000051118E-2</v>
      </c>
    </row>
    <row r="47" spans="1:9" ht="16">
      <c r="A47" s="128" t="str">
        <f>'Sovereign Ratings (Moody''s,S&amp;P)'!A41</f>
        <v>Cuba</v>
      </c>
      <c r="B47" s="123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0.10566026391933617</v>
      </c>
      <c r="E47" s="24">
        <f t="shared" si="1"/>
        <v>0.18459313178288111</v>
      </c>
      <c r="F47" s="13">
        <f t="shared" si="2"/>
        <v>0.13229313178288113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8" t="str">
        <f>'Sovereign Ratings (Moody''s,S&amp;P)'!A42</f>
        <v>Curacao</v>
      </c>
      <c r="B48" s="123" t="str">
        <f>VLOOKUP(A48,'Regional lookup table'!$A$3:$B$161,2)</f>
        <v>Caribbean</v>
      </c>
      <c r="C48" s="11" t="str">
        <f>'Sovereign Ratings (Moody''s,S&amp;P)'!C42</f>
        <v>Baa2</v>
      </c>
      <c r="D48" s="24">
        <f t="shared" si="0"/>
        <v>2.2338993674328587E-2</v>
      </c>
      <c r="E48" s="24">
        <f t="shared" si="1"/>
        <v>8.0269790386961845E-2</v>
      </c>
      <c r="F48" s="13">
        <f t="shared" si="2"/>
        <v>2.7969790386961842E-2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8" t="str">
        <f>'Sovereign Ratings (Moody''s,S&amp;P)'!A43</f>
        <v>Cyprus</v>
      </c>
      <c r="B49" s="123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3.5255378642423785E-2</v>
      </c>
      <c r="E49" s="24">
        <f t="shared" si="1"/>
        <v>9.6441896677053524E-2</v>
      </c>
      <c r="F49" s="13">
        <f t="shared" si="2"/>
        <v>4.4141896677053517E-2</v>
      </c>
      <c r="G49" s="13">
        <f>VLOOKUP(A49,'10-year CDS Spreads'!$A$2:$D$157,4)</f>
        <v>9.1999999999999998E-3</v>
      </c>
      <c r="H49" s="13">
        <f t="shared" si="3"/>
        <v>6.3818964341520762E-2</v>
      </c>
      <c r="I49" s="16">
        <f t="shared" si="4"/>
        <v>1.1518964341520766E-2</v>
      </c>
    </row>
    <row r="50" spans="1:9" ht="16">
      <c r="A50" s="128" t="str">
        <f>'Sovereign Ratings (Moody''s,S&amp;P)'!A44</f>
        <v>Czech Republic</v>
      </c>
      <c r="B50" s="123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7.0934245316588403E-3</v>
      </c>
      <c r="E50" s="24">
        <f t="shared" si="1"/>
        <v>6.1181402634722479E-2</v>
      </c>
      <c r="F50" s="13">
        <f t="shared" si="2"/>
        <v>8.8814026347224795E-3</v>
      </c>
      <c r="G50" s="13">
        <f>VLOOKUP(A50,'10-year CDS Spreads'!$A$2:$D$157,4)</f>
        <v>2.8999999999999998E-3</v>
      </c>
      <c r="H50" s="13">
        <f t="shared" si="3"/>
        <v>5.5930977890261982E-2</v>
      </c>
      <c r="I50" s="16">
        <f t="shared" si="4"/>
        <v>3.6309778902619801E-3</v>
      </c>
    </row>
    <row r="51" spans="1:9" ht="16">
      <c r="A51" s="128" t="str">
        <f>'Sovereign Ratings (Moody''s,S&amp;P)'!A45</f>
        <v>Denmark</v>
      </c>
      <c r="B51" s="123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5.2299999999999999E-2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5.2299999999999999E-2</v>
      </c>
      <c r="I51" s="16">
        <f t="shared" si="4"/>
        <v>0</v>
      </c>
    </row>
    <row r="52" spans="1:9" ht="16">
      <c r="A52" s="128" t="str">
        <f>'Sovereign Ratings (Moody''s,S&amp;P)'!A46</f>
        <v>Dominican Republic</v>
      </c>
      <c r="B52" s="123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4.2242931166147427E-2</v>
      </c>
      <c r="E52" s="24">
        <f t="shared" si="1"/>
        <v>0.10519074106349657</v>
      </c>
      <c r="F52" s="13">
        <f t="shared" si="2"/>
        <v>5.2890741063496567E-2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8" t="str">
        <f>'Sovereign Ratings (Moody''s,S&amp;P)'!A47</f>
        <v>Ecuador</v>
      </c>
      <c r="B53" s="123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0.1173061847922089</v>
      </c>
      <c r="E53" s="24">
        <f t="shared" si="1"/>
        <v>0.19917453909361954</v>
      </c>
      <c r="F53" s="13">
        <f t="shared" si="2"/>
        <v>0.14687453909361955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28" t="str">
        <f>'Sovereign Ratings (Moody''s,S&amp;P)'!A48</f>
        <v>Egypt</v>
      </c>
      <c r="B54" s="123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6.4581924840476007E-2</v>
      </c>
      <c r="E54" s="24">
        <f t="shared" si="1"/>
        <v>0.13316053145045842</v>
      </c>
      <c r="F54" s="13">
        <f t="shared" si="2"/>
        <v>8.0860531450458406E-2</v>
      </c>
      <c r="G54" s="13">
        <f>VLOOKUP(A54,'10-year CDS Spreads'!$A$2:$D$157,4)</f>
        <v>6.1400000000000003E-2</v>
      </c>
      <c r="H54" s="13">
        <f t="shared" si="3"/>
        <v>0.12917656636623642</v>
      </c>
      <c r="I54" s="16">
        <f t="shared" si="4"/>
        <v>7.6876566366236423E-2</v>
      </c>
    </row>
    <row r="55" spans="1:9" ht="16">
      <c r="A55" s="128" t="str">
        <f>'Sovereign Ratings (Moody''s,S&amp;P)'!A49</f>
        <v>El Salvador</v>
      </c>
      <c r="B55" s="123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7.6333717721283945E-2</v>
      </c>
      <c r="E55" s="24">
        <f t="shared" si="1"/>
        <v>0.14787449700947625</v>
      </c>
      <c r="F55" s="13">
        <f t="shared" si="2"/>
        <v>9.5574497009476247E-2</v>
      </c>
      <c r="G55" s="13">
        <f>VLOOKUP(A55,'10-year CDS Spreads'!$A$2:$D$157,4)</f>
        <v>8.1699999999999995E-2</v>
      </c>
      <c r="H55" s="13">
        <f t="shared" si="3"/>
        <v>0.15459341159807027</v>
      </c>
      <c r="I55" s="16">
        <f t="shared" si="4"/>
        <v>0.10229341159807027</v>
      </c>
    </row>
    <row r="56" spans="1:9" ht="16">
      <c r="A56" s="128" t="str">
        <f>'Sovereign Ratings (Moody''s,S&amp;P)'!A50</f>
        <v>Estonia</v>
      </c>
      <c r="B56" s="123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8.2580166189461131E-3</v>
      </c>
      <c r="E56" s="24">
        <f t="shared" si="1"/>
        <v>6.2639543365796316E-2</v>
      </c>
      <c r="F56" s="13">
        <f t="shared" si="2"/>
        <v>1.0339543365796322E-2</v>
      </c>
      <c r="G56" s="13">
        <f>VLOOKUP(A56,'10-year CDS Spreads'!$A$2:$D$157,4)</f>
        <v>4.4000000000000003E-3</v>
      </c>
      <c r="H56" s="13">
        <f t="shared" si="3"/>
        <v>5.7809069902466453E-2</v>
      </c>
      <c r="I56" s="16">
        <f t="shared" si="4"/>
        <v>5.5090699024664532E-3</v>
      </c>
    </row>
    <row r="57" spans="1:9" ht="16">
      <c r="A57" s="128" t="str">
        <f>'Sovereign Ratings (Moody''s,S&amp;P)'!A51</f>
        <v>Ethiopia</v>
      </c>
      <c r="B57" s="123" t="str">
        <f>VLOOKUP(A57,'Regional lookup table'!$A$3:$B$161,2)</f>
        <v>Africa</v>
      </c>
      <c r="C57" s="11" t="str">
        <f>'Sovereign Ratings (Moody''s,S&amp;P)'!C51</f>
        <v>B2</v>
      </c>
      <c r="D57" s="24">
        <f t="shared" si="0"/>
        <v>6.4581924840476007E-2</v>
      </c>
      <c r="E57" s="24">
        <f t="shared" si="1"/>
        <v>0.13316053145045842</v>
      </c>
      <c r="F57" s="13">
        <f t="shared" si="2"/>
        <v>8.0860531450458406E-2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28" t="str">
        <f>'Sovereign Ratings (Moody''s,S&amp;P)'!A52</f>
        <v>Fiji</v>
      </c>
      <c r="B58" s="123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4.2242931166147427E-2</v>
      </c>
      <c r="E58" s="24">
        <f t="shared" si="1"/>
        <v>0.10519074106349657</v>
      </c>
      <c r="F58" s="13">
        <f t="shared" si="2"/>
        <v>5.2890741063496567E-2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8" t="str">
        <f>'Sovereign Ratings (Moody''s,S&amp;P)'!A53</f>
        <v>Finland</v>
      </c>
      <c r="B59" s="123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4.6583683491490885E-3</v>
      </c>
      <c r="E59" s="24">
        <f t="shared" si="1"/>
        <v>5.8132562924295361E-2</v>
      </c>
      <c r="F59" s="13">
        <f t="shared" si="2"/>
        <v>5.8325629242953593E-3</v>
      </c>
      <c r="G59" s="13">
        <f>VLOOKUP(A59,'10-year CDS Spreads'!$A$2:$D$157,4)</f>
        <v>1.0000000000000026E-4</v>
      </c>
      <c r="H59" s="13">
        <f t="shared" si="3"/>
        <v>5.2425206134146966E-2</v>
      </c>
      <c r="I59" s="16">
        <f t="shared" si="4"/>
        <v>1.2520613414696518E-4</v>
      </c>
    </row>
    <row r="60" spans="1:9" ht="16">
      <c r="A60" s="128" t="str">
        <f>'Sovereign Ratings (Moody''s,S&amp;P)'!A54</f>
        <v>France</v>
      </c>
      <c r="B60" s="123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5.8229604364363613E-3</v>
      </c>
      <c r="E60" s="24">
        <f t="shared" si="1"/>
        <v>5.9590703655369198E-2</v>
      </c>
      <c r="F60" s="13">
        <f t="shared" si="2"/>
        <v>7.2907036553691998E-3</v>
      </c>
      <c r="G60" s="13">
        <f>VLOOKUP(A60,'10-year CDS Spreads'!$A$2:$D$157,4)</f>
        <v>1.2000000000000001E-3</v>
      </c>
      <c r="H60" s="13">
        <f t="shared" si="3"/>
        <v>5.3802473609763576E-2</v>
      </c>
      <c r="I60" s="16">
        <f t="shared" si="4"/>
        <v>1.5024736097635782E-3</v>
      </c>
    </row>
    <row r="61" spans="1:9" ht="16">
      <c r="A61" s="128" t="str">
        <f>'Sovereign Ratings (Moody''s,S&amp;P)'!A55</f>
        <v>Gabon</v>
      </c>
      <c r="B61" s="123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8.7979638594156681E-2</v>
      </c>
      <c r="E61" s="24">
        <f t="shared" si="1"/>
        <v>0.16245590432021467</v>
      </c>
      <c r="F61" s="13">
        <f t="shared" si="2"/>
        <v>0.11015590432021467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8" t="str">
        <f>'Sovereign Ratings (Moody''s,S&amp;P)'!A56</f>
        <v>Georgia</v>
      </c>
      <c r="B62" s="123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3.5255378642423785E-2</v>
      </c>
      <c r="E62" s="24">
        <f t="shared" si="1"/>
        <v>9.6441896677053524E-2</v>
      </c>
      <c r="F62" s="13">
        <f t="shared" si="2"/>
        <v>4.4141896677053517E-2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8" t="str">
        <f>'Sovereign Ratings (Moody''s,S&amp;P)'!A57</f>
        <v>Germany</v>
      </c>
      <c r="B63" s="123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5.2299999999999999E-2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5.2299999999999999E-2</v>
      </c>
      <c r="I63" s="16">
        <f t="shared" si="4"/>
        <v>0</v>
      </c>
    </row>
    <row r="64" spans="1:9" ht="16">
      <c r="A64" s="128" t="str">
        <f>'Sovereign Ratings (Moody''s,S&amp;P)'!A58</f>
        <v>Ghana</v>
      </c>
      <c r="B64" s="123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7.6333717721283945E-2</v>
      </c>
      <c r="E64" s="24">
        <f t="shared" si="1"/>
        <v>0.14787449700947625</v>
      </c>
      <c r="F64" s="13">
        <f t="shared" si="2"/>
        <v>9.5574497009476247E-2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8" t="str">
        <f>'Sovereign Ratings (Moody''s,S&amp;P)'!A59</f>
        <v>Greece</v>
      </c>
      <c r="B65" s="123" t="str">
        <f>VLOOKUP(A65,'Regional lookup table'!$A$3:$B$161,2)</f>
        <v>Western Europe</v>
      </c>
      <c r="C65" s="11" t="str">
        <f>'Sovereign Ratings (Moody''s,S&amp;P)'!C59</f>
        <v>B1</v>
      </c>
      <c r="D65" s="24">
        <f t="shared" si="0"/>
        <v>5.2830131959668084E-2</v>
      </c>
      <c r="E65" s="24">
        <f t="shared" si="1"/>
        <v>0.11844656589144056</v>
      </c>
      <c r="F65" s="13">
        <f t="shared" si="2"/>
        <v>6.6146565891440565E-2</v>
      </c>
      <c r="G65" s="13">
        <f>VLOOKUP(A65,'10-year CDS Spreads'!$A$2:$D$157,4)</f>
        <v>1.67E-2</v>
      </c>
      <c r="H65" s="13">
        <f t="shared" si="3"/>
        <v>7.3209424402543133E-2</v>
      </c>
      <c r="I65" s="16">
        <f t="shared" si="4"/>
        <v>2.0909424402543127E-2</v>
      </c>
    </row>
    <row r="66" spans="1:9" ht="16">
      <c r="A66" s="128" t="str">
        <f>'Sovereign Ratings (Moody''s,S&amp;P)'!A60</f>
        <v>Guatemala</v>
      </c>
      <c r="B66" s="123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2.9326546198052226E-2</v>
      </c>
      <c r="E66" s="24">
        <f t="shared" si="1"/>
        <v>8.9018634773404881E-2</v>
      </c>
      <c r="F66" s="13">
        <f t="shared" si="2"/>
        <v>3.6718634773404889E-2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8" t="str">
        <f>'Sovereign Ratings (Moody''s,S&amp;P)'!A61</f>
        <v>Guernsey (States of)</v>
      </c>
      <c r="B67" s="123" t="str">
        <f>VLOOKUP(A67,'Regional lookup table'!$A$3:$B$161,2)</f>
        <v>Western Europe</v>
      </c>
      <c r="C67" s="11" t="str">
        <f>'Sovereign Ratings (Moody''s,S&amp;P)'!C61</f>
        <v>Aa3</v>
      </c>
      <c r="D67" s="24">
        <f t="shared" si="0"/>
        <v>7.0934245316588403E-3</v>
      </c>
      <c r="E67" s="24">
        <f t="shared" si="1"/>
        <v>6.1181402634722479E-2</v>
      </c>
      <c r="F67" s="13">
        <f t="shared" si="2"/>
        <v>8.8814026347224795E-3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8" t="str">
        <f>'Sovereign Ratings (Moody''s,S&amp;P)'!A62</f>
        <v>Honduras</v>
      </c>
      <c r="B68" s="123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5.2830131959668084E-2</v>
      </c>
      <c r="E68" s="24">
        <f t="shared" si="1"/>
        <v>0.11844656589144056</v>
      </c>
      <c r="F68" s="13">
        <f t="shared" si="2"/>
        <v>6.6146565891440565E-2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8" t="str">
        <f>'Sovereign Ratings (Moody''s,S&amp;P)'!A63</f>
        <v>Hong Kong</v>
      </c>
      <c r="B69" s="123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7.0934245316588403E-3</v>
      </c>
      <c r="E69" s="24">
        <f t="shared" si="1"/>
        <v>6.1181402634722479E-2</v>
      </c>
      <c r="F69" s="13">
        <f t="shared" si="2"/>
        <v>8.8814026347224795E-3</v>
      </c>
      <c r="G69" s="13">
        <f>VLOOKUP(A69,'10-year CDS Spreads'!$A$2:$D$157,4)</f>
        <v>5.0000000000000001E-3</v>
      </c>
      <c r="H69" s="13">
        <f t="shared" si="3"/>
        <v>5.8560306707348242E-2</v>
      </c>
      <c r="I69" s="16">
        <f t="shared" si="4"/>
        <v>6.2603067073482427E-3</v>
      </c>
    </row>
    <row r="70" spans="1:9" ht="16">
      <c r="A70" s="128" t="str">
        <f>'Sovereign Ratings (Moody''s,S&amp;P)'!A64</f>
        <v>Hungary</v>
      </c>
      <c r="B70" s="123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2.5832769936190408E-2</v>
      </c>
      <c r="E70" s="24">
        <f t="shared" si="1"/>
        <v>8.464421258018337E-2</v>
      </c>
      <c r="F70" s="13">
        <f t="shared" si="2"/>
        <v>3.2344212580183364E-2</v>
      </c>
      <c r="G70" s="13">
        <f>VLOOKUP(A70,'10-year CDS Spreads'!$A$2:$D$157,4)</f>
        <v>8.5000000000000006E-3</v>
      </c>
      <c r="H70" s="13">
        <f t="shared" si="3"/>
        <v>6.2942521402492013E-2</v>
      </c>
      <c r="I70" s="16">
        <f t="shared" si="4"/>
        <v>1.0642521402492012E-2</v>
      </c>
    </row>
    <row r="71" spans="1:9" ht="16">
      <c r="A71" s="128" t="str">
        <f>'Sovereign Ratings (Moody''s,S&amp;P)'!A65</f>
        <v>Iceland</v>
      </c>
      <c r="B71" s="123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9.9519687459094178E-3</v>
      </c>
      <c r="E71" s="24">
        <f t="shared" si="1"/>
        <v>6.4760475338267356E-2</v>
      </c>
      <c r="F71" s="13">
        <f t="shared" si="2"/>
        <v>1.2460475338267361E-2</v>
      </c>
      <c r="G71" s="13">
        <f>VLOOKUP(A71,'10-year CDS Spreads'!$A$2:$D$157,4)</f>
        <v>7.1999999999999998E-3</v>
      </c>
      <c r="H71" s="13">
        <f t="shared" si="3"/>
        <v>6.1314841658581469E-2</v>
      </c>
      <c r="I71" s="16">
        <f t="shared" si="4"/>
        <v>9.014841658581468E-3</v>
      </c>
    </row>
    <row r="72" spans="1:9" ht="16">
      <c r="A72" s="128" t="str">
        <f>'Sovereign Ratings (Moody''s,S&amp;P)'!A66</f>
        <v>India</v>
      </c>
      <c r="B72" s="123" t="str">
        <f>VLOOKUP(A72,'Regional lookup table'!$A$3:$B$161,2)</f>
        <v>Asia</v>
      </c>
      <c r="C72" s="11" t="str">
        <f>'Sovereign Ratings (Moody''s,S&amp;P)'!C66</f>
        <v>Baa3</v>
      </c>
      <c r="D72" s="24">
        <f t="shared" si="0"/>
        <v>2.5832769936190408E-2</v>
      </c>
      <c r="E72" s="24">
        <f t="shared" si="1"/>
        <v>8.464421258018337E-2</v>
      </c>
      <c r="F72" s="13">
        <f t="shared" si="2"/>
        <v>3.2344212580183364E-2</v>
      </c>
      <c r="G72" s="13">
        <f>VLOOKUP(A72,'10-year CDS Spreads'!$A$2:$D$157,4)</f>
        <v>1.4299999999999998E-2</v>
      </c>
      <c r="H72" s="13">
        <f t="shared" si="3"/>
        <v>7.0204477183015965E-2</v>
      </c>
      <c r="I72" s="16">
        <f t="shared" si="4"/>
        <v>1.7904477183015969E-2</v>
      </c>
    </row>
    <row r="73" spans="1:9" ht="16">
      <c r="A73" s="128" t="str">
        <f>'Sovereign Ratings (Moody''s,S&amp;P)'!A67</f>
        <v>Indonesia</v>
      </c>
      <c r="B73" s="123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7">VLOOKUP(C73,$J$9:$K$31,2,FALSE)/10000</f>
        <v>2.2338993674328587E-2</v>
      </c>
      <c r="E73" s="24">
        <f>$E$3+F73</f>
        <v>8.0269790386961845E-2</v>
      </c>
      <c r="F73" s="13">
        <f>IF($E$4="Yes",D73*$E$5,D73)</f>
        <v>2.7969790386961842E-2</v>
      </c>
      <c r="G73" s="13">
        <f>VLOOKUP(A73,'10-year CDS Spreads'!$A$2:$D$157,4)</f>
        <v>1.6100000000000003E-2</v>
      </c>
      <c r="H73" s="13">
        <f>IF(I73="NA","NA",$E$3+I73)</f>
        <v>7.2458187597661344E-2</v>
      </c>
      <c r="I73" s="16">
        <f t="shared" ref="I73:I140" si="8">IF(G73="NA","NA",G73*$E$5)</f>
        <v>2.0158187597661345E-2</v>
      </c>
    </row>
    <row r="74" spans="1:9" ht="16">
      <c r="A74" s="128" t="str">
        <f>'Sovereign Ratings (Moody''s,S&amp;P)'!A68</f>
        <v>Iraq</v>
      </c>
      <c r="B74" s="123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7"/>
        <v>8.7979638594156681E-2</v>
      </c>
      <c r="E74" s="24">
        <f t="shared" ref="E74:E144" si="9">$E$3+F74</f>
        <v>0.16245590432021467</v>
      </c>
      <c r="F74" s="13">
        <f t="shared" ref="F74:F130" si="10">IF($E$4="Yes",D74*$E$5,D74)</f>
        <v>0.11015590432021467</v>
      </c>
      <c r="G74" s="13">
        <f>VLOOKUP(A74,'10-year CDS Spreads'!$A$2:$D$157,4)</f>
        <v>8.3299999999999999E-2</v>
      </c>
      <c r="H74" s="13">
        <f t="shared" ref="H74:H144" si="11">IF(I74="NA","NA",$E$3+I74)</f>
        <v>0.15659670974442169</v>
      </c>
      <c r="I74" s="16">
        <f t="shared" si="8"/>
        <v>0.10429670974442171</v>
      </c>
    </row>
    <row r="75" spans="1:9" ht="16">
      <c r="A75" s="128" t="str">
        <f>'Sovereign Ratings (Moody''s,S&amp;P)'!A69</f>
        <v>Ireland</v>
      </c>
      <c r="B75" s="123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7"/>
        <v>9.9519687459094178E-3</v>
      </c>
      <c r="E75" s="24">
        <f t="shared" si="9"/>
        <v>6.4760475338267356E-2</v>
      </c>
      <c r="F75" s="13">
        <f t="shared" si="10"/>
        <v>1.2460475338267361E-2</v>
      </c>
      <c r="G75" s="13">
        <f>VLOOKUP(A75,'10-year CDS Spreads'!$A$2:$D$157,4)</f>
        <v>1.7000000000000001E-3</v>
      </c>
      <c r="H75" s="13">
        <f t="shared" si="11"/>
        <v>5.4428504280498405E-2</v>
      </c>
      <c r="I75" s="16">
        <f t="shared" si="8"/>
        <v>2.1285042804984025E-3</v>
      </c>
    </row>
    <row r="76" spans="1:9" ht="16">
      <c r="A76" s="128" t="str">
        <f>'Sovereign Ratings (Moody''s,S&amp;P)'!A70</f>
        <v>Isle of Man</v>
      </c>
      <c r="B76" s="123" t="str">
        <f>VLOOKUP(A76,'Regional lookup table'!$A$3:$B$161,2)</f>
        <v>Western Europe</v>
      </c>
      <c r="C76" s="11" t="str">
        <f>'Sovereign Ratings (Moody''s,S&amp;P)'!C70</f>
        <v>Aa2</v>
      </c>
      <c r="D76" s="24">
        <f t="shared" si="7"/>
        <v>5.8229604364363613E-3</v>
      </c>
      <c r="E76" s="24">
        <f t="shared" si="9"/>
        <v>5.9590703655369198E-2</v>
      </c>
      <c r="F76" s="13">
        <f t="shared" si="10"/>
        <v>7.2907036553691998E-3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6">
      <c r="A77" s="128" t="str">
        <f>'Sovereign Ratings (Moody''s,S&amp;P)'!A71</f>
        <v>Israel</v>
      </c>
      <c r="B77" s="123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7"/>
        <v>8.2580166189461131E-3</v>
      </c>
      <c r="E77" s="24">
        <f t="shared" si="9"/>
        <v>6.2639543365796316E-2</v>
      </c>
      <c r="F77" s="13">
        <f t="shared" si="10"/>
        <v>1.0339543365796322E-2</v>
      </c>
      <c r="G77" s="13">
        <f>VLOOKUP(A77,'10-year CDS Spreads'!$A$2:$D$157,4)</f>
        <v>6.0000000000000001E-3</v>
      </c>
      <c r="H77" s="13">
        <f t="shared" si="11"/>
        <v>5.9812368048817892E-2</v>
      </c>
      <c r="I77" s="16">
        <f t="shared" si="8"/>
        <v>7.5123680488178909E-3</v>
      </c>
    </row>
    <row r="78" spans="1:9" ht="16">
      <c r="A78" s="128" t="str">
        <f>'Sovereign Ratings (Moody''s,S&amp;P)'!A72</f>
        <v>Italy</v>
      </c>
      <c r="B78" s="123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7"/>
        <v>2.5832769936190408E-2</v>
      </c>
      <c r="E78" s="24">
        <f t="shared" si="9"/>
        <v>8.464421258018337E-2</v>
      </c>
      <c r="F78" s="13">
        <f t="shared" si="10"/>
        <v>3.2344212580183364E-2</v>
      </c>
      <c r="G78" s="13">
        <f>VLOOKUP(A78,'10-year CDS Spreads'!$A$2:$D$157,4)</f>
        <v>1.7099999999999997E-2</v>
      </c>
      <c r="H78" s="13">
        <f t="shared" si="11"/>
        <v>7.3710248939130987E-2</v>
      </c>
      <c r="I78" s="16">
        <f t="shared" si="8"/>
        <v>2.1410248939130985E-2</v>
      </c>
    </row>
    <row r="79" spans="1:9" ht="16">
      <c r="A79" s="128" t="str">
        <f>'Sovereign Ratings (Moody''s,S&amp;P)'!A73</f>
        <v>Jamaica</v>
      </c>
      <c r="B79" s="123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7"/>
        <v>6.4581924840476007E-2</v>
      </c>
      <c r="E79" s="24">
        <f t="shared" si="9"/>
        <v>0.13316053145045842</v>
      </c>
      <c r="F79" s="13">
        <f t="shared" si="10"/>
        <v>8.0860531450458406E-2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6">
      <c r="A80" s="128" t="str">
        <f>'Sovereign Ratings (Moody''s,S&amp;P)'!A74</f>
        <v>Japan</v>
      </c>
      <c r="B80" s="123" t="str">
        <f>VLOOKUP(A80,'Regional lookup table'!$A$3:$B$161,2)</f>
        <v>Asia</v>
      </c>
      <c r="C80" s="11" t="str">
        <f>'Sovereign Ratings (Moody''s,S&amp;P)'!C74</f>
        <v>A1</v>
      </c>
      <c r="D80" s="24">
        <f t="shared" si="7"/>
        <v>8.2580166189461131E-3</v>
      </c>
      <c r="E80" s="24">
        <f t="shared" si="9"/>
        <v>6.2639543365796316E-2</v>
      </c>
      <c r="F80" s="13">
        <f t="shared" si="10"/>
        <v>1.0339543365796322E-2</v>
      </c>
      <c r="G80" s="13">
        <f>VLOOKUP(A80,'10-year CDS Spreads'!$A$2:$D$157,4)</f>
        <v>2.9999999999999992E-4</v>
      </c>
      <c r="H80" s="13">
        <f t="shared" si="11"/>
        <v>5.2675618402440894E-2</v>
      </c>
      <c r="I80" s="16">
        <f t="shared" si="8"/>
        <v>3.7561840244089445E-4</v>
      </c>
    </row>
    <row r="81" spans="1:9" ht="16">
      <c r="A81" s="128" t="str">
        <f>'Sovereign Ratings (Moody''s,S&amp;P)'!A75</f>
        <v>Jersey (States of)</v>
      </c>
      <c r="B81" s="123" t="str">
        <f>VLOOKUP(A81,'Regional lookup table'!$A$3:$B$161,2)</f>
        <v>Western Europe</v>
      </c>
      <c r="C81" s="11" t="str">
        <f>'Sovereign Ratings (Moody''s,S&amp;P)'!C75</f>
        <v>Aa3</v>
      </c>
      <c r="D81" s="24">
        <f t="shared" si="7"/>
        <v>7.0934245316588403E-3</v>
      </c>
      <c r="E81" s="24">
        <f t="shared" si="9"/>
        <v>6.1181402634722479E-2</v>
      </c>
      <c r="F81" s="13">
        <f t="shared" si="10"/>
        <v>8.8814026347224795E-3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6">
      <c r="A82" s="128" t="str">
        <f>'Sovereign Ratings (Moody''s,S&amp;P)'!A76</f>
        <v>Jordan</v>
      </c>
      <c r="B82" s="123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7"/>
        <v>5.2830131959668084E-2</v>
      </c>
      <c r="E82" s="24">
        <f t="shared" si="9"/>
        <v>0.11844656589144056</v>
      </c>
      <c r="F82" s="13">
        <f t="shared" si="10"/>
        <v>6.6146565891440565E-2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6">
      <c r="A83" s="128" t="str">
        <f>'Sovereign Ratings (Moody''s,S&amp;P)'!A77</f>
        <v>Kazakhstan</v>
      </c>
      <c r="B83" s="123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7"/>
        <v>2.5832769936190408E-2</v>
      </c>
      <c r="E83" s="24">
        <f t="shared" si="9"/>
        <v>8.464421258018337E-2</v>
      </c>
      <c r="F83" s="13">
        <f t="shared" si="10"/>
        <v>3.2344212580183364E-2</v>
      </c>
      <c r="G83" s="13">
        <f>VLOOKUP(A83,'10-year CDS Spreads'!$A$2:$D$157,4)</f>
        <v>1.3099999999999999E-2</v>
      </c>
      <c r="H83" s="13">
        <f t="shared" si="11"/>
        <v>6.8702003573252388E-2</v>
      </c>
      <c r="I83" s="16">
        <f t="shared" si="8"/>
        <v>1.6402003573252392E-2</v>
      </c>
    </row>
    <row r="84" spans="1:9" ht="16">
      <c r="A84" s="128" t="str">
        <f>'Sovereign Ratings (Moody''s,S&amp;P)'!A78</f>
        <v>Kenya</v>
      </c>
      <c r="B84" s="123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7"/>
        <v>6.4581924840476007E-2</v>
      </c>
      <c r="E84" s="24">
        <f t="shared" si="9"/>
        <v>0.13316053145045842</v>
      </c>
      <c r="F84" s="13">
        <f t="shared" si="10"/>
        <v>8.0860531450458406E-2</v>
      </c>
      <c r="G84" s="13">
        <f>VLOOKUP(A84,'10-year CDS Spreads'!$A$2:$D$157,4)</f>
        <v>5.9500000000000004E-2</v>
      </c>
      <c r="H84" s="13">
        <f t="shared" si="11"/>
        <v>0.12679764981744407</v>
      </c>
      <c r="I84" s="16">
        <f t="shared" si="8"/>
        <v>7.4497649817444084E-2</v>
      </c>
    </row>
    <row r="85" spans="1:9" ht="16">
      <c r="A85" s="128" t="str">
        <f>'Sovereign Ratings (Moody''s,S&amp;P)'!A79</f>
        <v>Korea</v>
      </c>
      <c r="B85" s="123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7"/>
        <v>5.8229604364363613E-3</v>
      </c>
      <c r="E85" s="24">
        <f>$E$3+F85</f>
        <v>5.9590703655369198E-2</v>
      </c>
      <c r="F85" s="13">
        <f>IF($E$4="Yes",D85*$E$5,D85)</f>
        <v>7.2907036553691998E-3</v>
      </c>
      <c r="G85" s="13">
        <f>VLOOKUP(A85,'10-year CDS Spreads'!$A$2:$D$157,4)</f>
        <v>1.8999999999999998E-3</v>
      </c>
      <c r="H85" s="13">
        <f>IF(I85="NA","NA",$E$3+I85)</f>
        <v>5.4678916548792332E-2</v>
      </c>
      <c r="I85" s="16">
        <f t="shared" si="8"/>
        <v>2.3789165487923319E-3</v>
      </c>
    </row>
    <row r="86" spans="1:9" ht="16">
      <c r="A86" s="128" t="str">
        <f>'Sovereign Ratings (Moody''s,S&amp;P)'!A80</f>
        <v>Kuwait</v>
      </c>
      <c r="B86" s="123" t="str">
        <f>VLOOKUP(A86,'Regional lookup table'!$A$3:$B$161,2)</f>
        <v>Middle East</v>
      </c>
      <c r="C86" s="11" t="str">
        <f>'Sovereign Ratings (Moody''s,S&amp;P)'!C80</f>
        <v>Aa2</v>
      </c>
      <c r="D86" s="24">
        <f t="shared" si="7"/>
        <v>5.8229604364363613E-3</v>
      </c>
      <c r="E86" s="24">
        <f t="shared" si="9"/>
        <v>5.9590703655369198E-2</v>
      </c>
      <c r="F86" s="13">
        <f t="shared" si="10"/>
        <v>7.2907036553691998E-3</v>
      </c>
      <c r="G86" s="13">
        <f>VLOOKUP(A86,'10-year CDS Spreads'!$A$2:$D$157,4)</f>
        <v>8.8000000000000005E-3</v>
      </c>
      <c r="H86" s="13">
        <f t="shared" si="11"/>
        <v>6.3318139804932907E-2</v>
      </c>
      <c r="I86" s="16">
        <f t="shared" si="8"/>
        <v>1.1018139804932906E-2</v>
      </c>
    </row>
    <row r="87" spans="1:9" ht="16">
      <c r="A87" s="128" t="str">
        <f>'Sovereign Ratings (Moody''s,S&amp;P)'!A81</f>
        <v>Kyrgyzstan</v>
      </c>
      <c r="B87" s="123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7"/>
        <v>6.4581924840476007E-2</v>
      </c>
      <c r="E87" s="24">
        <f t="shared" si="9"/>
        <v>0.13316053145045842</v>
      </c>
      <c r="F87" s="13">
        <f t="shared" si="10"/>
        <v>8.0860531450458406E-2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6">
      <c r="A88" s="128" t="str">
        <f>'Sovereign Ratings (Moody''s,S&amp;P)'!A82</f>
        <v>Laos</v>
      </c>
      <c r="B88" s="123" t="str">
        <f>VLOOKUP(A88,'Regional lookup table'!$A$3:$B$161,2)</f>
        <v>Asia</v>
      </c>
      <c r="C88" s="11" t="str">
        <f>'Sovereign Ratings (Moody''s,S&amp;P)'!C82</f>
        <v>B3</v>
      </c>
      <c r="D88" s="24">
        <f t="shared" si="7"/>
        <v>7.6333717721283945E-2</v>
      </c>
      <c r="E88" s="24">
        <f t="shared" ref="E88" si="12">$E$3+F88</f>
        <v>0.14787449700947625</v>
      </c>
      <c r="F88" s="13">
        <f t="shared" ref="F88" si="13">IF($E$4="Yes",D88*$E$5,D88)</f>
        <v>9.5574497009476247E-2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6">
      <c r="A89" s="128" t="str">
        <f>'Sovereign Ratings (Moody''s,S&amp;P)'!A83</f>
        <v>Latvia</v>
      </c>
      <c r="B89" s="123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7"/>
        <v>1.4080977055382476E-2</v>
      </c>
      <c r="E89" s="24">
        <f t="shared" si="9"/>
        <v>6.9930247021165515E-2</v>
      </c>
      <c r="F89" s="13">
        <f t="shared" si="10"/>
        <v>1.7630247021165522E-2</v>
      </c>
      <c r="G89" s="13">
        <f>VLOOKUP(A89,'10-year CDS Spreads'!$A$2:$D$157,4)</f>
        <v>7.1000000000000004E-3</v>
      </c>
      <c r="H89" s="13">
        <f t="shared" si="11"/>
        <v>6.1189635524434502E-2</v>
      </c>
      <c r="I89" s="16">
        <f t="shared" si="8"/>
        <v>8.8896355244345044E-3</v>
      </c>
    </row>
    <row r="90" spans="1:9" ht="16">
      <c r="A90" s="128" t="str">
        <f>'Sovereign Ratings (Moody''s,S&amp;P)'!A84</f>
        <v>Lebanon</v>
      </c>
      <c r="B90" s="123" t="str">
        <f>VLOOKUP(A90,'Regional lookup table'!$A$3:$B$161,2)</f>
        <v>Middle East</v>
      </c>
      <c r="C90" s="11" t="str">
        <f>'Sovereign Ratings (Moody''s,S&amp;P)'!C84</f>
        <v>Ca</v>
      </c>
      <c r="D90" s="24">
        <f t="shared" si="7"/>
        <v>0.14080977055382476</v>
      </c>
      <c r="E90" s="24">
        <f t="shared" si="9"/>
        <v>0.22860247021165525</v>
      </c>
      <c r="F90" s="13">
        <f t="shared" si="10"/>
        <v>0.17630247021165524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6">
      <c r="A91" s="128" t="str">
        <f>'Sovereign Ratings (Moody''s,S&amp;P)'!A85</f>
        <v>Liechtenstein</v>
      </c>
      <c r="B91" s="123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7"/>
        <v>0</v>
      </c>
      <c r="E91" s="24">
        <f t="shared" si="9"/>
        <v>5.2299999999999999E-2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6">
      <c r="A92" s="128" t="str">
        <f>'Sovereign Ratings (Moody''s,S&amp;P)'!A86</f>
        <v>Lithuania</v>
      </c>
      <c r="B92" s="123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7"/>
        <v>1.4080977055382476E-2</v>
      </c>
      <c r="E92" s="24">
        <f t="shared" si="9"/>
        <v>6.9930247021165515E-2</v>
      </c>
      <c r="F92" s="13">
        <f t="shared" si="10"/>
        <v>1.7630247021165522E-2</v>
      </c>
      <c r="G92" s="13">
        <f>VLOOKUP(A92,'10-year CDS Spreads'!$A$2:$D$157,4)</f>
        <v>6.3E-3</v>
      </c>
      <c r="H92" s="13">
        <f t="shared" si="11"/>
        <v>6.0187986451258786E-2</v>
      </c>
      <c r="I92" s="16">
        <f t="shared" si="8"/>
        <v>7.8879864512587852E-3</v>
      </c>
    </row>
    <row r="93" spans="1:9" ht="16">
      <c r="A93" s="128" t="str">
        <f>'Sovereign Ratings (Moody''s,S&amp;P)'!A87</f>
        <v>Luxembourg</v>
      </c>
      <c r="B93" s="123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7"/>
        <v>0</v>
      </c>
      <c r="E93" s="24">
        <f t="shared" si="9"/>
        <v>5.2299999999999999E-2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6">
      <c r="A94" s="128" t="str">
        <f>'Sovereign Ratings (Moody''s,S&amp;P)'!A88</f>
        <v>Macao</v>
      </c>
      <c r="B94" s="123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7"/>
        <v>7.0934245316588403E-3</v>
      </c>
      <c r="E94" s="24">
        <f t="shared" si="9"/>
        <v>6.1181402634722479E-2</v>
      </c>
      <c r="F94" s="13">
        <f t="shared" si="10"/>
        <v>8.8814026347224795E-3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6">
      <c r="A95" s="128" t="str">
        <f>'Sovereign Ratings (Moody''s,S&amp;P)'!A89</f>
        <v>Macedonia</v>
      </c>
      <c r="B95" s="123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7"/>
        <v>4.2242931166147427E-2</v>
      </c>
      <c r="E95" s="24">
        <f t="shared" si="9"/>
        <v>0.10519074106349657</v>
      </c>
      <c r="F95" s="13">
        <f t="shared" si="10"/>
        <v>5.2890741063496567E-2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6">
      <c r="A96" s="128" t="str">
        <f>'Sovereign Ratings (Moody''s,S&amp;P)'!A90</f>
        <v>Malaysia</v>
      </c>
      <c r="B96" s="123" t="str">
        <f>VLOOKUP(A96,'Regional lookup table'!$A$3:$B$161,2)</f>
        <v>Asia</v>
      </c>
      <c r="C96" s="11" t="str">
        <f>'Sovereign Ratings (Moody''s,S&amp;P)'!C90</f>
        <v>A3</v>
      </c>
      <c r="D96" s="24">
        <f t="shared" si="7"/>
        <v>1.4080977055382476E-2</v>
      </c>
      <c r="E96" s="24">
        <f t="shared" ref="E96" si="16">$E$3+F96</f>
        <v>6.9930247021165515E-2</v>
      </c>
      <c r="F96" s="13">
        <f t="shared" ref="F96" si="17">IF($E$4="Yes",D96*$E$5,D96)</f>
        <v>1.7630247021165522E-2</v>
      </c>
      <c r="G96" s="13">
        <f>VLOOKUP(A96,'10-year CDS Spreads'!$A$2:$D$157,4)</f>
        <v>8.5000000000000006E-3</v>
      </c>
      <c r="H96" s="13">
        <f t="shared" ref="H96" si="18">IF(I96="NA","NA",$E$3+I96)</f>
        <v>6.2942521402492013E-2</v>
      </c>
      <c r="I96" s="16">
        <f t="shared" ref="I96" si="19">IF(G96="NA","NA",G96*$E$5)</f>
        <v>1.0642521402492012E-2</v>
      </c>
    </row>
    <row r="97" spans="1:9" ht="16">
      <c r="A97" s="128" t="str">
        <f>'Sovereign Ratings (Moody''s,S&amp;P)'!A91</f>
        <v>Maldives</v>
      </c>
      <c r="B97" s="123" t="str">
        <f>VLOOKUP(A97,'Regional lookup table'!$A$3:$B$161,2)</f>
        <v>Asia</v>
      </c>
      <c r="C97" s="11" t="str">
        <f>'Sovereign Ratings (Moody''s,S&amp;P)'!C91</f>
        <v>B3</v>
      </c>
      <c r="D97" s="24">
        <f t="shared" si="7"/>
        <v>7.6333717721283945E-2</v>
      </c>
      <c r="E97" s="24">
        <f t="shared" si="9"/>
        <v>0.14787449700947625</v>
      </c>
      <c r="F97" s="13">
        <f t="shared" si="10"/>
        <v>9.5574497009476247E-2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6">
      <c r="A98" s="128" t="str">
        <f>'Sovereign Ratings (Moody''s,S&amp;P)'!A92</f>
        <v>Mali</v>
      </c>
      <c r="B98" s="123" t="str">
        <f>VLOOKUP(A98,'Regional lookup table'!$A$3:$B$161,2)</f>
        <v>Africa</v>
      </c>
      <c r="C98" s="11" t="str">
        <f>'Sovereign Ratings (Moody''s,S&amp;P)'!C92</f>
        <v>B3</v>
      </c>
      <c r="D98" s="24">
        <f t="shared" si="7"/>
        <v>7.6333717721283945E-2</v>
      </c>
      <c r="E98" s="24">
        <f t="shared" si="9"/>
        <v>0.14787449700947625</v>
      </c>
      <c r="F98" s="13">
        <f t="shared" si="10"/>
        <v>9.5574497009476247E-2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6">
      <c r="A99" s="128" t="str">
        <f>'Sovereign Ratings (Moody''s,S&amp;P)'!A93</f>
        <v>Malta</v>
      </c>
      <c r="B99" s="123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7"/>
        <v>9.9519687459094178E-3</v>
      </c>
      <c r="E99" s="24">
        <f t="shared" si="9"/>
        <v>6.4760475338267356E-2</v>
      </c>
      <c r="F99" s="13">
        <f t="shared" si="10"/>
        <v>1.2460475338267361E-2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6">
      <c r="A100" s="128" t="str">
        <f>'Sovereign Ratings (Moody''s,S&amp;P)'!A94</f>
        <v>Mauritius</v>
      </c>
      <c r="B100" s="123" t="str">
        <f>VLOOKUP(A100,'Regional lookup table'!$A$3:$B$161,2)</f>
        <v>Asia</v>
      </c>
      <c r="C100" s="11" t="str">
        <f>'Sovereign Ratings (Moody''s,S&amp;P)'!C94</f>
        <v>Baa1</v>
      </c>
      <c r="D100" s="24">
        <f t="shared" si="7"/>
        <v>1.8739345404531565E-2</v>
      </c>
      <c r="E100" s="24">
        <f t="shared" si="9"/>
        <v>7.5762809945460891E-2</v>
      </c>
      <c r="F100" s="13">
        <f t="shared" si="10"/>
        <v>2.3462809945460884E-2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6">
      <c r="A101" s="128" t="str">
        <f>'Sovereign Ratings (Moody''s,S&amp;P)'!A95</f>
        <v>Mexico</v>
      </c>
      <c r="B101" s="123" t="str">
        <f>VLOOKUP(A101,'Regional lookup table'!$A$3:$B$161,2)</f>
        <v>Central and South America</v>
      </c>
      <c r="C101" s="11" t="str">
        <f>'Sovereign Ratings (Moody''s,S&amp;P)'!C95</f>
        <v>Baa1</v>
      </c>
      <c r="D101" s="24">
        <f t="shared" si="7"/>
        <v>1.8739345404531565E-2</v>
      </c>
      <c r="E101" s="24">
        <f t="shared" si="9"/>
        <v>7.5762809945460891E-2</v>
      </c>
      <c r="F101" s="13">
        <f t="shared" si="10"/>
        <v>2.3462809945460884E-2</v>
      </c>
      <c r="G101" s="13">
        <f>VLOOKUP(A101,'10-year CDS Spreads'!$A$2:$D$157,4)</f>
        <v>1.77E-2</v>
      </c>
      <c r="H101" s="13">
        <f t="shared" si="11"/>
        <v>7.4461485744012776E-2</v>
      </c>
      <c r="I101" s="16">
        <f t="shared" si="8"/>
        <v>2.2161485744012777E-2</v>
      </c>
    </row>
    <row r="102" spans="1:9" ht="16">
      <c r="A102" s="128" t="str">
        <f>'Sovereign Ratings (Moody''s,S&amp;P)'!A96</f>
        <v>Moldova</v>
      </c>
      <c r="B102" s="123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7"/>
        <v>7.6333717721283945E-2</v>
      </c>
      <c r="E102" s="24">
        <f t="shared" si="9"/>
        <v>0.14787449700947625</v>
      </c>
      <c r="F102" s="13">
        <f t="shared" si="10"/>
        <v>9.5574497009476247E-2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6">
      <c r="A103" s="128" t="str">
        <f>'Sovereign Ratings (Moody''s,S&amp;P)'!A97</f>
        <v>Mongolia</v>
      </c>
      <c r="B103" s="123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7"/>
        <v>7.6333717721283945E-2</v>
      </c>
      <c r="E103" s="24">
        <f t="shared" si="9"/>
        <v>0.14787449700947625</v>
      </c>
      <c r="F103" s="13">
        <f t="shared" si="10"/>
        <v>9.5574497009476247E-2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6">
      <c r="A104" s="128" t="str">
        <f>'Sovereign Ratings (Moody''s,S&amp;P)'!A98</f>
        <v>Montenegro</v>
      </c>
      <c r="B104" s="123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7"/>
        <v>5.2830131959668084E-2</v>
      </c>
      <c r="E104" s="24">
        <f t="shared" si="9"/>
        <v>0.11844656589144056</v>
      </c>
      <c r="F104" s="13">
        <f t="shared" si="10"/>
        <v>6.6146565891440565E-2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6">
      <c r="A105" s="128" t="str">
        <f>'Sovereign Ratings (Moody''s,S&amp;P)'!A99</f>
        <v>Montserrat</v>
      </c>
      <c r="B105" s="123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7"/>
        <v>2.5832769936190408E-2</v>
      </c>
      <c r="E105" s="24">
        <f t="shared" si="9"/>
        <v>8.464421258018337E-2</v>
      </c>
      <c r="F105" s="13">
        <f t="shared" si="10"/>
        <v>3.2344212580183364E-2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6">
      <c r="A106" s="128" t="str">
        <f>'Sovereign Ratings (Moody''s,S&amp;P)'!A100</f>
        <v>Morocco</v>
      </c>
      <c r="B106" s="123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7"/>
        <v>2.9326546198052226E-2</v>
      </c>
      <c r="E106" s="24">
        <f t="shared" si="9"/>
        <v>8.9018634773404881E-2</v>
      </c>
      <c r="F106" s="13">
        <f t="shared" si="10"/>
        <v>3.6718634773404889E-2</v>
      </c>
      <c r="G106" s="13">
        <f>VLOOKUP(A106,'10-year CDS Spreads'!$A$2:$D$157,4)</f>
        <v>1.5100000000000001E-2</v>
      </c>
      <c r="H106" s="13">
        <f t="shared" si="11"/>
        <v>7.1206126256191687E-2</v>
      </c>
      <c r="I106" s="16">
        <f t="shared" si="8"/>
        <v>1.8906126256191692E-2</v>
      </c>
    </row>
    <row r="107" spans="1:9" ht="16">
      <c r="A107" s="128" t="str">
        <f>'Sovereign Ratings (Moody''s,S&amp;P)'!A101</f>
        <v>Mozambique</v>
      </c>
      <c r="B107" s="123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7"/>
        <v>0.10566026391933617</v>
      </c>
      <c r="E107" s="24">
        <f t="shared" si="9"/>
        <v>0.18459313178288111</v>
      </c>
      <c r="F107" s="13">
        <f t="shared" si="10"/>
        <v>0.13229313178288113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6">
      <c r="A108" s="128" t="str">
        <f>'Sovereign Ratings (Moody''s,S&amp;P)'!A102</f>
        <v>Namibia</v>
      </c>
      <c r="B108" s="123" t="str">
        <f>VLOOKUP(A108,'Regional lookup table'!$A$3:$B$161,2)</f>
        <v>Africa</v>
      </c>
      <c r="C108" s="11" t="str">
        <f>'Sovereign Ratings (Moody''s,S&amp;P)'!C102</f>
        <v>Ba2</v>
      </c>
      <c r="D108" s="24">
        <f t="shared" si="7"/>
        <v>3.5255378642423785E-2</v>
      </c>
      <c r="E108" s="24">
        <f t="shared" si="9"/>
        <v>9.6441896677053524E-2</v>
      </c>
      <c r="F108" s="13">
        <f t="shared" si="10"/>
        <v>4.4141896677053517E-2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6">
      <c r="A109" s="128" t="str">
        <f>'Sovereign Ratings (Moody''s,S&amp;P)'!A103</f>
        <v>Netherlands</v>
      </c>
      <c r="B109" s="123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7"/>
        <v>0</v>
      </c>
      <c r="E109" s="24">
        <f t="shared" si="9"/>
        <v>5.2299999999999999E-2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5.2299999999999999E-2</v>
      </c>
      <c r="I109" s="16">
        <f t="shared" si="8"/>
        <v>0</v>
      </c>
    </row>
    <row r="110" spans="1:9" ht="16">
      <c r="A110" s="128" t="str">
        <f>'Sovereign Ratings (Moody''s,S&amp;P)'!A104</f>
        <v>New Zealand</v>
      </c>
      <c r="B110" s="123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7"/>
        <v>0</v>
      </c>
      <c r="E110" s="24">
        <f t="shared" si="9"/>
        <v>5.2299999999999999E-2</v>
      </c>
      <c r="F110" s="13">
        <f t="shared" si="10"/>
        <v>0</v>
      </c>
      <c r="G110" s="13">
        <f>VLOOKUP(A110,'10-year CDS Spreads'!$A$2:$D$157,4)</f>
        <v>7.9999999999999993E-4</v>
      </c>
      <c r="H110" s="13">
        <f t="shared" si="11"/>
        <v>5.3301649073175715E-2</v>
      </c>
      <c r="I110" s="16">
        <f t="shared" si="8"/>
        <v>1.0016490731757186E-3</v>
      </c>
    </row>
    <row r="111" spans="1:9" ht="16">
      <c r="A111" s="128" t="str">
        <f>'Sovereign Ratings (Moody''s,S&amp;P)'!A105</f>
        <v>Nicaragua</v>
      </c>
      <c r="B111" s="123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7"/>
        <v>7.6333717721283945E-2</v>
      </c>
      <c r="E111" s="24">
        <f t="shared" si="9"/>
        <v>0.14787449700947625</v>
      </c>
      <c r="F111" s="13">
        <f t="shared" si="10"/>
        <v>9.5574497009476247E-2</v>
      </c>
      <c r="G111" s="13" t="str">
        <f>VLOOKUP(A111,'10-year CDS Spreads'!$A$2:$D$157,4)</f>
        <v>NA</v>
      </c>
      <c r="H111" s="13" t="str">
        <f t="shared" si="11"/>
        <v>NA</v>
      </c>
      <c r="I111" s="16" t="str">
        <f t="shared" si="8"/>
        <v>NA</v>
      </c>
    </row>
    <row r="112" spans="1:9" ht="16">
      <c r="A112" s="128" t="str">
        <f>'Sovereign Ratings (Moody''s,S&amp;P)'!A106</f>
        <v>Niger</v>
      </c>
      <c r="B112" s="123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7"/>
        <v>7.6333717721283945E-2</v>
      </c>
      <c r="E112" s="24">
        <f t="shared" ref="E112" si="20">$E$3+F112</f>
        <v>0.14787449700947625</v>
      </c>
      <c r="F112" s="13">
        <f t="shared" ref="F112" si="21">IF($E$4="Yes",D112*$E$5,D112)</f>
        <v>9.5574497009476247E-2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6">
      <c r="A113" s="128" t="str">
        <f>'Sovereign Ratings (Moody''s,S&amp;P)'!A107</f>
        <v>Nigeria</v>
      </c>
      <c r="B113" s="123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7"/>
        <v>6.4581924840476007E-2</v>
      </c>
      <c r="E113" s="24">
        <f t="shared" si="9"/>
        <v>0.13316053145045842</v>
      </c>
      <c r="F113" s="13">
        <f t="shared" si="10"/>
        <v>8.0860531450458406E-2</v>
      </c>
      <c r="G113" s="13">
        <f>VLOOKUP(A113,'10-year CDS Spreads'!$A$2:$D$157,4)</f>
        <v>6.0600000000000008E-2</v>
      </c>
      <c r="H113" s="13">
        <f t="shared" si="11"/>
        <v>0.12817491729306069</v>
      </c>
      <c r="I113" s="16">
        <f t="shared" si="8"/>
        <v>7.5874917293060701E-2</v>
      </c>
    </row>
    <row r="114" spans="1:9" ht="16">
      <c r="A114" s="128" t="str">
        <f>'Sovereign Ratings (Moody''s,S&amp;P)'!A108</f>
        <v>Norway</v>
      </c>
      <c r="B114" s="123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7"/>
        <v>0</v>
      </c>
      <c r="E114" s="24">
        <f t="shared" si="9"/>
        <v>5.2299999999999999E-2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5.2299999999999999E-2</v>
      </c>
      <c r="I114" s="16">
        <f t="shared" si="8"/>
        <v>0</v>
      </c>
    </row>
    <row r="115" spans="1:9" ht="16">
      <c r="A115" s="128" t="str">
        <f>'Sovereign Ratings (Moody''s,S&amp;P)'!A109</f>
        <v>Oman</v>
      </c>
      <c r="B115" s="123" t="str">
        <f>VLOOKUP(A115,'Regional lookup table'!$A$3:$B$161,2)</f>
        <v>Middle East</v>
      </c>
      <c r="C115" s="11" t="str">
        <f>'Sovereign Ratings (Moody''s,S&amp;P)'!C109</f>
        <v>Ba3</v>
      </c>
      <c r="D115" s="24">
        <f t="shared" si="7"/>
        <v>4.2242931166147427E-2</v>
      </c>
      <c r="E115" s="24">
        <f t="shared" si="9"/>
        <v>0.10519074106349657</v>
      </c>
      <c r="F115" s="13">
        <f t="shared" si="10"/>
        <v>5.2890741063496567E-2</v>
      </c>
      <c r="G115" s="13">
        <f>VLOOKUP(A115,'10-year CDS Spreads'!$A$2:$D$157,4)</f>
        <v>4.8399999999999999E-2</v>
      </c>
      <c r="H115" s="13">
        <f t="shared" si="11"/>
        <v>0.11289976892713098</v>
      </c>
      <c r="I115" s="16">
        <f t="shared" si="8"/>
        <v>6.0599768927130981E-2</v>
      </c>
    </row>
    <row r="116" spans="1:9" ht="16">
      <c r="A116" s="128" t="str">
        <f>'Sovereign Ratings (Moody''s,S&amp;P)'!A110</f>
        <v>Pakistan</v>
      </c>
      <c r="B116" s="123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7"/>
        <v>7.6333717721283945E-2</v>
      </c>
      <c r="E116" s="24">
        <f t="shared" si="9"/>
        <v>0.14787449700947625</v>
      </c>
      <c r="F116" s="13">
        <f t="shared" si="10"/>
        <v>9.5574497009476247E-2</v>
      </c>
      <c r="G116" s="13">
        <f>VLOOKUP(A116,'10-year CDS Spreads'!$A$2:$D$157,4)</f>
        <v>5.3800000000000001E-2</v>
      </c>
      <c r="H116" s="13">
        <f t="shared" si="11"/>
        <v>0.11966090017106709</v>
      </c>
      <c r="I116" s="16">
        <f t="shared" si="8"/>
        <v>6.7360900171067092E-2</v>
      </c>
    </row>
    <row r="117" spans="1:9" ht="16">
      <c r="A117" s="128" t="str">
        <f>'Sovereign Ratings (Moody''s,S&amp;P)'!A111</f>
        <v>Panama</v>
      </c>
      <c r="B117" s="123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7"/>
        <v>1.8739345404531565E-2</v>
      </c>
      <c r="E117" s="24">
        <f t="shared" si="9"/>
        <v>7.5762809945460891E-2</v>
      </c>
      <c r="F117" s="13">
        <f t="shared" si="10"/>
        <v>2.3462809945460884E-2</v>
      </c>
      <c r="G117" s="13">
        <f>VLOOKUP(A117,'10-year CDS Spreads'!$A$2:$D$157,4)</f>
        <v>1.2500000000000001E-2</v>
      </c>
      <c r="H117" s="13">
        <f t="shared" si="11"/>
        <v>6.7950766768370613E-2</v>
      </c>
      <c r="I117" s="16">
        <f t="shared" si="8"/>
        <v>1.5650766768370607E-2</v>
      </c>
    </row>
    <row r="118" spans="1:9" ht="16">
      <c r="A118" s="128" t="str">
        <f>'Sovereign Ratings (Moody''s,S&amp;P)'!A112</f>
        <v>Papua New Guinea</v>
      </c>
      <c r="B118" s="123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7"/>
        <v>6.4581924840476007E-2</v>
      </c>
      <c r="E118" s="24">
        <f t="shared" si="9"/>
        <v>0.13316053145045842</v>
      </c>
      <c r="F118" s="13">
        <f t="shared" si="10"/>
        <v>8.0860531450458406E-2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6">
      <c r="A119" s="128" t="str">
        <f>'Sovereign Ratings (Moody''s,S&amp;P)'!A113</f>
        <v>Paraguay</v>
      </c>
      <c r="B119" s="123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7"/>
        <v>2.9326546198052226E-2</v>
      </c>
      <c r="E119" s="24">
        <f t="shared" si="9"/>
        <v>8.9018634773404881E-2</v>
      </c>
      <c r="F119" s="13">
        <f t="shared" si="10"/>
        <v>3.6718634773404889E-2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6">
      <c r="A120" s="128" t="str">
        <f>'Sovereign Ratings (Moody''s,S&amp;P)'!A114</f>
        <v>Peru</v>
      </c>
      <c r="B120" s="123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7"/>
        <v>1.4080977055382476E-2</v>
      </c>
      <c r="E120" s="24">
        <f t="shared" si="9"/>
        <v>6.9930247021165515E-2</v>
      </c>
      <c r="F120" s="13">
        <f t="shared" si="10"/>
        <v>1.7630247021165522E-2</v>
      </c>
      <c r="G120" s="13">
        <f>VLOOKUP(A120,'10-year CDS Spreads'!$A$2:$D$157,4)</f>
        <v>1.0500000000000001E-2</v>
      </c>
      <c r="H120" s="13">
        <f t="shared" si="11"/>
        <v>6.5446644085431313E-2</v>
      </c>
      <c r="I120" s="16">
        <f t="shared" si="8"/>
        <v>1.3146644085431309E-2</v>
      </c>
    </row>
    <row r="121" spans="1:9" ht="16">
      <c r="A121" s="128" t="str">
        <f>'Sovereign Ratings (Moody''s,S&amp;P)'!A115</f>
        <v>Philippines</v>
      </c>
      <c r="B121" s="123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7"/>
        <v>2.2338993674328587E-2</v>
      </c>
      <c r="E121" s="24">
        <f t="shared" si="9"/>
        <v>8.0269790386961845E-2</v>
      </c>
      <c r="F121" s="13">
        <f t="shared" si="10"/>
        <v>2.7969790386961842E-2</v>
      </c>
      <c r="G121" s="13">
        <f>VLOOKUP(A121,'10-year CDS Spreads'!$A$2:$D$157,4)</f>
        <v>7.3000000000000009E-3</v>
      </c>
      <c r="H121" s="13">
        <f t="shared" si="11"/>
        <v>6.1440047792728436E-2</v>
      </c>
      <c r="I121" s="16">
        <f t="shared" si="8"/>
        <v>9.1400477927284351E-3</v>
      </c>
    </row>
    <row r="122" spans="1:9" ht="16">
      <c r="A122" s="128" t="str">
        <f>'Sovereign Ratings (Moody''s,S&amp;P)'!A116</f>
        <v>Poland</v>
      </c>
      <c r="B122" s="123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7"/>
        <v>9.9519687459094178E-3</v>
      </c>
      <c r="E122" s="24">
        <f t="shared" si="9"/>
        <v>6.4760475338267356E-2</v>
      </c>
      <c r="F122" s="13">
        <f t="shared" si="10"/>
        <v>1.2460475338267361E-2</v>
      </c>
      <c r="G122" s="13">
        <f>VLOOKUP(A122,'10-year CDS Spreads'!$A$2:$D$157,4)</f>
        <v>6.3999999999999994E-3</v>
      </c>
      <c r="H122" s="13">
        <f t="shared" si="11"/>
        <v>6.0313192585405746E-2</v>
      </c>
      <c r="I122" s="16">
        <f t="shared" si="8"/>
        <v>8.0131925854057488E-3</v>
      </c>
    </row>
    <row r="123" spans="1:9" ht="16">
      <c r="A123" s="128" t="str">
        <f>'Sovereign Ratings (Moody''s,S&amp;P)'!A117</f>
        <v>Portugal</v>
      </c>
      <c r="B123" s="123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7"/>
        <v>2.5832769936190408E-2</v>
      </c>
      <c r="E123" s="24">
        <f t="shared" si="9"/>
        <v>8.464421258018337E-2</v>
      </c>
      <c r="F123" s="13">
        <f t="shared" si="10"/>
        <v>3.2344212580183364E-2</v>
      </c>
      <c r="G123" s="13">
        <f>VLOOKUP(A123,'10-year CDS Spreads'!$A$2:$D$157,4)</f>
        <v>6.6E-3</v>
      </c>
      <c r="H123" s="13">
        <f t="shared" si="11"/>
        <v>6.056360485369968E-2</v>
      </c>
      <c r="I123" s="16">
        <f t="shared" si="8"/>
        <v>8.2636048536996794E-3</v>
      </c>
    </row>
    <row r="124" spans="1:9" ht="16">
      <c r="A124" s="128" t="str">
        <f>'Sovereign Ratings (Moody''s,S&amp;P)'!A118</f>
        <v>Qatar</v>
      </c>
      <c r="B124" s="123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7"/>
        <v>7.0934245316588403E-3</v>
      </c>
      <c r="E124" s="24">
        <f t="shared" si="9"/>
        <v>6.1181402634722479E-2</v>
      </c>
      <c r="F124" s="13">
        <f t="shared" si="10"/>
        <v>8.8814026347224795E-3</v>
      </c>
      <c r="G124" s="13">
        <f>VLOOKUP(A124,'10-year CDS Spreads'!$A$2:$D$157,4)</f>
        <v>7.1999999999999998E-3</v>
      </c>
      <c r="H124" s="13">
        <f t="shared" si="11"/>
        <v>6.1314841658581469E-2</v>
      </c>
      <c r="I124" s="16">
        <f t="shared" si="8"/>
        <v>9.014841658581468E-3</v>
      </c>
    </row>
    <row r="125" spans="1:9" ht="16">
      <c r="A125" s="128" t="str">
        <f>'Sovereign Ratings (Moody''s,S&amp;P)'!A119</f>
        <v>Ras Al Khaimah (Emirate of)</v>
      </c>
      <c r="B125" s="123" t="str">
        <f>VLOOKUP(A125,'Regional lookup table'!$A$3:$B$161,2)</f>
        <v>Middle East</v>
      </c>
      <c r="C125" s="11" t="str">
        <f>'Sovereign Ratings (Moody''s,S&amp;P)'!C119</f>
        <v>A2</v>
      </c>
      <c r="D125" s="24">
        <f t="shared" si="7"/>
        <v>9.9519687459094178E-3</v>
      </c>
      <c r="E125" s="24">
        <f t="shared" si="9"/>
        <v>6.4760475338267356E-2</v>
      </c>
      <c r="F125" s="13">
        <f t="shared" si="10"/>
        <v>1.2460475338267361E-2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6">
      <c r="A126" s="128" t="str">
        <f>'Sovereign Ratings (Moody''s,S&amp;P)'!A120</f>
        <v>Romania</v>
      </c>
      <c r="B126" s="123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7"/>
        <v>2.5832769936190408E-2</v>
      </c>
      <c r="E126" s="24">
        <f t="shared" si="9"/>
        <v>8.464421258018337E-2</v>
      </c>
      <c r="F126" s="13">
        <f t="shared" si="10"/>
        <v>3.2344212580183364E-2</v>
      </c>
      <c r="G126" s="13">
        <f>VLOOKUP(A126,'10-year CDS Spreads'!$A$2:$D$157,4)</f>
        <v>1.6100000000000003E-2</v>
      </c>
      <c r="H126" s="13">
        <f t="shared" si="11"/>
        <v>7.2458187597661344E-2</v>
      </c>
      <c r="I126" s="16">
        <f t="shared" si="8"/>
        <v>2.0158187597661345E-2</v>
      </c>
    </row>
    <row r="127" spans="1:9" ht="16">
      <c r="A127" s="128" t="str">
        <f>'Sovereign Ratings (Moody''s,S&amp;P)'!A121</f>
        <v>Russia</v>
      </c>
      <c r="B127" s="123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7"/>
        <v>2.5832769936190408E-2</v>
      </c>
      <c r="E127" s="24">
        <f t="shared" si="9"/>
        <v>8.464421258018337E-2</v>
      </c>
      <c r="F127" s="13">
        <f t="shared" si="10"/>
        <v>3.2344212580183364E-2</v>
      </c>
      <c r="G127" s="13">
        <f>VLOOKUP(A127,'10-year CDS Spreads'!$A$2:$D$157,4)</f>
        <v>1.26E-2</v>
      </c>
      <c r="H127" s="13">
        <f t="shared" si="11"/>
        <v>6.8075972902517573E-2</v>
      </c>
      <c r="I127" s="16">
        <f t="shared" si="8"/>
        <v>1.577597290251757E-2</v>
      </c>
    </row>
    <row r="128" spans="1:9" ht="16">
      <c r="A128" s="128" t="str">
        <f>'Sovereign Ratings (Moody''s,S&amp;P)'!A122</f>
        <v>Rwanda</v>
      </c>
      <c r="B128" s="123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7"/>
        <v>6.4581924840476007E-2</v>
      </c>
      <c r="E128" s="24">
        <f t="shared" si="9"/>
        <v>0.13316053145045842</v>
      </c>
      <c r="F128" s="13">
        <f t="shared" si="10"/>
        <v>8.0860531450458406E-2</v>
      </c>
      <c r="G128" s="13">
        <f>VLOOKUP(A128,'10-year CDS Spreads'!$A$2:$D$157,4)</f>
        <v>6.699999999999999E-2</v>
      </c>
      <c r="H128" s="13">
        <f t="shared" si="11"/>
        <v>0.13618810987846641</v>
      </c>
      <c r="I128" s="16">
        <f t="shared" si="8"/>
        <v>8.3888109878466427E-2</v>
      </c>
    </row>
    <row r="129" spans="1:9" ht="16">
      <c r="A129" s="128" t="str">
        <f>'Sovereign Ratings (Moody''s,S&amp;P)'!A123</f>
        <v>Saudi Arabia</v>
      </c>
      <c r="B129" s="123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7"/>
        <v>8.2580166189461131E-3</v>
      </c>
      <c r="E129" s="24">
        <f t="shared" si="9"/>
        <v>6.2639543365796316E-2</v>
      </c>
      <c r="F129" s="13">
        <f t="shared" si="10"/>
        <v>1.0339543365796322E-2</v>
      </c>
      <c r="G129" s="13">
        <f>VLOOKUP(A129,'10-year CDS Spreads'!$A$2:$D$157,4)</f>
        <v>1.0800000000000001E-2</v>
      </c>
      <c r="H129" s="13">
        <f t="shared" si="11"/>
        <v>6.5822262487872207E-2</v>
      </c>
      <c r="I129" s="16">
        <f t="shared" si="8"/>
        <v>1.3522262487872203E-2</v>
      </c>
    </row>
    <row r="130" spans="1:9" ht="16">
      <c r="A130" s="128" t="str">
        <f>'Sovereign Ratings (Moody''s,S&amp;P)'!A124</f>
        <v>Senegal</v>
      </c>
      <c r="B130" s="123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7"/>
        <v>4.2242931166147427E-2</v>
      </c>
      <c r="E130" s="24">
        <f t="shared" si="9"/>
        <v>0.10519074106349657</v>
      </c>
      <c r="F130" s="13">
        <f t="shared" si="10"/>
        <v>5.2890741063496567E-2</v>
      </c>
      <c r="G130" s="13">
        <f>VLOOKUP(A130,'10-year CDS Spreads'!$A$2:$D$157,4)</f>
        <v>4.65E-2</v>
      </c>
      <c r="H130" s="13">
        <f t="shared" si="11"/>
        <v>0.11052085237833864</v>
      </c>
      <c r="I130" s="16">
        <f t="shared" si="8"/>
        <v>5.8220852378338649E-2</v>
      </c>
    </row>
    <row r="131" spans="1:9" ht="16">
      <c r="A131" s="128" t="str">
        <f>'Sovereign Ratings (Moody''s,S&amp;P)'!A125</f>
        <v>Serbia</v>
      </c>
      <c r="B131" s="123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7"/>
        <v>4.2242931166147427E-2</v>
      </c>
      <c r="E131" s="24">
        <f t="shared" si="9"/>
        <v>0.10519074106349657</v>
      </c>
      <c r="F131" s="13">
        <f>IF($E$4="Yes",D131*$E$5,D131)</f>
        <v>5.2890741063496567E-2</v>
      </c>
      <c r="G131" s="13">
        <f>VLOOKUP(A131,'10-year CDS Spreads'!$A$2:$D$157,4)</f>
        <v>1.3200000000000002E-2</v>
      </c>
      <c r="H131" s="13">
        <f t="shared" si="11"/>
        <v>6.8827209707399362E-2</v>
      </c>
      <c r="I131" s="16">
        <f t="shared" si="8"/>
        <v>1.6527209707399362E-2</v>
      </c>
    </row>
    <row r="132" spans="1:9" ht="16">
      <c r="A132" s="128" t="str">
        <f>'Sovereign Ratings (Moody''s,S&amp;P)'!A126</f>
        <v>Sharjah</v>
      </c>
      <c r="B132" s="123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7"/>
        <v>2.2338993674328587E-2</v>
      </c>
      <c r="E132" s="24">
        <f t="shared" si="9"/>
        <v>8.0269790386961845E-2</v>
      </c>
      <c r="F132" s="13">
        <f t="shared" ref="F132:F143" si="24">IF($E$4="Yes",D132*$E$5,D132)</f>
        <v>2.7969790386961842E-2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6">
      <c r="A133" s="128" t="str">
        <f>'Sovereign Ratings (Moody''s,S&amp;P)'!A127</f>
        <v>Singapore</v>
      </c>
      <c r="B133" s="123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7"/>
        <v>0</v>
      </c>
      <c r="E133" s="24">
        <f t="shared" si="9"/>
        <v>5.2299999999999999E-2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6">
      <c r="A134" s="128" t="str">
        <f>'Sovereign Ratings (Moody''s,S&amp;P)'!A128</f>
        <v>Slovakia</v>
      </c>
      <c r="B134" s="123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7"/>
        <v>9.9519687459094178E-3</v>
      </c>
      <c r="E134" s="24">
        <f t="shared" ref="E134" si="25">$E$3+F134</f>
        <v>6.4760475338267356E-2</v>
      </c>
      <c r="F134" s="13">
        <f t="shared" ref="F134" si="26">IF($E$4="Yes",D134*$E$5,D134)</f>
        <v>1.2460475338267361E-2</v>
      </c>
      <c r="G134" s="13">
        <f>VLOOKUP(A134,'10-year CDS Spreads'!$A$2:$D$157,4)</f>
        <v>5.1999999999999998E-3</v>
      </c>
      <c r="H134" s="13">
        <f t="shared" ref="H134" si="27">IF(I134="NA","NA",$E$3+I134)</f>
        <v>5.8810718975642169E-2</v>
      </c>
      <c r="I134" s="16">
        <f t="shared" ref="I134" si="28">IF(G134="NA","NA",G134*$E$5)</f>
        <v>6.5107189756421716E-3</v>
      </c>
    </row>
    <row r="135" spans="1:9" ht="16">
      <c r="A135" s="128" t="str">
        <f>'Sovereign Ratings (Moody''s,S&amp;P)'!A129</f>
        <v>Slovenia</v>
      </c>
      <c r="B135" s="123" t="str">
        <f>VLOOKUP(A135,'Regional lookup table'!$A$3:$B$161,2)</f>
        <v>Eastern Europe &amp; Russia</v>
      </c>
      <c r="C135" s="11" t="str">
        <f>'Sovereign Ratings (Moody''s,S&amp;P)'!C129</f>
        <v>Baa1</v>
      </c>
      <c r="D135" s="24">
        <f t="shared" si="7"/>
        <v>1.8739345404531565E-2</v>
      </c>
      <c r="E135" s="24">
        <f t="shared" si="9"/>
        <v>7.5762809945460891E-2</v>
      </c>
      <c r="F135" s="13">
        <f t="shared" si="24"/>
        <v>2.3462809945460884E-2</v>
      </c>
      <c r="G135" s="13">
        <f>VLOOKUP(A135,'10-year CDS Spreads'!$A$2:$D$157,4)</f>
        <v>8.9999999999999993E-3</v>
      </c>
      <c r="H135" s="13">
        <f t="shared" si="11"/>
        <v>6.3568552073226842E-2</v>
      </c>
      <c r="I135" s="16">
        <f t="shared" si="8"/>
        <v>1.1268552073226835E-2</v>
      </c>
    </row>
    <row r="136" spans="1:9" ht="16">
      <c r="A136" s="128" t="str">
        <f>'Sovereign Ratings (Moody''s,S&amp;P)'!A130</f>
        <v>Solomon Islands</v>
      </c>
      <c r="B136" s="123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7"/>
        <v>7.6333717721283945E-2</v>
      </c>
      <c r="E136" s="24">
        <f t="shared" si="9"/>
        <v>0.14787449700947625</v>
      </c>
      <c r="F136" s="13">
        <f t="shared" si="24"/>
        <v>9.5574497009476247E-2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6">
      <c r="A137" s="128" t="str">
        <f>'Sovereign Ratings (Moody''s,S&amp;P)'!A131</f>
        <v>South Africa</v>
      </c>
      <c r="B137" s="123" t="str">
        <f>VLOOKUP(A137,'Regional lookup table'!$A$3:$B$161,2)</f>
        <v>Africa</v>
      </c>
      <c r="C137" s="11" t="str">
        <f>'Sovereign Ratings (Moody''s,S&amp;P)'!C131</f>
        <v>Ba1</v>
      </c>
      <c r="D137" s="24">
        <f t="shared" ref="D137:D164" si="29">VLOOKUP(C137,$J$9:$K$31,2,FALSE)/10000</f>
        <v>2.9326546198052226E-2</v>
      </c>
      <c r="E137" s="24">
        <f t="shared" si="9"/>
        <v>8.9018634773404881E-2</v>
      </c>
      <c r="F137" s="13">
        <f t="shared" si="24"/>
        <v>3.6718634773404889E-2</v>
      </c>
      <c r="G137" s="13">
        <f>VLOOKUP(A137,'10-year CDS Spreads'!$A$2:$D$157,4)</f>
        <v>3.1900000000000005E-2</v>
      </c>
      <c r="H137" s="13">
        <f t="shared" si="11"/>
        <v>9.2240756792881795E-2</v>
      </c>
      <c r="I137" s="16">
        <f t="shared" si="8"/>
        <v>3.9940756792881789E-2</v>
      </c>
    </row>
    <row r="138" spans="1:9" ht="16">
      <c r="A138" s="128" t="str">
        <f>'Sovereign Ratings (Moody''s,S&amp;P)'!A132</f>
        <v>Spain</v>
      </c>
      <c r="B138" s="123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9"/>
        <v>1.8739345404531565E-2</v>
      </c>
      <c r="E138" s="24">
        <f t="shared" si="9"/>
        <v>7.5762809945460891E-2</v>
      </c>
      <c r="F138" s="13">
        <f t="shared" si="24"/>
        <v>2.3462809945460884E-2</v>
      </c>
      <c r="G138" s="13">
        <f>VLOOKUP(A138,'10-year CDS Spreads'!$A$2:$D$157,4)</f>
        <v>7.9000000000000008E-3</v>
      </c>
      <c r="H138" s="13">
        <f t="shared" si="11"/>
        <v>6.2191284597610225E-2</v>
      </c>
      <c r="I138" s="16">
        <f t="shared" si="8"/>
        <v>9.8912845976102236E-3</v>
      </c>
    </row>
    <row r="139" spans="1:9" ht="16">
      <c r="A139" s="128" t="str">
        <f>'Sovereign Ratings (Moody''s,S&amp;P)'!A133</f>
        <v>Sri Lanka</v>
      </c>
      <c r="B139" s="123" t="str">
        <f>VLOOKUP(A139,'Regional lookup table'!$A$3:$B$161,2)</f>
        <v>Asia</v>
      </c>
      <c r="C139" s="11" t="str">
        <f>'Sovereign Ratings (Moody''s,S&amp;P)'!C133</f>
        <v>B2</v>
      </c>
      <c r="D139" s="24">
        <f t="shared" si="29"/>
        <v>6.4581924840476007E-2</v>
      </c>
      <c r="E139" s="24">
        <f t="shared" si="9"/>
        <v>0.13316053145045842</v>
      </c>
      <c r="F139" s="13">
        <f t="shared" si="24"/>
        <v>8.0860531450458406E-2</v>
      </c>
      <c r="G139" s="13" t="str">
        <f>VLOOKUP(A139,'10-year CDS Spreads'!$A$2:$D$157,4)</f>
        <v>NA</v>
      </c>
      <c r="H139" s="13" t="str">
        <f t="shared" si="11"/>
        <v>NA</v>
      </c>
      <c r="I139" s="16" t="str">
        <f t="shared" si="8"/>
        <v>NA</v>
      </c>
    </row>
    <row r="140" spans="1:9" ht="16">
      <c r="A140" s="128" t="str">
        <f>'Sovereign Ratings (Moody''s,S&amp;P)'!A134</f>
        <v>St. Maarten</v>
      </c>
      <c r="B140" s="123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9"/>
        <v>2.5832769936190408E-2</v>
      </c>
      <c r="E140" s="24">
        <f t="shared" si="9"/>
        <v>8.464421258018337E-2</v>
      </c>
      <c r="F140" s="13">
        <f t="shared" si="24"/>
        <v>3.2344212580183364E-2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6">
      <c r="A141" s="128" t="str">
        <f>'Sovereign Ratings (Moody''s,S&amp;P)'!A135</f>
        <v>St. Vincent &amp; the Grenadines</v>
      </c>
      <c r="B141" s="123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9"/>
        <v>7.6333717721283945E-2</v>
      </c>
      <c r="E141" s="24">
        <f>$E$3+F141</f>
        <v>0.14787449700947625</v>
      </c>
      <c r="F141" s="13">
        <f>IF($E$4="Yes",D141*$E$5,D141)</f>
        <v>9.5574497009476247E-2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8" t="str">
        <f>'Sovereign Ratings (Moody''s,S&amp;P)'!A136</f>
        <v>Suriname</v>
      </c>
      <c r="B142" s="123" t="str">
        <f>VLOOKUP(A142,'Regional lookup table'!$A$3:$B$161,2)</f>
        <v>Central and South America</v>
      </c>
      <c r="C142" s="11" t="str">
        <f>'Sovereign Ratings (Moody''s,S&amp;P)'!C136</f>
        <v>B3</v>
      </c>
      <c r="D142" s="24">
        <f t="shared" si="29"/>
        <v>7.6333717721283945E-2</v>
      </c>
      <c r="E142" s="24">
        <f t="shared" si="9"/>
        <v>0.14787449700947625</v>
      </c>
      <c r="F142" s="13">
        <f t="shared" si="24"/>
        <v>9.5574497009476247E-2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6">
      <c r="A143" s="128" t="str">
        <f>'Sovereign Ratings (Moody''s,S&amp;P)'!A137</f>
        <v>Swaziland</v>
      </c>
      <c r="B143" s="123" t="str">
        <f>VLOOKUP(A143,'Regional lookup table'!$A$3:$B$161,2)</f>
        <v>Africa</v>
      </c>
      <c r="C143" s="11" t="str">
        <f>'Sovereign Ratings (Moody''s,S&amp;P)'!C137</f>
        <v>B2</v>
      </c>
      <c r="D143" s="24">
        <f t="shared" si="29"/>
        <v>6.4581924840476007E-2</v>
      </c>
      <c r="E143" s="24">
        <f t="shared" si="9"/>
        <v>0.13316053145045842</v>
      </c>
      <c r="F143" s="13">
        <f t="shared" si="24"/>
        <v>8.0860531450458406E-2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6">
      <c r="A144" s="128" t="str">
        <f>'Sovereign Ratings (Moody''s,S&amp;P)'!A138</f>
        <v>Sweden</v>
      </c>
      <c r="B144" s="123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9"/>
        <v>0</v>
      </c>
      <c r="E144" s="24">
        <f t="shared" si="9"/>
        <v>5.2299999999999999E-2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5.2299999999999999E-2</v>
      </c>
      <c r="I144" s="16">
        <f t="shared" si="30"/>
        <v>0</v>
      </c>
    </row>
    <row r="145" spans="1:9" ht="16">
      <c r="A145" s="128" t="str">
        <f>'Sovereign Ratings (Moody''s,S&amp;P)'!A139</f>
        <v>Switzerland</v>
      </c>
      <c r="B145" s="123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9"/>
        <v>0</v>
      </c>
      <c r="E145" s="24">
        <f>$E$3+F145</f>
        <v>5.2299999999999999E-2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5.2299999999999999E-2</v>
      </c>
      <c r="I145" s="16">
        <f>IF(G145="NA","NA",G145*$E$5)</f>
        <v>0</v>
      </c>
    </row>
    <row r="146" spans="1:9" ht="16">
      <c r="A146" s="128" t="str">
        <f>'Sovereign Ratings (Moody''s,S&amp;P)'!A140</f>
        <v>Taiwan</v>
      </c>
      <c r="B146" s="123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9"/>
        <v>7.0934245316588403E-3</v>
      </c>
      <c r="E146" s="24">
        <f>$E$3+F146</f>
        <v>6.1181402634722479E-2</v>
      </c>
      <c r="F146" s="13">
        <f>IF($E$4="Yes",D146*$E$5,D146)</f>
        <v>8.8814026347224795E-3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8" t="str">
        <f>'Sovereign Ratings (Moody''s,S&amp;P)'!A141</f>
        <v>Tajikistan</v>
      </c>
      <c r="B147" s="123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9"/>
        <v>7.6333717721283945E-2</v>
      </c>
      <c r="E147" s="24">
        <f t="shared" ref="E147:E155" si="32">$E$3+F147</f>
        <v>0.14787449700947625</v>
      </c>
      <c r="F147" s="13">
        <f t="shared" si="31"/>
        <v>9.5574497009476247E-2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6">
      <c r="A148" s="128" t="str">
        <f>'Sovereign Ratings (Moody''s,S&amp;P)'!A142</f>
        <v>Tanzania</v>
      </c>
      <c r="B148" s="123" t="str">
        <f>VLOOKUP(A148,'Regional lookup table'!$A$3:$B$161,2)</f>
        <v>Africa</v>
      </c>
      <c r="C148" s="11" t="str">
        <f>'Sovereign Ratings (Moody''s,S&amp;P)'!C142</f>
        <v>B1</v>
      </c>
      <c r="D148" s="24">
        <f t="shared" si="29"/>
        <v>5.2830131959668084E-2</v>
      </c>
      <c r="E148" s="24">
        <f t="shared" si="32"/>
        <v>0.11844656589144056</v>
      </c>
      <c r="F148" s="13">
        <f t="shared" si="31"/>
        <v>6.6146565891440565E-2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6">
      <c r="A149" s="128" t="str">
        <f>'Sovereign Ratings (Moody''s,S&amp;P)'!A143</f>
        <v>Thailand</v>
      </c>
      <c r="B149" s="123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9"/>
        <v>1.8739345404531565E-2</v>
      </c>
      <c r="E149" s="24">
        <f t="shared" si="32"/>
        <v>7.5762809945460891E-2</v>
      </c>
      <c r="F149" s="13">
        <f t="shared" si="31"/>
        <v>2.3462809945460884E-2</v>
      </c>
      <c r="G149" s="13">
        <f>VLOOKUP(A149,'10-year CDS Spreads'!$A$2:$D$157,4)</f>
        <v>4.7000000000000002E-3</v>
      </c>
      <c r="H149" s="13">
        <f t="shared" si="33"/>
        <v>5.8184688304907348E-2</v>
      </c>
      <c r="I149" s="16">
        <f t="shared" si="30"/>
        <v>5.8846883049073475E-3</v>
      </c>
    </row>
    <row r="150" spans="1:9" ht="16">
      <c r="A150" s="128" t="str">
        <f>'Sovereign Ratings (Moody''s,S&amp;P)'!A144</f>
        <v>Togo</v>
      </c>
      <c r="B150" s="123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9"/>
        <v>7.6333717721283945E-2</v>
      </c>
      <c r="E150" s="24">
        <f t="shared" si="32"/>
        <v>0.14787449700947625</v>
      </c>
      <c r="F150" s="13">
        <f t="shared" si="31"/>
        <v>9.5574497009476247E-2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6">
      <c r="A151" s="128" t="str">
        <f>'Sovereign Ratings (Moody''s,S&amp;P)'!A145</f>
        <v>Trinidad and Tobago</v>
      </c>
      <c r="B151" s="123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9"/>
        <v>2.9326546198052226E-2</v>
      </c>
      <c r="E151" s="24">
        <f t="shared" si="32"/>
        <v>8.9018634773404881E-2</v>
      </c>
      <c r="F151" s="13">
        <f t="shared" si="31"/>
        <v>3.6718634773404889E-2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6">
      <c r="A152" s="128" t="str">
        <f>'Sovereign Ratings (Moody''s,S&amp;P)'!A146</f>
        <v>Tunisia</v>
      </c>
      <c r="B152" s="123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9"/>
        <v>6.4581924840476007E-2</v>
      </c>
      <c r="E152" s="24">
        <f t="shared" si="32"/>
        <v>0.13316053145045842</v>
      </c>
      <c r="F152" s="13">
        <f t="shared" ref="F152:F160" si="34">IF($E$4="Yes",D152*$E$5,D152)</f>
        <v>8.0860531450458406E-2</v>
      </c>
      <c r="G152" s="13">
        <f>VLOOKUP(A152,'10-year CDS Spreads'!$A$2:$D$157,4)</f>
        <v>8.0799999999999997E-2</v>
      </c>
      <c r="H152" s="13">
        <f t="shared" si="33"/>
        <v>0.15346655639074758</v>
      </c>
      <c r="I152" s="16">
        <f t="shared" si="30"/>
        <v>0.10116655639074759</v>
      </c>
    </row>
    <row r="153" spans="1:9" ht="16">
      <c r="A153" s="128" t="str">
        <f>'Sovereign Ratings (Moody''s,S&amp;P)'!A147</f>
        <v>Turkey</v>
      </c>
      <c r="B153" s="123" t="str">
        <f>VLOOKUP(A153,'Regional lookup table'!$A$3:$B$161,2)</f>
        <v>Western Europe</v>
      </c>
      <c r="C153" s="11" t="str">
        <f>'Sovereign Ratings (Moody''s,S&amp;P)'!C147</f>
        <v>B1</v>
      </c>
      <c r="D153" s="24">
        <f t="shared" si="29"/>
        <v>5.2830131959668084E-2</v>
      </c>
      <c r="E153" s="24">
        <f t="shared" si="32"/>
        <v>0.11844656589144056</v>
      </c>
      <c r="F153" s="13">
        <f t="shared" si="34"/>
        <v>6.6146565891440565E-2</v>
      </c>
      <c r="G153" s="13">
        <f>VLOOKUP(A153,'10-year CDS Spreads'!$A$2:$D$157,4)</f>
        <v>4.58E-2</v>
      </c>
      <c r="H153" s="13">
        <f t="shared" si="33"/>
        <v>0.10964440943930989</v>
      </c>
      <c r="I153" s="16">
        <f t="shared" si="30"/>
        <v>5.73444094393099E-2</v>
      </c>
    </row>
    <row r="154" spans="1:9" ht="16">
      <c r="A154" s="128" t="str">
        <f>'Sovereign Ratings (Moody''s,S&amp;P)'!A148</f>
        <v>Turks and Caicos Islands</v>
      </c>
      <c r="B154" s="123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9"/>
        <v>1.8739345404531565E-2</v>
      </c>
      <c r="E154" s="24">
        <f t="shared" si="32"/>
        <v>7.5762809945460891E-2</v>
      </c>
      <c r="F154" s="13">
        <f t="shared" si="34"/>
        <v>2.3462809945460884E-2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6">
      <c r="A155" s="128" t="str">
        <f>'Sovereign Ratings (Moody''s,S&amp;P)'!A149</f>
        <v>Uganda</v>
      </c>
      <c r="B155" s="123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9"/>
        <v>6.4581924840476007E-2</v>
      </c>
      <c r="E155" s="24">
        <f t="shared" si="32"/>
        <v>0.13316053145045842</v>
      </c>
      <c r="F155" s="13">
        <f t="shared" si="34"/>
        <v>8.0860531450458406E-2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6">
      <c r="A156" s="128" t="str">
        <f>'Sovereign Ratings (Moody''s,S&amp;P)'!A150</f>
        <v>Ukraine</v>
      </c>
      <c r="B156" s="123" t="str">
        <f>VLOOKUP(A156,'Regional lookup table'!$A$3:$B$161,2)</f>
        <v>Eastern Europe &amp; Russia</v>
      </c>
      <c r="C156" s="11" t="str">
        <f>'Sovereign Ratings (Moody''s,S&amp;P)'!C150</f>
        <v>B3</v>
      </c>
      <c r="D156" s="24">
        <f t="shared" si="29"/>
        <v>7.6333717721283945E-2</v>
      </c>
      <c r="E156" s="24">
        <f t="shared" ref="E156:E161" si="35">$E$3+F156</f>
        <v>0.14787449700947625</v>
      </c>
      <c r="F156" s="13">
        <f t="shared" si="34"/>
        <v>9.5574497009476247E-2</v>
      </c>
      <c r="G156" s="13">
        <f>VLOOKUP(A156,'10-year CDS Spreads'!$A$2:$D$157,4)</f>
        <v>5.3900000000000003E-2</v>
      </c>
      <c r="H156" s="13">
        <f t="shared" ref="H156:H161" si="36">IF(I156="NA","NA",$E$3+I156)</f>
        <v>0.11978610630521405</v>
      </c>
      <c r="I156" s="16">
        <f t="shared" si="30"/>
        <v>6.7486106305214053E-2</v>
      </c>
    </row>
    <row r="157" spans="1:9" ht="16">
      <c r="A157" s="128" t="str">
        <f>'Sovereign Ratings (Moody''s,S&amp;P)'!A151</f>
        <v>United Arab Emirates</v>
      </c>
      <c r="B157" s="123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9"/>
        <v>5.8229604364363613E-3</v>
      </c>
      <c r="E157" s="24">
        <f t="shared" si="35"/>
        <v>5.9590703655369198E-2</v>
      </c>
      <c r="F157" s="13">
        <f t="shared" si="34"/>
        <v>7.2907036553691998E-3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6">
      <c r="A158" s="128" t="str">
        <f>'Sovereign Ratings (Moody''s,S&amp;P)'!A152</f>
        <v>United Kingdom</v>
      </c>
      <c r="B158" s="123" t="str">
        <f>VLOOKUP(A158,'Regional lookup table'!$A$3:$B$161,2)</f>
        <v>Western Europe</v>
      </c>
      <c r="C158" s="11" t="str">
        <f>'Sovereign Ratings (Moody''s,S&amp;P)'!C152</f>
        <v>Aa2</v>
      </c>
      <c r="D158" s="24">
        <f t="shared" si="29"/>
        <v>5.8229604364363613E-3</v>
      </c>
      <c r="E158" s="24">
        <f t="shared" si="35"/>
        <v>5.9590703655369198E-2</v>
      </c>
      <c r="F158" s="13">
        <f t="shared" si="34"/>
        <v>7.2907036553691998E-3</v>
      </c>
      <c r="G158" s="13">
        <f>VLOOKUP(A158,'10-year CDS Spreads'!$A$2:$D$157,4)</f>
        <v>1.5999999999999999E-3</v>
      </c>
      <c r="H158" s="13">
        <f t="shared" si="36"/>
        <v>5.4303298146351438E-2</v>
      </c>
      <c r="I158" s="16">
        <f t="shared" si="30"/>
        <v>2.0032981463514372E-3</v>
      </c>
    </row>
    <row r="159" spans="1:9" ht="16">
      <c r="A159" s="128" t="str">
        <f>'Sovereign Ratings (Moody''s,S&amp;P)'!A153</f>
        <v>United States</v>
      </c>
      <c r="B159" s="123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9"/>
        <v>0</v>
      </c>
      <c r="E159" s="24">
        <f t="shared" si="35"/>
        <v>5.2299999999999999E-2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5.2299999999999999E-2</v>
      </c>
      <c r="I159" s="16">
        <f t="shared" si="30"/>
        <v>0</v>
      </c>
    </row>
    <row r="160" spans="1:9" ht="16">
      <c r="A160" s="135" t="str">
        <f>'Sovereign Ratings (Moody''s,S&amp;P)'!A154</f>
        <v>Uruguay</v>
      </c>
      <c r="B160" s="125" t="str">
        <f>VLOOKUP(A160,'Regional lookup table'!$A$3:$B$161,2)</f>
        <v>Central and South America</v>
      </c>
      <c r="C160" s="108" t="str">
        <f>'Sovereign Ratings (Moody''s,S&amp;P)'!C154</f>
        <v>Baa2</v>
      </c>
      <c r="D160" s="24">
        <f t="shared" si="29"/>
        <v>2.2338993674328587E-2</v>
      </c>
      <c r="E160" s="136">
        <f t="shared" si="35"/>
        <v>8.0269790386961845E-2</v>
      </c>
      <c r="F160" s="137">
        <f t="shared" si="34"/>
        <v>2.7969790386961842E-2</v>
      </c>
      <c r="G160" s="137">
        <f>VLOOKUP(A160,'10-year CDS Spreads'!$A$2:$D$157,4)</f>
        <v>1.17E-2</v>
      </c>
      <c r="H160" s="137">
        <f t="shared" si="36"/>
        <v>6.694911769519489E-2</v>
      </c>
      <c r="I160" s="138">
        <f t="shared" si="30"/>
        <v>1.4649117695194887E-2</v>
      </c>
    </row>
    <row r="161" spans="1:51" ht="16">
      <c r="A161" s="188" t="str">
        <f>'Sovereign Ratings (Moody''s,S&amp;P)'!A155</f>
        <v>Uzbekistan</v>
      </c>
      <c r="B161" s="123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9"/>
        <v>5.2830131959668084E-2</v>
      </c>
      <c r="E161" s="24">
        <f t="shared" si="35"/>
        <v>0.11844656589144056</v>
      </c>
      <c r="F161" s="13">
        <f t="shared" ref="F161" si="37">IF($E$4="Yes",D161*$E$5,D161)</f>
        <v>6.6146565891440565E-2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87" customFormat="1" ht="16">
      <c r="A162" s="189" t="str">
        <f>'Sovereign Ratings (Moody''s,S&amp;P)'!A156</f>
        <v>Venezuela</v>
      </c>
      <c r="B162" s="190" t="str">
        <f>VLOOKUP(A162,'Regional lookup table'!$A$3:$B$161,2)</f>
        <v>Central and South America</v>
      </c>
      <c r="C162" s="191" t="str">
        <f>'Sovereign Ratings (Moody''s,S&amp;P)'!C156</f>
        <v>C</v>
      </c>
      <c r="D162" s="24">
        <f t="shared" si="29"/>
        <v>0.17499999999999999</v>
      </c>
      <c r="E162" s="192">
        <f t="shared" ref="E162:E163" si="39">$E$3+F162</f>
        <v>0.27141073475718847</v>
      </c>
      <c r="F162" s="193">
        <f t="shared" ref="F162:F163" si="40">IF($E$4="Yes",D162*$E$5,D162)</f>
        <v>0.21911073475718845</v>
      </c>
      <c r="G162" s="193" t="str">
        <f>VLOOKUP(A162,'10-year CDS Spreads'!$A$2:$D$157,4)</f>
        <v>NA</v>
      </c>
      <c r="H162" s="193" t="str">
        <f t="shared" ref="H162:H163" si="41">IF(I162="NA","NA",$E$3+I162)</f>
        <v>NA</v>
      </c>
      <c r="I162" s="193" t="str">
        <f t="shared" ref="I162:I163" si="42">IF(G162="NA","NA",G162*$E$5)</f>
        <v>NA</v>
      </c>
      <c r="J162" s="258"/>
      <c r="K162" s="258"/>
      <c r="L162" s="258"/>
      <c r="M162" s="258"/>
      <c r="N162" s="258"/>
      <c r="O162" s="258"/>
      <c r="P162" s="258"/>
      <c r="Q162" s="258"/>
      <c r="R162" s="258"/>
      <c r="S162" s="258"/>
      <c r="T162" s="258"/>
      <c r="U162" s="258"/>
      <c r="V162" s="258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258"/>
      <c r="AG162" s="258"/>
      <c r="AH162" s="258"/>
      <c r="AI162" s="258"/>
      <c r="AJ162" s="258"/>
      <c r="AK162" s="258"/>
      <c r="AL162" s="258"/>
      <c r="AM162" s="258"/>
      <c r="AN162" s="258"/>
      <c r="AO162" s="258"/>
      <c r="AP162" s="258"/>
      <c r="AQ162" s="258"/>
      <c r="AR162" s="258"/>
      <c r="AS162" s="258"/>
      <c r="AT162" s="258"/>
      <c r="AU162" s="258"/>
      <c r="AV162" s="258"/>
      <c r="AW162" s="258"/>
      <c r="AX162" s="258"/>
      <c r="AY162" s="258"/>
    </row>
    <row r="163" spans="1:51" ht="16">
      <c r="A163" s="188" t="str">
        <f>'Sovereign Ratings (Moody''s,S&amp;P)'!A157</f>
        <v>Vietnam</v>
      </c>
      <c r="B163" s="123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9"/>
        <v>4.2242931166147427E-2</v>
      </c>
      <c r="E163" s="24">
        <f t="shared" si="39"/>
        <v>0.10519074106349657</v>
      </c>
      <c r="F163" s="13">
        <f t="shared" si="40"/>
        <v>5.2890741063496567E-2</v>
      </c>
      <c r="G163" s="13">
        <f>VLOOKUP(A163,'10-year CDS Spreads'!$A$2:$D$157,4)</f>
        <v>2.0200000000000003E-2</v>
      </c>
      <c r="H163" s="13">
        <f t="shared" si="41"/>
        <v>7.7591639097686904E-2</v>
      </c>
      <c r="I163" s="13">
        <f t="shared" si="42"/>
        <v>2.5291639097686901E-2</v>
      </c>
    </row>
    <row r="164" spans="1:51" ht="16">
      <c r="A164" s="189" t="str">
        <f>'Sovereign Ratings (Moody''s,S&amp;P)'!A158</f>
        <v>Zambia</v>
      </c>
      <c r="B164" s="190" t="str">
        <f>VLOOKUP(A164,'Regional lookup table'!$A$3:$B$161,2)</f>
        <v>Africa</v>
      </c>
      <c r="C164" s="191" t="str">
        <f>'Sovereign Ratings (Moody''s,S&amp;P)'!C158</f>
        <v>Ca</v>
      </c>
      <c r="D164" s="24">
        <f t="shared" si="29"/>
        <v>0.14080977055382476</v>
      </c>
      <c r="E164" s="192">
        <f t="shared" ref="E164" si="43">$E$3+F164</f>
        <v>0.22860247021165525</v>
      </c>
      <c r="F164" s="193">
        <f t="shared" ref="F164" si="44">IF($E$4="Yes",D164*$E$5,D164)</f>
        <v>0.17630247021165524</v>
      </c>
      <c r="G164" s="193" t="str">
        <f>VLOOKUP(A164,'10-year CDS Spreads'!$A$2:$D$158,4)</f>
        <v>NA</v>
      </c>
      <c r="H164" s="193" t="str">
        <f t="shared" ref="H164" si="45">IF(I164="NA","NA",$E$3+I164)</f>
        <v>NA</v>
      </c>
      <c r="I164" s="193" t="str">
        <f t="shared" ref="I164" si="46">IF(G164="NA","NA",G164*$E$5)</f>
        <v>NA</v>
      </c>
    </row>
    <row r="165" spans="1:51" ht="16">
      <c r="A165" s="268" t="s">
        <v>392</v>
      </c>
      <c r="B165" s="268"/>
      <c r="C165" s="268"/>
      <c r="D165" s="268"/>
      <c r="E165" s="268"/>
      <c r="F165" s="30"/>
      <c r="G165" s="30"/>
      <c r="H165" s="30"/>
      <c r="I165" s="30"/>
    </row>
    <row r="166" spans="1:51" s="114" customFormat="1" ht="16">
      <c r="A166" s="126" t="s">
        <v>75</v>
      </c>
      <c r="B166" s="126" t="s">
        <v>393</v>
      </c>
      <c r="C166" s="114" t="s">
        <v>313</v>
      </c>
      <c r="D166" s="114" t="s">
        <v>394</v>
      </c>
      <c r="E166" s="114" t="s">
        <v>314</v>
      </c>
      <c r="F166" s="118"/>
      <c r="G166" s="118"/>
      <c r="H166" s="118"/>
      <c r="I166" s="118"/>
      <c r="J166" s="258"/>
      <c r="K166" s="258"/>
      <c r="L166" s="265"/>
      <c r="M166" s="265"/>
      <c r="N166" s="265"/>
      <c r="O166" s="265"/>
      <c r="P166" s="265"/>
      <c r="Q166" s="265"/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  <c r="AD166" s="265"/>
      <c r="AE166" s="265"/>
      <c r="AF166" s="265"/>
      <c r="AG166" s="265"/>
      <c r="AH166" s="265"/>
      <c r="AI166" s="265"/>
      <c r="AJ166" s="265"/>
      <c r="AK166" s="265"/>
      <c r="AL166" s="265"/>
      <c r="AM166" s="265"/>
      <c r="AN166" s="265"/>
      <c r="AO166" s="265"/>
      <c r="AP166" s="265"/>
      <c r="AQ166" s="265"/>
      <c r="AR166" s="265"/>
      <c r="AS166" s="265"/>
      <c r="AT166" s="265"/>
      <c r="AU166" s="265"/>
      <c r="AV166" s="265"/>
      <c r="AW166" s="265"/>
      <c r="AX166" s="265"/>
      <c r="AY166" s="265"/>
    </row>
    <row r="167" spans="1:51" ht="16">
      <c r="A167" s="55" t="str">
        <f>'PRS Worksheet'!A161</f>
        <v>Algeria</v>
      </c>
      <c r="B167" s="70">
        <f>'PRS Worksheet'!B161</f>
        <v>55</v>
      </c>
      <c r="C167" s="111">
        <f>'PRS Worksheet'!E161</f>
        <v>0.22860247021165525</v>
      </c>
      <c r="D167" s="71">
        <f>'PRS Worksheet'!G161</f>
        <v>0.17630247021165524</v>
      </c>
      <c r="E167" s="71">
        <f>'PRS Worksheet'!D161</f>
        <v>0.14080977055382476</v>
      </c>
      <c r="F167" s="30"/>
      <c r="G167" s="30"/>
      <c r="H167" s="30"/>
      <c r="J167" s="265"/>
      <c r="K167" s="265"/>
    </row>
    <row r="168" spans="1:51" ht="16">
      <c r="A168" s="55" t="str">
        <f>'PRS Worksheet'!A162</f>
        <v>Brunei</v>
      </c>
      <c r="B168" s="70">
        <f>'PRS Worksheet'!B162</f>
        <v>80</v>
      </c>
      <c r="C168" s="111">
        <f>'PRS Worksheet'!E162</f>
        <v>6.4760475338267356E-2</v>
      </c>
      <c r="D168" s="71">
        <f>'PRS Worksheet'!G162</f>
        <v>1.2460475338267357E-2</v>
      </c>
      <c r="E168" s="71">
        <f>'PRS Worksheet'!D162</f>
        <v>9.9519687459094161E-3</v>
      </c>
      <c r="F168" s="30"/>
      <c r="G168" s="30"/>
      <c r="H168" s="30"/>
    </row>
    <row r="169" spans="1:51" ht="16">
      <c r="A169" s="55" t="str">
        <f>'PRS Worksheet'!A163</f>
        <v>Gambia</v>
      </c>
      <c r="B169" s="70">
        <f>'PRS Worksheet'!B163</f>
        <v>63.5</v>
      </c>
      <c r="C169" s="111">
        <f>'PRS Worksheet'!E163</f>
        <v>0.14787449700947625</v>
      </c>
      <c r="D169" s="71">
        <f>'PRS Worksheet'!G163</f>
        <v>9.5574497009476247E-2</v>
      </c>
      <c r="E169" s="71">
        <f>'PRS Worksheet'!D163</f>
        <v>7.6333717721283945E-2</v>
      </c>
      <c r="F169" s="30"/>
      <c r="G169" s="30"/>
      <c r="H169" s="30"/>
    </row>
    <row r="170" spans="1:51" ht="16">
      <c r="A170" s="55" t="str">
        <f>'PRS Worksheet'!A164</f>
        <v>Guinea</v>
      </c>
      <c r="B170" s="70">
        <f>'PRS Worksheet'!B164</f>
        <v>54</v>
      </c>
      <c r="C170" s="111">
        <f>'PRS Worksheet'!E164</f>
        <v>0.22860247021165525</v>
      </c>
      <c r="D170" s="71">
        <f>'PRS Worksheet'!G164</f>
        <v>0.17630247021165524</v>
      </c>
      <c r="E170" s="71">
        <f>'PRS Worksheet'!D164</f>
        <v>0.14080977055382476</v>
      </c>
      <c r="F170" s="30"/>
      <c r="G170" s="30"/>
      <c r="H170" s="30"/>
    </row>
    <row r="171" spans="1:51" ht="16">
      <c r="A171" s="55" t="str">
        <f>'PRS Worksheet'!A165</f>
        <v>Guinea-Bissau</v>
      </c>
      <c r="B171" s="70">
        <f>'PRS Worksheet'!B165</f>
        <v>62</v>
      </c>
      <c r="C171" s="111">
        <f>'PRS Worksheet'!E165</f>
        <v>0.16245590432021467</v>
      </c>
      <c r="D171" s="71">
        <f>'PRS Worksheet'!G165</f>
        <v>0.11015590432021467</v>
      </c>
      <c r="E171" s="71">
        <f>'PRS Worksheet'!D165</f>
        <v>8.7979638594156681E-2</v>
      </c>
      <c r="F171" s="30"/>
      <c r="G171" s="30"/>
      <c r="H171" s="30"/>
    </row>
    <row r="172" spans="1:51" ht="16">
      <c r="A172" s="55" t="str">
        <f>'PRS Worksheet'!A166</f>
        <v>Guyana</v>
      </c>
      <c r="B172" s="70">
        <f>'PRS Worksheet'!B166</f>
        <v>65</v>
      </c>
      <c r="C172" s="111">
        <f>'PRS Worksheet'!E166</f>
        <v>0.13316053145045842</v>
      </c>
      <c r="D172" s="71">
        <f>'PRS Worksheet'!G166</f>
        <v>8.086053145045842E-2</v>
      </c>
      <c r="E172" s="71">
        <f>'PRS Worksheet'!D166</f>
        <v>6.4581924840476021E-2</v>
      </c>
      <c r="F172" s="30"/>
      <c r="G172" s="30"/>
      <c r="H172" s="30"/>
    </row>
    <row r="173" spans="1:51" ht="16">
      <c r="A173" s="55" t="str">
        <f>'PRS Worksheet'!A167</f>
        <v>Haiti</v>
      </c>
      <c r="B173" s="70">
        <f>'PRS Worksheet'!B167</f>
        <v>54.5</v>
      </c>
      <c r="C173" s="111">
        <f>'PRS Worksheet'!E167</f>
        <v>0.22860247021165525</v>
      </c>
      <c r="D173" s="71">
        <f>'PRS Worksheet'!G167</f>
        <v>0.17630247021165524</v>
      </c>
      <c r="E173" s="71">
        <f>'PRS Worksheet'!D167</f>
        <v>0.14080977055382476</v>
      </c>
      <c r="F173" s="30"/>
      <c r="G173" s="30"/>
      <c r="H173" s="30"/>
    </row>
    <row r="174" spans="1:51" ht="16">
      <c r="A174" s="55" t="str">
        <f>'PRS Worksheet'!A168</f>
        <v>Iran</v>
      </c>
      <c r="B174" s="70">
        <f>'PRS Worksheet'!B168</f>
        <v>58.5</v>
      </c>
      <c r="C174" s="111">
        <f>'PRS Worksheet'!E168</f>
        <v>0.18459313178288111</v>
      </c>
      <c r="D174" s="71">
        <f>'PRS Worksheet'!G168</f>
        <v>0.1322931317828811</v>
      </c>
      <c r="E174" s="71">
        <f>'PRS Worksheet'!D168</f>
        <v>0.10566026391933614</v>
      </c>
      <c r="F174" s="30"/>
      <c r="G174" s="30"/>
      <c r="H174" s="30"/>
    </row>
    <row r="175" spans="1:51" ht="16">
      <c r="A175" s="55" t="str">
        <f>'PRS Worksheet'!A169</f>
        <v>Korea, D.P.R.</v>
      </c>
      <c r="B175" s="70">
        <f>'PRS Worksheet'!B169</f>
        <v>50.3</v>
      </c>
      <c r="C175" s="111">
        <f>'PRS Worksheet'!E169</f>
        <v>0.22860247021165525</v>
      </c>
      <c r="D175" s="71">
        <f>'PRS Worksheet'!G169</f>
        <v>0.17630247021165524</v>
      </c>
      <c r="E175" s="71">
        <f>'PRS Worksheet'!D169</f>
        <v>0.14080977055382476</v>
      </c>
      <c r="F175" s="30"/>
      <c r="G175" s="30"/>
      <c r="H175" s="30"/>
    </row>
    <row r="176" spans="1:51" ht="16">
      <c r="A176" s="55" t="str">
        <f>'PRS Worksheet'!A170</f>
        <v>Liberia</v>
      </c>
      <c r="B176" s="70">
        <f>'PRS Worksheet'!B170</f>
        <v>53.5</v>
      </c>
      <c r="C176" s="111">
        <f>'PRS Worksheet'!E170</f>
        <v>0.22860247021165525</v>
      </c>
      <c r="D176" s="71">
        <f>'PRS Worksheet'!G170</f>
        <v>0.17630247021165524</v>
      </c>
      <c r="E176" s="71">
        <f>'PRS Worksheet'!D170</f>
        <v>0.14080977055382476</v>
      </c>
      <c r="F176" s="30"/>
      <c r="G176" s="30"/>
      <c r="H176" s="30"/>
    </row>
    <row r="177" spans="1:8" ht="16">
      <c r="A177" s="55" t="str">
        <f>'PRS Worksheet'!A171</f>
        <v>Libya</v>
      </c>
      <c r="B177" s="70">
        <f>'PRS Worksheet'!B171</f>
        <v>58.3</v>
      </c>
      <c r="C177" s="111">
        <f>'PRS Worksheet'!E171</f>
        <v>0.18459313178288111</v>
      </c>
      <c r="D177" s="71">
        <f>'PRS Worksheet'!G171</f>
        <v>0.1322931317828811</v>
      </c>
      <c r="E177" s="71">
        <f>'PRS Worksheet'!D171</f>
        <v>0.10566026391933614</v>
      </c>
      <c r="F177" s="30"/>
      <c r="G177" s="30"/>
      <c r="H177" s="30"/>
    </row>
    <row r="178" spans="1:8" ht="16">
      <c r="A178" s="55" t="str">
        <f>'PRS Worksheet'!A172</f>
        <v>Madagascar</v>
      </c>
      <c r="B178" s="70">
        <f>'PRS Worksheet'!B172</f>
        <v>63</v>
      </c>
      <c r="C178" s="111">
        <f>'PRS Worksheet'!E172</f>
        <v>0.14787449700947625</v>
      </c>
      <c r="D178" s="71">
        <f>'PRS Worksheet'!G172</f>
        <v>9.5574497009476247E-2</v>
      </c>
      <c r="E178" s="71">
        <f>'PRS Worksheet'!D172</f>
        <v>7.6333717721283945E-2</v>
      </c>
      <c r="F178" s="30"/>
      <c r="G178" s="30"/>
      <c r="H178" s="30"/>
    </row>
    <row r="179" spans="1:8" ht="16">
      <c r="A179" s="55" t="str">
        <f>'PRS Worksheet'!A173</f>
        <v>Malawi</v>
      </c>
      <c r="B179" s="70">
        <f>'PRS Worksheet'!B173</f>
        <v>57.8</v>
      </c>
      <c r="C179" s="111">
        <f>'PRS Worksheet'!E173</f>
        <v>0.18459313178288111</v>
      </c>
      <c r="D179" s="71">
        <f>'PRS Worksheet'!G173</f>
        <v>0.1322931317828811</v>
      </c>
      <c r="E179" s="71">
        <f>'PRS Worksheet'!D173</f>
        <v>0.10566026391933614</v>
      </c>
      <c r="F179" s="30"/>
      <c r="G179" s="30"/>
      <c r="H179" s="30"/>
    </row>
    <row r="180" spans="1:8" ht="16">
      <c r="A180" s="55" t="str">
        <f>'PRS Worksheet'!A174</f>
        <v>Myanmar</v>
      </c>
      <c r="B180" s="70">
        <f>'PRS Worksheet'!B174</f>
        <v>62.8</v>
      </c>
      <c r="C180" s="111">
        <f>'PRS Worksheet'!E174</f>
        <v>0.14787449700947625</v>
      </c>
      <c r="D180" s="71">
        <f>'PRS Worksheet'!G174</f>
        <v>9.5574497009476247E-2</v>
      </c>
      <c r="E180" s="71">
        <f>'PRS Worksheet'!D174</f>
        <v>7.6333717721283945E-2</v>
      </c>
      <c r="F180" s="30"/>
      <c r="G180" s="30"/>
      <c r="H180" s="30"/>
    </row>
    <row r="181" spans="1:8" ht="16">
      <c r="A181" s="55" t="str">
        <f>'PRS Worksheet'!A175</f>
        <v>Sierra Leone</v>
      </c>
      <c r="B181" s="70">
        <f>'PRS Worksheet'!B175</f>
        <v>59</v>
      </c>
      <c r="C181" s="111">
        <f>'PRS Worksheet'!E175</f>
        <v>0.18459313178288111</v>
      </c>
      <c r="D181" s="71">
        <f>'PRS Worksheet'!G175</f>
        <v>0.1322931317828811</v>
      </c>
      <c r="E181" s="71">
        <f>'PRS Worksheet'!D175</f>
        <v>0.10566026391933614</v>
      </c>
      <c r="F181" s="30"/>
      <c r="G181" s="30"/>
      <c r="H181" s="30"/>
    </row>
    <row r="182" spans="1:8" ht="16">
      <c r="A182" s="55" t="str">
        <f>'PRS Worksheet'!A176</f>
        <v>Somalia</v>
      </c>
      <c r="B182" s="70">
        <f>'PRS Worksheet'!B176</f>
        <v>50.5</v>
      </c>
      <c r="C182" s="111">
        <f>'PRS Worksheet'!E176</f>
        <v>0.22860247021165525</v>
      </c>
      <c r="D182" s="71">
        <f>'PRS Worksheet'!G176</f>
        <v>0.17630247021165524</v>
      </c>
      <c r="E182" s="71">
        <f>'PRS Worksheet'!D176</f>
        <v>0.14080977055382476</v>
      </c>
      <c r="F182" s="30"/>
      <c r="G182" s="30"/>
      <c r="H182" s="30"/>
    </row>
    <row r="183" spans="1:8" ht="16">
      <c r="A183" s="55" t="str">
        <f>'PRS Worksheet'!A177</f>
        <v>Sudan</v>
      </c>
      <c r="B183" s="70">
        <f>'PRS Worksheet'!B177</f>
        <v>36.299999999999997</v>
      </c>
      <c r="C183" s="111">
        <f>'PRS Worksheet'!E177</f>
        <v>0.27141073475718847</v>
      </c>
      <c r="D183" s="71">
        <f>'PRS Worksheet'!G177</f>
        <v>0.21911073475718845</v>
      </c>
      <c r="E183" s="71">
        <f>'PRS Worksheet'!D177</f>
        <v>0.17499999999999999</v>
      </c>
      <c r="F183" s="30"/>
      <c r="G183" s="30"/>
      <c r="H183" s="30"/>
    </row>
    <row r="184" spans="1:8" ht="16">
      <c r="A184" s="55" t="str">
        <f>'PRS Worksheet'!A178</f>
        <v>Syria</v>
      </c>
      <c r="B184" s="70">
        <f>'PRS Worksheet'!B178</f>
        <v>53.8</v>
      </c>
      <c r="C184" s="111">
        <f>'PRS Worksheet'!E178</f>
        <v>0.22860247021165525</v>
      </c>
      <c r="D184" s="71">
        <f>'PRS Worksheet'!G178</f>
        <v>0.17630247021165524</v>
      </c>
      <c r="E184" s="71">
        <f>'PRS Worksheet'!D178</f>
        <v>0.14080977055382476</v>
      </c>
      <c r="F184" s="30"/>
      <c r="G184" s="30"/>
      <c r="H184" s="30"/>
    </row>
    <row r="185" spans="1:8" ht="16">
      <c r="A185" s="55" t="str">
        <f>'PRS Worksheet'!A179</f>
        <v>Yemen, Republic</v>
      </c>
      <c r="B185" s="70">
        <f>'PRS Worksheet'!B179</f>
        <v>50</v>
      </c>
      <c r="C185" s="111">
        <f>'PRS Worksheet'!E179</f>
        <v>0.27141073475718847</v>
      </c>
      <c r="D185" s="71">
        <f>'PRS Worksheet'!G179</f>
        <v>0.21911073475718845</v>
      </c>
      <c r="E185" s="71">
        <f>'PRS Worksheet'!D179</f>
        <v>0.17499999999999999</v>
      </c>
      <c r="F185" s="30"/>
      <c r="G185" s="30"/>
      <c r="H185" s="30"/>
    </row>
    <row r="186" spans="1:8" ht="16">
      <c r="A186" s="55" t="str">
        <f>'PRS Worksheet'!A180</f>
        <v>Zimbabwe</v>
      </c>
      <c r="B186" s="70">
        <f>'PRS Worksheet'!B180</f>
        <v>51.3</v>
      </c>
      <c r="C186" s="111">
        <f>'PRS Worksheet'!E180</f>
        <v>0.22860247021165525</v>
      </c>
      <c r="D186" s="71">
        <f>'PRS Worksheet'!G180</f>
        <v>0.17630247021165524</v>
      </c>
      <c r="E186" s="71">
        <f>'PRS Worksheet'!D180</f>
        <v>0.14080977055382476</v>
      </c>
      <c r="F186" s="30"/>
      <c r="G186" s="30"/>
      <c r="H186" s="30"/>
    </row>
    <row r="187" spans="1:8" ht="16">
      <c r="A187" s="109"/>
      <c r="B187" s="127"/>
      <c r="C187" s="110"/>
      <c r="D187" s="29"/>
      <c r="E187" s="30"/>
      <c r="F187" s="30"/>
      <c r="G187" s="30"/>
      <c r="H187" s="30"/>
    </row>
    <row r="188" spans="1:8">
      <c r="B188" s="20" t="s">
        <v>39</v>
      </c>
      <c r="C188" s="20" t="s">
        <v>40</v>
      </c>
    </row>
    <row r="189" spans="1:8">
      <c r="B189" s="5" t="s">
        <v>41</v>
      </c>
      <c r="C189" s="153">
        <f>'Default Spreads for Ratings'!C2</f>
        <v>82.580166189461139</v>
      </c>
    </row>
    <row r="190" spans="1:8">
      <c r="B190" s="5" t="s">
        <v>42</v>
      </c>
      <c r="C190" s="153">
        <f>'Default Spreads for Ratings'!C3</f>
        <v>99.519687459094172</v>
      </c>
    </row>
    <row r="191" spans="1:8">
      <c r="B191" s="5" t="s">
        <v>43</v>
      </c>
      <c r="C191" s="153">
        <f>'Default Spreads for Ratings'!C4</f>
        <v>140.80977055382476</v>
      </c>
    </row>
    <row r="192" spans="1:8">
      <c r="B192" s="5" t="s">
        <v>44</v>
      </c>
      <c r="C192" s="153">
        <f>'Default Spreads for Ratings'!C5</f>
        <v>46.583683491490888</v>
      </c>
    </row>
    <row r="193" spans="2:3">
      <c r="B193" s="5" t="s">
        <v>45</v>
      </c>
      <c r="C193" s="153">
        <f>'Default Spreads for Ratings'!C6</f>
        <v>58.229604364363617</v>
      </c>
    </row>
    <row r="194" spans="2:3">
      <c r="B194" s="5" t="s">
        <v>46</v>
      </c>
      <c r="C194" s="153">
        <f>'Default Spreads for Ratings'!C7</f>
        <v>70.934245316588402</v>
      </c>
    </row>
    <row r="195" spans="2:3">
      <c r="B195" s="5" t="s">
        <v>47</v>
      </c>
      <c r="C195" s="153">
        <f>'Default Spreads for Ratings'!C8</f>
        <v>0</v>
      </c>
    </row>
    <row r="196" spans="2:3">
      <c r="B196" s="5" t="s">
        <v>48</v>
      </c>
      <c r="C196" s="153">
        <f>'Default Spreads for Ratings'!C9</f>
        <v>528.30131959668086</v>
      </c>
    </row>
    <row r="197" spans="2:3">
      <c r="B197" s="5" t="s">
        <v>49</v>
      </c>
      <c r="C197" s="153">
        <f>'Default Spreads for Ratings'!C10</f>
        <v>645.81924840476006</v>
      </c>
    </row>
    <row r="198" spans="2:3">
      <c r="B198" s="5" t="s">
        <v>78</v>
      </c>
      <c r="C198" s="153">
        <f>'Default Spreads for Ratings'!C11</f>
        <v>763.33717721283938</v>
      </c>
    </row>
    <row r="199" spans="2:3">
      <c r="B199" s="5" t="s">
        <v>79</v>
      </c>
      <c r="C199" s="153">
        <f>'Default Spreads for Ratings'!C12</f>
        <v>293.26546198052228</v>
      </c>
    </row>
    <row r="200" spans="2:3">
      <c r="B200" s="5" t="s">
        <v>80</v>
      </c>
      <c r="C200" s="153">
        <f>'Default Spreads for Ratings'!C13</f>
        <v>352.55378642423784</v>
      </c>
    </row>
    <row r="201" spans="2:3">
      <c r="B201" s="5" t="s">
        <v>81</v>
      </c>
      <c r="C201" s="153">
        <f>'Default Spreads for Ratings'!C14</f>
        <v>422.42931166147429</v>
      </c>
    </row>
    <row r="202" spans="2:3">
      <c r="B202" s="5" t="s">
        <v>82</v>
      </c>
      <c r="C202" s="153">
        <f>'Default Spreads for Ratings'!C15</f>
        <v>187.39345404531565</v>
      </c>
    </row>
    <row r="203" spans="2:3">
      <c r="B203" s="5" t="s">
        <v>83</v>
      </c>
      <c r="C203" s="153">
        <f>'Default Spreads for Ratings'!C16</f>
        <v>223.38993674328589</v>
      </c>
    </row>
    <row r="204" spans="2:3">
      <c r="B204" s="5" t="s">
        <v>124</v>
      </c>
      <c r="C204" s="153">
        <f>'Default Spreads for Ratings'!C17</f>
        <v>258.32769936190408</v>
      </c>
    </row>
    <row r="205" spans="2:3">
      <c r="B205" s="8" t="s">
        <v>137</v>
      </c>
      <c r="C205" s="153">
        <v>1750</v>
      </c>
    </row>
    <row r="206" spans="2:3">
      <c r="B206" s="8" t="s">
        <v>347</v>
      </c>
      <c r="C206" s="153">
        <f>'Default Spreads for Ratings'!C18</f>
        <v>1408.0977055382475</v>
      </c>
    </row>
    <row r="207" spans="2:3">
      <c r="B207" s="150" t="s">
        <v>100</v>
      </c>
      <c r="C207" s="153">
        <f>'Default Spreads for Ratings'!C19</f>
        <v>879.79638594156677</v>
      </c>
    </row>
    <row r="208" spans="2:3">
      <c r="B208" s="8" t="s">
        <v>58</v>
      </c>
      <c r="C208" s="153">
        <f>'Default Spreads for Ratings'!C20</f>
        <v>1056.6026391933617</v>
      </c>
    </row>
    <row r="209" spans="2:3">
      <c r="B209" s="8" t="s">
        <v>62</v>
      </c>
      <c r="C209" s="153">
        <f>'Default Spreads for Ratings'!C21</f>
        <v>1173.0618479220891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9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7"/>
  <sheetViews>
    <sheetView workbookViewId="0">
      <selection activeCell="D17" sqref="D17"/>
    </sheetView>
  </sheetViews>
  <sheetFormatPr baseColWidth="10" defaultRowHeight="12"/>
  <cols>
    <col min="1" max="1" width="31.33203125" customWidth="1"/>
    <col min="6" max="6" width="20" customWidth="1"/>
  </cols>
  <sheetData>
    <row r="1" spans="1:11">
      <c r="A1" s="17"/>
      <c r="B1" s="17" t="s">
        <v>381</v>
      </c>
    </row>
    <row r="2" spans="1:11">
      <c r="A2" s="17" t="s">
        <v>382</v>
      </c>
      <c r="B2" s="100">
        <f>D17</f>
        <v>0.12760576192464029</v>
      </c>
      <c r="D2" t="s">
        <v>396</v>
      </c>
    </row>
    <row r="3" spans="1:11">
      <c r="A3" s="17" t="s">
        <v>383</v>
      </c>
      <c r="B3" s="100">
        <f>K16</f>
        <v>0.15977024145462171</v>
      </c>
      <c r="D3" t="s">
        <v>397</v>
      </c>
    </row>
    <row r="4" spans="1:11">
      <c r="A4" s="17" t="s">
        <v>384</v>
      </c>
      <c r="B4" s="101">
        <f>B3/B2</f>
        <v>1.2520613414696484</v>
      </c>
    </row>
    <row r="9" spans="1:11">
      <c r="A9" t="s">
        <v>369</v>
      </c>
      <c r="B9" t="s">
        <v>549</v>
      </c>
      <c r="G9" t="s">
        <v>369</v>
      </c>
      <c r="H9" t="s">
        <v>380</v>
      </c>
    </row>
    <row r="10" spans="1:11">
      <c r="A10" t="s">
        <v>254</v>
      </c>
      <c r="B10" t="s">
        <v>370</v>
      </c>
      <c r="G10" t="s">
        <v>254</v>
      </c>
      <c r="H10" t="s">
        <v>379</v>
      </c>
    </row>
    <row r="11" spans="1:11">
      <c r="B11" s="119" t="s">
        <v>398</v>
      </c>
      <c r="H11" s="119" t="s">
        <v>385</v>
      </c>
    </row>
    <row r="12" spans="1:11">
      <c r="A12" t="s">
        <v>371</v>
      </c>
      <c r="B12" t="s">
        <v>372</v>
      </c>
      <c r="G12" t="s">
        <v>371</v>
      </c>
      <c r="H12" t="s">
        <v>372</v>
      </c>
    </row>
    <row r="13" spans="1:11">
      <c r="A13" t="s">
        <v>373</v>
      </c>
      <c r="B13" t="s">
        <v>374</v>
      </c>
      <c r="G13" t="s">
        <v>373</v>
      </c>
      <c r="H13" t="s">
        <v>374</v>
      </c>
    </row>
    <row r="14" spans="1:11" ht="52">
      <c r="A14" s="93" t="s">
        <v>362</v>
      </c>
      <c r="B14" s="93" t="s">
        <v>363</v>
      </c>
      <c r="G14" s="95" t="s">
        <v>375</v>
      </c>
      <c r="H14" s="91" t="s">
        <v>399</v>
      </c>
      <c r="I14" s="91" t="s">
        <v>376</v>
      </c>
      <c r="J14" s="91"/>
      <c r="K14" s="91"/>
    </row>
    <row r="15" spans="1:11" ht="27">
      <c r="A15" s="161">
        <v>40724</v>
      </c>
      <c r="B15" s="94">
        <v>4.8899999999999997</v>
      </c>
      <c r="C15" t="s">
        <v>364</v>
      </c>
      <c r="D15" s="94">
        <f>AVERAGE(B15:B1337)</f>
        <v>4.3247392290249378</v>
      </c>
      <c r="E15" t="s">
        <v>365</v>
      </c>
      <c r="G15" s="96">
        <v>40724</v>
      </c>
      <c r="H15" s="97">
        <v>254.87</v>
      </c>
      <c r="I15" s="99"/>
      <c r="J15" s="91" t="s">
        <v>377</v>
      </c>
      <c r="K15" s="98">
        <f>STDEV(I15:I1320)</f>
        <v>9.9085297470388779E-3</v>
      </c>
    </row>
    <row r="16" spans="1:11" ht="41" thickBot="1">
      <c r="A16" s="161">
        <v>40725</v>
      </c>
      <c r="B16" s="94">
        <v>4.87</v>
      </c>
      <c r="C16" t="s">
        <v>366</v>
      </c>
      <c r="D16">
        <f>STDEV(B15:B1337)</f>
        <v>0.55186164444510866</v>
      </c>
      <c r="E16" t="s">
        <v>365</v>
      </c>
      <c r="G16" s="96">
        <v>40725</v>
      </c>
      <c r="H16" s="97">
        <v>254.63</v>
      </c>
      <c r="I16" s="99">
        <f t="shared" ref="I16:I78" si="0">H16/H15-1</f>
        <v>-9.4165653078048805E-4</v>
      </c>
      <c r="J16" s="91" t="s">
        <v>378</v>
      </c>
      <c r="K16" s="98">
        <f>K15*(260^0.5)</f>
        <v>0.15977024145462171</v>
      </c>
    </row>
    <row r="17" spans="1:11" ht="17" thickBot="1">
      <c r="A17" s="161">
        <v>40726</v>
      </c>
      <c r="B17" s="94">
        <v>4.87</v>
      </c>
      <c r="C17" t="s">
        <v>367</v>
      </c>
      <c r="D17" s="205">
        <f>D16/D15</f>
        <v>0.12760576192464029</v>
      </c>
      <c r="E17" t="s">
        <v>368</v>
      </c>
      <c r="G17" s="96">
        <v>40726</v>
      </c>
      <c r="H17" s="97">
        <v>252.61</v>
      </c>
      <c r="I17" s="99">
        <f t="shared" si="0"/>
        <v>-7.933079370066265E-3</v>
      </c>
      <c r="J17" s="91"/>
      <c r="K17" s="91"/>
    </row>
    <row r="18" spans="1:11" ht="16">
      <c r="A18" s="161">
        <v>40729</v>
      </c>
      <c r="B18" s="94">
        <v>4.84</v>
      </c>
      <c r="G18" s="96">
        <v>40729</v>
      </c>
      <c r="H18" s="97">
        <v>247.27</v>
      </c>
      <c r="I18" s="99">
        <f t="shared" si="0"/>
        <v>-2.113930564902422E-2</v>
      </c>
      <c r="J18" s="91"/>
      <c r="K18" s="91"/>
    </row>
    <row r="19" spans="1:11" ht="16">
      <c r="A19" s="161">
        <v>40730</v>
      </c>
      <c r="B19" s="94">
        <v>4.87</v>
      </c>
      <c r="G19" s="96">
        <v>40730</v>
      </c>
      <c r="H19" s="97">
        <v>243.38</v>
      </c>
      <c r="I19" s="99">
        <f t="shared" si="0"/>
        <v>-1.5731791159461328E-2</v>
      </c>
      <c r="J19" s="91"/>
      <c r="K19" s="91"/>
    </row>
    <row r="20" spans="1:11" ht="16">
      <c r="A20" s="161">
        <v>40731</v>
      </c>
      <c r="B20" s="94">
        <v>4.88</v>
      </c>
      <c r="G20" s="96">
        <v>40731</v>
      </c>
      <c r="H20" s="97">
        <v>236.45</v>
      </c>
      <c r="I20" s="99">
        <f t="shared" si="0"/>
        <v>-2.8473991289341805E-2</v>
      </c>
      <c r="J20" s="91"/>
      <c r="K20" s="91"/>
    </row>
    <row r="21" spans="1:11" ht="16">
      <c r="A21" s="161">
        <v>40732</v>
      </c>
      <c r="B21" s="94">
        <v>4.91</v>
      </c>
      <c r="G21" s="96">
        <v>40732</v>
      </c>
      <c r="H21" s="97">
        <v>241.2</v>
      </c>
      <c r="I21" s="99">
        <f t="shared" si="0"/>
        <v>2.008881370268556E-2</v>
      </c>
      <c r="J21" s="91"/>
      <c r="K21" s="91"/>
    </row>
    <row r="22" spans="1:11" ht="16">
      <c r="A22" s="161">
        <v>40733</v>
      </c>
      <c r="B22" s="94">
        <v>4.92</v>
      </c>
      <c r="G22" s="96">
        <v>40733</v>
      </c>
      <c r="H22" s="97">
        <v>244.88</v>
      </c>
      <c r="I22" s="99">
        <f t="shared" si="0"/>
        <v>1.5257048092869097E-2</v>
      </c>
      <c r="J22" s="91"/>
      <c r="K22" s="91"/>
    </row>
    <row r="23" spans="1:11" ht="16">
      <c r="A23" s="161">
        <v>40736</v>
      </c>
      <c r="B23" s="94">
        <v>4.92</v>
      </c>
      <c r="G23" s="96">
        <v>40736</v>
      </c>
      <c r="H23" s="97">
        <v>247.67</v>
      </c>
      <c r="I23" s="99">
        <f t="shared" si="0"/>
        <v>1.1393335511270752E-2</v>
      </c>
      <c r="J23" s="91"/>
      <c r="K23" s="91"/>
    </row>
    <row r="24" spans="1:11" ht="16">
      <c r="A24" s="161">
        <v>40737</v>
      </c>
      <c r="B24" s="94">
        <v>4.91</v>
      </c>
      <c r="G24" s="96">
        <v>40737</v>
      </c>
      <c r="H24" s="97">
        <v>247.77</v>
      </c>
      <c r="I24" s="99">
        <f t="shared" si="0"/>
        <v>4.0376307182943272E-4</v>
      </c>
      <c r="J24" s="91"/>
      <c r="K24" s="91"/>
    </row>
    <row r="25" spans="1:11" ht="16">
      <c r="A25" s="161">
        <v>40738</v>
      </c>
      <c r="B25" s="94">
        <v>4.8899999999999997</v>
      </c>
      <c r="G25" s="96">
        <v>40738</v>
      </c>
      <c r="H25" s="97">
        <v>246.38</v>
      </c>
      <c r="I25" s="99">
        <f t="shared" si="0"/>
        <v>-5.6100415708116858E-3</v>
      </c>
      <c r="J25" s="91"/>
      <c r="K25" s="91"/>
    </row>
    <row r="26" spans="1:11" ht="16">
      <c r="A26" s="161">
        <v>40739</v>
      </c>
      <c r="B26" s="94">
        <v>4.87</v>
      </c>
      <c r="G26" s="96">
        <v>40739</v>
      </c>
      <c r="H26" s="97">
        <v>247.62</v>
      </c>
      <c r="I26" s="99">
        <f t="shared" si="0"/>
        <v>5.032876045133472E-3</v>
      </c>
      <c r="J26" s="91"/>
      <c r="K26" s="91"/>
    </row>
    <row r="27" spans="1:11" ht="16">
      <c r="A27" s="161">
        <v>40740</v>
      </c>
      <c r="B27" s="94">
        <v>4.8600000000000003</v>
      </c>
      <c r="G27" s="96">
        <v>40740</v>
      </c>
      <c r="H27" s="97">
        <v>247.97</v>
      </c>
      <c r="I27" s="99">
        <f t="shared" si="0"/>
        <v>1.4134561020919811E-3</v>
      </c>
      <c r="J27" s="91"/>
      <c r="K27" s="91"/>
    </row>
    <row r="28" spans="1:11" ht="16">
      <c r="A28" s="161">
        <v>40743</v>
      </c>
      <c r="B28" s="94">
        <v>4.87</v>
      </c>
      <c r="G28" s="96">
        <v>40743</v>
      </c>
      <c r="H28" s="97">
        <v>246.6</v>
      </c>
      <c r="I28" s="99">
        <f t="shared" si="0"/>
        <v>-5.5248618784530246E-3</v>
      </c>
      <c r="J28" s="91"/>
      <c r="K28" s="91"/>
    </row>
    <row r="29" spans="1:11" ht="16">
      <c r="A29" s="161">
        <v>40744</v>
      </c>
      <c r="B29" s="94">
        <v>4.87</v>
      </c>
      <c r="G29" s="96">
        <v>40744</v>
      </c>
      <c r="H29" s="97">
        <v>247.41</v>
      </c>
      <c r="I29" s="99">
        <f t="shared" si="0"/>
        <v>3.284671532846728E-3</v>
      </c>
      <c r="J29" s="91"/>
      <c r="K29" s="91"/>
    </row>
    <row r="30" spans="1:11" ht="16">
      <c r="A30" s="161">
        <v>40745</v>
      </c>
      <c r="B30" s="94">
        <v>4.87</v>
      </c>
      <c r="G30" s="96">
        <v>40745</v>
      </c>
      <c r="H30" s="97">
        <v>244.8</v>
      </c>
      <c r="I30" s="99">
        <f t="shared" si="0"/>
        <v>-1.0549290651145848E-2</v>
      </c>
      <c r="J30" s="91"/>
      <c r="K30" s="91"/>
    </row>
    <row r="31" spans="1:11" ht="16">
      <c r="A31" s="161">
        <v>40746</v>
      </c>
      <c r="B31" s="94">
        <v>4.88</v>
      </c>
      <c r="G31" s="96">
        <v>40746</v>
      </c>
      <c r="H31" s="97">
        <v>243.23</v>
      </c>
      <c r="I31" s="99">
        <f t="shared" si="0"/>
        <v>-6.4133986928105458E-3</v>
      </c>
      <c r="J31" s="91"/>
      <c r="K31" s="91"/>
    </row>
    <row r="32" spans="1:11" ht="16">
      <c r="A32" s="161">
        <v>40747</v>
      </c>
      <c r="B32" s="94">
        <v>4.92</v>
      </c>
      <c r="G32" s="96">
        <v>40747</v>
      </c>
      <c r="H32" s="97">
        <v>239.8</v>
      </c>
      <c r="I32" s="99">
        <f t="shared" si="0"/>
        <v>-1.4101878880072305E-2</v>
      </c>
      <c r="J32" s="91"/>
      <c r="K32" s="91"/>
    </row>
    <row r="33" spans="1:11" ht="16">
      <c r="A33" s="161">
        <v>40750</v>
      </c>
      <c r="B33" s="94">
        <v>4.96</v>
      </c>
      <c r="G33" s="96">
        <v>40750</v>
      </c>
      <c r="H33" s="97">
        <v>233.89</v>
      </c>
      <c r="I33" s="99">
        <f t="shared" si="0"/>
        <v>-2.4645537948290386E-2</v>
      </c>
      <c r="J33" s="91"/>
      <c r="K33" s="91"/>
    </row>
    <row r="34" spans="1:11" ht="16">
      <c r="A34" s="161">
        <v>40751</v>
      </c>
      <c r="B34" s="94">
        <v>4.97</v>
      </c>
      <c r="G34" s="96">
        <v>40751</v>
      </c>
      <c r="H34" s="97">
        <v>233.12</v>
      </c>
      <c r="I34" s="99">
        <f t="shared" si="0"/>
        <v>-3.2921458805420523E-3</v>
      </c>
      <c r="J34" s="91"/>
      <c r="K34" s="91"/>
    </row>
    <row r="35" spans="1:11" ht="16">
      <c r="A35" s="161">
        <v>40752</v>
      </c>
      <c r="B35" s="94">
        <v>4.95</v>
      </c>
      <c r="G35" s="96">
        <v>40752</v>
      </c>
      <c r="H35" s="97">
        <v>235.41</v>
      </c>
      <c r="I35" s="99">
        <f t="shared" si="0"/>
        <v>9.8232669869595668E-3</v>
      </c>
      <c r="J35" s="91"/>
      <c r="K35" s="91"/>
    </row>
    <row r="36" spans="1:11" ht="16">
      <c r="A36" s="161">
        <v>40753</v>
      </c>
      <c r="B36" s="94">
        <v>4.93</v>
      </c>
      <c r="G36" s="96">
        <v>40753</v>
      </c>
      <c r="H36" s="97">
        <v>234.41</v>
      </c>
      <c r="I36" s="99">
        <f t="shared" si="0"/>
        <v>-4.2479079053565627E-3</v>
      </c>
      <c r="J36" s="91"/>
      <c r="K36" s="91"/>
    </row>
    <row r="37" spans="1:11" ht="16">
      <c r="A37" s="161">
        <v>40754</v>
      </c>
      <c r="B37" s="94">
        <v>4.88</v>
      </c>
      <c r="G37" s="96">
        <v>40754</v>
      </c>
      <c r="H37" s="97">
        <v>236.18</v>
      </c>
      <c r="I37" s="99">
        <f t="shared" si="0"/>
        <v>7.5508724030546315E-3</v>
      </c>
      <c r="J37" s="91"/>
      <c r="K37" s="91"/>
    </row>
    <row r="38" spans="1:11" ht="16">
      <c r="A38" s="161">
        <v>40757</v>
      </c>
      <c r="B38" s="94">
        <v>4.88</v>
      </c>
      <c r="G38" s="96">
        <v>40757</v>
      </c>
      <c r="H38" s="97">
        <v>233.46</v>
      </c>
      <c r="I38" s="99">
        <f t="shared" si="0"/>
        <v>-1.1516639850961075E-2</v>
      </c>
      <c r="J38" s="91"/>
      <c r="K38" s="91"/>
    </row>
    <row r="39" spans="1:11" ht="16">
      <c r="A39" s="161">
        <v>40758</v>
      </c>
      <c r="B39" s="94">
        <v>4.9000000000000004</v>
      </c>
      <c r="G39" s="96">
        <v>40758</v>
      </c>
      <c r="H39" s="97">
        <v>233.9</v>
      </c>
      <c r="I39" s="99">
        <f t="shared" si="0"/>
        <v>1.8846911676517752E-3</v>
      </c>
      <c r="J39" s="91"/>
      <c r="K39" s="91"/>
    </row>
    <row r="40" spans="1:11" ht="16">
      <c r="A40" s="161">
        <v>40759</v>
      </c>
      <c r="B40" s="94">
        <v>4.93</v>
      </c>
      <c r="G40" s="96">
        <v>40759</v>
      </c>
      <c r="H40" s="97">
        <v>234.26</v>
      </c>
      <c r="I40" s="99">
        <f t="shared" si="0"/>
        <v>1.5391192817442167E-3</v>
      </c>
      <c r="J40" s="91"/>
      <c r="K40" s="91"/>
    </row>
    <row r="41" spans="1:11" ht="16">
      <c r="A41" s="161">
        <v>40760</v>
      </c>
      <c r="B41" s="94">
        <v>4.9800000000000004</v>
      </c>
      <c r="G41" s="96">
        <v>40760</v>
      </c>
      <c r="H41" s="97">
        <v>232.69</v>
      </c>
      <c r="I41" s="99">
        <f t="shared" si="0"/>
        <v>-6.7019550926320504E-3</v>
      </c>
      <c r="J41" s="91"/>
      <c r="K41" s="91"/>
    </row>
    <row r="42" spans="1:11" ht="16">
      <c r="A42" s="161">
        <v>40761</v>
      </c>
      <c r="B42" s="94">
        <v>4.9800000000000004</v>
      </c>
      <c r="G42" s="96">
        <v>40761</v>
      </c>
      <c r="H42" s="97">
        <v>232.92</v>
      </c>
      <c r="I42" s="99">
        <f t="shared" si="0"/>
        <v>9.884395547723468E-4</v>
      </c>
      <c r="J42" s="91"/>
      <c r="K42" s="91"/>
    </row>
    <row r="43" spans="1:11" ht="16">
      <c r="A43" s="161">
        <v>40764</v>
      </c>
      <c r="B43" s="94">
        <v>5</v>
      </c>
      <c r="G43" s="96">
        <v>40764</v>
      </c>
      <c r="H43" s="97">
        <v>233.92</v>
      </c>
      <c r="I43" s="99">
        <f t="shared" si="0"/>
        <v>4.2933195947105762E-3</v>
      </c>
      <c r="J43" s="91"/>
      <c r="K43" s="91"/>
    </row>
    <row r="44" spans="1:11" ht="16">
      <c r="A44" s="161">
        <v>40765</v>
      </c>
      <c r="B44" s="94">
        <v>4.97</v>
      </c>
      <c r="G44" s="96">
        <v>40765</v>
      </c>
      <c r="H44" s="97">
        <v>231.21</v>
      </c>
      <c r="I44" s="99">
        <f t="shared" si="0"/>
        <v>-1.1585157318741324E-2</v>
      </c>
      <c r="J44" s="91"/>
      <c r="K44" s="91"/>
    </row>
    <row r="45" spans="1:11" ht="16">
      <c r="A45" s="161">
        <v>40766</v>
      </c>
      <c r="B45" s="94">
        <v>4.97</v>
      </c>
      <c r="G45" s="96">
        <v>40766</v>
      </c>
      <c r="H45" s="97">
        <v>226.51</v>
      </c>
      <c r="I45" s="99">
        <f t="shared" si="0"/>
        <v>-2.0327840491328297E-2</v>
      </c>
      <c r="J45" s="91"/>
      <c r="K45" s="91"/>
    </row>
    <row r="46" spans="1:11" ht="16">
      <c r="A46" s="161">
        <v>40767</v>
      </c>
      <c r="B46" s="94">
        <v>5</v>
      </c>
      <c r="G46" s="96">
        <v>40767</v>
      </c>
      <c r="H46" s="97">
        <v>226.94</v>
      </c>
      <c r="I46" s="99">
        <f t="shared" si="0"/>
        <v>1.8983709328506126E-3</v>
      </c>
      <c r="J46" s="91"/>
      <c r="K46" s="91"/>
    </row>
    <row r="47" spans="1:11" ht="16">
      <c r="A47" s="161">
        <v>40768</v>
      </c>
      <c r="B47" s="94">
        <v>5.01</v>
      </c>
      <c r="G47" s="96">
        <v>40768</v>
      </c>
      <c r="H47" s="97">
        <v>227.09</v>
      </c>
      <c r="I47" s="99">
        <f t="shared" si="0"/>
        <v>6.609676566493583E-4</v>
      </c>
      <c r="J47" s="91"/>
      <c r="K47" s="91"/>
    </row>
    <row r="48" spans="1:11" ht="16">
      <c r="A48" s="161">
        <v>40771</v>
      </c>
      <c r="B48" s="94">
        <v>5</v>
      </c>
      <c r="G48" s="96">
        <v>40771</v>
      </c>
      <c r="H48" s="97">
        <v>225.12</v>
      </c>
      <c r="I48" s="99">
        <f t="shared" si="0"/>
        <v>-8.6749746796423999E-3</v>
      </c>
      <c r="J48" s="91"/>
      <c r="K48" s="91"/>
    </row>
    <row r="49" spans="1:11" ht="16">
      <c r="A49" s="161">
        <v>40772</v>
      </c>
      <c r="B49" s="94">
        <v>5.03</v>
      </c>
      <c r="G49" s="96">
        <v>40772</v>
      </c>
      <c r="H49" s="97">
        <v>222.92</v>
      </c>
      <c r="I49" s="99">
        <f t="shared" si="0"/>
        <v>-9.7725657427151225E-3</v>
      </c>
      <c r="J49" s="91"/>
      <c r="K49" s="91"/>
    </row>
    <row r="50" spans="1:11" ht="16">
      <c r="A50" s="161">
        <v>40773</v>
      </c>
      <c r="B50" s="94">
        <v>5.05</v>
      </c>
      <c r="G50" s="96">
        <v>40773</v>
      </c>
      <c r="H50" s="97">
        <v>220.73</v>
      </c>
      <c r="I50" s="99">
        <f t="shared" si="0"/>
        <v>-9.8241521622106642E-3</v>
      </c>
      <c r="J50" s="91"/>
      <c r="K50" s="91"/>
    </row>
    <row r="51" spans="1:11" ht="16">
      <c r="A51" s="161">
        <v>40774</v>
      </c>
      <c r="B51" s="94">
        <v>5.0999999999999996</v>
      </c>
      <c r="G51" s="96">
        <v>40774</v>
      </c>
      <c r="H51" s="97">
        <v>217.73</v>
      </c>
      <c r="I51" s="99">
        <f t="shared" si="0"/>
        <v>-1.3591265346803771E-2</v>
      </c>
      <c r="J51" s="91"/>
      <c r="K51" s="91"/>
    </row>
    <row r="52" spans="1:11" ht="16">
      <c r="A52" s="161">
        <v>40775</v>
      </c>
      <c r="B52" s="94">
        <v>5.13</v>
      </c>
      <c r="G52" s="96">
        <v>40775</v>
      </c>
      <c r="H52" s="97">
        <v>213.05</v>
      </c>
      <c r="I52" s="99">
        <f t="shared" si="0"/>
        <v>-2.1494511551003459E-2</v>
      </c>
      <c r="J52" s="91"/>
      <c r="K52" s="91"/>
    </row>
    <row r="53" spans="1:11" ht="16">
      <c r="A53" s="161">
        <v>40778</v>
      </c>
      <c r="B53" s="94">
        <v>5.25</v>
      </c>
      <c r="G53" s="96">
        <v>40778</v>
      </c>
      <c r="H53" s="97">
        <v>201.18</v>
      </c>
      <c r="I53" s="99">
        <f t="shared" si="0"/>
        <v>-5.5714620980990448E-2</v>
      </c>
      <c r="J53" s="91"/>
      <c r="K53" s="91"/>
    </row>
    <row r="54" spans="1:11" ht="16">
      <c r="A54" s="161">
        <v>40779</v>
      </c>
      <c r="B54" s="94">
        <v>5.26</v>
      </c>
      <c r="G54" s="96">
        <v>40779</v>
      </c>
      <c r="H54" s="97">
        <v>205.47</v>
      </c>
      <c r="I54" s="99">
        <f t="shared" si="0"/>
        <v>2.1324187294959662E-2</v>
      </c>
      <c r="J54" s="91"/>
      <c r="K54" s="91"/>
    </row>
    <row r="55" spans="1:11" ht="16">
      <c r="A55" s="161">
        <v>40780</v>
      </c>
      <c r="B55" s="94">
        <v>5.29</v>
      </c>
      <c r="G55" s="96">
        <v>40780</v>
      </c>
      <c r="H55" s="97">
        <v>204.62</v>
      </c>
      <c r="I55" s="99">
        <f t="shared" si="0"/>
        <v>-4.1368569620868767E-3</v>
      </c>
      <c r="J55" s="91"/>
      <c r="K55" s="91"/>
    </row>
    <row r="56" spans="1:11" ht="16">
      <c r="A56" s="161">
        <v>40781</v>
      </c>
      <c r="B56" s="94">
        <v>5.2</v>
      </c>
      <c r="G56" s="96">
        <v>40781</v>
      </c>
      <c r="H56" s="97">
        <v>212.12</v>
      </c>
      <c r="I56" s="99">
        <f t="shared" si="0"/>
        <v>3.665330857198712E-2</v>
      </c>
      <c r="J56" s="91"/>
      <c r="K56" s="91"/>
    </row>
    <row r="57" spans="1:11" ht="16">
      <c r="A57" s="161">
        <v>40782</v>
      </c>
      <c r="B57" s="94">
        <v>5.17</v>
      </c>
      <c r="G57" s="96">
        <v>40782</v>
      </c>
      <c r="H57" s="97">
        <v>213.28</v>
      </c>
      <c r="I57" s="99">
        <f t="shared" si="0"/>
        <v>5.4686026777295282E-3</v>
      </c>
      <c r="J57" s="91"/>
      <c r="K57" s="91"/>
    </row>
    <row r="58" spans="1:11" ht="16">
      <c r="A58" s="161">
        <v>40785</v>
      </c>
      <c r="B58" s="94">
        <v>5.2</v>
      </c>
      <c r="G58" s="96">
        <v>40785</v>
      </c>
      <c r="H58" s="97">
        <v>212.87</v>
      </c>
      <c r="I58" s="99">
        <f t="shared" si="0"/>
        <v>-1.9223555888971955E-3</v>
      </c>
      <c r="J58" s="91"/>
      <c r="K58" s="91"/>
    </row>
    <row r="59" spans="1:11" ht="16">
      <c r="A59" s="161">
        <v>40786</v>
      </c>
      <c r="B59" s="94">
        <v>5.21</v>
      </c>
      <c r="G59" s="96">
        <v>40786</v>
      </c>
      <c r="H59" s="97">
        <v>208.14</v>
      </c>
      <c r="I59" s="99">
        <f t="shared" si="0"/>
        <v>-2.2220134354300813E-2</v>
      </c>
      <c r="J59" s="91"/>
      <c r="K59" s="91"/>
    </row>
    <row r="60" spans="1:11" ht="16">
      <c r="A60" s="161">
        <v>40787</v>
      </c>
      <c r="B60" s="94">
        <v>5.24</v>
      </c>
      <c r="G60" s="96">
        <v>40787</v>
      </c>
      <c r="H60" s="97">
        <v>207.16</v>
      </c>
      <c r="I60" s="99">
        <f t="shared" si="0"/>
        <v>-4.7083693667723248E-3</v>
      </c>
      <c r="J60" s="91"/>
      <c r="K60" s="91"/>
    </row>
    <row r="61" spans="1:11" ht="16">
      <c r="A61" s="161">
        <v>40788</v>
      </c>
      <c r="B61" s="94">
        <v>5.22</v>
      </c>
      <c r="G61" s="96">
        <v>40788</v>
      </c>
      <c r="H61" s="97">
        <v>208.91</v>
      </c>
      <c r="I61" s="99">
        <f t="shared" si="0"/>
        <v>8.447576752268704E-3</v>
      </c>
      <c r="J61" s="91"/>
      <c r="K61" s="91"/>
    </row>
    <row r="62" spans="1:11" ht="16">
      <c r="A62" s="161">
        <v>40789</v>
      </c>
      <c r="B62" s="94">
        <v>5.2</v>
      </c>
      <c r="G62" s="96">
        <v>40789</v>
      </c>
      <c r="H62" s="97">
        <v>205.43</v>
      </c>
      <c r="I62" s="99">
        <f t="shared" si="0"/>
        <v>-1.6657890957828658E-2</v>
      </c>
      <c r="J62" s="91"/>
      <c r="K62" s="91"/>
    </row>
    <row r="63" spans="1:11" ht="16">
      <c r="A63" s="161">
        <v>40792</v>
      </c>
      <c r="B63" s="94">
        <v>5.2</v>
      </c>
      <c r="G63" s="96">
        <v>40792</v>
      </c>
      <c r="H63" s="97">
        <v>203.07</v>
      </c>
      <c r="I63" s="99">
        <f t="shared" si="0"/>
        <v>-1.1488098135618019E-2</v>
      </c>
      <c r="J63" s="91"/>
      <c r="K63" s="91"/>
    </row>
    <row r="64" spans="1:11" ht="16">
      <c r="A64" s="161">
        <v>40793</v>
      </c>
      <c r="B64" s="94">
        <v>5.24</v>
      </c>
      <c r="G64" s="96">
        <v>40793</v>
      </c>
      <c r="H64" s="97">
        <v>206.5</v>
      </c>
      <c r="I64" s="99">
        <f t="shared" si="0"/>
        <v>1.6890727335401534E-2</v>
      </c>
      <c r="J64" s="91"/>
      <c r="K64" s="91"/>
    </row>
    <row r="65" spans="1:11" ht="16">
      <c r="A65" s="161">
        <v>40794</v>
      </c>
      <c r="B65" s="94">
        <v>5.23</v>
      </c>
      <c r="G65" s="96">
        <v>40794</v>
      </c>
      <c r="H65" s="97">
        <v>210.74</v>
      </c>
      <c r="I65" s="99">
        <f t="shared" si="0"/>
        <v>2.0532687651331871E-2</v>
      </c>
      <c r="J65" s="91"/>
      <c r="K65" s="91"/>
    </row>
    <row r="66" spans="1:11" ht="16">
      <c r="A66" s="161">
        <v>40795</v>
      </c>
      <c r="B66" s="94">
        <v>5.26</v>
      </c>
      <c r="G66" s="96">
        <v>40795</v>
      </c>
      <c r="H66" s="97">
        <v>209.15</v>
      </c>
      <c r="I66" s="99">
        <f t="shared" si="0"/>
        <v>-7.5448419853848536E-3</v>
      </c>
      <c r="J66" s="91"/>
      <c r="K66" s="91"/>
    </row>
    <row r="67" spans="1:11" ht="16">
      <c r="A67" s="161">
        <v>40796</v>
      </c>
      <c r="B67" s="94">
        <v>5.28</v>
      </c>
      <c r="G67" s="96">
        <v>40796</v>
      </c>
      <c r="H67" s="97">
        <v>209.03</v>
      </c>
      <c r="I67" s="99">
        <f t="shared" si="0"/>
        <v>-5.7375089648581401E-4</v>
      </c>
      <c r="J67" s="91"/>
      <c r="K67" s="91"/>
    </row>
    <row r="68" spans="1:11" ht="16">
      <c r="A68" s="161">
        <v>40799</v>
      </c>
      <c r="B68" s="94">
        <v>5.3</v>
      </c>
      <c r="G68" s="96">
        <v>40799</v>
      </c>
      <c r="H68" s="97">
        <v>210.22</v>
      </c>
      <c r="I68" s="99">
        <f t="shared" si="0"/>
        <v>5.6929627326220977E-3</v>
      </c>
      <c r="J68" s="91"/>
      <c r="K68" s="91"/>
    </row>
    <row r="69" spans="1:11" ht="16">
      <c r="A69" s="161">
        <v>40800</v>
      </c>
      <c r="B69" s="94">
        <v>5.31</v>
      </c>
      <c r="G69" s="96">
        <v>40800</v>
      </c>
      <c r="H69" s="97">
        <v>210.07</v>
      </c>
      <c r="I69" s="99">
        <f t="shared" si="0"/>
        <v>-7.1353819807817853E-4</v>
      </c>
      <c r="J69" s="91"/>
      <c r="K69" s="91"/>
    </row>
    <row r="70" spans="1:11" ht="16">
      <c r="A70" s="161">
        <v>40801</v>
      </c>
      <c r="B70" s="94">
        <v>5.31</v>
      </c>
      <c r="G70" s="96">
        <v>40801</v>
      </c>
      <c r="H70" s="97">
        <v>213.81</v>
      </c>
      <c r="I70" s="99">
        <f t="shared" si="0"/>
        <v>1.7803589279763887E-2</v>
      </c>
      <c r="J70" s="91"/>
      <c r="K70" s="91"/>
    </row>
    <row r="71" spans="1:11" ht="16">
      <c r="A71" s="161">
        <v>40802</v>
      </c>
      <c r="B71" s="94">
        <v>5.29</v>
      </c>
      <c r="G71" s="96">
        <v>40802</v>
      </c>
      <c r="H71" s="97">
        <v>214.58</v>
      </c>
      <c r="I71" s="99">
        <f t="shared" si="0"/>
        <v>3.6013282821196757E-3</v>
      </c>
      <c r="J71" s="91"/>
      <c r="K71" s="91"/>
    </row>
    <row r="72" spans="1:11" ht="16">
      <c r="A72" s="161">
        <v>40803</v>
      </c>
      <c r="B72" s="94">
        <v>5.23</v>
      </c>
      <c r="G72" s="96">
        <v>40803</v>
      </c>
      <c r="H72" s="97">
        <v>214.69</v>
      </c>
      <c r="I72" s="99">
        <f t="shared" si="0"/>
        <v>5.126293223971512E-4</v>
      </c>
      <c r="J72" s="91"/>
      <c r="K72" s="91"/>
    </row>
    <row r="73" spans="1:11" ht="16">
      <c r="A73" s="161">
        <v>40806</v>
      </c>
      <c r="B73" s="94">
        <v>5.28</v>
      </c>
      <c r="G73" s="96">
        <v>40806</v>
      </c>
      <c r="H73" s="97">
        <v>211.94</v>
      </c>
      <c r="I73" s="99">
        <f t="shared" si="0"/>
        <v>-1.2809166705482378E-2</v>
      </c>
      <c r="J73" s="91"/>
      <c r="K73" s="91"/>
    </row>
    <row r="74" spans="1:11" ht="16">
      <c r="A74" s="161">
        <v>40807</v>
      </c>
      <c r="B74" s="94">
        <v>5.37</v>
      </c>
      <c r="G74" s="96">
        <v>40807</v>
      </c>
      <c r="H74" s="97">
        <v>209.42</v>
      </c>
      <c r="I74" s="99">
        <f t="shared" si="0"/>
        <v>-1.1890157591771255E-2</v>
      </c>
      <c r="J74" s="91"/>
      <c r="K74" s="91"/>
    </row>
    <row r="75" spans="1:11" ht="16">
      <c r="A75" s="161">
        <v>40808</v>
      </c>
      <c r="B75" s="94">
        <v>5.4</v>
      </c>
      <c r="G75" s="96">
        <v>40808</v>
      </c>
      <c r="H75" s="97">
        <v>205.75</v>
      </c>
      <c r="I75" s="99">
        <f t="shared" si="0"/>
        <v>-1.7524591729538685E-2</v>
      </c>
      <c r="J75" s="91"/>
      <c r="K75" s="91"/>
    </row>
    <row r="76" spans="1:11" ht="16">
      <c r="A76" s="161">
        <v>40809</v>
      </c>
      <c r="B76" s="94">
        <v>5.5</v>
      </c>
      <c r="G76" s="96">
        <v>40809</v>
      </c>
      <c r="H76" s="97">
        <v>204.15</v>
      </c>
      <c r="I76" s="99">
        <f t="shared" si="0"/>
        <v>-7.7764277035237139E-3</v>
      </c>
      <c r="J76" s="91"/>
      <c r="K76" s="91"/>
    </row>
    <row r="77" spans="1:11" ht="16">
      <c r="A77" s="161">
        <v>40810</v>
      </c>
      <c r="B77" s="94">
        <v>5.51</v>
      </c>
      <c r="G77" s="96">
        <v>40810</v>
      </c>
      <c r="H77" s="97">
        <v>205.3</v>
      </c>
      <c r="I77" s="99">
        <f t="shared" si="0"/>
        <v>5.6331129071760522E-3</v>
      </c>
      <c r="J77" s="91"/>
      <c r="K77" s="91"/>
    </row>
    <row r="78" spans="1:11" ht="16">
      <c r="A78" s="161">
        <v>40813</v>
      </c>
      <c r="B78" s="94">
        <v>5.57</v>
      </c>
      <c r="G78" s="96">
        <v>40813</v>
      </c>
      <c r="H78" s="97">
        <v>203</v>
      </c>
      <c r="I78" s="99">
        <f t="shared" si="0"/>
        <v>-1.1203117389186557E-2</v>
      </c>
      <c r="J78" s="91"/>
      <c r="K78" s="91"/>
    </row>
    <row r="79" spans="1:11" ht="16">
      <c r="A79" s="161">
        <v>40814</v>
      </c>
      <c r="B79" s="94">
        <v>5.63</v>
      </c>
      <c r="G79" s="96">
        <v>40814</v>
      </c>
      <c r="H79" s="97">
        <v>201.72</v>
      </c>
      <c r="I79" s="99">
        <f t="shared" ref="I79:I142" si="1">H79/H78-1</f>
        <v>-6.3054187192118638E-3</v>
      </c>
      <c r="J79" s="91"/>
      <c r="K79" s="91"/>
    </row>
    <row r="80" spans="1:11" ht="16">
      <c r="A80" s="161">
        <v>40815</v>
      </c>
      <c r="B80" s="94">
        <v>5.58</v>
      </c>
      <c r="G80" s="96">
        <v>40815</v>
      </c>
      <c r="H80" s="97">
        <v>205.37</v>
      </c>
      <c r="I80" s="99">
        <f t="shared" si="1"/>
        <v>1.8094388260955885E-2</v>
      </c>
      <c r="J80" s="91"/>
      <c r="K80" s="91"/>
    </row>
    <row r="81" spans="1:11" ht="16">
      <c r="A81" s="161">
        <v>40816</v>
      </c>
      <c r="B81" s="94">
        <v>5.51</v>
      </c>
      <c r="G81" s="96">
        <v>40816</v>
      </c>
      <c r="H81" s="97">
        <v>206.3</v>
      </c>
      <c r="I81" s="99">
        <f t="shared" si="1"/>
        <v>4.5284121341968575E-3</v>
      </c>
      <c r="J81" s="91"/>
      <c r="K81" s="91"/>
    </row>
    <row r="82" spans="1:11" ht="16">
      <c r="A82" s="161">
        <v>40817</v>
      </c>
      <c r="B82" s="94">
        <v>5.48</v>
      </c>
      <c r="G82" s="96">
        <v>40817</v>
      </c>
      <c r="H82" s="97">
        <v>209.16</v>
      </c>
      <c r="I82" s="99">
        <f t="shared" si="1"/>
        <v>1.3863305865244646E-2</v>
      </c>
      <c r="J82" s="91"/>
      <c r="K82" s="91"/>
    </row>
    <row r="83" spans="1:11" ht="16">
      <c r="A83" s="161">
        <v>40820</v>
      </c>
      <c r="B83" s="94">
        <v>5.39</v>
      </c>
      <c r="G83" s="96">
        <v>40820</v>
      </c>
      <c r="H83" s="97">
        <v>213.7</v>
      </c>
      <c r="I83" s="99">
        <f t="shared" si="1"/>
        <v>2.1705871103461449E-2</v>
      </c>
      <c r="J83" s="91"/>
      <c r="K83" s="91"/>
    </row>
    <row r="84" spans="1:11" ht="16">
      <c r="A84" s="161">
        <v>40821</v>
      </c>
      <c r="B84" s="94">
        <v>5.32</v>
      </c>
      <c r="G84" s="96">
        <v>40821</v>
      </c>
      <c r="H84" s="97">
        <v>215.04</v>
      </c>
      <c r="I84" s="99">
        <f t="shared" si="1"/>
        <v>6.2704726251754384E-3</v>
      </c>
      <c r="J84" s="91"/>
      <c r="K84" s="91"/>
    </row>
    <row r="85" spans="1:11" ht="16">
      <c r="A85" s="161">
        <v>40822</v>
      </c>
      <c r="B85" s="94">
        <v>5.28</v>
      </c>
      <c r="G85" s="96">
        <v>40822</v>
      </c>
      <c r="H85" s="97">
        <v>220.25</v>
      </c>
      <c r="I85" s="99">
        <f t="shared" si="1"/>
        <v>2.4228050595238138E-2</v>
      </c>
      <c r="J85" s="91"/>
      <c r="K85" s="91"/>
    </row>
    <row r="86" spans="1:11" ht="16">
      <c r="A86" s="161">
        <v>40823</v>
      </c>
      <c r="B86" s="94">
        <v>5.3</v>
      </c>
      <c r="G86" s="96">
        <v>40823</v>
      </c>
      <c r="H86" s="97">
        <v>219.2</v>
      </c>
      <c r="I86" s="99">
        <f t="shared" si="1"/>
        <v>-4.7673098751419563E-3</v>
      </c>
      <c r="J86" s="91"/>
      <c r="K86" s="91"/>
    </row>
    <row r="87" spans="1:11" ht="16">
      <c r="A87" s="161">
        <v>40824</v>
      </c>
      <c r="B87" s="94">
        <v>5.25</v>
      </c>
      <c r="G87" s="96">
        <v>40824</v>
      </c>
      <c r="H87" s="97">
        <v>222.3</v>
      </c>
      <c r="I87" s="99">
        <f t="shared" si="1"/>
        <v>1.4142335766423431E-2</v>
      </c>
      <c r="J87" s="91"/>
      <c r="K87" s="91"/>
    </row>
    <row r="88" spans="1:11" ht="16">
      <c r="A88" s="161">
        <v>40827</v>
      </c>
      <c r="B88" s="94">
        <v>5.24</v>
      </c>
      <c r="G88" s="96">
        <v>40827</v>
      </c>
      <c r="H88" s="97">
        <v>223.71</v>
      </c>
      <c r="I88" s="99">
        <f t="shared" si="1"/>
        <v>6.3427800269906243E-3</v>
      </c>
      <c r="J88" s="91"/>
      <c r="K88" s="91"/>
    </row>
    <row r="89" spans="1:11" ht="16">
      <c r="A89" s="161">
        <v>40828</v>
      </c>
      <c r="B89" s="94">
        <v>5.23</v>
      </c>
      <c r="G89" s="96">
        <v>40828</v>
      </c>
      <c r="H89" s="97">
        <v>220.94</v>
      </c>
      <c r="I89" s="99">
        <f t="shared" si="1"/>
        <v>-1.2382101828259828E-2</v>
      </c>
      <c r="J89" s="91"/>
      <c r="K89" s="91"/>
    </row>
    <row r="90" spans="1:11" ht="16">
      <c r="A90" s="161">
        <v>40829</v>
      </c>
      <c r="B90" s="94">
        <v>5.23</v>
      </c>
      <c r="G90" s="96">
        <v>40829</v>
      </c>
      <c r="H90" s="97">
        <v>219.63</v>
      </c>
      <c r="I90" s="99">
        <f t="shared" si="1"/>
        <v>-5.9292115506472953E-3</v>
      </c>
      <c r="J90" s="91"/>
      <c r="K90" s="91"/>
    </row>
    <row r="91" spans="1:11" ht="16">
      <c r="A91" s="161">
        <v>40830</v>
      </c>
      <c r="B91" s="94">
        <v>5.2</v>
      </c>
      <c r="G91" s="96">
        <v>40830</v>
      </c>
      <c r="H91" s="97">
        <v>223.36</v>
      </c>
      <c r="I91" s="99">
        <f t="shared" si="1"/>
        <v>1.6983107954286814E-2</v>
      </c>
      <c r="J91" s="91"/>
      <c r="K91" s="91"/>
    </row>
    <row r="92" spans="1:11" ht="16">
      <c r="A92" s="161">
        <v>40831</v>
      </c>
      <c r="B92" s="94">
        <v>5.15</v>
      </c>
      <c r="G92" s="96">
        <v>40831</v>
      </c>
      <c r="H92" s="97">
        <v>223.83</v>
      </c>
      <c r="I92" s="99">
        <f t="shared" si="1"/>
        <v>2.1042263610315803E-3</v>
      </c>
      <c r="J92" s="91"/>
      <c r="K92" s="91"/>
    </row>
    <row r="93" spans="1:11" ht="16">
      <c r="A93" s="161">
        <v>40834</v>
      </c>
      <c r="B93" s="94">
        <v>5.15</v>
      </c>
      <c r="G93" s="96">
        <v>40834</v>
      </c>
      <c r="H93" s="97">
        <v>224.1</v>
      </c>
      <c r="I93" s="99">
        <f t="shared" si="1"/>
        <v>1.2062726176114147E-3</v>
      </c>
      <c r="J93" s="91"/>
      <c r="K93" s="91"/>
    </row>
    <row r="94" spans="1:11" ht="16">
      <c r="A94" s="161">
        <v>40835</v>
      </c>
      <c r="B94" s="94">
        <v>5.16</v>
      </c>
      <c r="G94" s="96">
        <v>40835</v>
      </c>
      <c r="H94" s="97">
        <v>223.65</v>
      </c>
      <c r="I94" s="99">
        <f t="shared" si="1"/>
        <v>-2.0080321285139702E-3</v>
      </c>
      <c r="J94" s="91"/>
      <c r="K94" s="91"/>
    </row>
    <row r="95" spans="1:11" ht="16">
      <c r="A95" s="161">
        <v>40836</v>
      </c>
      <c r="B95" s="94">
        <v>5.2</v>
      </c>
      <c r="G95" s="96">
        <v>40836</v>
      </c>
      <c r="H95" s="97">
        <v>221.81</v>
      </c>
      <c r="I95" s="99">
        <f t="shared" si="1"/>
        <v>-8.2271406215068676E-3</v>
      </c>
      <c r="J95" s="91"/>
      <c r="K95" s="91"/>
    </row>
    <row r="96" spans="1:11" ht="16">
      <c r="A96" s="161">
        <v>40837</v>
      </c>
      <c r="B96" s="94">
        <v>5.17</v>
      </c>
      <c r="G96" s="96">
        <v>40837</v>
      </c>
      <c r="H96" s="97">
        <v>222.25</v>
      </c>
      <c r="I96" s="99">
        <f t="shared" si="1"/>
        <v>1.9836797258914185E-3</v>
      </c>
      <c r="J96" s="91"/>
      <c r="K96" s="91"/>
    </row>
    <row r="97" spans="1:11" ht="16">
      <c r="A97" s="161">
        <v>40838</v>
      </c>
      <c r="B97" s="94">
        <v>5.14</v>
      </c>
      <c r="G97" s="96">
        <v>40838</v>
      </c>
      <c r="H97" s="97">
        <v>224.72</v>
      </c>
      <c r="I97" s="99">
        <f t="shared" si="1"/>
        <v>1.1113610798650253E-2</v>
      </c>
      <c r="J97" s="91"/>
      <c r="K97" s="91"/>
    </row>
    <row r="98" spans="1:11" ht="16">
      <c r="A98" s="161">
        <v>40841</v>
      </c>
      <c r="B98" s="94">
        <v>5.0999999999999996</v>
      </c>
      <c r="G98" s="96">
        <v>40841</v>
      </c>
      <c r="H98" s="97">
        <v>224.97</v>
      </c>
      <c r="I98" s="99">
        <f t="shared" si="1"/>
        <v>1.1124955500176892E-3</v>
      </c>
      <c r="J98" s="91"/>
      <c r="K98" s="91"/>
    </row>
    <row r="99" spans="1:11" ht="16">
      <c r="A99" s="161">
        <v>40842</v>
      </c>
      <c r="B99" s="94">
        <v>5.0999999999999996</v>
      </c>
      <c r="G99" s="96">
        <v>40842</v>
      </c>
      <c r="H99" s="97">
        <v>223.96</v>
      </c>
      <c r="I99" s="99">
        <f t="shared" si="1"/>
        <v>-4.4894874872204449E-3</v>
      </c>
      <c r="J99" s="91"/>
      <c r="K99" s="91"/>
    </row>
    <row r="100" spans="1:11" ht="16">
      <c r="A100" s="161">
        <v>40843</v>
      </c>
      <c r="B100" s="94">
        <v>5.13</v>
      </c>
      <c r="G100" s="96">
        <v>40843</v>
      </c>
      <c r="H100" s="97">
        <v>223.52</v>
      </c>
      <c r="I100" s="99">
        <f t="shared" si="1"/>
        <v>-1.9646365422396617E-3</v>
      </c>
      <c r="J100" s="91"/>
      <c r="K100" s="91"/>
    </row>
    <row r="101" spans="1:11" ht="16">
      <c r="A101" s="161">
        <v>40844</v>
      </c>
      <c r="B101" s="94">
        <v>5.15</v>
      </c>
      <c r="G101" s="96">
        <v>40844</v>
      </c>
      <c r="H101" s="97">
        <v>220.1</v>
      </c>
      <c r="I101" s="99">
        <f t="shared" si="1"/>
        <v>-1.5300644237652206E-2</v>
      </c>
      <c r="J101" s="91"/>
      <c r="K101" s="91"/>
    </row>
    <row r="102" spans="1:11" ht="16">
      <c r="A102" s="161">
        <v>40845</v>
      </c>
      <c r="B102" s="94">
        <v>5.14</v>
      </c>
      <c r="G102" s="96">
        <v>40845</v>
      </c>
      <c r="H102" s="97">
        <v>220.74</v>
      </c>
      <c r="I102" s="99">
        <f t="shared" si="1"/>
        <v>2.9077691958201424E-3</v>
      </c>
      <c r="J102" s="91"/>
      <c r="K102" s="91"/>
    </row>
    <row r="103" spans="1:11" ht="16">
      <c r="A103" s="161">
        <v>40846</v>
      </c>
      <c r="B103" s="94">
        <v>5.15</v>
      </c>
      <c r="G103" s="96">
        <v>40848</v>
      </c>
      <c r="H103" s="97">
        <v>221.2</v>
      </c>
      <c r="I103" s="99">
        <f t="shared" si="1"/>
        <v>2.0838996104013408E-3</v>
      </c>
      <c r="J103" s="91"/>
      <c r="K103" s="91"/>
    </row>
    <row r="104" spans="1:11" ht="16">
      <c r="A104" s="161">
        <v>40848</v>
      </c>
      <c r="B104" s="94">
        <v>5.12</v>
      </c>
      <c r="G104" s="96">
        <v>40849</v>
      </c>
      <c r="H104" s="97">
        <v>223.57</v>
      </c>
      <c r="I104" s="99">
        <f t="shared" si="1"/>
        <v>1.0714285714285676E-2</v>
      </c>
      <c r="J104" s="91"/>
      <c r="K104" s="91"/>
    </row>
    <row r="105" spans="1:11" ht="16">
      <c r="A105" s="161">
        <v>40849</v>
      </c>
      <c r="B105" s="94">
        <v>5.08</v>
      </c>
      <c r="G105" s="96">
        <v>40850</v>
      </c>
      <c r="H105" s="97">
        <v>225.66</v>
      </c>
      <c r="I105" s="99">
        <f t="shared" si="1"/>
        <v>9.3483025450642465E-3</v>
      </c>
      <c r="J105" s="91"/>
      <c r="K105" s="91"/>
    </row>
    <row r="106" spans="1:11" ht="16">
      <c r="A106" s="161">
        <v>40850</v>
      </c>
      <c r="B106" s="94">
        <v>5.05</v>
      </c>
      <c r="G106" s="96">
        <v>40851</v>
      </c>
      <c r="H106" s="97">
        <v>224.8</v>
      </c>
      <c r="I106" s="99">
        <f t="shared" si="1"/>
        <v>-3.8110431622794261E-3</v>
      </c>
      <c r="J106" s="91"/>
      <c r="K106" s="91"/>
    </row>
    <row r="107" spans="1:11" ht="16">
      <c r="A107" s="161">
        <v>40851</v>
      </c>
      <c r="B107" s="94">
        <v>5.08</v>
      </c>
      <c r="G107" s="96">
        <v>40852</v>
      </c>
      <c r="H107" s="97">
        <v>222.21</v>
      </c>
      <c r="I107" s="99">
        <f t="shared" si="1"/>
        <v>-1.152135231316731E-2</v>
      </c>
      <c r="J107" s="91"/>
      <c r="K107" s="91"/>
    </row>
    <row r="108" spans="1:11" ht="16">
      <c r="A108" s="161">
        <v>40852</v>
      </c>
      <c r="B108" s="94">
        <v>5.12</v>
      </c>
      <c r="G108" s="96">
        <v>40855</v>
      </c>
      <c r="H108" s="97">
        <v>219.93</v>
      </c>
      <c r="I108" s="99">
        <f t="shared" si="1"/>
        <v>-1.0260564331038169E-2</v>
      </c>
      <c r="J108" s="91"/>
      <c r="K108" s="91"/>
    </row>
    <row r="109" spans="1:11" ht="16">
      <c r="A109" s="161">
        <v>40855</v>
      </c>
      <c r="B109" s="94">
        <v>5.18</v>
      </c>
      <c r="G109" s="96">
        <v>40856</v>
      </c>
      <c r="H109" s="97">
        <v>217.67</v>
      </c>
      <c r="I109" s="99">
        <f t="shared" si="1"/>
        <v>-1.027599690810721E-2</v>
      </c>
      <c r="J109" s="91"/>
      <c r="K109" s="91"/>
    </row>
    <row r="110" spans="1:11" ht="16">
      <c r="A110" s="161">
        <v>40856</v>
      </c>
      <c r="B110" s="94">
        <v>5.19</v>
      </c>
      <c r="G110" s="96">
        <v>40857</v>
      </c>
      <c r="H110" s="97">
        <v>217.61</v>
      </c>
      <c r="I110" s="99">
        <f t="shared" si="1"/>
        <v>-2.7564662103174431E-4</v>
      </c>
      <c r="J110" s="91"/>
      <c r="K110" s="91"/>
    </row>
    <row r="111" spans="1:11" ht="16">
      <c r="A111" s="161">
        <v>40857</v>
      </c>
      <c r="B111" s="94">
        <v>5.19</v>
      </c>
      <c r="G111" s="96">
        <v>40858</v>
      </c>
      <c r="H111" s="97">
        <v>217.83</v>
      </c>
      <c r="I111" s="99">
        <f t="shared" si="1"/>
        <v>1.0109829511510959E-3</v>
      </c>
      <c r="J111" s="91"/>
      <c r="K111" s="91"/>
    </row>
    <row r="112" spans="1:11" ht="16">
      <c r="A112" s="161">
        <v>40858</v>
      </c>
      <c r="B112" s="94">
        <v>5.21</v>
      </c>
      <c r="G112" s="96">
        <v>40859</v>
      </c>
      <c r="H112" s="97">
        <v>214.55</v>
      </c>
      <c r="I112" s="99">
        <f t="shared" si="1"/>
        <v>-1.5057613735481756E-2</v>
      </c>
      <c r="J112" s="91"/>
      <c r="K112" s="91"/>
    </row>
    <row r="113" spans="1:11" ht="16">
      <c r="A113" s="161">
        <v>40859</v>
      </c>
      <c r="B113" s="94">
        <v>5.24</v>
      </c>
      <c r="G113" s="96">
        <v>40862</v>
      </c>
      <c r="H113" s="97">
        <v>213.69</v>
      </c>
      <c r="I113" s="99">
        <f t="shared" si="1"/>
        <v>-4.0083896527616236E-3</v>
      </c>
      <c r="J113" s="91"/>
      <c r="K113" s="91"/>
    </row>
    <row r="114" spans="1:11" ht="16">
      <c r="A114" s="161">
        <v>40862</v>
      </c>
      <c r="B114" s="94">
        <v>5.22</v>
      </c>
      <c r="G114" s="96">
        <v>40863</v>
      </c>
      <c r="H114" s="97">
        <v>216.02</v>
      </c>
      <c r="I114" s="99">
        <f t="shared" si="1"/>
        <v>1.0903645467733591E-2</v>
      </c>
      <c r="J114" s="91"/>
      <c r="K114" s="91"/>
    </row>
    <row r="115" spans="1:11" ht="16">
      <c r="A115" s="161">
        <v>40863</v>
      </c>
      <c r="B115" s="94">
        <v>5.19</v>
      </c>
      <c r="G115" s="96">
        <v>40864</v>
      </c>
      <c r="H115" s="97">
        <v>215.67</v>
      </c>
      <c r="I115" s="99">
        <f t="shared" si="1"/>
        <v>-1.6202203499676715E-3</v>
      </c>
      <c r="J115" s="91"/>
      <c r="K115" s="91"/>
    </row>
    <row r="116" spans="1:11" ht="16">
      <c r="A116" s="161">
        <v>40864</v>
      </c>
      <c r="B116" s="94">
        <v>5.17</v>
      </c>
      <c r="G116" s="96">
        <v>40865</v>
      </c>
      <c r="H116" s="97">
        <v>219.11</v>
      </c>
      <c r="I116" s="99">
        <f t="shared" si="1"/>
        <v>1.5950294431307244E-2</v>
      </c>
      <c r="J116" s="91"/>
      <c r="K116" s="91"/>
    </row>
    <row r="117" spans="1:11" ht="16">
      <c r="A117" s="161">
        <v>40865</v>
      </c>
      <c r="B117" s="94">
        <v>5.1100000000000003</v>
      </c>
      <c r="G117" s="96">
        <v>40866</v>
      </c>
      <c r="H117" s="97">
        <v>220.9</v>
      </c>
      <c r="I117" s="99">
        <f t="shared" si="1"/>
        <v>8.1694126237963349E-3</v>
      </c>
      <c r="J117" s="91"/>
      <c r="K117" s="91"/>
    </row>
    <row r="118" spans="1:11" ht="16">
      <c r="A118" s="161">
        <v>40866</v>
      </c>
      <c r="B118" s="94">
        <v>5.07</v>
      </c>
      <c r="G118" s="96">
        <v>40869</v>
      </c>
      <c r="H118" s="97">
        <v>220.29</v>
      </c>
      <c r="I118" s="99">
        <f t="shared" si="1"/>
        <v>-2.761430511543761E-3</v>
      </c>
      <c r="J118" s="91"/>
      <c r="K118" s="91"/>
    </row>
    <row r="119" spans="1:11" ht="16">
      <c r="A119" s="161">
        <v>40869</v>
      </c>
      <c r="B119" s="94">
        <v>5.08</v>
      </c>
      <c r="G119" s="96">
        <v>40870</v>
      </c>
      <c r="H119" s="97">
        <v>219.29</v>
      </c>
      <c r="I119" s="99">
        <f t="shared" si="1"/>
        <v>-4.5394706977166521E-3</v>
      </c>
      <c r="J119" s="91"/>
      <c r="K119" s="91"/>
    </row>
    <row r="120" spans="1:11" ht="16">
      <c r="A120" s="161">
        <v>40870</v>
      </c>
      <c r="B120" s="94">
        <v>5.09</v>
      </c>
      <c r="G120" s="96">
        <v>40871</v>
      </c>
      <c r="H120" s="97">
        <v>218.33</v>
      </c>
      <c r="I120" s="99">
        <f t="shared" si="1"/>
        <v>-4.3777646039490081E-3</v>
      </c>
      <c r="J120" s="91"/>
      <c r="K120" s="91"/>
    </row>
    <row r="121" spans="1:11" ht="16">
      <c r="A121" s="161">
        <v>40871</v>
      </c>
      <c r="B121" s="94">
        <v>5.12</v>
      </c>
      <c r="G121" s="96">
        <v>40872</v>
      </c>
      <c r="H121" s="97">
        <v>218.51</v>
      </c>
      <c r="I121" s="99">
        <f t="shared" si="1"/>
        <v>8.2444006778725765E-4</v>
      </c>
      <c r="J121" s="91"/>
      <c r="K121" s="91"/>
    </row>
    <row r="122" spans="1:11" ht="16">
      <c r="A122" s="161">
        <v>40872</v>
      </c>
      <c r="B122" s="94">
        <v>5.12</v>
      </c>
      <c r="G122" s="96">
        <v>40873</v>
      </c>
      <c r="H122" s="97">
        <v>215.71</v>
      </c>
      <c r="I122" s="99">
        <f t="shared" si="1"/>
        <v>-1.2814058853141685E-2</v>
      </c>
      <c r="J122" s="91"/>
      <c r="K122" s="91"/>
    </row>
    <row r="123" spans="1:11" ht="16">
      <c r="A123" s="161">
        <v>40873</v>
      </c>
      <c r="B123" s="94">
        <v>5.12</v>
      </c>
      <c r="G123" s="96">
        <v>40876</v>
      </c>
      <c r="H123" s="97">
        <v>214.01</v>
      </c>
      <c r="I123" s="99">
        <f t="shared" si="1"/>
        <v>-7.8809512771778056E-3</v>
      </c>
      <c r="J123" s="91"/>
      <c r="K123" s="91"/>
    </row>
    <row r="124" spans="1:11" ht="16">
      <c r="A124" s="161">
        <v>40876</v>
      </c>
      <c r="B124" s="94">
        <v>5.09</v>
      </c>
      <c r="G124" s="96">
        <v>40877</v>
      </c>
      <c r="H124" s="97">
        <v>216.34</v>
      </c>
      <c r="I124" s="99">
        <f t="shared" si="1"/>
        <v>1.0887341713004206E-2</v>
      </c>
      <c r="J124" s="91"/>
      <c r="K124" s="91"/>
    </row>
    <row r="125" spans="1:11" ht="16">
      <c r="A125" s="161">
        <v>40877</v>
      </c>
      <c r="B125" s="94">
        <v>5.1100000000000003</v>
      </c>
      <c r="G125" s="96">
        <v>40878</v>
      </c>
      <c r="H125" s="97">
        <v>216</v>
      </c>
      <c r="I125" s="99">
        <f t="shared" si="1"/>
        <v>-1.5716002588518352E-3</v>
      </c>
      <c r="J125" s="91"/>
      <c r="K125" s="91"/>
    </row>
    <row r="126" spans="1:11" ht="16">
      <c r="A126" s="161">
        <v>40878</v>
      </c>
      <c r="B126" s="94">
        <v>5.1100000000000003</v>
      </c>
      <c r="G126" s="96">
        <v>40879</v>
      </c>
      <c r="H126" s="97">
        <v>215.48</v>
      </c>
      <c r="I126" s="99">
        <f t="shared" si="1"/>
        <v>-2.4074074074074137E-3</v>
      </c>
      <c r="J126" s="91"/>
      <c r="K126" s="91"/>
    </row>
    <row r="127" spans="1:11" ht="16">
      <c r="A127" s="161">
        <v>40879</v>
      </c>
      <c r="B127" s="94">
        <v>5.16</v>
      </c>
      <c r="G127" s="96">
        <v>40880</v>
      </c>
      <c r="H127" s="97">
        <v>213.87</v>
      </c>
      <c r="I127" s="99">
        <f t="shared" si="1"/>
        <v>-7.4716911082234327E-3</v>
      </c>
      <c r="J127" s="91"/>
      <c r="K127" s="91"/>
    </row>
    <row r="128" spans="1:11" ht="16">
      <c r="A128" s="161">
        <v>40880</v>
      </c>
      <c r="B128" s="94">
        <v>5.2</v>
      </c>
      <c r="G128" s="96">
        <v>40883</v>
      </c>
      <c r="H128" s="97">
        <v>213.28</v>
      </c>
      <c r="I128" s="99">
        <f t="shared" si="1"/>
        <v>-2.7586851825875947E-3</v>
      </c>
      <c r="J128" s="91"/>
      <c r="K128" s="91"/>
    </row>
    <row r="129" spans="1:11" ht="16">
      <c r="A129" s="161">
        <v>40883</v>
      </c>
      <c r="B129" s="94">
        <v>5.21</v>
      </c>
      <c r="G129" s="96">
        <v>40884</v>
      </c>
      <c r="H129" s="97">
        <v>210.15</v>
      </c>
      <c r="I129" s="99">
        <f t="shared" si="1"/>
        <v>-1.4675543885971476E-2</v>
      </c>
      <c r="J129" s="91"/>
      <c r="K129" s="91"/>
    </row>
    <row r="130" spans="1:11" ht="16">
      <c r="A130" s="161">
        <v>40884</v>
      </c>
      <c r="B130" s="94">
        <v>5.26</v>
      </c>
      <c r="G130" s="96">
        <v>40885</v>
      </c>
      <c r="H130" s="97">
        <v>209.71</v>
      </c>
      <c r="I130" s="99">
        <f t="shared" si="1"/>
        <v>-2.0937425648346331E-3</v>
      </c>
      <c r="J130" s="91"/>
      <c r="K130" s="91"/>
    </row>
    <row r="131" spans="1:11" ht="16">
      <c r="A131" s="161">
        <v>40885</v>
      </c>
      <c r="B131" s="94">
        <v>5.25</v>
      </c>
      <c r="G131" s="96">
        <v>40886</v>
      </c>
      <c r="H131" s="97">
        <v>208</v>
      </c>
      <c r="I131" s="99">
        <f t="shared" si="1"/>
        <v>-8.1541175909589647E-3</v>
      </c>
      <c r="J131" s="91"/>
      <c r="K131" s="91"/>
    </row>
    <row r="132" spans="1:11" ht="16">
      <c r="A132" s="161">
        <v>40886</v>
      </c>
      <c r="B132" s="94">
        <v>5.3</v>
      </c>
      <c r="G132" s="96">
        <v>40887</v>
      </c>
      <c r="H132" s="97">
        <v>203.2</v>
      </c>
      <c r="I132" s="99">
        <f t="shared" si="1"/>
        <v>-2.3076923076923106E-2</v>
      </c>
      <c r="J132" s="91"/>
      <c r="K132" s="91"/>
    </row>
    <row r="133" spans="1:11" ht="16">
      <c r="A133" s="161">
        <v>40887</v>
      </c>
      <c r="B133" s="94">
        <v>5.37</v>
      </c>
      <c r="G133" s="96">
        <v>40890</v>
      </c>
      <c r="H133" s="97">
        <v>202.97</v>
      </c>
      <c r="I133" s="99">
        <f t="shared" si="1"/>
        <v>-1.1318897637794256E-3</v>
      </c>
      <c r="J133" s="91"/>
      <c r="K133" s="91"/>
    </row>
    <row r="134" spans="1:11" ht="16">
      <c r="A134" s="161">
        <v>40890</v>
      </c>
      <c r="B134" s="94">
        <v>5.45</v>
      </c>
      <c r="G134" s="96">
        <v>40891</v>
      </c>
      <c r="H134" s="97">
        <v>205.43</v>
      </c>
      <c r="I134" s="99">
        <f t="shared" si="1"/>
        <v>1.2120017736611421E-2</v>
      </c>
      <c r="J134" s="91"/>
      <c r="K134" s="91"/>
    </row>
    <row r="135" spans="1:11" ht="16">
      <c r="A135" s="161">
        <v>40891</v>
      </c>
      <c r="B135" s="94">
        <v>5.43</v>
      </c>
      <c r="G135" s="96">
        <v>40892</v>
      </c>
      <c r="H135" s="97">
        <v>207.72</v>
      </c>
      <c r="I135" s="99">
        <f t="shared" si="1"/>
        <v>1.1147349462103939E-2</v>
      </c>
      <c r="J135" s="91"/>
      <c r="K135" s="91"/>
    </row>
    <row r="136" spans="1:11" ht="16">
      <c r="A136" s="161">
        <v>40892</v>
      </c>
      <c r="B136" s="94">
        <v>5.47</v>
      </c>
      <c r="G136" s="96">
        <v>40893</v>
      </c>
      <c r="H136" s="97">
        <v>210.2</v>
      </c>
      <c r="I136" s="99">
        <f t="shared" si="1"/>
        <v>1.1939148854226866E-2</v>
      </c>
      <c r="J136" s="91"/>
      <c r="K136" s="91"/>
    </row>
    <row r="137" spans="1:11" ht="16">
      <c r="A137" s="161">
        <v>40893</v>
      </c>
      <c r="B137" s="94">
        <v>5.43</v>
      </c>
      <c r="G137" s="96">
        <v>40894</v>
      </c>
      <c r="H137" s="97">
        <v>208.12</v>
      </c>
      <c r="I137" s="99">
        <f t="shared" si="1"/>
        <v>-9.8953377735488957E-3</v>
      </c>
      <c r="J137" s="91"/>
      <c r="K137" s="91"/>
    </row>
    <row r="138" spans="1:11" ht="16">
      <c r="A138" s="161">
        <v>40894</v>
      </c>
      <c r="B138" s="94">
        <v>5.45</v>
      </c>
      <c r="G138" s="96">
        <v>40897</v>
      </c>
      <c r="H138" s="97">
        <v>208.51</v>
      </c>
      <c r="I138" s="99">
        <f t="shared" si="1"/>
        <v>1.8739188929464135E-3</v>
      </c>
      <c r="J138" s="91"/>
      <c r="K138" s="91"/>
    </row>
    <row r="139" spans="1:11" ht="16">
      <c r="A139" s="161">
        <v>40897</v>
      </c>
      <c r="B139" s="94">
        <v>5.48</v>
      </c>
      <c r="G139" s="96">
        <v>40898</v>
      </c>
      <c r="H139" s="97">
        <v>209</v>
      </c>
      <c r="I139" s="99">
        <f t="shared" si="1"/>
        <v>2.3500071938995504E-3</v>
      </c>
      <c r="J139" s="91"/>
      <c r="K139" s="91"/>
    </row>
    <row r="140" spans="1:11" ht="16">
      <c r="A140" s="161">
        <v>40898</v>
      </c>
      <c r="B140" s="94">
        <v>5.47</v>
      </c>
      <c r="G140" s="96">
        <v>40899</v>
      </c>
      <c r="H140" s="97">
        <v>211.27</v>
      </c>
      <c r="I140" s="99">
        <f t="shared" si="1"/>
        <v>1.0861244019138905E-2</v>
      </c>
      <c r="J140" s="91"/>
      <c r="K140" s="91"/>
    </row>
    <row r="141" spans="1:11" ht="16">
      <c r="A141" s="161">
        <v>40899</v>
      </c>
      <c r="B141" s="94">
        <v>5.48</v>
      </c>
      <c r="G141" s="96">
        <v>40900</v>
      </c>
      <c r="H141" s="97">
        <v>211.51</v>
      </c>
      <c r="I141" s="99">
        <f t="shared" si="1"/>
        <v>1.1359871254792431E-3</v>
      </c>
      <c r="J141" s="91"/>
      <c r="K141" s="91"/>
    </row>
    <row r="142" spans="1:11" ht="16">
      <c r="A142" s="161">
        <v>40900</v>
      </c>
      <c r="B142" s="94">
        <v>5.48</v>
      </c>
      <c r="G142" s="96">
        <v>40901</v>
      </c>
      <c r="H142" s="97">
        <v>211.63</v>
      </c>
      <c r="I142" s="99">
        <f t="shared" si="1"/>
        <v>5.673490615101251E-4</v>
      </c>
      <c r="J142" s="91"/>
      <c r="K142" s="91"/>
    </row>
    <row r="143" spans="1:11" ht="16">
      <c r="A143" s="161">
        <v>40901</v>
      </c>
      <c r="B143" s="195">
        <v>5.48</v>
      </c>
      <c r="G143" s="96">
        <v>40904</v>
      </c>
      <c r="H143" s="97">
        <v>210.84</v>
      </c>
      <c r="I143" s="99">
        <f t="shared" ref="I143:I206" si="2">H143/H142-1</f>
        <v>-3.7329301138779858E-3</v>
      </c>
      <c r="J143" s="91"/>
      <c r="K143" s="91"/>
    </row>
    <row r="144" spans="1:11" ht="16">
      <c r="A144" s="161">
        <v>40904</v>
      </c>
      <c r="B144" s="94">
        <v>5.48</v>
      </c>
      <c r="G144" s="96">
        <v>40905</v>
      </c>
      <c r="H144" s="97">
        <v>211.01</v>
      </c>
      <c r="I144" s="99">
        <f t="shared" si="2"/>
        <v>8.062986150634277E-4</v>
      </c>
      <c r="J144" s="91"/>
      <c r="K144" s="91"/>
    </row>
    <row r="145" spans="1:11" ht="16">
      <c r="A145" s="161">
        <v>40905</v>
      </c>
      <c r="B145" s="94">
        <v>5.47</v>
      </c>
      <c r="G145" s="96">
        <v>40906</v>
      </c>
      <c r="H145" s="97">
        <v>209.09</v>
      </c>
      <c r="I145" s="99">
        <f t="shared" si="2"/>
        <v>-9.0990948296288954E-3</v>
      </c>
      <c r="J145" s="91"/>
      <c r="K145" s="91"/>
    </row>
    <row r="146" spans="1:11" ht="16">
      <c r="A146" s="161">
        <v>40906</v>
      </c>
      <c r="B146" s="94">
        <v>5.48</v>
      </c>
      <c r="G146" s="96">
        <v>40907</v>
      </c>
      <c r="H146" s="97">
        <v>209.85</v>
      </c>
      <c r="I146" s="99">
        <f t="shared" si="2"/>
        <v>3.6347984121669619E-3</v>
      </c>
      <c r="J146" s="91"/>
      <c r="K146" s="91"/>
    </row>
    <row r="147" spans="1:11" ht="16">
      <c r="A147" s="161">
        <v>40907</v>
      </c>
      <c r="B147" s="94">
        <v>5.5</v>
      </c>
      <c r="G147" s="96">
        <v>40908</v>
      </c>
      <c r="H147" s="97">
        <v>209.96</v>
      </c>
      <c r="I147" s="99">
        <f t="shared" si="2"/>
        <v>5.2418394091025E-4</v>
      </c>
      <c r="J147" s="91"/>
      <c r="K147" s="91"/>
    </row>
    <row r="148" spans="1:11" ht="16">
      <c r="A148" s="161">
        <v>40908</v>
      </c>
      <c r="B148" s="195">
        <v>5.5</v>
      </c>
      <c r="G148" s="96">
        <v>40911</v>
      </c>
      <c r="H148" s="97">
        <v>203.33</v>
      </c>
      <c r="I148" s="99">
        <f t="shared" si="2"/>
        <v>-3.1577443322537646E-2</v>
      </c>
      <c r="J148" s="91"/>
      <c r="K148" s="91"/>
    </row>
    <row r="149" spans="1:11" ht="16">
      <c r="A149" s="161">
        <v>40911</v>
      </c>
      <c r="B149" s="94">
        <v>5.47</v>
      </c>
      <c r="G149" s="96">
        <v>40912</v>
      </c>
      <c r="H149" s="97">
        <v>203.45</v>
      </c>
      <c r="I149" s="99">
        <f t="shared" si="2"/>
        <v>5.9017360940338826E-4</v>
      </c>
      <c r="J149" s="91"/>
      <c r="K149" s="91"/>
    </row>
    <row r="150" spans="1:11" ht="16">
      <c r="A150" s="161">
        <v>40912</v>
      </c>
      <c r="B150" s="94">
        <v>5.46</v>
      </c>
      <c r="G150" s="96">
        <v>40913</v>
      </c>
      <c r="H150" s="97">
        <v>201.43</v>
      </c>
      <c r="I150" s="99">
        <f t="shared" si="2"/>
        <v>-9.9287294175471885E-3</v>
      </c>
      <c r="J150" s="91"/>
      <c r="K150" s="91"/>
    </row>
    <row r="151" spans="1:11" ht="16">
      <c r="A151" s="161">
        <v>40913</v>
      </c>
      <c r="B151" s="94">
        <v>5.45</v>
      </c>
      <c r="G151" s="96">
        <v>40914</v>
      </c>
      <c r="H151" s="97">
        <v>195.34</v>
      </c>
      <c r="I151" s="99">
        <f t="shared" si="2"/>
        <v>-3.0233828128878537E-2</v>
      </c>
      <c r="J151" s="91"/>
      <c r="K151" s="91"/>
    </row>
    <row r="152" spans="1:11" ht="16">
      <c r="A152" s="161">
        <v>40914</v>
      </c>
      <c r="B152" s="94">
        <v>5.48</v>
      </c>
      <c r="G152" s="96">
        <v>40915</v>
      </c>
      <c r="H152" s="97">
        <v>195.54</v>
      </c>
      <c r="I152" s="99">
        <f t="shared" si="2"/>
        <v>1.0238558410975429E-3</v>
      </c>
      <c r="J152" s="91"/>
      <c r="K152" s="91"/>
    </row>
    <row r="153" spans="1:11" ht="16">
      <c r="A153" s="161">
        <v>40915</v>
      </c>
      <c r="B153" s="94">
        <v>5.49</v>
      </c>
      <c r="G153" s="96">
        <v>40918</v>
      </c>
      <c r="H153" s="97">
        <v>191.16</v>
      </c>
      <c r="I153" s="99">
        <f t="shared" si="2"/>
        <v>-2.2399509051856392E-2</v>
      </c>
      <c r="J153" s="91"/>
      <c r="K153" s="91"/>
    </row>
    <row r="154" spans="1:11" ht="16">
      <c r="A154" s="161">
        <v>40918</v>
      </c>
      <c r="B154" s="94">
        <v>5.51</v>
      </c>
      <c r="G154" s="96">
        <v>40919</v>
      </c>
      <c r="H154" s="97">
        <v>191.04</v>
      </c>
      <c r="I154" s="99">
        <f t="shared" si="2"/>
        <v>-6.2774639045826142E-4</v>
      </c>
      <c r="J154" s="91"/>
      <c r="K154" s="91"/>
    </row>
    <row r="155" spans="1:11" ht="16">
      <c r="A155" s="161">
        <v>40919</v>
      </c>
      <c r="B155" s="94">
        <v>5.55</v>
      </c>
      <c r="G155" s="96">
        <v>40920</v>
      </c>
      <c r="H155" s="97">
        <v>191.86</v>
      </c>
      <c r="I155" s="99">
        <f t="shared" si="2"/>
        <v>4.292294807370256E-3</v>
      </c>
      <c r="J155" s="91"/>
      <c r="K155" s="91"/>
    </row>
    <row r="156" spans="1:11" ht="16">
      <c r="A156" s="161">
        <v>40920</v>
      </c>
      <c r="B156" s="94">
        <v>5.59</v>
      </c>
      <c r="G156" s="96">
        <v>40921</v>
      </c>
      <c r="H156" s="97">
        <v>190.61</v>
      </c>
      <c r="I156" s="99">
        <f t="shared" si="2"/>
        <v>-6.5151673094965279E-3</v>
      </c>
      <c r="J156" s="91"/>
      <c r="K156" s="91"/>
    </row>
    <row r="157" spans="1:11" ht="16">
      <c r="A157" s="161">
        <v>40921</v>
      </c>
      <c r="B157" s="94">
        <v>5.65</v>
      </c>
      <c r="G157" s="96">
        <v>40922</v>
      </c>
      <c r="H157" s="97">
        <v>186.54</v>
      </c>
      <c r="I157" s="99">
        <f t="shared" si="2"/>
        <v>-2.1352499868842245E-2</v>
      </c>
      <c r="J157" s="91"/>
      <c r="K157" s="91"/>
    </row>
    <row r="158" spans="1:11" ht="16">
      <c r="A158" s="161">
        <v>40922</v>
      </c>
      <c r="B158" s="94">
        <v>5.71</v>
      </c>
      <c r="G158" s="96">
        <v>40925</v>
      </c>
      <c r="H158" s="97">
        <v>184.94</v>
      </c>
      <c r="I158" s="99">
        <f t="shared" si="2"/>
        <v>-8.5772488474321618E-3</v>
      </c>
      <c r="J158" s="91"/>
      <c r="K158" s="91"/>
    </row>
    <row r="159" spans="1:11" ht="16">
      <c r="A159" s="161">
        <v>40925</v>
      </c>
      <c r="B159" s="94">
        <v>5.72</v>
      </c>
      <c r="G159" s="96">
        <v>40926</v>
      </c>
      <c r="H159" s="97">
        <v>187.75</v>
      </c>
      <c r="I159" s="99">
        <f t="shared" si="2"/>
        <v>1.5194117010922437E-2</v>
      </c>
      <c r="J159" s="91"/>
      <c r="K159" s="91"/>
    </row>
    <row r="160" spans="1:11" ht="16">
      <c r="A160" s="161">
        <v>40926</v>
      </c>
      <c r="B160" s="94">
        <v>5.72</v>
      </c>
      <c r="G160" s="96">
        <v>40927</v>
      </c>
      <c r="H160" s="97">
        <v>182.42</v>
      </c>
      <c r="I160" s="99">
        <f t="shared" si="2"/>
        <v>-2.8388814913448801E-2</v>
      </c>
      <c r="J160" s="91"/>
      <c r="K160" s="91"/>
    </row>
    <row r="161" spans="1:11" ht="16">
      <c r="A161" s="161">
        <v>40927</v>
      </c>
      <c r="B161" s="94">
        <v>5.77</v>
      </c>
      <c r="G161" s="96">
        <v>40928</v>
      </c>
      <c r="H161" s="97">
        <v>181.33</v>
      </c>
      <c r="I161" s="99">
        <f t="shared" si="2"/>
        <v>-5.9752220151297886E-3</v>
      </c>
      <c r="J161" s="91"/>
      <c r="K161" s="91"/>
    </row>
    <row r="162" spans="1:11" ht="16">
      <c r="A162" s="161">
        <v>40928</v>
      </c>
      <c r="B162" s="94">
        <v>5.79</v>
      </c>
      <c r="G162" s="96">
        <v>40929</v>
      </c>
      <c r="H162" s="97">
        <v>186.42</v>
      </c>
      <c r="I162" s="99">
        <f t="shared" si="2"/>
        <v>2.8070368940605439E-2</v>
      </c>
      <c r="J162" s="91"/>
      <c r="K162" s="91"/>
    </row>
    <row r="163" spans="1:11" ht="16">
      <c r="A163" s="161">
        <v>40929</v>
      </c>
      <c r="B163" s="94">
        <v>5.7</v>
      </c>
      <c r="G163" s="96">
        <v>40932</v>
      </c>
      <c r="H163" s="97">
        <v>187.54</v>
      </c>
      <c r="I163" s="99">
        <f t="shared" si="2"/>
        <v>6.0079390623324347E-3</v>
      </c>
      <c r="J163" s="91"/>
      <c r="K163" s="91"/>
    </row>
    <row r="164" spans="1:11" ht="16">
      <c r="A164" s="161">
        <v>40932</v>
      </c>
      <c r="B164" s="94">
        <v>5.69</v>
      </c>
      <c r="G164" s="96">
        <v>40933</v>
      </c>
      <c r="H164" s="97">
        <v>185.95</v>
      </c>
      <c r="I164" s="99">
        <f t="shared" si="2"/>
        <v>-8.4781913191852576E-3</v>
      </c>
      <c r="J164" s="91"/>
      <c r="K164" s="91"/>
    </row>
    <row r="165" spans="1:11" ht="16">
      <c r="A165" s="161">
        <v>40933</v>
      </c>
      <c r="B165" s="94">
        <v>5.66</v>
      </c>
      <c r="G165" s="96">
        <v>40934</v>
      </c>
      <c r="H165" s="97">
        <v>187.21</v>
      </c>
      <c r="I165" s="99">
        <f t="shared" si="2"/>
        <v>6.7760150578113354E-3</v>
      </c>
      <c r="J165" s="91"/>
      <c r="K165" s="91"/>
    </row>
    <row r="166" spans="1:11" ht="16">
      <c r="A166" s="161">
        <v>40934</v>
      </c>
      <c r="B166" s="94">
        <v>5.63</v>
      </c>
      <c r="G166" s="96">
        <v>40935</v>
      </c>
      <c r="H166" s="97">
        <v>188.76</v>
      </c>
      <c r="I166" s="99">
        <f t="shared" si="2"/>
        <v>8.2794722504138107E-3</v>
      </c>
      <c r="J166" s="91"/>
      <c r="K166" s="91"/>
    </row>
    <row r="167" spans="1:11" ht="16">
      <c r="A167" s="161">
        <v>40935</v>
      </c>
      <c r="B167" s="94">
        <v>5.56</v>
      </c>
      <c r="G167" s="96">
        <v>40936</v>
      </c>
      <c r="H167" s="97">
        <v>194.1</v>
      </c>
      <c r="I167" s="99">
        <f t="shared" si="2"/>
        <v>2.8289891926255528E-2</v>
      </c>
      <c r="J167" s="91"/>
      <c r="K167" s="91"/>
    </row>
    <row r="168" spans="1:11" ht="16">
      <c r="A168" s="161">
        <v>40936</v>
      </c>
      <c r="B168" s="94">
        <v>5.51</v>
      </c>
      <c r="G168" s="96">
        <v>40939</v>
      </c>
      <c r="H168" s="97">
        <v>194.05</v>
      </c>
      <c r="I168" s="99">
        <f t="shared" si="2"/>
        <v>-2.5759917568257684E-4</v>
      </c>
      <c r="J168" s="91"/>
      <c r="K168" s="91"/>
    </row>
    <row r="169" spans="1:11" ht="16">
      <c r="A169" s="161">
        <v>40938</v>
      </c>
      <c r="B169" s="94">
        <v>5.55</v>
      </c>
      <c r="G169" s="96">
        <v>40940</v>
      </c>
      <c r="H169" s="97">
        <v>190.82</v>
      </c>
      <c r="I169" s="99">
        <f t="shared" si="2"/>
        <v>-1.6645194537490471E-2</v>
      </c>
      <c r="J169" s="91"/>
      <c r="K169" s="91"/>
    </row>
    <row r="170" spans="1:11" ht="16">
      <c r="A170" s="161">
        <v>40939</v>
      </c>
      <c r="B170" s="94">
        <v>5.55</v>
      </c>
      <c r="G170" s="96">
        <v>40941</v>
      </c>
      <c r="H170" s="97">
        <v>189.11</v>
      </c>
      <c r="I170" s="99">
        <f t="shared" si="2"/>
        <v>-8.9613248087201391E-3</v>
      </c>
      <c r="J170" s="91"/>
      <c r="K170" s="91"/>
    </row>
    <row r="171" spans="1:11" ht="16">
      <c r="A171" s="161">
        <v>40940</v>
      </c>
      <c r="B171" s="94">
        <v>5.59</v>
      </c>
      <c r="G171" s="96">
        <v>40942</v>
      </c>
      <c r="H171" s="97">
        <v>193.17</v>
      </c>
      <c r="I171" s="99">
        <f t="shared" si="2"/>
        <v>2.146898630426719E-2</v>
      </c>
      <c r="J171" s="91"/>
      <c r="K171" s="91"/>
    </row>
    <row r="172" spans="1:11" ht="16">
      <c r="A172" s="161">
        <v>40941</v>
      </c>
      <c r="B172" s="94">
        <v>5.57</v>
      </c>
      <c r="G172" s="96">
        <v>40943</v>
      </c>
      <c r="H172" s="97">
        <v>192.91</v>
      </c>
      <c r="I172" s="99">
        <f t="shared" si="2"/>
        <v>-1.3459646943106973E-3</v>
      </c>
      <c r="J172" s="91"/>
      <c r="K172" s="91"/>
    </row>
    <row r="173" spans="1:11" ht="16">
      <c r="A173" s="161">
        <v>40942</v>
      </c>
      <c r="B173" s="94">
        <v>5.51</v>
      </c>
      <c r="G173" s="96">
        <v>40946</v>
      </c>
      <c r="H173" s="97">
        <v>191.32</v>
      </c>
      <c r="I173" s="99">
        <f t="shared" si="2"/>
        <v>-8.2421854750920343E-3</v>
      </c>
      <c r="J173" s="91"/>
      <c r="K173" s="91"/>
    </row>
    <row r="174" spans="1:11" ht="16">
      <c r="A174" s="161">
        <v>40943</v>
      </c>
      <c r="B174" s="94">
        <v>5.49</v>
      </c>
      <c r="G174" s="96">
        <v>40947</v>
      </c>
      <c r="H174" s="97">
        <v>190.07</v>
      </c>
      <c r="I174" s="99">
        <f t="shared" si="2"/>
        <v>-6.5335563453898793E-3</v>
      </c>
      <c r="J174" s="91"/>
      <c r="K174" s="91"/>
    </row>
    <row r="175" spans="1:11" ht="16">
      <c r="A175" s="161">
        <v>40946</v>
      </c>
      <c r="B175" s="94">
        <v>5.49</v>
      </c>
      <c r="G175" s="96">
        <v>40948</v>
      </c>
      <c r="H175" s="97">
        <v>190.27</v>
      </c>
      <c r="I175" s="99">
        <f t="shared" si="2"/>
        <v>1.0522439101383618E-3</v>
      </c>
      <c r="J175" s="91"/>
      <c r="K175" s="91"/>
    </row>
    <row r="176" spans="1:11" ht="16">
      <c r="A176" s="161">
        <v>40947</v>
      </c>
      <c r="B176" s="94">
        <v>5.51</v>
      </c>
      <c r="G176" s="96">
        <v>40949</v>
      </c>
      <c r="H176" s="97">
        <v>186.09</v>
      </c>
      <c r="I176" s="99">
        <f t="shared" si="2"/>
        <v>-2.1968781205655152E-2</v>
      </c>
      <c r="J176" s="91"/>
      <c r="K176" s="91"/>
    </row>
    <row r="177" spans="1:11" ht="16">
      <c r="A177" s="161">
        <v>40948</v>
      </c>
      <c r="B177" s="94">
        <v>5.53</v>
      </c>
      <c r="G177" s="96">
        <v>40950</v>
      </c>
      <c r="H177" s="97">
        <v>186.06</v>
      </c>
      <c r="I177" s="99">
        <f t="shared" si="2"/>
        <v>-1.6121231662102886E-4</v>
      </c>
      <c r="J177" s="91"/>
      <c r="K177" s="91"/>
    </row>
    <row r="178" spans="1:11" ht="16">
      <c r="A178" s="161">
        <v>40949</v>
      </c>
      <c r="B178" s="94">
        <v>5.58</v>
      </c>
      <c r="G178" s="96">
        <v>40953</v>
      </c>
      <c r="H178" s="97">
        <v>189.98</v>
      </c>
      <c r="I178" s="99">
        <f t="shared" si="2"/>
        <v>2.1068472535741067E-2</v>
      </c>
      <c r="J178" s="91"/>
      <c r="K178" s="91"/>
    </row>
    <row r="179" spans="1:11" ht="16">
      <c r="A179" s="161">
        <v>40950</v>
      </c>
      <c r="B179" s="94">
        <v>5.61</v>
      </c>
      <c r="G179" s="96">
        <v>40954</v>
      </c>
      <c r="H179" s="97">
        <v>191.31</v>
      </c>
      <c r="I179" s="99">
        <f t="shared" si="2"/>
        <v>7.0007369196758429E-3</v>
      </c>
      <c r="J179" s="91"/>
      <c r="K179" s="91"/>
    </row>
    <row r="180" spans="1:11" ht="16">
      <c r="A180" s="161">
        <v>40953</v>
      </c>
      <c r="B180" s="94">
        <v>5.6</v>
      </c>
      <c r="G180" s="96">
        <v>40955</v>
      </c>
      <c r="H180" s="97">
        <v>192.85</v>
      </c>
      <c r="I180" s="99">
        <f t="shared" si="2"/>
        <v>8.0497621661177465E-3</v>
      </c>
      <c r="J180" s="91"/>
      <c r="K180" s="91"/>
    </row>
    <row r="181" spans="1:11" ht="16">
      <c r="A181" s="161">
        <v>40954</v>
      </c>
      <c r="B181" s="94">
        <v>5.57</v>
      </c>
      <c r="G181" s="96">
        <v>40956</v>
      </c>
      <c r="H181" s="97">
        <v>195.34</v>
      </c>
      <c r="I181" s="99">
        <f t="shared" si="2"/>
        <v>1.2911589318122862E-2</v>
      </c>
      <c r="J181" s="91"/>
      <c r="K181" s="91"/>
    </row>
    <row r="182" spans="1:11" ht="16">
      <c r="A182" s="161">
        <v>40955</v>
      </c>
      <c r="B182" s="94">
        <v>5.5</v>
      </c>
      <c r="G182" s="96">
        <v>40957</v>
      </c>
      <c r="H182" s="97">
        <v>194.3</v>
      </c>
      <c r="I182" s="99">
        <f t="shared" si="2"/>
        <v>-5.3240503737073119E-3</v>
      </c>
      <c r="J182" s="91"/>
      <c r="K182" s="91"/>
    </row>
    <row r="183" spans="1:11" ht="16">
      <c r="A183" s="161">
        <v>40956</v>
      </c>
      <c r="B183" s="94">
        <v>5.48</v>
      </c>
      <c r="G183" s="96">
        <v>40960</v>
      </c>
      <c r="H183" s="97">
        <v>196.99</v>
      </c>
      <c r="I183" s="99">
        <f t="shared" si="2"/>
        <v>1.3844570252187216E-2</v>
      </c>
      <c r="J183" s="91"/>
      <c r="K183" s="91"/>
    </row>
    <row r="184" spans="1:11" ht="16">
      <c r="A184" s="161">
        <v>40957</v>
      </c>
      <c r="B184" s="94">
        <v>5.46</v>
      </c>
      <c r="G184" s="96">
        <v>40961</v>
      </c>
      <c r="H184" s="97">
        <v>195.39</v>
      </c>
      <c r="I184" s="99">
        <f t="shared" si="2"/>
        <v>-8.1222397075995101E-3</v>
      </c>
      <c r="J184" s="91"/>
      <c r="K184" s="91"/>
    </row>
    <row r="185" spans="1:11" ht="16">
      <c r="A185" s="161">
        <v>40960</v>
      </c>
      <c r="B185" s="94">
        <v>5.44</v>
      </c>
      <c r="G185" s="96">
        <v>40962</v>
      </c>
      <c r="H185" s="97">
        <v>193.36</v>
      </c>
      <c r="I185" s="99">
        <f t="shared" si="2"/>
        <v>-1.0389477455345575E-2</v>
      </c>
      <c r="J185" s="91"/>
      <c r="K185" s="91"/>
    </row>
    <row r="186" spans="1:11" ht="16">
      <c r="A186" s="161">
        <v>40961</v>
      </c>
      <c r="B186" s="94">
        <v>5.43</v>
      </c>
      <c r="G186" s="96">
        <v>40963</v>
      </c>
      <c r="H186" s="97">
        <v>192.69</v>
      </c>
      <c r="I186" s="99">
        <f t="shared" si="2"/>
        <v>-3.4650393049235895E-3</v>
      </c>
      <c r="J186" s="91"/>
      <c r="K186" s="91"/>
    </row>
    <row r="187" spans="1:11" ht="16">
      <c r="A187" s="161">
        <v>40962</v>
      </c>
      <c r="B187" s="94">
        <v>5.44</v>
      </c>
      <c r="G187" s="96">
        <v>40964</v>
      </c>
      <c r="H187" s="97">
        <v>194.24</v>
      </c>
      <c r="I187" s="99">
        <f t="shared" si="2"/>
        <v>8.044008511080003E-3</v>
      </c>
      <c r="J187" s="91"/>
      <c r="K187" s="91"/>
    </row>
    <row r="188" spans="1:11" ht="16">
      <c r="A188" s="161">
        <v>40963</v>
      </c>
      <c r="B188" s="94">
        <v>5.4</v>
      </c>
      <c r="G188" s="96">
        <v>40967</v>
      </c>
      <c r="H188" s="97">
        <v>194.49</v>
      </c>
      <c r="I188" s="99">
        <f t="shared" si="2"/>
        <v>1.2870675453047209E-3</v>
      </c>
      <c r="J188" s="91"/>
      <c r="K188" s="91"/>
    </row>
    <row r="189" spans="1:11" ht="16">
      <c r="A189" s="161">
        <v>40964</v>
      </c>
      <c r="B189" s="94">
        <v>5.39</v>
      </c>
      <c r="G189" s="96">
        <v>40968</v>
      </c>
      <c r="H189" s="97">
        <v>198.33</v>
      </c>
      <c r="I189" s="99">
        <f t="shared" si="2"/>
        <v>1.9743945704149279E-2</v>
      </c>
      <c r="J189" s="91"/>
      <c r="K189" s="91"/>
    </row>
    <row r="190" spans="1:11" ht="16">
      <c r="A190" s="161">
        <v>40967</v>
      </c>
      <c r="B190" s="94">
        <v>5.38</v>
      </c>
      <c r="G190" s="96">
        <v>40969</v>
      </c>
      <c r="H190" s="97">
        <v>202.16</v>
      </c>
      <c r="I190" s="99">
        <f t="shared" si="2"/>
        <v>1.9311248928553404E-2</v>
      </c>
      <c r="J190" s="91"/>
      <c r="K190" s="91"/>
    </row>
    <row r="191" spans="1:11" ht="16">
      <c r="A191" s="161">
        <v>40968</v>
      </c>
      <c r="B191" s="94">
        <v>5.36</v>
      </c>
      <c r="G191" s="96">
        <v>40970</v>
      </c>
      <c r="H191" s="97">
        <v>204.56</v>
      </c>
      <c r="I191" s="99">
        <f t="shared" si="2"/>
        <v>1.1871784724970302E-2</v>
      </c>
      <c r="J191" s="91"/>
      <c r="K191" s="91"/>
    </row>
    <row r="192" spans="1:11" ht="16">
      <c r="A192" s="161">
        <v>40969</v>
      </c>
      <c r="B192" s="94">
        <v>5.31</v>
      </c>
      <c r="G192" s="96">
        <v>40971</v>
      </c>
      <c r="H192" s="97">
        <v>207.64</v>
      </c>
      <c r="I192" s="99">
        <f t="shared" si="2"/>
        <v>1.5056707078607623E-2</v>
      </c>
      <c r="J192" s="91"/>
      <c r="K192" s="91"/>
    </row>
    <row r="193" spans="1:11" ht="16">
      <c r="A193" s="161">
        <v>40970</v>
      </c>
      <c r="B193" s="94">
        <v>5.28</v>
      </c>
      <c r="G193" s="96">
        <v>40974</v>
      </c>
      <c r="H193" s="97">
        <v>208.73</v>
      </c>
      <c r="I193" s="99">
        <f t="shared" si="2"/>
        <v>5.2494702369485502E-3</v>
      </c>
      <c r="J193" s="91"/>
      <c r="K193" s="91"/>
    </row>
    <row r="194" spans="1:11" ht="16">
      <c r="A194" s="161">
        <v>40971</v>
      </c>
      <c r="B194" s="94">
        <v>5.21</v>
      </c>
      <c r="G194" s="96">
        <v>40975</v>
      </c>
      <c r="H194" s="97">
        <v>207.03</v>
      </c>
      <c r="I194" s="99">
        <f t="shared" si="2"/>
        <v>-8.144492885545862E-3</v>
      </c>
      <c r="J194" s="91"/>
      <c r="K194" s="91"/>
    </row>
    <row r="195" spans="1:11" ht="16">
      <c r="A195" s="161">
        <v>40974</v>
      </c>
      <c r="B195" s="94">
        <v>5.25</v>
      </c>
      <c r="G195" s="96">
        <v>40976</v>
      </c>
      <c r="H195" s="97">
        <v>207.3</v>
      </c>
      <c r="I195" s="99">
        <f t="shared" si="2"/>
        <v>1.3041588175626284E-3</v>
      </c>
      <c r="J195" s="91"/>
      <c r="K195" s="91"/>
    </row>
    <row r="196" spans="1:11" ht="16">
      <c r="A196" s="161">
        <v>40975</v>
      </c>
      <c r="B196" s="94">
        <v>5.24</v>
      </c>
      <c r="G196" s="96">
        <v>40977</v>
      </c>
      <c r="H196" s="97">
        <v>207.35</v>
      </c>
      <c r="I196" s="99">
        <f t="shared" si="2"/>
        <v>2.4119633381558536E-4</v>
      </c>
      <c r="J196" s="91"/>
      <c r="K196" s="91"/>
    </row>
    <row r="197" spans="1:11" ht="16">
      <c r="A197" s="161">
        <v>40976</v>
      </c>
      <c r="B197" s="94">
        <v>5.24</v>
      </c>
      <c r="G197" s="96">
        <v>40978</v>
      </c>
      <c r="H197" s="97">
        <v>209.98</v>
      </c>
      <c r="I197" s="99">
        <f t="shared" si="2"/>
        <v>1.2683867856281728E-2</v>
      </c>
      <c r="J197" s="91"/>
      <c r="K197" s="91"/>
    </row>
    <row r="198" spans="1:11" ht="16">
      <c r="A198" s="161">
        <v>40977</v>
      </c>
      <c r="B198" s="94">
        <v>5.22</v>
      </c>
      <c r="G198" s="96">
        <v>40981</v>
      </c>
      <c r="H198" s="97">
        <v>210.46</v>
      </c>
      <c r="I198" s="99">
        <f t="shared" si="2"/>
        <v>2.285931993523338E-3</v>
      </c>
      <c r="J198" s="91"/>
      <c r="K198" s="91"/>
    </row>
    <row r="199" spans="1:11" ht="16">
      <c r="A199" s="161">
        <v>40978</v>
      </c>
      <c r="B199" s="94">
        <v>5.19</v>
      </c>
      <c r="G199" s="96">
        <v>40982</v>
      </c>
      <c r="H199" s="97">
        <v>206.82</v>
      </c>
      <c r="I199" s="99">
        <f t="shared" si="2"/>
        <v>-1.7295448066140917E-2</v>
      </c>
      <c r="J199" s="91"/>
      <c r="K199" s="91"/>
    </row>
    <row r="200" spans="1:11" ht="16">
      <c r="A200" s="161">
        <v>40981</v>
      </c>
      <c r="B200" s="94">
        <v>5.18</v>
      </c>
      <c r="G200" s="96">
        <v>40983</v>
      </c>
      <c r="H200" s="97">
        <v>207.26</v>
      </c>
      <c r="I200" s="99">
        <f t="shared" si="2"/>
        <v>2.1274538245816821E-3</v>
      </c>
      <c r="J200" s="91"/>
      <c r="K200" s="91"/>
    </row>
    <row r="201" spans="1:11" ht="16">
      <c r="A201" s="161">
        <v>40982</v>
      </c>
      <c r="B201" s="94">
        <v>5.22</v>
      </c>
      <c r="G201" s="96">
        <v>40984</v>
      </c>
      <c r="H201" s="97">
        <v>213.48</v>
      </c>
      <c r="I201" s="99">
        <f t="shared" si="2"/>
        <v>3.0010614686866832E-2</v>
      </c>
      <c r="J201" s="91"/>
      <c r="K201" s="91"/>
    </row>
    <row r="202" spans="1:11" ht="16">
      <c r="A202" s="161">
        <v>40983</v>
      </c>
      <c r="B202" s="94">
        <v>5.21</v>
      </c>
      <c r="G202" s="96">
        <v>40985</v>
      </c>
      <c r="H202" s="97">
        <v>215.89</v>
      </c>
      <c r="I202" s="99">
        <f t="shared" si="2"/>
        <v>1.1289113734307632E-2</v>
      </c>
      <c r="J202" s="91"/>
      <c r="K202" s="91"/>
    </row>
    <row r="203" spans="1:11" ht="16">
      <c r="A203" s="161">
        <v>40984</v>
      </c>
      <c r="B203" s="94">
        <v>5.09</v>
      </c>
      <c r="G203" s="96">
        <v>40988</v>
      </c>
      <c r="H203" s="97">
        <v>216.79</v>
      </c>
      <c r="I203" s="99">
        <f t="shared" si="2"/>
        <v>4.1687896614017728E-3</v>
      </c>
      <c r="J203" s="91"/>
      <c r="K203" s="91"/>
    </row>
    <row r="204" spans="1:11" ht="16">
      <c r="A204" s="161">
        <v>40985</v>
      </c>
      <c r="B204" s="94">
        <v>5.0199999999999996</v>
      </c>
      <c r="G204" s="96">
        <v>40989</v>
      </c>
      <c r="H204" s="97">
        <v>216.74</v>
      </c>
      <c r="I204" s="99">
        <f t="shared" si="2"/>
        <v>-2.306379445545792E-4</v>
      </c>
      <c r="J204" s="91"/>
      <c r="K204" s="91"/>
    </row>
    <row r="205" spans="1:11" ht="16">
      <c r="A205" s="161">
        <v>40988</v>
      </c>
      <c r="B205" s="94">
        <v>5.0199999999999996</v>
      </c>
      <c r="G205" s="96">
        <v>40990</v>
      </c>
      <c r="H205" s="97">
        <v>214.51</v>
      </c>
      <c r="I205" s="99">
        <f t="shared" si="2"/>
        <v>-1.0288825320660777E-2</v>
      </c>
      <c r="J205" s="91"/>
      <c r="K205" s="91"/>
    </row>
    <row r="206" spans="1:11" ht="16">
      <c r="A206" s="161">
        <v>40989</v>
      </c>
      <c r="B206" s="94">
        <v>5.0199999999999996</v>
      </c>
      <c r="G206" s="96">
        <v>40991</v>
      </c>
      <c r="H206" s="97">
        <v>212.6</v>
      </c>
      <c r="I206" s="99">
        <f t="shared" si="2"/>
        <v>-8.9040137988904977E-3</v>
      </c>
      <c r="J206" s="91"/>
      <c r="K206" s="91"/>
    </row>
    <row r="207" spans="1:11" ht="16">
      <c r="A207" s="161">
        <v>40990</v>
      </c>
      <c r="B207" s="94">
        <v>5.04</v>
      </c>
      <c r="G207" s="96">
        <v>40992</v>
      </c>
      <c r="H207" s="97">
        <v>212.37</v>
      </c>
      <c r="I207" s="99">
        <f t="shared" ref="I207:I270" si="3">H207/H206-1</f>
        <v>-1.0818438381937634E-3</v>
      </c>
      <c r="J207" s="91"/>
      <c r="K207" s="91"/>
    </row>
    <row r="208" spans="1:11" ht="16">
      <c r="A208" s="161">
        <v>40991</v>
      </c>
      <c r="B208" s="94">
        <v>5.08</v>
      </c>
      <c r="G208" s="96">
        <v>40995</v>
      </c>
      <c r="H208" s="97">
        <v>212.36</v>
      </c>
      <c r="I208" s="99">
        <f t="shared" si="3"/>
        <v>-4.7087630079545306E-5</v>
      </c>
      <c r="J208" s="91"/>
      <c r="K208" s="91"/>
    </row>
    <row r="209" spans="1:11" ht="16">
      <c r="A209" s="161">
        <v>40992</v>
      </c>
      <c r="B209" s="195">
        <v>5.08</v>
      </c>
      <c r="G209" s="96">
        <v>40996</v>
      </c>
      <c r="H209" s="97">
        <v>212.54</v>
      </c>
      <c r="I209" s="99">
        <f t="shared" si="3"/>
        <v>8.4761725371995666E-4</v>
      </c>
      <c r="J209" s="91"/>
      <c r="K209" s="91"/>
    </row>
    <row r="210" spans="1:11" ht="16">
      <c r="A210" s="161">
        <v>40995</v>
      </c>
      <c r="B210" s="94">
        <v>5.08</v>
      </c>
      <c r="G210" s="96">
        <v>40997</v>
      </c>
      <c r="H210" s="97">
        <v>217.53</v>
      </c>
      <c r="I210" s="99">
        <f t="shared" si="3"/>
        <v>2.3477933565446474E-2</v>
      </c>
      <c r="J210" s="91"/>
      <c r="K210" s="91"/>
    </row>
    <row r="211" spans="1:11" ht="16">
      <c r="A211" s="161">
        <v>40996</v>
      </c>
      <c r="B211" s="94">
        <v>5.0599999999999996</v>
      </c>
      <c r="G211" s="96">
        <v>40998</v>
      </c>
      <c r="H211" s="97">
        <v>218.34</v>
      </c>
      <c r="I211" s="99">
        <f t="shared" si="3"/>
        <v>3.7236243276790315E-3</v>
      </c>
      <c r="J211" s="91"/>
      <c r="K211" s="91"/>
    </row>
    <row r="212" spans="1:11" ht="16">
      <c r="A212" s="161">
        <v>40997</v>
      </c>
      <c r="B212" s="94">
        <v>4.9800000000000004</v>
      </c>
      <c r="G212" s="96">
        <v>40999</v>
      </c>
      <c r="H212" s="97">
        <v>216.41</v>
      </c>
      <c r="I212" s="99">
        <f t="shared" si="3"/>
        <v>-8.8394247503893464E-3</v>
      </c>
      <c r="J212" s="91"/>
      <c r="K212" s="91"/>
    </row>
    <row r="213" spans="1:11" ht="16">
      <c r="A213" s="161">
        <v>40998</v>
      </c>
      <c r="B213" s="94">
        <v>4.96</v>
      </c>
      <c r="G213" s="96">
        <v>41002</v>
      </c>
      <c r="H213" s="97">
        <v>216.2</v>
      </c>
      <c r="I213" s="99">
        <f t="shared" si="3"/>
        <v>-9.7038029665919012E-4</v>
      </c>
      <c r="J213" s="91"/>
      <c r="K213" s="91"/>
    </row>
    <row r="214" spans="1:11" ht="16">
      <c r="A214" s="161">
        <v>40999</v>
      </c>
      <c r="B214" s="94">
        <v>4.9800000000000004</v>
      </c>
      <c r="G214" s="96">
        <v>41003</v>
      </c>
      <c r="H214" s="97">
        <v>213</v>
      </c>
      <c r="I214" s="99">
        <f t="shared" si="3"/>
        <v>-1.4801110083256241E-2</v>
      </c>
      <c r="J214" s="91"/>
      <c r="K214" s="91"/>
    </row>
    <row r="215" spans="1:11" ht="16">
      <c r="A215" s="161">
        <v>41002</v>
      </c>
      <c r="B215" s="94">
        <v>4.97</v>
      </c>
      <c r="G215" s="96">
        <v>41004</v>
      </c>
      <c r="H215" s="97">
        <v>212.04</v>
      </c>
      <c r="I215" s="99">
        <f t="shared" si="3"/>
        <v>-4.5070422535211652E-3</v>
      </c>
      <c r="J215" s="91"/>
      <c r="K215" s="91"/>
    </row>
    <row r="216" spans="1:11" ht="16">
      <c r="A216" s="161">
        <v>41003</v>
      </c>
      <c r="B216" s="94">
        <v>5</v>
      </c>
      <c r="G216" s="96">
        <v>41005</v>
      </c>
      <c r="H216" s="97">
        <v>211.81</v>
      </c>
      <c r="I216" s="99">
        <f t="shared" si="3"/>
        <v>-1.0847009998112833E-3</v>
      </c>
      <c r="J216" s="91"/>
      <c r="K216" s="91"/>
    </row>
    <row r="217" spans="1:11" ht="16">
      <c r="A217" s="161">
        <v>41004</v>
      </c>
      <c r="B217" s="94">
        <v>4.99</v>
      </c>
      <c r="G217" s="96">
        <v>41006</v>
      </c>
      <c r="H217" s="97">
        <v>214.06</v>
      </c>
      <c r="I217" s="99">
        <f t="shared" si="3"/>
        <v>1.0622727916528962E-2</v>
      </c>
      <c r="J217" s="91"/>
      <c r="K217" s="91"/>
    </row>
    <row r="218" spans="1:11" ht="16">
      <c r="A218" s="161">
        <v>41005</v>
      </c>
      <c r="B218" s="94">
        <v>4.99</v>
      </c>
      <c r="G218" s="96">
        <v>41009</v>
      </c>
      <c r="H218" s="97">
        <v>216.04</v>
      </c>
      <c r="I218" s="99">
        <f t="shared" si="3"/>
        <v>9.2497430626925503E-3</v>
      </c>
      <c r="J218" s="91"/>
      <c r="K218" s="91"/>
    </row>
    <row r="219" spans="1:11" ht="16">
      <c r="A219" s="161">
        <v>41006</v>
      </c>
      <c r="B219" s="94">
        <v>4.97</v>
      </c>
      <c r="G219" s="96">
        <v>41010</v>
      </c>
      <c r="H219" s="97">
        <v>217.63</v>
      </c>
      <c r="I219" s="99">
        <f t="shared" si="3"/>
        <v>7.3597481947786925E-3</v>
      </c>
      <c r="J219" s="91"/>
      <c r="K219" s="91"/>
    </row>
    <row r="220" spans="1:11" ht="16">
      <c r="A220" s="161">
        <v>41009</v>
      </c>
      <c r="B220" s="94">
        <v>4.92</v>
      </c>
      <c r="G220" s="96">
        <v>41011</v>
      </c>
      <c r="H220" s="97">
        <v>221.53</v>
      </c>
      <c r="I220" s="99">
        <f t="shared" si="3"/>
        <v>1.792032348481376E-2</v>
      </c>
      <c r="J220" s="91"/>
      <c r="K220" s="91"/>
    </row>
    <row r="221" spans="1:11" ht="16">
      <c r="A221" s="161">
        <v>41010</v>
      </c>
      <c r="B221" s="94">
        <v>4.9000000000000004</v>
      </c>
      <c r="G221" s="96">
        <v>41012</v>
      </c>
      <c r="H221" s="97">
        <v>221.62</v>
      </c>
      <c r="I221" s="99">
        <f t="shared" si="3"/>
        <v>4.0626551708577985E-4</v>
      </c>
      <c r="J221" s="91"/>
      <c r="K221" s="91"/>
    </row>
    <row r="222" spans="1:11" ht="16">
      <c r="A222" s="161">
        <v>41011</v>
      </c>
      <c r="B222" s="94">
        <v>4.84</v>
      </c>
      <c r="G222" s="96">
        <v>41013</v>
      </c>
      <c r="H222" s="97">
        <v>221.58</v>
      </c>
      <c r="I222" s="99">
        <f t="shared" si="3"/>
        <v>-1.8048912553014773E-4</v>
      </c>
      <c r="J222" s="91"/>
      <c r="K222" s="91"/>
    </row>
    <row r="223" spans="1:11" ht="16">
      <c r="A223" s="161">
        <v>41012</v>
      </c>
      <c r="B223" s="94">
        <v>4.8</v>
      </c>
      <c r="G223" s="96">
        <v>41016</v>
      </c>
      <c r="H223" s="97">
        <v>221.01</v>
      </c>
      <c r="I223" s="99">
        <f t="shared" si="3"/>
        <v>-2.5724343352289125E-3</v>
      </c>
      <c r="J223" s="91"/>
      <c r="K223" s="91"/>
    </row>
    <row r="224" spans="1:11" ht="16">
      <c r="A224" s="161">
        <v>41013</v>
      </c>
      <c r="B224" s="94">
        <v>4.8</v>
      </c>
      <c r="G224" s="96">
        <v>41017</v>
      </c>
      <c r="H224" s="97">
        <v>223.24</v>
      </c>
      <c r="I224" s="99">
        <f t="shared" si="3"/>
        <v>1.0090041174607656E-2</v>
      </c>
      <c r="J224" s="91"/>
      <c r="K224" s="91"/>
    </row>
    <row r="225" spans="1:11" ht="16">
      <c r="A225" s="161">
        <v>41016</v>
      </c>
      <c r="B225" s="94">
        <v>4.82</v>
      </c>
      <c r="G225" s="96">
        <v>41018</v>
      </c>
      <c r="H225" s="97">
        <v>222.57</v>
      </c>
      <c r="I225" s="99">
        <f t="shared" si="3"/>
        <v>-3.0012542555097887E-3</v>
      </c>
      <c r="J225" s="91"/>
      <c r="K225" s="91"/>
    </row>
    <row r="226" spans="1:11" ht="16">
      <c r="A226" s="161">
        <v>41017</v>
      </c>
      <c r="B226" s="94">
        <v>4.7699999999999996</v>
      </c>
      <c r="G226" s="96">
        <v>41019</v>
      </c>
      <c r="H226" s="97">
        <v>223.1</v>
      </c>
      <c r="I226" s="99">
        <f t="shared" si="3"/>
        <v>2.3812733072741121E-3</v>
      </c>
      <c r="J226" s="91"/>
      <c r="K226" s="91"/>
    </row>
    <row r="227" spans="1:11" ht="16">
      <c r="A227" s="161">
        <v>41018</v>
      </c>
      <c r="B227" s="94">
        <v>4.76</v>
      </c>
      <c r="G227" s="96">
        <v>41020</v>
      </c>
      <c r="H227" s="97">
        <v>221.16</v>
      </c>
      <c r="I227" s="99">
        <f t="shared" si="3"/>
        <v>-8.6956521739129933E-3</v>
      </c>
      <c r="J227" s="91"/>
      <c r="K227" s="91"/>
    </row>
    <row r="228" spans="1:11" ht="16">
      <c r="A228" s="161">
        <v>41019</v>
      </c>
      <c r="B228" s="94">
        <v>4.7699999999999996</v>
      </c>
      <c r="G228" s="96">
        <v>41023</v>
      </c>
      <c r="H228" s="97">
        <v>219.54</v>
      </c>
      <c r="I228" s="99">
        <f t="shared" si="3"/>
        <v>-7.3250135648399439E-3</v>
      </c>
      <c r="J228" s="91"/>
      <c r="K228" s="91"/>
    </row>
    <row r="229" spans="1:11" ht="16">
      <c r="A229" s="161">
        <v>41020</v>
      </c>
      <c r="B229" s="94">
        <v>4.79</v>
      </c>
      <c r="G229" s="96">
        <v>41024</v>
      </c>
      <c r="H229" s="97">
        <v>220.47</v>
      </c>
      <c r="I229" s="99">
        <f t="shared" si="3"/>
        <v>4.2361300901885279E-3</v>
      </c>
      <c r="J229" s="91"/>
      <c r="K229" s="91"/>
    </row>
    <row r="230" spans="1:11" ht="16">
      <c r="A230" s="161">
        <v>41023</v>
      </c>
      <c r="B230" s="94">
        <v>4.82</v>
      </c>
      <c r="G230" s="96">
        <v>41025</v>
      </c>
      <c r="H230" s="97">
        <v>220.54</v>
      </c>
      <c r="I230" s="99">
        <f t="shared" si="3"/>
        <v>3.1750351521742104E-4</v>
      </c>
      <c r="J230" s="91"/>
      <c r="K230" s="91"/>
    </row>
    <row r="231" spans="1:11" ht="16">
      <c r="A231" s="161">
        <v>41024</v>
      </c>
      <c r="B231" s="94">
        <v>4.83</v>
      </c>
      <c r="G231" s="96">
        <v>41026</v>
      </c>
      <c r="H231" s="97">
        <v>220.91</v>
      </c>
      <c r="I231" s="99">
        <f t="shared" si="3"/>
        <v>1.6777001904415556E-3</v>
      </c>
      <c r="J231" s="91"/>
      <c r="K231" s="91"/>
    </row>
    <row r="232" spans="1:11" ht="16">
      <c r="A232" s="161">
        <v>41025</v>
      </c>
      <c r="B232" s="94">
        <v>4.8</v>
      </c>
      <c r="G232" s="96">
        <v>41027</v>
      </c>
      <c r="H232" s="97">
        <v>220.23</v>
      </c>
      <c r="I232" s="99">
        <f t="shared" si="3"/>
        <v>-3.0781766330180149E-3</v>
      </c>
      <c r="J232" s="91"/>
      <c r="K232" s="91"/>
    </row>
    <row r="233" spans="1:11" ht="16">
      <c r="A233" s="161">
        <v>41026</v>
      </c>
      <c r="B233" s="94">
        <v>4.7300000000000004</v>
      </c>
      <c r="G233" s="96">
        <v>41030</v>
      </c>
      <c r="H233" s="97">
        <v>219.03</v>
      </c>
      <c r="I233" s="99">
        <f t="shared" si="3"/>
        <v>-5.4488489306633303E-3</v>
      </c>
      <c r="J233" s="91"/>
      <c r="K233" s="91"/>
    </row>
    <row r="234" spans="1:11" ht="16">
      <c r="A234" s="161">
        <v>41027</v>
      </c>
      <c r="B234" s="94">
        <v>4.71</v>
      </c>
      <c r="G234" s="96">
        <v>41031</v>
      </c>
      <c r="H234" s="97">
        <v>214.98</v>
      </c>
      <c r="I234" s="99">
        <f t="shared" si="3"/>
        <v>-1.8490617723599612E-2</v>
      </c>
      <c r="J234" s="91"/>
      <c r="K234" s="91"/>
    </row>
    <row r="235" spans="1:11" ht="16">
      <c r="A235" s="161">
        <v>41028</v>
      </c>
      <c r="B235" s="94">
        <v>4.54</v>
      </c>
      <c r="G235" s="96">
        <v>41032</v>
      </c>
      <c r="H235" s="97">
        <v>213.19</v>
      </c>
      <c r="I235" s="99">
        <f t="shared" si="3"/>
        <v>-8.3263559400874598E-3</v>
      </c>
      <c r="J235" s="91"/>
      <c r="K235" s="91"/>
    </row>
    <row r="236" spans="1:11" ht="16">
      <c r="A236" s="161">
        <v>41030</v>
      </c>
      <c r="B236" s="94">
        <v>4.5199999999999996</v>
      </c>
      <c r="G236" s="96">
        <v>41033</v>
      </c>
      <c r="H236" s="97">
        <v>212.2</v>
      </c>
      <c r="I236" s="99">
        <f t="shared" si="3"/>
        <v>-4.6437450161828098E-3</v>
      </c>
      <c r="J236" s="91"/>
      <c r="K236" s="91"/>
    </row>
    <row r="237" spans="1:11" ht="16">
      <c r="A237" s="161">
        <v>41031</v>
      </c>
      <c r="B237" s="94">
        <v>4.54</v>
      </c>
      <c r="G237" s="96">
        <v>41034</v>
      </c>
      <c r="H237" s="97">
        <v>210.96</v>
      </c>
      <c r="I237" s="99">
        <f t="shared" si="3"/>
        <v>-5.84354382657859E-3</v>
      </c>
      <c r="J237" s="91"/>
      <c r="K237" s="91"/>
    </row>
    <row r="238" spans="1:11" ht="16">
      <c r="A238" s="161">
        <v>41032</v>
      </c>
      <c r="B238" s="94">
        <v>4.55</v>
      </c>
      <c r="G238" s="96">
        <v>41037</v>
      </c>
      <c r="H238" s="97">
        <v>209.95</v>
      </c>
      <c r="I238" s="99">
        <f t="shared" si="3"/>
        <v>-4.7876374668184285E-3</v>
      </c>
      <c r="J238" s="91"/>
      <c r="K238" s="91"/>
    </row>
    <row r="239" spans="1:11" ht="16">
      <c r="A239" s="161">
        <v>41033</v>
      </c>
      <c r="B239" s="94">
        <v>4.53</v>
      </c>
      <c r="G239" s="96">
        <v>41038</v>
      </c>
      <c r="H239" s="97">
        <v>211.63</v>
      </c>
      <c r="I239" s="99">
        <f t="shared" si="3"/>
        <v>8.0019052155275716E-3</v>
      </c>
      <c r="J239" s="91"/>
      <c r="K239" s="91"/>
    </row>
    <row r="240" spans="1:11" ht="16">
      <c r="A240" s="161">
        <v>41034</v>
      </c>
      <c r="B240" s="94">
        <v>4.5199999999999996</v>
      </c>
      <c r="G240" s="96">
        <v>41039</v>
      </c>
      <c r="H240" s="97">
        <v>211.86</v>
      </c>
      <c r="I240" s="99">
        <f t="shared" si="3"/>
        <v>1.0868024382177932E-3</v>
      </c>
      <c r="J240" s="91"/>
      <c r="K240" s="91"/>
    </row>
    <row r="241" spans="1:11" ht="16">
      <c r="A241" s="161">
        <v>41037</v>
      </c>
      <c r="B241" s="94">
        <v>4.53</v>
      </c>
      <c r="G241" s="96">
        <v>41040</v>
      </c>
      <c r="H241" s="97">
        <v>211.32</v>
      </c>
      <c r="I241" s="99">
        <f t="shared" si="3"/>
        <v>-2.5488530161428269E-3</v>
      </c>
      <c r="J241" s="91"/>
      <c r="K241" s="91"/>
    </row>
    <row r="242" spans="1:11" ht="16">
      <c r="A242" s="161">
        <v>41038</v>
      </c>
      <c r="B242" s="94">
        <v>4.51</v>
      </c>
      <c r="G242" s="96">
        <v>41041</v>
      </c>
      <c r="H242" s="97">
        <v>208.95</v>
      </c>
      <c r="I242" s="99">
        <f t="shared" si="3"/>
        <v>-1.1215218625780787E-2</v>
      </c>
      <c r="J242" s="91"/>
      <c r="K242" s="91"/>
    </row>
    <row r="243" spans="1:11" ht="16">
      <c r="A243" s="161">
        <v>41039</v>
      </c>
      <c r="B243" s="94">
        <v>4.4800000000000004</v>
      </c>
      <c r="G243" s="96">
        <v>41044</v>
      </c>
      <c r="H243" s="97">
        <v>209.72</v>
      </c>
      <c r="I243" s="99">
        <f t="shared" si="3"/>
        <v>3.68509212730328E-3</v>
      </c>
      <c r="J243" s="91"/>
      <c r="K243" s="91"/>
    </row>
    <row r="244" spans="1:11" ht="16">
      <c r="A244" s="161">
        <v>41040</v>
      </c>
      <c r="B244" s="94">
        <v>4.46</v>
      </c>
      <c r="G244" s="96">
        <v>41045</v>
      </c>
      <c r="H244" s="97">
        <v>210.66</v>
      </c>
      <c r="I244" s="99">
        <f t="shared" si="3"/>
        <v>4.4821666984551367E-3</v>
      </c>
      <c r="J244" s="91"/>
      <c r="K244" s="91"/>
    </row>
    <row r="245" spans="1:11" ht="16">
      <c r="A245" s="161">
        <v>41041</v>
      </c>
      <c r="B245" s="94">
        <v>4.43</v>
      </c>
      <c r="G245" s="96">
        <v>41046</v>
      </c>
      <c r="H245" s="97">
        <v>208.99</v>
      </c>
      <c r="I245" s="99">
        <f t="shared" si="3"/>
        <v>-7.9274660590524793E-3</v>
      </c>
      <c r="J245" s="91"/>
      <c r="K245" s="91"/>
    </row>
    <row r="246" spans="1:11" ht="16">
      <c r="A246" s="161">
        <v>41044</v>
      </c>
      <c r="B246" s="94">
        <v>4.42</v>
      </c>
      <c r="G246" s="96">
        <v>41047</v>
      </c>
      <c r="H246" s="97">
        <v>205.68</v>
      </c>
      <c r="I246" s="99">
        <f t="shared" si="3"/>
        <v>-1.5838078376955833E-2</v>
      </c>
      <c r="J246" s="91"/>
      <c r="K246" s="91"/>
    </row>
    <row r="247" spans="1:11" ht="16">
      <c r="A247" s="161">
        <v>41045</v>
      </c>
      <c r="B247" s="94">
        <v>4.4000000000000004</v>
      </c>
      <c r="G247" s="96">
        <v>41048</v>
      </c>
      <c r="H247" s="97">
        <v>206.74</v>
      </c>
      <c r="I247" s="99">
        <f t="shared" si="3"/>
        <v>5.1536367172306807E-3</v>
      </c>
      <c r="J247" s="91"/>
      <c r="K247" s="91"/>
    </row>
    <row r="248" spans="1:11" ht="16">
      <c r="A248" s="161">
        <v>41046</v>
      </c>
      <c r="B248" s="94">
        <v>4.4400000000000004</v>
      </c>
      <c r="G248" s="96">
        <v>41051</v>
      </c>
      <c r="H248" s="97">
        <v>207.18</v>
      </c>
      <c r="I248" s="99">
        <f t="shared" si="3"/>
        <v>2.1282770629775793E-3</v>
      </c>
      <c r="J248" s="91"/>
      <c r="K248" s="91"/>
    </row>
    <row r="249" spans="1:11" ht="16">
      <c r="A249" s="161">
        <v>41047</v>
      </c>
      <c r="B249" s="94">
        <v>4.51</v>
      </c>
      <c r="G249" s="96">
        <v>41052</v>
      </c>
      <c r="H249" s="97">
        <v>207.79</v>
      </c>
      <c r="I249" s="99">
        <f t="shared" si="3"/>
        <v>2.944299642822612E-3</v>
      </c>
      <c r="J249" s="91"/>
      <c r="K249" s="91"/>
    </row>
    <row r="250" spans="1:11" ht="16">
      <c r="A250" s="161">
        <v>41048</v>
      </c>
      <c r="B250" s="94">
        <v>4.49</v>
      </c>
      <c r="G250" s="96">
        <v>41053</v>
      </c>
      <c r="H250" s="97">
        <v>209.96</v>
      </c>
      <c r="I250" s="99">
        <f t="shared" si="3"/>
        <v>1.0443235959382235E-2</v>
      </c>
      <c r="J250" s="91"/>
      <c r="K250" s="91"/>
    </row>
    <row r="251" spans="1:11" ht="16">
      <c r="A251" s="161">
        <v>41051</v>
      </c>
      <c r="B251" s="94">
        <v>4.49</v>
      </c>
      <c r="G251" s="96">
        <v>41054</v>
      </c>
      <c r="H251" s="97">
        <v>211.06</v>
      </c>
      <c r="I251" s="99">
        <f t="shared" si="3"/>
        <v>5.2390931606018931E-3</v>
      </c>
      <c r="J251" s="91"/>
      <c r="K251" s="91"/>
    </row>
    <row r="252" spans="1:11" ht="16">
      <c r="A252" s="161">
        <v>41052</v>
      </c>
      <c r="B252" s="94">
        <v>4.4800000000000004</v>
      </c>
      <c r="G252" s="96">
        <v>41055</v>
      </c>
      <c r="H252" s="97">
        <v>212.58</v>
      </c>
      <c r="I252" s="99">
        <f t="shared" si="3"/>
        <v>7.2017435800246776E-3</v>
      </c>
      <c r="J252" s="91"/>
      <c r="K252" s="91"/>
    </row>
    <row r="253" spans="1:11" ht="16">
      <c r="A253" s="161">
        <v>41053</v>
      </c>
      <c r="B253" s="94">
        <v>4.47</v>
      </c>
      <c r="G253" s="96">
        <v>41058</v>
      </c>
      <c r="H253" s="97">
        <v>212.77</v>
      </c>
      <c r="I253" s="99">
        <f t="shared" si="3"/>
        <v>8.9378116473803892E-4</v>
      </c>
      <c r="J253" s="91"/>
      <c r="K253" s="91"/>
    </row>
    <row r="254" spans="1:11" ht="16">
      <c r="A254" s="161">
        <v>41054</v>
      </c>
      <c r="B254" s="94">
        <v>4.47</v>
      </c>
      <c r="G254" s="96">
        <v>41059</v>
      </c>
      <c r="H254" s="97">
        <v>212.6</v>
      </c>
      <c r="I254" s="99">
        <f t="shared" si="3"/>
        <v>-7.9898481928852849E-4</v>
      </c>
      <c r="J254" s="91"/>
      <c r="K254" s="91"/>
    </row>
    <row r="255" spans="1:11" ht="16">
      <c r="A255" s="161">
        <v>41055</v>
      </c>
      <c r="B255" s="94">
        <v>4.46</v>
      </c>
      <c r="G255" s="96">
        <v>41060</v>
      </c>
      <c r="H255" s="97">
        <v>212.49</v>
      </c>
      <c r="I255" s="99">
        <f t="shared" si="3"/>
        <v>-5.1740357478824439E-4</v>
      </c>
      <c r="J255" s="91"/>
      <c r="K255" s="91"/>
    </row>
    <row r="256" spans="1:11" ht="16">
      <c r="A256" s="161">
        <v>41058</v>
      </c>
      <c r="B256" s="94">
        <v>4.46</v>
      </c>
      <c r="G256" s="96">
        <v>41061</v>
      </c>
      <c r="H256" s="97">
        <v>212.85</v>
      </c>
      <c r="I256" s="99">
        <f t="shared" si="3"/>
        <v>1.6941973739938998E-3</v>
      </c>
      <c r="J256" s="91"/>
      <c r="K256" s="91"/>
    </row>
    <row r="257" spans="1:11" ht="16">
      <c r="A257" s="161">
        <v>41059</v>
      </c>
      <c r="B257" s="94">
        <v>4.54</v>
      </c>
      <c r="G257" s="96">
        <v>41062</v>
      </c>
      <c r="H257" s="97">
        <v>214.8</v>
      </c>
      <c r="I257" s="99">
        <f t="shared" si="3"/>
        <v>9.161381254404688E-3</v>
      </c>
      <c r="J257" s="91"/>
      <c r="K257" s="91"/>
    </row>
    <row r="258" spans="1:11" ht="16">
      <c r="A258" s="161">
        <v>41060</v>
      </c>
      <c r="B258" s="94">
        <v>4.54</v>
      </c>
      <c r="G258" s="96">
        <v>41065</v>
      </c>
      <c r="H258" s="97">
        <v>216.91</v>
      </c>
      <c r="I258" s="99">
        <f t="shared" si="3"/>
        <v>9.8230912476722221E-3</v>
      </c>
      <c r="J258" s="91"/>
      <c r="K258" s="91"/>
    </row>
    <row r="259" spans="1:11" ht="16">
      <c r="A259" s="161">
        <v>41061</v>
      </c>
      <c r="B259" s="94">
        <v>4.5</v>
      </c>
      <c r="G259" s="96">
        <v>41066</v>
      </c>
      <c r="H259" s="97">
        <v>219.43</v>
      </c>
      <c r="I259" s="99">
        <f t="shared" si="3"/>
        <v>1.1617721635701406E-2</v>
      </c>
      <c r="J259" s="91"/>
      <c r="K259" s="91"/>
    </row>
    <row r="260" spans="1:11" ht="16">
      <c r="A260" s="161">
        <v>41062</v>
      </c>
      <c r="B260" s="94">
        <v>4.42</v>
      </c>
      <c r="G260" s="96">
        <v>41067</v>
      </c>
      <c r="H260" s="97">
        <v>220.82</v>
      </c>
      <c r="I260" s="99">
        <f t="shared" si="3"/>
        <v>6.3345941758190527E-3</v>
      </c>
      <c r="J260" s="91"/>
      <c r="K260" s="91"/>
    </row>
    <row r="261" spans="1:11" ht="16">
      <c r="A261" s="161">
        <v>41065</v>
      </c>
      <c r="B261" s="94">
        <v>4.37</v>
      </c>
      <c r="G261" s="96">
        <v>41068</v>
      </c>
      <c r="H261" s="97">
        <v>219.37</v>
      </c>
      <c r="I261" s="99">
        <f t="shared" si="3"/>
        <v>-6.5664341998007414E-3</v>
      </c>
      <c r="J261" s="91"/>
      <c r="K261" s="91"/>
    </row>
    <row r="262" spans="1:11" ht="16">
      <c r="A262" s="161">
        <v>41066</v>
      </c>
      <c r="B262" s="94">
        <v>4.33</v>
      </c>
      <c r="G262" s="96">
        <v>41069</v>
      </c>
      <c r="H262" s="97">
        <v>216.03</v>
      </c>
      <c r="I262" s="99">
        <f t="shared" si="3"/>
        <v>-1.5225418243150823E-2</v>
      </c>
      <c r="J262" s="91"/>
      <c r="K262" s="91"/>
    </row>
    <row r="263" spans="1:11" ht="16">
      <c r="A263" s="161">
        <v>41067</v>
      </c>
      <c r="B263" s="94">
        <v>4.29</v>
      </c>
      <c r="G263" s="96">
        <v>41072</v>
      </c>
      <c r="H263" s="97">
        <v>212.74</v>
      </c>
      <c r="I263" s="99">
        <f t="shared" si="3"/>
        <v>-1.5229366291718671E-2</v>
      </c>
      <c r="J263" s="91"/>
      <c r="K263" s="91"/>
    </row>
    <row r="264" spans="1:11" ht="16">
      <c r="A264" s="161">
        <v>41068</v>
      </c>
      <c r="B264" s="94">
        <v>4.3</v>
      </c>
      <c r="G264" s="96">
        <v>41073</v>
      </c>
      <c r="H264" s="97">
        <v>211.05</v>
      </c>
      <c r="I264" s="99">
        <f t="shared" si="3"/>
        <v>-7.9439691642380073E-3</v>
      </c>
      <c r="J264" s="91"/>
      <c r="K264" s="91"/>
    </row>
    <row r="265" spans="1:11" ht="16">
      <c r="A265" s="161">
        <v>41069</v>
      </c>
      <c r="B265" s="94">
        <v>4.32</v>
      </c>
      <c r="G265" s="96">
        <v>41074</v>
      </c>
      <c r="H265" s="97">
        <v>212.59</v>
      </c>
      <c r="I265" s="99">
        <f t="shared" si="3"/>
        <v>7.296849087893742E-3</v>
      </c>
      <c r="J265" s="91"/>
      <c r="K265" s="91"/>
    </row>
    <row r="266" spans="1:11" ht="16">
      <c r="A266" s="161">
        <v>41072</v>
      </c>
      <c r="B266" s="94">
        <v>4.34</v>
      </c>
      <c r="G266" s="96">
        <v>41075</v>
      </c>
      <c r="H266" s="97">
        <v>210.36</v>
      </c>
      <c r="I266" s="99">
        <f t="shared" si="3"/>
        <v>-1.0489674961192907E-2</v>
      </c>
      <c r="J266" s="91"/>
      <c r="K266" s="91"/>
    </row>
    <row r="267" spans="1:11" ht="16">
      <c r="A267" s="161">
        <v>41073</v>
      </c>
      <c r="B267" s="94">
        <v>4.3899999999999997</v>
      </c>
      <c r="G267" s="96">
        <v>41076</v>
      </c>
      <c r="H267" s="97">
        <v>212.22</v>
      </c>
      <c r="I267" s="99">
        <f t="shared" si="3"/>
        <v>8.8419851682828288E-3</v>
      </c>
      <c r="J267" s="91"/>
      <c r="K267" s="91"/>
    </row>
    <row r="268" spans="1:11" ht="16">
      <c r="A268" s="161">
        <v>41074</v>
      </c>
      <c r="B268" s="94">
        <v>4.38</v>
      </c>
      <c r="G268" s="96">
        <v>41079</v>
      </c>
      <c r="H268" s="97">
        <v>215.62</v>
      </c>
      <c r="I268" s="99">
        <f t="shared" si="3"/>
        <v>1.6021110168692898E-2</v>
      </c>
      <c r="J268" s="91"/>
      <c r="K268" s="91"/>
    </row>
    <row r="269" spans="1:11" ht="16">
      <c r="A269" s="161">
        <v>41075</v>
      </c>
      <c r="B269" s="94">
        <v>4.3600000000000003</v>
      </c>
      <c r="G269" s="96">
        <v>41080</v>
      </c>
      <c r="H269" s="97">
        <v>216.57</v>
      </c>
      <c r="I269" s="99">
        <f t="shared" si="3"/>
        <v>4.4058992672293407E-3</v>
      </c>
      <c r="J269" s="91"/>
      <c r="K269" s="91"/>
    </row>
    <row r="270" spans="1:11" ht="16">
      <c r="A270" s="161">
        <v>41076</v>
      </c>
      <c r="B270" s="94">
        <v>4.3499999999999996</v>
      </c>
      <c r="G270" s="96">
        <v>41081</v>
      </c>
      <c r="H270" s="97">
        <v>217.35</v>
      </c>
      <c r="I270" s="99">
        <f t="shared" si="3"/>
        <v>3.6016068707578341E-3</v>
      </c>
      <c r="J270" s="91"/>
      <c r="K270" s="91"/>
    </row>
    <row r="271" spans="1:11" ht="16">
      <c r="A271" s="161">
        <v>41079</v>
      </c>
      <c r="B271" s="94">
        <v>4.33</v>
      </c>
      <c r="G271" s="96">
        <v>41082</v>
      </c>
      <c r="H271" s="97">
        <v>219.1</v>
      </c>
      <c r="I271" s="99">
        <f t="shared" ref="I271:I334" si="4">H271/H270-1</f>
        <v>8.0515297906602612E-3</v>
      </c>
      <c r="J271" s="91"/>
      <c r="K271" s="91"/>
    </row>
    <row r="272" spans="1:11" ht="16">
      <c r="A272" s="161">
        <v>41080</v>
      </c>
      <c r="B272" s="94">
        <v>4.33</v>
      </c>
      <c r="G272" s="96">
        <v>41083</v>
      </c>
      <c r="H272" s="97">
        <v>212.22</v>
      </c>
      <c r="I272" s="99">
        <f t="shared" si="4"/>
        <v>-3.1401186672752157E-2</v>
      </c>
      <c r="J272" s="91"/>
      <c r="K272" s="91"/>
    </row>
    <row r="273" spans="1:11" ht="16">
      <c r="A273" s="161">
        <v>41081</v>
      </c>
      <c r="B273" s="94">
        <v>4.3099999999999996</v>
      </c>
      <c r="G273" s="96">
        <v>41086</v>
      </c>
      <c r="H273" s="97">
        <v>209.46</v>
      </c>
      <c r="I273" s="99">
        <f t="shared" si="4"/>
        <v>-1.3005371783997743E-2</v>
      </c>
      <c r="J273" s="91"/>
      <c r="K273" s="91"/>
    </row>
    <row r="274" spans="1:11" ht="16">
      <c r="A274" s="161">
        <v>41082</v>
      </c>
      <c r="B274" s="94">
        <v>4.28</v>
      </c>
      <c r="G274" s="96">
        <v>41087</v>
      </c>
      <c r="H274" s="97">
        <v>212.22</v>
      </c>
      <c r="I274" s="99">
        <f t="shared" si="4"/>
        <v>1.3176740189057456E-2</v>
      </c>
      <c r="J274" s="91"/>
      <c r="K274" s="91"/>
    </row>
    <row r="275" spans="1:11" ht="16">
      <c r="A275" s="161">
        <v>41083</v>
      </c>
      <c r="B275" s="94">
        <v>4.29</v>
      </c>
      <c r="G275" s="96">
        <v>41088</v>
      </c>
      <c r="H275" s="97">
        <v>216.38</v>
      </c>
      <c r="I275" s="99">
        <f t="shared" si="4"/>
        <v>1.9602299500518283E-2</v>
      </c>
      <c r="J275" s="91"/>
      <c r="K275" s="91"/>
    </row>
    <row r="276" spans="1:11" ht="16">
      <c r="A276" s="161">
        <v>41086</v>
      </c>
      <c r="B276" s="94">
        <v>4.3</v>
      </c>
      <c r="G276" s="96">
        <v>41089</v>
      </c>
      <c r="H276" s="97">
        <v>219.27</v>
      </c>
      <c r="I276" s="99">
        <f t="shared" si="4"/>
        <v>1.335613272945757E-2</v>
      </c>
      <c r="J276" s="91"/>
      <c r="K276" s="91"/>
    </row>
    <row r="277" spans="1:11" ht="16">
      <c r="A277" s="161">
        <v>41087</v>
      </c>
      <c r="B277" s="94">
        <v>4.2699999999999996</v>
      </c>
      <c r="G277" s="96">
        <v>41090</v>
      </c>
      <c r="H277" s="97">
        <v>220.19</v>
      </c>
      <c r="I277" s="99">
        <f t="shared" si="4"/>
        <v>4.1957404113648344E-3</v>
      </c>
      <c r="J277" s="91"/>
      <c r="K277" s="91"/>
    </row>
    <row r="278" spans="1:11" ht="16">
      <c r="A278" s="161">
        <v>41088</v>
      </c>
      <c r="B278" s="94">
        <v>4.1900000000000004</v>
      </c>
      <c r="G278" s="96">
        <v>41093</v>
      </c>
      <c r="H278" s="97">
        <v>221.38</v>
      </c>
      <c r="I278" s="99">
        <f t="shared" si="4"/>
        <v>5.4044234524728285E-3</v>
      </c>
      <c r="J278" s="91"/>
      <c r="K278" s="91"/>
    </row>
    <row r="279" spans="1:11" ht="16">
      <c r="A279" s="161">
        <v>41089</v>
      </c>
      <c r="B279" s="94">
        <v>4.18</v>
      </c>
      <c r="G279" s="96">
        <v>41094</v>
      </c>
      <c r="H279" s="97">
        <v>218.54</v>
      </c>
      <c r="I279" s="99">
        <f t="shared" si="4"/>
        <v>-1.2828620471587282E-2</v>
      </c>
      <c r="J279" s="91"/>
      <c r="K279" s="91"/>
    </row>
    <row r="280" spans="1:11" ht="16">
      <c r="A280" s="161">
        <v>41090</v>
      </c>
      <c r="B280" s="94">
        <v>4.09</v>
      </c>
      <c r="G280" s="96">
        <v>41095</v>
      </c>
      <c r="H280" s="97">
        <v>216.21</v>
      </c>
      <c r="I280" s="99">
        <f t="shared" si="4"/>
        <v>-1.0661663768646412E-2</v>
      </c>
      <c r="J280" s="91"/>
      <c r="K280" s="91"/>
    </row>
    <row r="281" spans="1:11" ht="16">
      <c r="A281" s="161">
        <v>41093</v>
      </c>
      <c r="B281" s="94">
        <v>4.09</v>
      </c>
      <c r="G281" s="96">
        <v>41096</v>
      </c>
      <c r="H281" s="97">
        <v>217.66</v>
      </c>
      <c r="I281" s="99">
        <f t="shared" si="4"/>
        <v>6.706442810230806E-3</v>
      </c>
      <c r="J281" s="91"/>
      <c r="K281" s="91"/>
    </row>
    <row r="282" spans="1:11" ht="16">
      <c r="A282" s="161">
        <v>41094</v>
      </c>
      <c r="B282" s="94">
        <v>4.0599999999999996</v>
      </c>
      <c r="G282" s="96">
        <v>41097</v>
      </c>
      <c r="H282" s="97">
        <v>218.53</v>
      </c>
      <c r="I282" s="99">
        <f t="shared" si="4"/>
        <v>3.9970596342919773E-3</v>
      </c>
      <c r="J282" s="91"/>
      <c r="K282" s="91"/>
    </row>
    <row r="283" spans="1:11" ht="16">
      <c r="A283" s="161">
        <v>41095</v>
      </c>
      <c r="B283" s="94">
        <v>4.0599999999999996</v>
      </c>
      <c r="G283" s="96">
        <v>41100</v>
      </c>
      <c r="H283" s="97">
        <v>222.59</v>
      </c>
      <c r="I283" s="99">
        <f t="shared" si="4"/>
        <v>1.8578684848762128E-2</v>
      </c>
      <c r="J283" s="91"/>
      <c r="K283" s="91"/>
    </row>
    <row r="284" spans="1:11" ht="16">
      <c r="A284" s="161">
        <v>41096</v>
      </c>
      <c r="B284" s="94">
        <v>4.05</v>
      </c>
      <c r="G284" s="96">
        <v>41101</v>
      </c>
      <c r="H284" s="97">
        <v>224.74</v>
      </c>
      <c r="I284" s="99">
        <f t="shared" si="4"/>
        <v>9.6590143312818011E-3</v>
      </c>
      <c r="J284" s="91"/>
      <c r="K284" s="91"/>
    </row>
    <row r="285" spans="1:11" ht="16">
      <c r="A285" s="161">
        <v>41097</v>
      </c>
      <c r="B285" s="94">
        <v>4.03</v>
      </c>
      <c r="G285" s="96">
        <v>41102</v>
      </c>
      <c r="H285" s="97">
        <v>225.06</v>
      </c>
      <c r="I285" s="99">
        <f t="shared" si="4"/>
        <v>1.4238675803150969E-3</v>
      </c>
      <c r="J285" s="91"/>
      <c r="K285" s="91"/>
    </row>
    <row r="286" spans="1:11" ht="16">
      <c r="A286" s="161">
        <v>41100</v>
      </c>
      <c r="B286" s="94">
        <v>3.99</v>
      </c>
      <c r="G286" s="96">
        <v>41103</v>
      </c>
      <c r="H286" s="97">
        <v>227.41</v>
      </c>
      <c r="I286" s="99">
        <f t="shared" si="4"/>
        <v>1.0441660001777375E-2</v>
      </c>
      <c r="J286" s="91"/>
      <c r="K286" s="91"/>
    </row>
    <row r="287" spans="1:11" ht="16">
      <c r="A287" s="161">
        <v>41101</v>
      </c>
      <c r="B287" s="94">
        <v>4.01</v>
      </c>
      <c r="G287" s="96">
        <v>41104</v>
      </c>
      <c r="H287" s="97">
        <v>227.5</v>
      </c>
      <c r="I287" s="99">
        <f t="shared" si="4"/>
        <v>3.95760960379965E-4</v>
      </c>
      <c r="J287" s="91"/>
      <c r="K287" s="91"/>
    </row>
    <row r="288" spans="1:11" ht="16">
      <c r="A288" s="161">
        <v>41102</v>
      </c>
      <c r="B288" s="94">
        <v>3.99</v>
      </c>
      <c r="G288" s="96">
        <v>41107</v>
      </c>
      <c r="H288" s="97">
        <v>228.12</v>
      </c>
      <c r="I288" s="99">
        <f t="shared" si="4"/>
        <v>2.7252747252748399E-3</v>
      </c>
      <c r="J288" s="91"/>
      <c r="K288" s="91"/>
    </row>
    <row r="289" spans="1:11" ht="16">
      <c r="A289" s="161">
        <v>41103</v>
      </c>
      <c r="B289" s="94">
        <v>4</v>
      </c>
      <c r="G289" s="96">
        <v>41108</v>
      </c>
      <c r="H289" s="97">
        <v>227.57</v>
      </c>
      <c r="I289" s="99">
        <f t="shared" si="4"/>
        <v>-2.411011748202796E-3</v>
      </c>
      <c r="J289" s="91"/>
      <c r="K289" s="91"/>
    </row>
    <row r="290" spans="1:11" ht="16">
      <c r="A290" s="161">
        <v>41104</v>
      </c>
      <c r="B290" s="94">
        <v>4.01</v>
      </c>
      <c r="G290" s="96">
        <v>41109</v>
      </c>
      <c r="H290" s="97">
        <v>228.56</v>
      </c>
      <c r="I290" s="99">
        <f t="shared" si="4"/>
        <v>4.3503097947885649E-3</v>
      </c>
      <c r="J290" s="91"/>
      <c r="K290" s="91"/>
    </row>
    <row r="291" spans="1:11" ht="16">
      <c r="A291" s="161">
        <v>41107</v>
      </c>
      <c r="B291" s="94">
        <v>4.0199999999999996</v>
      </c>
      <c r="G291" s="96">
        <v>41110</v>
      </c>
      <c r="H291" s="97">
        <v>228.56</v>
      </c>
      <c r="I291" s="99">
        <f t="shared" si="4"/>
        <v>0</v>
      </c>
      <c r="J291" s="91"/>
      <c r="K291" s="91"/>
    </row>
    <row r="292" spans="1:11" ht="16">
      <c r="A292" s="161">
        <v>41108</v>
      </c>
      <c r="B292" s="94">
        <v>3.99</v>
      </c>
      <c r="G292" s="96">
        <v>41111</v>
      </c>
      <c r="H292" s="97">
        <v>228.24</v>
      </c>
      <c r="I292" s="99">
        <f t="shared" si="4"/>
        <v>-1.4000700035001756E-3</v>
      </c>
      <c r="J292" s="91"/>
      <c r="K292" s="91"/>
    </row>
    <row r="293" spans="1:11" ht="16">
      <c r="A293" s="161">
        <v>41109</v>
      </c>
      <c r="B293" s="94">
        <v>4</v>
      </c>
      <c r="G293" s="96">
        <v>41114</v>
      </c>
      <c r="H293" s="97">
        <v>228.12</v>
      </c>
      <c r="I293" s="99">
        <f t="shared" si="4"/>
        <v>-5.2576235541534899E-4</v>
      </c>
      <c r="J293" s="91"/>
      <c r="K293" s="91"/>
    </row>
    <row r="294" spans="1:11" ht="16">
      <c r="A294" s="161">
        <v>41110</v>
      </c>
      <c r="B294" s="94">
        <v>4.01</v>
      </c>
      <c r="G294" s="96">
        <v>41115</v>
      </c>
      <c r="H294" s="97">
        <v>228.2</v>
      </c>
      <c r="I294" s="99">
        <f t="shared" si="4"/>
        <v>3.5069261792042283E-4</v>
      </c>
      <c r="J294" s="91"/>
      <c r="K294" s="91"/>
    </row>
    <row r="295" spans="1:11" ht="16">
      <c r="A295" s="161">
        <v>41111</v>
      </c>
      <c r="B295" s="94">
        <v>3.99</v>
      </c>
      <c r="G295" s="96">
        <v>41116</v>
      </c>
      <c r="H295" s="97">
        <v>229.14</v>
      </c>
      <c r="I295" s="99">
        <f t="shared" si="4"/>
        <v>4.1191936897457815E-3</v>
      </c>
      <c r="J295" s="91"/>
      <c r="K295" s="91"/>
    </row>
    <row r="296" spans="1:11" ht="16">
      <c r="A296" s="161">
        <v>41114</v>
      </c>
      <c r="B296" s="94">
        <v>3.99</v>
      </c>
      <c r="G296" s="96">
        <v>41117</v>
      </c>
      <c r="H296" s="97">
        <v>229.4</v>
      </c>
      <c r="I296" s="99">
        <f t="shared" si="4"/>
        <v>1.1346774897442735E-3</v>
      </c>
      <c r="J296" s="91"/>
      <c r="K296" s="91"/>
    </row>
    <row r="297" spans="1:11" ht="16">
      <c r="A297" s="161">
        <v>41115</v>
      </c>
      <c r="B297" s="94">
        <v>4.01</v>
      </c>
      <c r="G297" s="96">
        <v>41118</v>
      </c>
      <c r="H297" s="97">
        <v>228.89</v>
      </c>
      <c r="I297" s="99">
        <f t="shared" si="4"/>
        <v>-2.2231909328684907E-3</v>
      </c>
      <c r="J297" s="91"/>
      <c r="K297" s="91"/>
    </row>
    <row r="298" spans="1:11" ht="16">
      <c r="A298" s="161">
        <v>41116</v>
      </c>
      <c r="B298" s="94">
        <v>4</v>
      </c>
      <c r="G298" s="96">
        <v>41121</v>
      </c>
      <c r="H298" s="97">
        <v>230.66</v>
      </c>
      <c r="I298" s="99">
        <f t="shared" si="4"/>
        <v>7.7329721700380993E-3</v>
      </c>
      <c r="J298" s="91"/>
      <c r="K298" s="91"/>
    </row>
    <row r="299" spans="1:11" ht="16">
      <c r="A299" s="161">
        <v>41117</v>
      </c>
      <c r="B299" s="94">
        <v>3.99</v>
      </c>
      <c r="G299" s="96">
        <v>41122</v>
      </c>
      <c r="H299" s="97">
        <v>229.48</v>
      </c>
      <c r="I299" s="99">
        <f t="shared" si="4"/>
        <v>-5.1157547906008904E-3</v>
      </c>
      <c r="J299" s="91"/>
      <c r="K299" s="91"/>
    </row>
    <row r="300" spans="1:11" ht="16">
      <c r="A300" s="161">
        <v>41118</v>
      </c>
      <c r="B300" s="94">
        <v>3.97</v>
      </c>
      <c r="G300" s="96">
        <v>41123</v>
      </c>
      <c r="H300" s="97">
        <v>227.86</v>
      </c>
      <c r="I300" s="99">
        <f t="shared" si="4"/>
        <v>-7.0594387310439766E-3</v>
      </c>
      <c r="J300" s="91"/>
      <c r="K300" s="91"/>
    </row>
    <row r="301" spans="1:11" ht="16">
      <c r="A301" s="161">
        <v>41120</v>
      </c>
      <c r="B301" s="94">
        <v>4.01</v>
      </c>
      <c r="G301" s="96">
        <v>41124</v>
      </c>
      <c r="H301" s="97">
        <v>229.77</v>
      </c>
      <c r="I301" s="99">
        <f t="shared" si="4"/>
        <v>8.3823400333538078E-3</v>
      </c>
      <c r="J301" s="91"/>
      <c r="K301" s="91"/>
    </row>
    <row r="302" spans="1:11" ht="16">
      <c r="A302" s="161">
        <v>41121</v>
      </c>
      <c r="B302" s="94">
        <v>4</v>
      </c>
      <c r="G302" s="96">
        <v>41125</v>
      </c>
      <c r="H302" s="97">
        <v>232.05</v>
      </c>
      <c r="I302" s="99">
        <f t="shared" si="4"/>
        <v>9.9229664447055832E-3</v>
      </c>
      <c r="J302" s="91"/>
      <c r="K302" s="91"/>
    </row>
    <row r="303" spans="1:11" ht="16">
      <c r="A303" s="161">
        <v>41122</v>
      </c>
      <c r="B303" s="94">
        <v>4.03</v>
      </c>
      <c r="G303" s="96">
        <v>41128</v>
      </c>
      <c r="H303" s="97">
        <v>234.5</v>
      </c>
      <c r="I303" s="99">
        <f t="shared" si="4"/>
        <v>1.0558069381598756E-2</v>
      </c>
      <c r="J303" s="91"/>
      <c r="K303" s="91"/>
    </row>
    <row r="304" spans="1:11" ht="16">
      <c r="A304" s="161">
        <v>41123</v>
      </c>
      <c r="B304" s="94">
        <v>4.0599999999999996</v>
      </c>
      <c r="G304" s="96">
        <v>41129</v>
      </c>
      <c r="H304" s="97">
        <v>235.44</v>
      </c>
      <c r="I304" s="99">
        <f t="shared" si="4"/>
        <v>4.0085287846480799E-3</v>
      </c>
      <c r="J304" s="91"/>
      <c r="K304" s="91"/>
    </row>
    <row r="305" spans="1:11" ht="16">
      <c r="A305" s="161">
        <v>41124</v>
      </c>
      <c r="B305" s="94">
        <v>4.01</v>
      </c>
      <c r="G305" s="96">
        <v>41130</v>
      </c>
      <c r="H305" s="97">
        <v>235.96</v>
      </c>
      <c r="I305" s="99">
        <f t="shared" si="4"/>
        <v>2.2086306489976781E-3</v>
      </c>
      <c r="J305" s="91"/>
      <c r="K305" s="91"/>
    </row>
    <row r="306" spans="1:11" ht="16">
      <c r="A306" s="161">
        <v>41125</v>
      </c>
      <c r="B306" s="94">
        <v>3.98</v>
      </c>
      <c r="G306" s="96">
        <v>41131</v>
      </c>
      <c r="H306" s="97">
        <v>237.29</v>
      </c>
      <c r="I306" s="99">
        <f t="shared" si="4"/>
        <v>5.6365485675538007E-3</v>
      </c>
      <c r="J306" s="91"/>
      <c r="K306" s="91"/>
    </row>
    <row r="307" spans="1:11" ht="16">
      <c r="A307" s="161">
        <v>41128</v>
      </c>
      <c r="B307" s="94">
        <v>3.96</v>
      </c>
      <c r="G307" s="96">
        <v>41132</v>
      </c>
      <c r="H307" s="97">
        <v>238.1</v>
      </c>
      <c r="I307" s="99">
        <f t="shared" si="4"/>
        <v>3.4135446078638054E-3</v>
      </c>
      <c r="J307" s="91"/>
      <c r="K307" s="91"/>
    </row>
    <row r="308" spans="1:11" ht="16">
      <c r="A308" s="161">
        <v>41129</v>
      </c>
      <c r="B308" s="94">
        <v>3.94</v>
      </c>
      <c r="G308" s="96">
        <v>41135</v>
      </c>
      <c r="H308" s="97">
        <v>239.76</v>
      </c>
      <c r="I308" s="99">
        <f t="shared" si="4"/>
        <v>6.9718605627886454E-3</v>
      </c>
      <c r="J308" s="91"/>
      <c r="K308" s="91"/>
    </row>
    <row r="309" spans="1:11" ht="16">
      <c r="A309" s="161">
        <v>41130</v>
      </c>
      <c r="B309" s="94">
        <v>3.89</v>
      </c>
      <c r="G309" s="96">
        <v>41136</v>
      </c>
      <c r="H309" s="97">
        <v>239.46</v>
      </c>
      <c r="I309" s="99">
        <f t="shared" si="4"/>
        <v>-1.2512512512511398E-3</v>
      </c>
      <c r="J309" s="91"/>
      <c r="K309" s="91"/>
    </row>
    <row r="310" spans="1:11" ht="16">
      <c r="A310" s="161">
        <v>41131</v>
      </c>
      <c r="B310" s="94">
        <v>3.89</v>
      </c>
      <c r="G310" s="96">
        <v>41137</v>
      </c>
      <c r="H310" s="97">
        <v>238.31</v>
      </c>
      <c r="I310" s="99">
        <f t="shared" si="4"/>
        <v>-4.8024722291823974E-3</v>
      </c>
      <c r="J310" s="91"/>
      <c r="K310" s="91"/>
    </row>
    <row r="311" spans="1:11" ht="16">
      <c r="A311" s="161">
        <v>41132</v>
      </c>
      <c r="B311" s="94">
        <v>3.88</v>
      </c>
      <c r="G311" s="96">
        <v>41138</v>
      </c>
      <c r="H311" s="97">
        <v>239.96</v>
      </c>
      <c r="I311" s="99">
        <f t="shared" si="4"/>
        <v>6.9237547731946236E-3</v>
      </c>
      <c r="J311" s="91"/>
      <c r="K311" s="91"/>
    </row>
    <row r="312" spans="1:11" ht="16">
      <c r="A312" s="161">
        <v>41135</v>
      </c>
      <c r="B312" s="94">
        <v>3.85</v>
      </c>
      <c r="G312" s="96">
        <v>41139</v>
      </c>
      <c r="H312" s="97">
        <v>238.43</v>
      </c>
      <c r="I312" s="99">
        <f t="shared" si="4"/>
        <v>-6.3760626771128814E-3</v>
      </c>
      <c r="J312" s="91"/>
      <c r="K312" s="91"/>
    </row>
    <row r="313" spans="1:11" ht="16">
      <c r="A313" s="161">
        <v>41136</v>
      </c>
      <c r="B313" s="94">
        <v>3.83</v>
      </c>
      <c r="G313" s="96">
        <v>41142</v>
      </c>
      <c r="H313" s="97">
        <v>237.05</v>
      </c>
      <c r="I313" s="99">
        <f t="shared" si="4"/>
        <v>-5.7878622656544199E-3</v>
      </c>
      <c r="J313" s="91"/>
      <c r="K313" s="91"/>
    </row>
    <row r="314" spans="1:11" ht="16">
      <c r="A314" s="161">
        <v>41137</v>
      </c>
      <c r="B314" s="94">
        <v>3.85</v>
      </c>
      <c r="G314" s="96">
        <v>41143</v>
      </c>
      <c r="H314" s="97">
        <v>237.16</v>
      </c>
      <c r="I314" s="99">
        <f t="shared" si="4"/>
        <v>4.6403712296982924E-4</v>
      </c>
      <c r="J314" s="91"/>
      <c r="K314" s="91"/>
    </row>
    <row r="315" spans="1:11" ht="16">
      <c r="A315" s="161">
        <v>41138</v>
      </c>
      <c r="B315" s="94">
        <v>3.81</v>
      </c>
      <c r="G315" s="96">
        <v>41144</v>
      </c>
      <c r="H315" s="97">
        <v>234.93</v>
      </c>
      <c r="I315" s="99">
        <f t="shared" si="4"/>
        <v>-9.4029347276100017E-3</v>
      </c>
      <c r="J315" s="91"/>
      <c r="K315" s="91"/>
    </row>
    <row r="316" spans="1:11" ht="16">
      <c r="A316" s="161">
        <v>41139</v>
      </c>
      <c r="B316" s="94">
        <v>3.82</v>
      </c>
      <c r="G316" s="96">
        <v>41145</v>
      </c>
      <c r="H316" s="97">
        <v>235.14</v>
      </c>
      <c r="I316" s="99">
        <f t="shared" si="4"/>
        <v>8.9388328438255726E-4</v>
      </c>
      <c r="J316" s="91"/>
      <c r="K316" s="91"/>
    </row>
    <row r="317" spans="1:11" ht="16">
      <c r="A317" s="161">
        <v>41142</v>
      </c>
      <c r="B317" s="94">
        <v>3.84</v>
      </c>
      <c r="G317" s="96">
        <v>41146</v>
      </c>
      <c r="H317" s="97">
        <v>236.28</v>
      </c>
      <c r="I317" s="99">
        <f t="shared" si="4"/>
        <v>4.8481755549885097E-3</v>
      </c>
      <c r="J317" s="91"/>
      <c r="K317" s="91"/>
    </row>
    <row r="318" spans="1:11" ht="16">
      <c r="A318" s="161">
        <v>41143</v>
      </c>
      <c r="B318" s="94">
        <v>3.83</v>
      </c>
      <c r="G318" s="96">
        <v>41149</v>
      </c>
      <c r="H318" s="97">
        <v>234.94</v>
      </c>
      <c r="I318" s="99">
        <f t="shared" si="4"/>
        <v>-5.6712375148129102E-3</v>
      </c>
      <c r="J318" s="91"/>
      <c r="K318" s="91"/>
    </row>
    <row r="319" spans="1:11" ht="16">
      <c r="A319" s="161">
        <v>41144</v>
      </c>
      <c r="B319" s="94">
        <v>3.84</v>
      </c>
      <c r="G319" s="96">
        <v>41150</v>
      </c>
      <c r="H319" s="97">
        <v>235.7</v>
      </c>
      <c r="I319" s="99">
        <f t="shared" si="4"/>
        <v>3.2348684770580061E-3</v>
      </c>
      <c r="J319" s="91"/>
      <c r="K319" s="91"/>
    </row>
    <row r="320" spans="1:11" ht="16">
      <c r="A320" s="161">
        <v>41145</v>
      </c>
      <c r="B320" s="94">
        <v>3.86</v>
      </c>
      <c r="G320" s="96">
        <v>41151</v>
      </c>
      <c r="H320" s="97">
        <v>234.35</v>
      </c>
      <c r="I320" s="99">
        <f t="shared" si="4"/>
        <v>-5.7276198557487668E-3</v>
      </c>
      <c r="J320" s="91"/>
      <c r="K320" s="91"/>
    </row>
    <row r="321" spans="1:11" ht="16">
      <c r="A321" s="161">
        <v>41146</v>
      </c>
      <c r="B321" s="94">
        <v>3.86</v>
      </c>
      <c r="G321" s="96">
        <v>41152</v>
      </c>
      <c r="H321" s="97">
        <v>233.94</v>
      </c>
      <c r="I321" s="99">
        <f t="shared" si="4"/>
        <v>-1.7495199487945756E-3</v>
      </c>
      <c r="J321" s="91"/>
      <c r="K321" s="91"/>
    </row>
    <row r="322" spans="1:11" ht="16">
      <c r="A322" s="161">
        <v>41149</v>
      </c>
      <c r="B322" s="94">
        <v>3.87</v>
      </c>
      <c r="G322" s="96">
        <v>41153</v>
      </c>
      <c r="H322" s="97">
        <v>236.09</v>
      </c>
      <c r="I322" s="99">
        <f t="shared" si="4"/>
        <v>9.1903906984696082E-3</v>
      </c>
      <c r="J322" s="91"/>
      <c r="K322" s="91"/>
    </row>
    <row r="323" spans="1:11" ht="16">
      <c r="A323" s="161">
        <v>41150</v>
      </c>
      <c r="B323" s="94">
        <v>3.85</v>
      </c>
      <c r="G323" s="96">
        <v>41156</v>
      </c>
      <c r="H323" s="97">
        <v>238.02</v>
      </c>
      <c r="I323" s="99">
        <f t="shared" si="4"/>
        <v>8.1748485746961919E-3</v>
      </c>
      <c r="J323" s="91"/>
      <c r="K323" s="91"/>
    </row>
    <row r="324" spans="1:11" ht="16">
      <c r="A324" s="161">
        <v>41151</v>
      </c>
      <c r="B324" s="94">
        <v>3.89</v>
      </c>
      <c r="G324" s="96">
        <v>41157</v>
      </c>
      <c r="H324" s="97">
        <v>241.75</v>
      </c>
      <c r="I324" s="99">
        <f t="shared" si="4"/>
        <v>1.5670952020838458E-2</v>
      </c>
      <c r="J324" s="91"/>
      <c r="K324" s="91"/>
    </row>
    <row r="325" spans="1:11" ht="16">
      <c r="A325" s="161">
        <v>41152</v>
      </c>
      <c r="B325" s="94">
        <v>3.91</v>
      </c>
      <c r="G325" s="96">
        <v>41158</v>
      </c>
      <c r="H325" s="97">
        <v>242.19</v>
      </c>
      <c r="I325" s="99">
        <f t="shared" si="4"/>
        <v>1.8200620475699036E-3</v>
      </c>
      <c r="J325" s="91"/>
      <c r="K325" s="91"/>
    </row>
    <row r="326" spans="1:11" ht="16">
      <c r="A326" s="161">
        <v>41153</v>
      </c>
      <c r="B326" s="94">
        <v>3.9</v>
      </c>
      <c r="G326" s="96">
        <v>41159</v>
      </c>
      <c r="H326" s="97">
        <v>242.58</v>
      </c>
      <c r="I326" s="99">
        <f t="shared" si="4"/>
        <v>1.6103059581320522E-3</v>
      </c>
      <c r="J326" s="91"/>
      <c r="K326" s="91"/>
    </row>
    <row r="327" spans="1:11" ht="16">
      <c r="A327" s="161">
        <v>41156</v>
      </c>
      <c r="B327" s="94">
        <v>3.9</v>
      </c>
      <c r="G327" s="96">
        <v>41160</v>
      </c>
      <c r="H327" s="97">
        <v>238.36</v>
      </c>
      <c r="I327" s="99">
        <f t="shared" si="4"/>
        <v>-1.7396322862560765E-2</v>
      </c>
      <c r="J327" s="91"/>
      <c r="K327" s="91"/>
    </row>
    <row r="328" spans="1:11" ht="16">
      <c r="A328" s="161">
        <v>41157</v>
      </c>
      <c r="B328" s="94">
        <v>3.86</v>
      </c>
      <c r="G328" s="96">
        <v>41163</v>
      </c>
      <c r="H328" s="97">
        <v>234.01</v>
      </c>
      <c r="I328" s="99">
        <f t="shared" si="4"/>
        <v>-1.8249706326564974E-2</v>
      </c>
      <c r="J328" s="91"/>
      <c r="K328" s="91"/>
    </row>
    <row r="329" spans="1:11" ht="16">
      <c r="A329" s="161">
        <v>41158</v>
      </c>
      <c r="B329" s="94">
        <v>3.8</v>
      </c>
      <c r="G329" s="96">
        <v>41164</v>
      </c>
      <c r="H329" s="97">
        <v>232.77</v>
      </c>
      <c r="I329" s="99">
        <f t="shared" si="4"/>
        <v>-5.2989188496217476E-3</v>
      </c>
      <c r="J329" s="91"/>
      <c r="K329" s="91"/>
    </row>
    <row r="330" spans="1:11" ht="16">
      <c r="A330" s="161">
        <v>41159</v>
      </c>
      <c r="B330" s="94">
        <v>3.8</v>
      </c>
      <c r="G330" s="96">
        <v>41165</v>
      </c>
      <c r="H330" s="97">
        <v>232.67</v>
      </c>
      <c r="I330" s="99">
        <f t="shared" si="4"/>
        <v>-4.2960862654128906E-4</v>
      </c>
      <c r="J330" s="91"/>
      <c r="K330" s="91"/>
    </row>
    <row r="331" spans="1:11" ht="16">
      <c r="A331" s="161">
        <v>41160</v>
      </c>
      <c r="B331" s="94">
        <v>3.87</v>
      </c>
      <c r="G331" s="96">
        <v>41166</v>
      </c>
      <c r="H331" s="97">
        <v>233.88</v>
      </c>
      <c r="I331" s="99">
        <f t="shared" si="4"/>
        <v>5.2004985601925569E-3</v>
      </c>
      <c r="J331" s="91"/>
      <c r="K331" s="91"/>
    </row>
    <row r="332" spans="1:11" ht="16">
      <c r="A332" s="161">
        <v>41163</v>
      </c>
      <c r="B332" s="94">
        <v>3.94</v>
      </c>
      <c r="G332" s="96">
        <v>41167</v>
      </c>
      <c r="H332" s="97">
        <v>232.97</v>
      </c>
      <c r="I332" s="99">
        <f t="shared" si="4"/>
        <v>-3.8908842141268662E-3</v>
      </c>
      <c r="J332" s="91"/>
      <c r="K332" s="91"/>
    </row>
    <row r="333" spans="1:11" ht="16">
      <c r="A333" s="161">
        <v>41164</v>
      </c>
      <c r="B333" s="94">
        <v>3.93</v>
      </c>
      <c r="G333" s="96">
        <v>41170</v>
      </c>
      <c r="H333" s="97">
        <v>235.91</v>
      </c>
      <c r="I333" s="99">
        <f t="shared" si="4"/>
        <v>1.2619650598789445E-2</v>
      </c>
      <c r="J333" s="91"/>
      <c r="K333" s="91"/>
    </row>
    <row r="334" spans="1:11" ht="16">
      <c r="A334" s="161">
        <v>41165</v>
      </c>
      <c r="B334" s="94">
        <v>3.96</v>
      </c>
      <c r="G334" s="96">
        <v>41171</v>
      </c>
      <c r="H334" s="97">
        <v>236.04</v>
      </c>
      <c r="I334" s="99">
        <f t="shared" si="4"/>
        <v>5.510576067144779E-4</v>
      </c>
      <c r="J334" s="91"/>
      <c r="K334" s="91"/>
    </row>
    <row r="335" spans="1:11" ht="16">
      <c r="A335" s="161">
        <v>41166</v>
      </c>
      <c r="B335" s="94">
        <v>3.96</v>
      </c>
      <c r="G335" s="96">
        <v>41172</v>
      </c>
      <c r="H335" s="97">
        <v>237.78</v>
      </c>
      <c r="I335" s="99">
        <f t="shared" ref="I335:I398" si="5">H335/H334-1</f>
        <v>7.3716319267920216E-3</v>
      </c>
      <c r="J335" s="91"/>
      <c r="K335" s="91"/>
    </row>
    <row r="336" spans="1:11" ht="16">
      <c r="A336" s="161">
        <v>41167</v>
      </c>
      <c r="B336" s="94">
        <v>3.96</v>
      </c>
      <c r="G336" s="96">
        <v>41173</v>
      </c>
      <c r="H336" s="97">
        <v>241.26</v>
      </c>
      <c r="I336" s="99">
        <f t="shared" si="5"/>
        <v>1.4635377239464953E-2</v>
      </c>
      <c r="J336" s="91"/>
      <c r="K336" s="91"/>
    </row>
    <row r="337" spans="1:11" ht="16">
      <c r="A337" s="161">
        <v>41170</v>
      </c>
      <c r="B337" s="94">
        <v>3.96</v>
      </c>
      <c r="G337" s="96">
        <v>41174</v>
      </c>
      <c r="H337" s="97">
        <v>240.34</v>
      </c>
      <c r="I337" s="99">
        <f t="shared" si="5"/>
        <v>-3.8133134377849043E-3</v>
      </c>
      <c r="J337" s="91"/>
      <c r="K337" s="91"/>
    </row>
    <row r="338" spans="1:11" ht="16">
      <c r="A338" s="161">
        <v>41171</v>
      </c>
      <c r="B338" s="94">
        <v>3.94</v>
      </c>
      <c r="G338" s="96">
        <v>41177</v>
      </c>
      <c r="H338" s="97">
        <v>237.22</v>
      </c>
      <c r="I338" s="99">
        <f t="shared" si="5"/>
        <v>-1.2981609386702231E-2</v>
      </c>
      <c r="J338" s="91"/>
      <c r="K338" s="91"/>
    </row>
    <row r="339" spans="1:11" ht="16">
      <c r="A339" s="161">
        <v>41172</v>
      </c>
      <c r="B339" s="94">
        <v>3.91</v>
      </c>
      <c r="G339" s="96">
        <v>41178</v>
      </c>
      <c r="H339" s="97">
        <v>238.18</v>
      </c>
      <c r="I339" s="99">
        <f t="shared" si="5"/>
        <v>4.0468763173426847E-3</v>
      </c>
      <c r="J339" s="91"/>
      <c r="K339" s="91"/>
    </row>
    <row r="340" spans="1:11" ht="16">
      <c r="A340" s="161">
        <v>41173</v>
      </c>
      <c r="B340" s="94">
        <v>3.83</v>
      </c>
      <c r="G340" s="96">
        <v>41179</v>
      </c>
      <c r="H340" s="97">
        <v>238.74</v>
      </c>
      <c r="I340" s="99">
        <f t="shared" si="5"/>
        <v>2.351162985976929E-3</v>
      </c>
      <c r="J340" s="91"/>
      <c r="K340" s="91"/>
    </row>
    <row r="341" spans="1:11" ht="16">
      <c r="A341" s="161">
        <v>41174</v>
      </c>
      <c r="B341" s="94">
        <v>3.84</v>
      </c>
      <c r="G341" s="96">
        <v>41180</v>
      </c>
      <c r="H341" s="97">
        <v>238.49</v>
      </c>
      <c r="I341" s="99">
        <f t="shared" si="5"/>
        <v>-1.0471642791320956E-3</v>
      </c>
      <c r="J341" s="91"/>
      <c r="K341" s="91"/>
    </row>
    <row r="342" spans="1:11" ht="16">
      <c r="A342" s="161">
        <v>41177</v>
      </c>
      <c r="B342" s="94">
        <v>3.86</v>
      </c>
      <c r="G342" s="96">
        <v>41181</v>
      </c>
      <c r="H342" s="97">
        <v>236.49</v>
      </c>
      <c r="I342" s="99">
        <f t="shared" si="5"/>
        <v>-8.3860958530755925E-3</v>
      </c>
      <c r="J342" s="91"/>
      <c r="K342" s="91"/>
    </row>
    <row r="343" spans="1:11" ht="16">
      <c r="A343" s="161">
        <v>41178</v>
      </c>
      <c r="B343" s="94">
        <v>3.84</v>
      </c>
      <c r="G343" s="96">
        <v>41184</v>
      </c>
      <c r="H343" s="97">
        <v>238.96</v>
      </c>
      <c r="I343" s="99">
        <f t="shared" si="5"/>
        <v>1.0444416254387079E-2</v>
      </c>
      <c r="J343" s="91"/>
      <c r="K343" s="91"/>
    </row>
    <row r="344" spans="1:11" ht="16">
      <c r="A344" s="161">
        <v>41179</v>
      </c>
      <c r="B344" s="94">
        <v>3.83</v>
      </c>
      <c r="G344" s="96">
        <v>41185</v>
      </c>
      <c r="H344" s="97">
        <v>240.08</v>
      </c>
      <c r="I344" s="99">
        <f t="shared" si="5"/>
        <v>4.6869768998996086E-3</v>
      </c>
      <c r="J344" s="91"/>
      <c r="K344" s="91"/>
    </row>
    <row r="345" spans="1:11" ht="16">
      <c r="A345" s="161">
        <v>41180</v>
      </c>
      <c r="B345" s="94">
        <v>3.81</v>
      </c>
      <c r="G345" s="96">
        <v>41186</v>
      </c>
      <c r="H345" s="97">
        <v>240.2</v>
      </c>
      <c r="I345" s="99">
        <f t="shared" si="5"/>
        <v>4.9983338887038542E-4</v>
      </c>
      <c r="J345" s="91"/>
      <c r="K345" s="91"/>
    </row>
    <row r="346" spans="1:11" ht="16">
      <c r="A346" s="161">
        <v>41181</v>
      </c>
      <c r="B346" s="94">
        <v>3.82</v>
      </c>
      <c r="G346" s="96">
        <v>41187</v>
      </c>
      <c r="H346" s="97">
        <v>240.29</v>
      </c>
      <c r="I346" s="99">
        <f t="shared" si="5"/>
        <v>3.7468776019977668E-4</v>
      </c>
      <c r="J346" s="91"/>
      <c r="K346" s="91"/>
    </row>
    <row r="347" spans="1:11" ht="16">
      <c r="A347" s="161">
        <v>41184</v>
      </c>
      <c r="B347" s="94">
        <v>3.83</v>
      </c>
      <c r="G347" s="96">
        <v>41188</v>
      </c>
      <c r="H347" s="97">
        <v>239.8</v>
      </c>
      <c r="I347" s="99">
        <f t="shared" si="5"/>
        <v>-2.0392026301551125E-3</v>
      </c>
      <c r="J347" s="91"/>
      <c r="K347" s="91"/>
    </row>
    <row r="348" spans="1:11" ht="16">
      <c r="A348" s="161">
        <v>41185</v>
      </c>
      <c r="B348" s="94">
        <v>3.84</v>
      </c>
      <c r="G348" s="96">
        <v>41191</v>
      </c>
      <c r="H348" s="97">
        <v>240.58</v>
      </c>
      <c r="I348" s="99">
        <f t="shared" si="5"/>
        <v>3.2527105921600352E-3</v>
      </c>
      <c r="J348" s="91"/>
      <c r="K348" s="91"/>
    </row>
    <row r="349" spans="1:11" ht="16">
      <c r="A349" s="161">
        <v>41186</v>
      </c>
      <c r="B349" s="94">
        <v>3.86</v>
      </c>
      <c r="G349" s="96">
        <v>41192</v>
      </c>
      <c r="H349" s="97">
        <v>237.9</v>
      </c>
      <c r="I349" s="99">
        <f t="shared" si="5"/>
        <v>-1.1139745614764385E-2</v>
      </c>
      <c r="J349" s="91"/>
      <c r="K349" s="91"/>
    </row>
    <row r="350" spans="1:11" ht="16">
      <c r="A350" s="161">
        <v>41187</v>
      </c>
      <c r="B350" s="94">
        <v>3.87</v>
      </c>
      <c r="G350" s="96">
        <v>41193</v>
      </c>
      <c r="H350" s="97">
        <v>237.05</v>
      </c>
      <c r="I350" s="99">
        <f t="shared" si="5"/>
        <v>-3.5729298024379519E-3</v>
      </c>
      <c r="J350" s="91"/>
      <c r="K350" s="91"/>
    </row>
    <row r="351" spans="1:11" ht="16">
      <c r="A351" s="161">
        <v>41188</v>
      </c>
      <c r="B351" s="94">
        <v>3.88</v>
      </c>
      <c r="G351" s="96">
        <v>41194</v>
      </c>
      <c r="H351" s="97">
        <v>234.2</v>
      </c>
      <c r="I351" s="99">
        <f t="shared" si="5"/>
        <v>-1.2022780004218636E-2</v>
      </c>
      <c r="J351" s="91"/>
      <c r="K351" s="91"/>
    </row>
    <row r="352" spans="1:11" ht="16">
      <c r="A352" s="161">
        <v>41191</v>
      </c>
      <c r="B352" s="94">
        <v>3.88</v>
      </c>
      <c r="G352" s="96">
        <v>41195</v>
      </c>
      <c r="H352" s="97">
        <v>235.91</v>
      </c>
      <c r="I352" s="99">
        <f t="shared" si="5"/>
        <v>7.301451750640453E-3</v>
      </c>
      <c r="J352" s="91"/>
      <c r="K352" s="91"/>
    </row>
    <row r="353" spans="1:11" ht="16">
      <c r="A353" s="161">
        <v>41192</v>
      </c>
      <c r="B353" s="94">
        <v>3.89</v>
      </c>
      <c r="G353" s="96">
        <v>41198</v>
      </c>
      <c r="H353" s="97">
        <v>235.15</v>
      </c>
      <c r="I353" s="99">
        <f t="shared" si="5"/>
        <v>-3.2215675469458027E-3</v>
      </c>
      <c r="J353" s="91"/>
      <c r="K353" s="91"/>
    </row>
    <row r="354" spans="1:11" ht="16">
      <c r="A354" s="161">
        <v>41193</v>
      </c>
      <c r="B354" s="94">
        <v>3.9</v>
      </c>
      <c r="G354" s="96">
        <v>41199</v>
      </c>
      <c r="H354" s="97">
        <v>238.66</v>
      </c>
      <c r="I354" s="99">
        <f t="shared" si="5"/>
        <v>1.4926642568573234E-2</v>
      </c>
      <c r="J354" s="91"/>
      <c r="K354" s="91"/>
    </row>
    <row r="355" spans="1:11" ht="16">
      <c r="A355" s="161">
        <v>41194</v>
      </c>
      <c r="B355" s="94">
        <v>3.89</v>
      </c>
      <c r="G355" s="96">
        <v>41200</v>
      </c>
      <c r="H355" s="97">
        <v>239.76</v>
      </c>
      <c r="I355" s="99">
        <f t="shared" si="5"/>
        <v>4.6090672923824183E-3</v>
      </c>
      <c r="J355" s="91"/>
      <c r="K355" s="91"/>
    </row>
    <row r="356" spans="1:11" ht="16">
      <c r="A356" s="161">
        <v>41195</v>
      </c>
      <c r="B356" s="94">
        <v>3.89</v>
      </c>
      <c r="G356" s="96">
        <v>41201</v>
      </c>
      <c r="H356" s="97">
        <v>239.9</v>
      </c>
      <c r="I356" s="99">
        <f t="shared" si="5"/>
        <v>5.8391725058393185E-4</v>
      </c>
      <c r="J356" s="91"/>
      <c r="K356" s="91"/>
    </row>
    <row r="357" spans="1:11" ht="16">
      <c r="A357" s="161">
        <v>41198</v>
      </c>
      <c r="B357" s="94">
        <v>3.91</v>
      </c>
      <c r="G357" s="96">
        <v>41202</v>
      </c>
      <c r="H357" s="97">
        <v>239.8</v>
      </c>
      <c r="I357" s="99">
        <f t="shared" si="5"/>
        <v>-4.1684035014588616E-4</v>
      </c>
      <c r="J357" s="91"/>
      <c r="K357" s="91"/>
    </row>
    <row r="358" spans="1:11" ht="16">
      <c r="A358" s="161">
        <v>41199</v>
      </c>
      <c r="B358" s="94">
        <v>3.91</v>
      </c>
      <c r="G358" s="96">
        <v>41205</v>
      </c>
      <c r="H358" s="97">
        <v>241.39</v>
      </c>
      <c r="I358" s="99">
        <f t="shared" si="5"/>
        <v>6.6305254378646872E-3</v>
      </c>
      <c r="J358" s="91"/>
      <c r="K358" s="91"/>
    </row>
    <row r="359" spans="1:11" ht="16">
      <c r="A359" s="161">
        <v>41200</v>
      </c>
      <c r="B359" s="94">
        <v>3.89</v>
      </c>
      <c r="G359" s="96">
        <v>41206</v>
      </c>
      <c r="H359" s="97">
        <v>241.56</v>
      </c>
      <c r="I359" s="99">
        <f t="shared" si="5"/>
        <v>7.0425452587108417E-4</v>
      </c>
      <c r="J359" s="91"/>
      <c r="K359" s="91"/>
    </row>
    <row r="360" spans="1:11" ht="16">
      <c r="A360" s="161">
        <v>41201</v>
      </c>
      <c r="B360" s="94">
        <v>3.88</v>
      </c>
      <c r="G360" s="96">
        <v>41207</v>
      </c>
      <c r="H360" s="97">
        <v>239.82</v>
      </c>
      <c r="I360" s="99">
        <f t="shared" si="5"/>
        <v>-7.2031793343269035E-3</v>
      </c>
      <c r="J360" s="91"/>
      <c r="K360" s="91"/>
    </row>
    <row r="361" spans="1:11" ht="16">
      <c r="A361" s="161">
        <v>41202</v>
      </c>
      <c r="B361" s="94">
        <v>3.88</v>
      </c>
      <c r="G361" s="96">
        <v>41208</v>
      </c>
      <c r="H361" s="97">
        <v>238.52</v>
      </c>
      <c r="I361" s="99">
        <f t="shared" si="5"/>
        <v>-5.4207322158285054E-3</v>
      </c>
      <c r="J361" s="91"/>
      <c r="K361" s="91"/>
    </row>
    <row r="362" spans="1:11" ht="16">
      <c r="A362" s="161">
        <v>41205</v>
      </c>
      <c r="B362" s="94">
        <v>3.85</v>
      </c>
      <c r="G362" s="96">
        <v>41209</v>
      </c>
      <c r="H362" s="97">
        <v>237.98</v>
      </c>
      <c r="I362" s="99">
        <f t="shared" si="5"/>
        <v>-2.2639610934094279E-3</v>
      </c>
      <c r="J362" s="91"/>
      <c r="K362" s="91"/>
    </row>
    <row r="363" spans="1:11" ht="16">
      <c r="A363" s="161">
        <v>41206</v>
      </c>
      <c r="B363" s="94">
        <v>3.85</v>
      </c>
      <c r="G363" s="96">
        <v>41212</v>
      </c>
      <c r="H363" s="97">
        <v>238.46</v>
      </c>
      <c r="I363" s="99">
        <f t="shared" si="5"/>
        <v>2.016976216488775E-3</v>
      </c>
      <c r="J363" s="91"/>
      <c r="K363" s="91"/>
    </row>
    <row r="364" spans="1:11" ht="16">
      <c r="A364" s="161">
        <v>41207</v>
      </c>
      <c r="B364" s="94">
        <v>3.92</v>
      </c>
      <c r="G364" s="96">
        <v>41213</v>
      </c>
      <c r="H364" s="97">
        <v>237.63</v>
      </c>
      <c r="I364" s="99">
        <f t="shared" si="5"/>
        <v>-3.4806676172104423E-3</v>
      </c>
      <c r="J364" s="91"/>
      <c r="K364" s="91"/>
    </row>
    <row r="365" spans="1:11" ht="16">
      <c r="A365" s="161">
        <v>41208</v>
      </c>
      <c r="B365" s="94">
        <v>3.93</v>
      </c>
      <c r="G365" s="96">
        <v>41214</v>
      </c>
      <c r="H365" s="97">
        <v>234.63</v>
      </c>
      <c r="I365" s="99">
        <f t="shared" si="5"/>
        <v>-1.2624668602449152E-2</v>
      </c>
      <c r="J365" s="91"/>
      <c r="K365" s="91"/>
    </row>
    <row r="366" spans="1:11" ht="16">
      <c r="A366" s="161">
        <v>41209</v>
      </c>
      <c r="B366" s="94">
        <v>3.94</v>
      </c>
      <c r="G366" s="96">
        <v>41215</v>
      </c>
      <c r="H366" s="97">
        <v>232.78</v>
      </c>
      <c r="I366" s="99">
        <f t="shared" si="5"/>
        <v>-7.8847547201977841E-3</v>
      </c>
      <c r="J366" s="91"/>
      <c r="K366" s="91"/>
    </row>
    <row r="367" spans="1:11" ht="16">
      <c r="A367" s="161">
        <v>41212</v>
      </c>
      <c r="B367" s="94">
        <v>3.95</v>
      </c>
      <c r="G367" s="96">
        <v>41216</v>
      </c>
      <c r="H367" s="97">
        <v>231.48</v>
      </c>
      <c r="I367" s="99">
        <f t="shared" si="5"/>
        <v>-5.5846722226995382E-3</v>
      </c>
      <c r="J367" s="91"/>
      <c r="K367" s="91"/>
    </row>
    <row r="368" spans="1:11" ht="16">
      <c r="A368" s="161">
        <v>41213</v>
      </c>
      <c r="B368" s="94">
        <v>4</v>
      </c>
      <c r="G368" s="96">
        <v>41219</v>
      </c>
      <c r="H368" s="97">
        <v>235.28</v>
      </c>
      <c r="I368" s="99">
        <f t="shared" si="5"/>
        <v>1.641610506307245E-2</v>
      </c>
      <c r="J368" s="91"/>
      <c r="K368" s="91"/>
    </row>
    <row r="369" spans="1:11" ht="16">
      <c r="A369" s="161">
        <v>41214</v>
      </c>
      <c r="B369" s="94">
        <v>4.01</v>
      </c>
      <c r="G369" s="96">
        <v>41220</v>
      </c>
      <c r="H369" s="97">
        <v>236.97</v>
      </c>
      <c r="I369" s="99">
        <f t="shared" si="5"/>
        <v>7.1829309758586479E-3</v>
      </c>
      <c r="J369" s="91"/>
      <c r="K369" s="91"/>
    </row>
    <row r="370" spans="1:11" ht="16">
      <c r="A370" s="161">
        <v>41215</v>
      </c>
      <c r="B370" s="94">
        <v>4</v>
      </c>
      <c r="G370" s="96">
        <v>41221</v>
      </c>
      <c r="H370" s="97">
        <v>231.89</v>
      </c>
      <c r="I370" s="99">
        <f t="shared" si="5"/>
        <v>-2.1437312740009373E-2</v>
      </c>
      <c r="J370" s="91"/>
      <c r="K370" s="91"/>
    </row>
    <row r="371" spans="1:11" ht="16">
      <c r="A371" s="161">
        <v>41216</v>
      </c>
      <c r="B371" s="94">
        <v>4.01</v>
      </c>
      <c r="G371" s="96">
        <v>41222</v>
      </c>
      <c r="H371" s="97">
        <v>230.4</v>
      </c>
      <c r="I371" s="99">
        <f t="shared" si="5"/>
        <v>-6.4254603475785155E-3</v>
      </c>
      <c r="J371" s="91"/>
      <c r="K371" s="91"/>
    </row>
    <row r="372" spans="1:11" ht="16">
      <c r="A372" s="161">
        <v>41219</v>
      </c>
      <c r="B372" s="94">
        <v>3.99</v>
      </c>
      <c r="G372" s="96">
        <v>41223</v>
      </c>
      <c r="H372" s="97">
        <v>223.81</v>
      </c>
      <c r="I372" s="99">
        <f t="shared" si="5"/>
        <v>-2.8602430555555558E-2</v>
      </c>
      <c r="J372" s="91"/>
      <c r="K372" s="91"/>
    </row>
    <row r="373" spans="1:11" ht="16">
      <c r="A373" s="161">
        <v>41220</v>
      </c>
      <c r="B373" s="94">
        <v>3.97</v>
      </c>
      <c r="G373" s="96">
        <v>41226</v>
      </c>
      <c r="H373" s="97">
        <v>221.58</v>
      </c>
      <c r="I373" s="99">
        <f t="shared" si="5"/>
        <v>-9.9638085876412319E-3</v>
      </c>
      <c r="J373" s="91"/>
      <c r="K373" s="91"/>
    </row>
    <row r="374" spans="1:11" ht="16">
      <c r="A374" s="161">
        <v>41221</v>
      </c>
      <c r="B374" s="94">
        <v>4.0599999999999996</v>
      </c>
      <c r="G374" s="96">
        <v>41227</v>
      </c>
      <c r="H374" s="97">
        <v>222.12</v>
      </c>
      <c r="I374" s="99">
        <f t="shared" si="5"/>
        <v>2.4370430544271571E-3</v>
      </c>
      <c r="J374" s="91"/>
      <c r="K374" s="91"/>
    </row>
    <row r="375" spans="1:11" ht="16">
      <c r="A375" s="161">
        <v>41222</v>
      </c>
      <c r="B375" s="94">
        <v>4.1900000000000004</v>
      </c>
      <c r="G375" s="96">
        <v>41228</v>
      </c>
      <c r="H375" s="97">
        <v>223.39</v>
      </c>
      <c r="I375" s="99">
        <f t="shared" si="5"/>
        <v>5.7176301098504911E-3</v>
      </c>
      <c r="J375" s="91"/>
      <c r="K375" s="91"/>
    </row>
    <row r="376" spans="1:11" ht="16">
      <c r="A376" s="161">
        <v>41223</v>
      </c>
      <c r="B376" s="94">
        <v>4.2</v>
      </c>
      <c r="G376" s="96">
        <v>41229</v>
      </c>
      <c r="H376" s="97">
        <v>223.45</v>
      </c>
      <c r="I376" s="99">
        <f t="shared" si="5"/>
        <v>2.6858856707989709E-4</v>
      </c>
      <c r="J376" s="91"/>
      <c r="K376" s="91"/>
    </row>
    <row r="377" spans="1:11" ht="16">
      <c r="A377" s="161">
        <v>41226</v>
      </c>
      <c r="B377" s="94">
        <v>4.47</v>
      </c>
      <c r="G377" s="96">
        <v>41230</v>
      </c>
      <c r="H377" s="97">
        <v>222.88</v>
      </c>
      <c r="I377" s="99">
        <f t="shared" si="5"/>
        <v>-2.5509062430073559E-3</v>
      </c>
      <c r="J377" s="91"/>
      <c r="K377" s="91"/>
    </row>
    <row r="378" spans="1:11" ht="16">
      <c r="A378" s="161">
        <v>41227</v>
      </c>
      <c r="B378" s="94">
        <v>4.3899999999999997</v>
      </c>
      <c r="G378" s="96">
        <v>41233</v>
      </c>
      <c r="H378" s="97">
        <v>223.7</v>
      </c>
      <c r="I378" s="99">
        <f t="shared" si="5"/>
        <v>3.6791098348887274E-3</v>
      </c>
      <c r="J378" s="91"/>
      <c r="K378" s="91"/>
    </row>
    <row r="379" spans="1:11" ht="16">
      <c r="A379" s="161">
        <v>41228</v>
      </c>
      <c r="B379" s="94">
        <v>4.3899999999999997</v>
      </c>
      <c r="G379" s="96">
        <v>41234</v>
      </c>
      <c r="H379" s="97">
        <v>225.76</v>
      </c>
      <c r="I379" s="99">
        <f t="shared" si="5"/>
        <v>9.2087617344658312E-3</v>
      </c>
      <c r="J379" s="91"/>
      <c r="K379" s="91"/>
    </row>
    <row r="380" spans="1:11" ht="16">
      <c r="A380" s="161">
        <v>41229</v>
      </c>
      <c r="B380" s="94">
        <v>4.37</v>
      </c>
      <c r="G380" s="96">
        <v>41235</v>
      </c>
      <c r="H380" s="97">
        <v>225.09</v>
      </c>
      <c r="I380" s="99">
        <f t="shared" si="5"/>
        <v>-2.9677533664067557E-3</v>
      </c>
      <c r="J380" s="91"/>
      <c r="K380" s="91"/>
    </row>
    <row r="381" spans="1:11" ht="16">
      <c r="A381" s="161">
        <v>41230</v>
      </c>
      <c r="B381" s="94">
        <v>4.45</v>
      </c>
      <c r="G381" s="96">
        <v>41236</v>
      </c>
      <c r="H381" s="97">
        <v>224.34</v>
      </c>
      <c r="I381" s="99">
        <f t="shared" si="5"/>
        <v>-3.3320005331201052E-3</v>
      </c>
      <c r="J381" s="91"/>
      <c r="K381" s="91"/>
    </row>
    <row r="382" spans="1:11" ht="16">
      <c r="A382" s="161">
        <v>41233</v>
      </c>
      <c r="B382" s="94">
        <v>4.45</v>
      </c>
      <c r="G382" s="96">
        <v>41237</v>
      </c>
      <c r="H382" s="97">
        <v>225.39</v>
      </c>
      <c r="I382" s="99">
        <f t="shared" si="5"/>
        <v>4.6803958277612523E-3</v>
      </c>
      <c r="J382" s="91"/>
      <c r="K382" s="91"/>
    </row>
    <row r="383" spans="1:11" ht="16">
      <c r="A383" s="161">
        <v>41234</v>
      </c>
      <c r="B383" s="94">
        <v>4.43</v>
      </c>
      <c r="G383" s="96">
        <v>41240</v>
      </c>
      <c r="H383" s="97">
        <v>227.09</v>
      </c>
      <c r="I383" s="99">
        <f t="shared" si="5"/>
        <v>7.5424819202272175E-3</v>
      </c>
      <c r="J383" s="91"/>
      <c r="K383" s="91"/>
    </row>
    <row r="384" spans="1:11" ht="16">
      <c r="A384" s="161">
        <v>41235</v>
      </c>
      <c r="B384" s="94">
        <v>4.45</v>
      </c>
      <c r="G384" s="96">
        <v>41241</v>
      </c>
      <c r="H384" s="97">
        <v>225.93</v>
      </c>
      <c r="I384" s="99">
        <f t="shared" si="5"/>
        <v>-5.1081069179620409E-3</v>
      </c>
      <c r="J384" s="91"/>
      <c r="K384" s="91"/>
    </row>
    <row r="385" spans="1:11" ht="16">
      <c r="A385" s="161">
        <v>41236</v>
      </c>
      <c r="B385" s="94">
        <v>4.45</v>
      </c>
      <c r="G385" s="96">
        <v>41242</v>
      </c>
      <c r="H385" s="97">
        <v>226.96</v>
      </c>
      <c r="I385" s="99">
        <f t="shared" si="5"/>
        <v>4.5589341831540064E-3</v>
      </c>
      <c r="J385" s="91"/>
      <c r="K385" s="91"/>
    </row>
    <row r="386" spans="1:11" ht="16">
      <c r="A386" s="161">
        <v>41237</v>
      </c>
      <c r="B386" s="94">
        <v>4.4800000000000004</v>
      </c>
      <c r="G386" s="96">
        <v>41243</v>
      </c>
      <c r="H386" s="97">
        <v>225.51</v>
      </c>
      <c r="I386" s="99">
        <f t="shared" si="5"/>
        <v>-6.3887909763835626E-3</v>
      </c>
      <c r="J386" s="91"/>
      <c r="K386" s="91"/>
    </row>
    <row r="387" spans="1:11" ht="16">
      <c r="A387" s="161">
        <v>41240</v>
      </c>
      <c r="B387" s="94">
        <v>4.47</v>
      </c>
      <c r="G387" s="96">
        <v>41244</v>
      </c>
      <c r="H387" s="97">
        <v>224.41</v>
      </c>
      <c r="I387" s="99">
        <f t="shared" si="5"/>
        <v>-4.8778324686266084E-3</v>
      </c>
      <c r="J387" s="91"/>
      <c r="K387" s="91"/>
    </row>
    <row r="388" spans="1:11" ht="16">
      <c r="A388" s="161">
        <v>41241</v>
      </c>
      <c r="B388" s="94">
        <v>4.46</v>
      </c>
      <c r="G388" s="96">
        <v>41247</v>
      </c>
      <c r="H388" s="97">
        <v>224.81</v>
      </c>
      <c r="I388" s="99">
        <f t="shared" si="5"/>
        <v>1.7824517623992175E-3</v>
      </c>
      <c r="J388" s="91"/>
      <c r="K388" s="91"/>
    </row>
    <row r="389" spans="1:11" ht="16">
      <c r="A389" s="161">
        <v>41242</v>
      </c>
      <c r="B389" s="94">
        <v>4.3899999999999997</v>
      </c>
      <c r="G389" s="96">
        <v>41248</v>
      </c>
      <c r="H389" s="97">
        <v>226.43</v>
      </c>
      <c r="I389" s="99">
        <f t="shared" si="5"/>
        <v>7.2060851385615798E-3</v>
      </c>
      <c r="J389" s="91"/>
      <c r="K389" s="91"/>
    </row>
    <row r="390" spans="1:11" ht="16">
      <c r="A390" s="161">
        <v>41243</v>
      </c>
      <c r="B390" s="94">
        <v>4.4400000000000004</v>
      </c>
      <c r="G390" s="96">
        <v>41249</v>
      </c>
      <c r="H390" s="97">
        <v>228.06</v>
      </c>
      <c r="I390" s="99">
        <f t="shared" si="5"/>
        <v>7.1986927527269984E-3</v>
      </c>
      <c r="J390" s="91"/>
      <c r="K390" s="91"/>
    </row>
    <row r="391" spans="1:11" ht="16">
      <c r="A391" s="161">
        <v>41244</v>
      </c>
      <c r="B391" s="94">
        <v>4.45</v>
      </c>
      <c r="G391" s="96">
        <v>41250</v>
      </c>
      <c r="H391" s="97">
        <v>230.37</v>
      </c>
      <c r="I391" s="99">
        <f t="shared" si="5"/>
        <v>1.012891344383049E-2</v>
      </c>
      <c r="J391" s="91"/>
      <c r="K391" s="91"/>
    </row>
    <row r="392" spans="1:11" ht="16">
      <c r="A392" s="161">
        <v>41247</v>
      </c>
      <c r="B392" s="94">
        <v>4.42</v>
      </c>
      <c r="G392" s="96">
        <v>41251</v>
      </c>
      <c r="H392" s="97">
        <v>230.29</v>
      </c>
      <c r="I392" s="99">
        <f t="shared" si="5"/>
        <v>-3.4726743933677362E-4</v>
      </c>
      <c r="J392" s="91"/>
      <c r="K392" s="91"/>
    </row>
    <row r="393" spans="1:11" ht="16">
      <c r="A393" s="161">
        <v>41248</v>
      </c>
      <c r="B393" s="94">
        <v>4.37</v>
      </c>
      <c r="G393" s="96">
        <v>41254</v>
      </c>
      <c r="H393" s="97">
        <v>228.75</v>
      </c>
      <c r="I393" s="99">
        <f t="shared" si="5"/>
        <v>-6.6872204611576613E-3</v>
      </c>
      <c r="J393" s="91"/>
      <c r="K393" s="91"/>
    </row>
    <row r="394" spans="1:11" ht="16">
      <c r="A394" s="161">
        <v>41249</v>
      </c>
      <c r="B394" s="94">
        <v>4.34</v>
      </c>
      <c r="G394" s="96">
        <v>41255</v>
      </c>
      <c r="H394" s="97">
        <v>229.97</v>
      </c>
      <c r="I394" s="99">
        <f t="shared" si="5"/>
        <v>5.3333333333334121E-3</v>
      </c>
      <c r="J394" s="91"/>
      <c r="K394" s="91"/>
    </row>
    <row r="395" spans="1:11" ht="16">
      <c r="A395" s="161">
        <v>41250</v>
      </c>
      <c r="B395" s="94">
        <v>4.34</v>
      </c>
      <c r="G395" s="96">
        <v>41256</v>
      </c>
      <c r="H395" s="97">
        <v>228.72</v>
      </c>
      <c r="I395" s="99">
        <f t="shared" si="5"/>
        <v>-5.435491585858987E-3</v>
      </c>
      <c r="J395" s="91"/>
      <c r="K395" s="91"/>
    </row>
    <row r="396" spans="1:11" ht="16">
      <c r="A396" s="161">
        <v>41251</v>
      </c>
      <c r="B396" s="94">
        <v>4.3499999999999996</v>
      </c>
      <c r="G396" s="96">
        <v>41257</v>
      </c>
      <c r="H396" s="97">
        <v>225.15</v>
      </c>
      <c r="I396" s="99">
        <f t="shared" si="5"/>
        <v>-1.5608604407135296E-2</v>
      </c>
      <c r="J396" s="91"/>
      <c r="K396" s="91"/>
    </row>
    <row r="397" spans="1:11" ht="16">
      <c r="A397" s="161">
        <v>41254</v>
      </c>
      <c r="B397" s="94">
        <v>4.3899999999999997</v>
      </c>
      <c r="G397" s="96">
        <v>41258</v>
      </c>
      <c r="H397" s="97">
        <v>224.59</v>
      </c>
      <c r="I397" s="99">
        <f t="shared" si="5"/>
        <v>-2.4872307350655154E-3</v>
      </c>
      <c r="J397" s="91"/>
      <c r="K397" s="91"/>
    </row>
    <row r="398" spans="1:11" ht="16">
      <c r="A398" s="161">
        <v>41255</v>
      </c>
      <c r="B398" s="94">
        <v>4.3499999999999996</v>
      </c>
      <c r="G398" s="96">
        <v>41261</v>
      </c>
      <c r="H398" s="97">
        <v>223.14</v>
      </c>
      <c r="I398" s="99">
        <f t="shared" si="5"/>
        <v>-6.4562090921235216E-3</v>
      </c>
      <c r="J398" s="91"/>
      <c r="K398" s="91"/>
    </row>
    <row r="399" spans="1:11" ht="16">
      <c r="A399" s="161">
        <v>41256</v>
      </c>
      <c r="B399" s="94">
        <v>4.34</v>
      </c>
      <c r="G399" s="96">
        <v>41262</v>
      </c>
      <c r="H399" s="97">
        <v>223.06</v>
      </c>
      <c r="I399" s="99">
        <f t="shared" ref="I399:I462" si="6">H399/H398-1</f>
        <v>-3.5851931522801195E-4</v>
      </c>
      <c r="J399" s="91"/>
      <c r="K399" s="91"/>
    </row>
    <row r="400" spans="1:11" ht="16">
      <c r="A400" s="161">
        <v>41257</v>
      </c>
      <c r="B400" s="94">
        <v>4.45</v>
      </c>
      <c r="G400" s="96">
        <v>41263</v>
      </c>
      <c r="H400" s="97">
        <v>223.36</v>
      </c>
      <c r="I400" s="99">
        <f t="shared" si="6"/>
        <v>1.3449296153502655E-3</v>
      </c>
      <c r="J400" s="91"/>
      <c r="K400" s="91"/>
    </row>
    <row r="401" spans="1:11" ht="16">
      <c r="A401" s="161">
        <v>41258</v>
      </c>
      <c r="B401" s="94">
        <v>4.43</v>
      </c>
      <c r="G401" s="96">
        <v>41264</v>
      </c>
      <c r="H401" s="97">
        <v>221.07</v>
      </c>
      <c r="I401" s="99">
        <f t="shared" si="6"/>
        <v>-1.0252507163323821E-2</v>
      </c>
      <c r="J401" s="91"/>
      <c r="K401" s="91"/>
    </row>
    <row r="402" spans="1:11" ht="16">
      <c r="A402" s="161">
        <v>41261</v>
      </c>
      <c r="B402" s="94">
        <v>4.43</v>
      </c>
      <c r="G402" s="96">
        <v>41265</v>
      </c>
      <c r="H402" s="97">
        <v>221.09</v>
      </c>
      <c r="I402" s="99">
        <f t="shared" si="6"/>
        <v>9.0469082191235728E-5</v>
      </c>
      <c r="J402" s="91"/>
      <c r="K402" s="91"/>
    </row>
    <row r="403" spans="1:11" ht="16">
      <c r="A403" s="161">
        <v>41262</v>
      </c>
      <c r="B403" s="94">
        <v>4.4000000000000004</v>
      </c>
      <c r="G403" s="96">
        <v>41268</v>
      </c>
      <c r="H403" s="97">
        <v>221.09</v>
      </c>
      <c r="I403" s="99">
        <f t="shared" si="6"/>
        <v>0</v>
      </c>
      <c r="J403" s="91"/>
      <c r="K403" s="91"/>
    </row>
    <row r="404" spans="1:11" ht="16">
      <c r="A404" s="161">
        <v>41263</v>
      </c>
      <c r="B404" s="94">
        <v>4.37</v>
      </c>
      <c r="G404" s="96">
        <v>41269</v>
      </c>
      <c r="H404" s="97">
        <v>221.76</v>
      </c>
      <c r="I404" s="99">
        <f t="shared" si="6"/>
        <v>3.0304400922700481E-3</v>
      </c>
      <c r="J404" s="91"/>
      <c r="K404" s="91"/>
    </row>
    <row r="405" spans="1:11" ht="16">
      <c r="A405" s="161">
        <v>41264</v>
      </c>
      <c r="B405" s="94">
        <v>4.3600000000000003</v>
      </c>
      <c r="G405" s="96">
        <v>41270</v>
      </c>
      <c r="H405" s="97">
        <v>223.94</v>
      </c>
      <c r="I405" s="99">
        <f t="shared" si="6"/>
        <v>9.8304473304473561E-3</v>
      </c>
      <c r="J405" s="91"/>
      <c r="K405" s="91"/>
    </row>
    <row r="406" spans="1:11" ht="16">
      <c r="A406" s="161">
        <v>41265</v>
      </c>
      <c r="B406" s="94">
        <v>4.37</v>
      </c>
      <c r="G406" s="96">
        <v>41271</v>
      </c>
      <c r="H406" s="97">
        <v>225.88</v>
      </c>
      <c r="I406" s="99">
        <f t="shared" si="6"/>
        <v>8.6630347414486941E-3</v>
      </c>
      <c r="J406" s="91"/>
      <c r="K406" s="91"/>
    </row>
    <row r="407" spans="1:11" ht="16">
      <c r="A407" s="161">
        <v>41268</v>
      </c>
      <c r="B407" s="195">
        <v>4.37</v>
      </c>
      <c r="G407" s="96">
        <v>41272</v>
      </c>
      <c r="H407" s="97">
        <v>227.2</v>
      </c>
      <c r="I407" s="99">
        <f t="shared" si="6"/>
        <v>5.8438108730298755E-3</v>
      </c>
      <c r="J407" s="91"/>
      <c r="K407" s="91"/>
    </row>
    <row r="408" spans="1:11" ht="16">
      <c r="A408" s="161">
        <v>41269</v>
      </c>
      <c r="B408" s="94">
        <v>4.37</v>
      </c>
      <c r="G408" s="96">
        <v>41275</v>
      </c>
      <c r="H408" s="97">
        <v>227.1</v>
      </c>
      <c r="I408" s="99">
        <f t="shared" si="6"/>
        <v>-4.4014084507038032E-4</v>
      </c>
      <c r="J408" s="91"/>
      <c r="K408" s="91"/>
    </row>
    <row r="409" spans="1:11" ht="16">
      <c r="A409" s="161">
        <v>41270</v>
      </c>
      <c r="B409" s="94">
        <v>4.3600000000000003</v>
      </c>
      <c r="G409" s="96">
        <v>41276</v>
      </c>
      <c r="H409" s="97">
        <v>228.36</v>
      </c>
      <c r="I409" s="99">
        <f t="shared" si="6"/>
        <v>5.5482166446501058E-3</v>
      </c>
      <c r="J409" s="91"/>
      <c r="K409" s="91"/>
    </row>
    <row r="410" spans="1:11" ht="16">
      <c r="A410" s="161">
        <v>41271</v>
      </c>
      <c r="B410" s="94">
        <v>4.34</v>
      </c>
      <c r="G410" s="96">
        <v>41277</v>
      </c>
      <c r="H410" s="97">
        <v>229.35</v>
      </c>
      <c r="I410" s="99">
        <f t="shared" si="6"/>
        <v>4.3352601156068094E-3</v>
      </c>
      <c r="J410" s="91"/>
      <c r="K410" s="91"/>
    </row>
    <row r="411" spans="1:11" ht="16">
      <c r="A411" s="161">
        <v>41272</v>
      </c>
      <c r="B411" s="94">
        <v>4.32</v>
      </c>
      <c r="G411" s="96">
        <v>41278</v>
      </c>
      <c r="H411" s="97">
        <v>232.01</v>
      </c>
      <c r="I411" s="99">
        <f t="shared" si="6"/>
        <v>1.1597994331807193E-2</v>
      </c>
      <c r="J411" s="91"/>
      <c r="K411" s="91"/>
    </row>
    <row r="412" spans="1:11" ht="16">
      <c r="A412" s="161">
        <v>41273</v>
      </c>
      <c r="B412" s="94">
        <v>4.33</v>
      </c>
      <c r="G412" s="96">
        <v>41279</v>
      </c>
      <c r="H412" s="97">
        <v>231.8</v>
      </c>
      <c r="I412" s="99">
        <f t="shared" si="6"/>
        <v>-9.0513339942233095E-4</v>
      </c>
      <c r="J412" s="91"/>
      <c r="K412" s="91"/>
    </row>
    <row r="413" spans="1:11" ht="16">
      <c r="A413" s="161">
        <v>41275</v>
      </c>
      <c r="B413" s="195">
        <v>4.33</v>
      </c>
      <c r="G413" s="96">
        <v>41282</v>
      </c>
      <c r="H413" s="97">
        <v>231.25</v>
      </c>
      <c r="I413" s="99">
        <f t="shared" si="6"/>
        <v>-2.3727351164797295E-3</v>
      </c>
      <c r="J413" s="91"/>
      <c r="K413" s="91"/>
    </row>
    <row r="414" spans="1:11" ht="16">
      <c r="A414" s="161">
        <v>41276</v>
      </c>
      <c r="B414" s="94">
        <v>4.3099999999999996</v>
      </c>
      <c r="G414" s="96">
        <v>41283</v>
      </c>
      <c r="H414" s="97">
        <v>233</v>
      </c>
      <c r="I414" s="99">
        <f t="shared" si="6"/>
        <v>7.5675675675674903E-3</v>
      </c>
      <c r="J414" s="91"/>
      <c r="K414" s="91"/>
    </row>
    <row r="415" spans="1:11" ht="16">
      <c r="A415" s="161">
        <v>41277</v>
      </c>
      <c r="B415" s="94">
        <v>4.28</v>
      </c>
      <c r="G415" s="96">
        <v>41284</v>
      </c>
      <c r="H415" s="97">
        <v>232.79</v>
      </c>
      <c r="I415" s="99">
        <f t="shared" si="6"/>
        <v>-9.0128755364815571E-4</v>
      </c>
      <c r="J415" s="91"/>
      <c r="K415" s="91"/>
    </row>
    <row r="416" spans="1:11" ht="16">
      <c r="A416" s="161">
        <v>41278</v>
      </c>
      <c r="B416" s="94">
        <v>4.2300000000000004</v>
      </c>
      <c r="G416" s="96">
        <v>41285</v>
      </c>
      <c r="H416" s="97">
        <v>235.15</v>
      </c>
      <c r="I416" s="99">
        <f t="shared" si="6"/>
        <v>1.0137892521156378E-2</v>
      </c>
      <c r="J416" s="91"/>
      <c r="K416" s="91"/>
    </row>
    <row r="417" spans="1:11" ht="16">
      <c r="A417" s="161">
        <v>41279</v>
      </c>
      <c r="B417" s="94">
        <v>4.21</v>
      </c>
      <c r="G417" s="96">
        <v>41286</v>
      </c>
      <c r="H417" s="97">
        <v>235.01</v>
      </c>
      <c r="I417" s="99">
        <f t="shared" si="6"/>
        <v>-5.9536466085485795E-4</v>
      </c>
      <c r="J417" s="91"/>
      <c r="K417" s="91"/>
    </row>
    <row r="418" spans="1:11" ht="16">
      <c r="A418" s="161">
        <v>41282</v>
      </c>
      <c r="B418" s="94">
        <v>4.22</v>
      </c>
      <c r="G418" s="96">
        <v>41289</v>
      </c>
      <c r="H418" s="97">
        <v>233.55</v>
      </c>
      <c r="I418" s="99">
        <f t="shared" si="6"/>
        <v>-6.2125015956766561E-3</v>
      </c>
      <c r="J418" s="91"/>
      <c r="K418" s="91"/>
    </row>
    <row r="419" spans="1:11" ht="16">
      <c r="A419" s="161">
        <v>41283</v>
      </c>
      <c r="B419" s="94">
        <v>4.1900000000000004</v>
      </c>
      <c r="G419" s="96">
        <v>41290</v>
      </c>
      <c r="H419" s="97">
        <v>234.81</v>
      </c>
      <c r="I419" s="99">
        <f t="shared" si="6"/>
        <v>5.3949903660885923E-3</v>
      </c>
      <c r="J419" s="91"/>
      <c r="K419" s="91"/>
    </row>
    <row r="420" spans="1:11" ht="16">
      <c r="A420" s="161">
        <v>41284</v>
      </c>
      <c r="B420" s="94">
        <v>4.22</v>
      </c>
      <c r="G420" s="96">
        <v>41291</v>
      </c>
      <c r="H420" s="97">
        <v>235.52</v>
      </c>
      <c r="I420" s="99">
        <f t="shared" si="6"/>
        <v>3.023721306588234E-3</v>
      </c>
      <c r="J420" s="91"/>
      <c r="K420" s="91"/>
    </row>
    <row r="421" spans="1:11" ht="16">
      <c r="A421" s="161">
        <v>41285</v>
      </c>
      <c r="B421" s="94">
        <v>4.17</v>
      </c>
      <c r="G421" s="96">
        <v>41292</v>
      </c>
      <c r="H421" s="97">
        <v>234.76</v>
      </c>
      <c r="I421" s="99">
        <f t="shared" si="6"/>
        <v>-3.2269021739130821E-3</v>
      </c>
      <c r="J421" s="91"/>
      <c r="K421" s="91"/>
    </row>
    <row r="422" spans="1:11" ht="16">
      <c r="A422" s="161">
        <v>41286</v>
      </c>
      <c r="B422" s="94">
        <v>4.17</v>
      </c>
      <c r="G422" s="96">
        <v>41293</v>
      </c>
      <c r="H422" s="97">
        <v>234.4</v>
      </c>
      <c r="I422" s="99">
        <f t="shared" si="6"/>
        <v>-1.5334810018742262E-3</v>
      </c>
      <c r="J422" s="91"/>
      <c r="K422" s="91"/>
    </row>
    <row r="423" spans="1:11" ht="16">
      <c r="A423" s="161">
        <v>41289</v>
      </c>
      <c r="B423" s="94">
        <v>4.17</v>
      </c>
      <c r="G423" s="96">
        <v>41296</v>
      </c>
      <c r="H423" s="97">
        <v>236.72</v>
      </c>
      <c r="I423" s="99">
        <f t="shared" si="6"/>
        <v>9.8976109215016539E-3</v>
      </c>
      <c r="J423" s="91"/>
      <c r="K423" s="91"/>
    </row>
    <row r="424" spans="1:11" ht="16">
      <c r="A424" s="161">
        <v>41290</v>
      </c>
      <c r="B424" s="94">
        <v>4.13</v>
      </c>
      <c r="G424" s="96">
        <v>41297</v>
      </c>
      <c r="H424" s="97">
        <v>238.67</v>
      </c>
      <c r="I424" s="99">
        <f t="shared" si="6"/>
        <v>8.2375802636025508E-3</v>
      </c>
      <c r="J424" s="91"/>
      <c r="K424" s="91"/>
    </row>
    <row r="425" spans="1:11" ht="16">
      <c r="A425" s="161">
        <v>41291</v>
      </c>
      <c r="B425" s="94">
        <v>4.1399999999999997</v>
      </c>
      <c r="G425" s="96">
        <v>41298</v>
      </c>
      <c r="H425" s="97">
        <v>239.48</v>
      </c>
      <c r="I425" s="99">
        <f t="shared" si="6"/>
        <v>3.3938073490593634E-3</v>
      </c>
      <c r="J425" s="91"/>
      <c r="K425" s="91"/>
    </row>
    <row r="426" spans="1:11" ht="16">
      <c r="A426" s="161">
        <v>41292</v>
      </c>
      <c r="B426" s="94">
        <v>4.2</v>
      </c>
      <c r="G426" s="96">
        <v>41299</v>
      </c>
      <c r="H426" s="97">
        <v>240.14</v>
      </c>
      <c r="I426" s="99">
        <f t="shared" si="6"/>
        <v>2.7559712710873985E-3</v>
      </c>
      <c r="J426" s="91"/>
      <c r="K426" s="91"/>
    </row>
    <row r="427" spans="1:11" ht="16">
      <c r="A427" s="161">
        <v>41293</v>
      </c>
      <c r="B427" s="94">
        <v>4.21</v>
      </c>
      <c r="G427" s="96">
        <v>41300</v>
      </c>
      <c r="H427" s="97">
        <v>240.07</v>
      </c>
      <c r="I427" s="99">
        <f t="shared" si="6"/>
        <v>-2.9149662696759115E-4</v>
      </c>
      <c r="J427" s="91"/>
      <c r="K427" s="91"/>
    </row>
    <row r="428" spans="1:11" ht="16">
      <c r="A428" s="161">
        <v>41296</v>
      </c>
      <c r="B428" s="94">
        <v>4.17</v>
      </c>
      <c r="G428" s="96">
        <v>41303</v>
      </c>
      <c r="H428" s="97">
        <v>239.29</v>
      </c>
      <c r="I428" s="99">
        <f t="shared" si="6"/>
        <v>-3.2490523597283882E-3</v>
      </c>
      <c r="J428" s="91"/>
      <c r="K428" s="91"/>
    </row>
    <row r="429" spans="1:11" ht="16">
      <c r="A429" s="161">
        <v>41297</v>
      </c>
      <c r="B429" s="94">
        <v>4.1500000000000004</v>
      </c>
      <c r="G429" s="96">
        <v>41304</v>
      </c>
      <c r="H429" s="97">
        <v>238.78</v>
      </c>
      <c r="I429" s="99">
        <f t="shared" si="6"/>
        <v>-2.1313051109531633E-3</v>
      </c>
      <c r="J429" s="91"/>
      <c r="K429" s="91"/>
    </row>
    <row r="430" spans="1:11" ht="16">
      <c r="A430" s="161">
        <v>41298</v>
      </c>
      <c r="B430" s="94">
        <v>4.18</v>
      </c>
      <c r="G430" s="96">
        <v>41305</v>
      </c>
      <c r="H430" s="97">
        <v>239.76</v>
      </c>
      <c r="I430" s="99">
        <f t="shared" si="6"/>
        <v>4.1041963313510621E-3</v>
      </c>
      <c r="J430" s="91"/>
      <c r="K430" s="91"/>
    </row>
    <row r="431" spans="1:11" ht="16">
      <c r="A431" s="161">
        <v>41299</v>
      </c>
      <c r="B431" s="94">
        <v>4.18</v>
      </c>
      <c r="G431" s="96">
        <v>41306</v>
      </c>
      <c r="H431" s="97">
        <v>240.41</v>
      </c>
      <c r="I431" s="99">
        <f t="shared" si="6"/>
        <v>2.7110443777109694E-3</v>
      </c>
      <c r="J431" s="91"/>
      <c r="K431" s="91"/>
    </row>
    <row r="432" spans="1:11" ht="16">
      <c r="A432" s="161">
        <v>41300</v>
      </c>
      <c r="B432" s="94">
        <v>4.16</v>
      </c>
      <c r="G432" s="96">
        <v>41307</v>
      </c>
      <c r="H432" s="97">
        <v>241.59</v>
      </c>
      <c r="I432" s="99">
        <f t="shared" si="6"/>
        <v>4.9082816854539857E-3</v>
      </c>
      <c r="J432" s="91"/>
      <c r="K432" s="91"/>
    </row>
    <row r="433" spans="1:11" ht="16">
      <c r="A433" s="161">
        <v>41303</v>
      </c>
      <c r="B433" s="94">
        <v>4.1500000000000004</v>
      </c>
      <c r="G433" s="96">
        <v>41310</v>
      </c>
      <c r="H433" s="97">
        <v>242.39</v>
      </c>
      <c r="I433" s="99">
        <f t="shared" si="6"/>
        <v>3.3113953392109874E-3</v>
      </c>
      <c r="J433" s="91"/>
      <c r="K433" s="91"/>
    </row>
    <row r="434" spans="1:11" ht="16">
      <c r="A434" s="161">
        <v>41304</v>
      </c>
      <c r="B434" s="94">
        <v>4.17</v>
      </c>
      <c r="G434" s="96">
        <v>41311</v>
      </c>
      <c r="H434" s="97">
        <v>241.88</v>
      </c>
      <c r="I434" s="99">
        <f t="shared" si="6"/>
        <v>-2.1040471966664587E-3</v>
      </c>
      <c r="J434" s="91"/>
      <c r="K434" s="91"/>
    </row>
    <row r="435" spans="1:11" ht="16">
      <c r="A435" s="161">
        <v>41305</v>
      </c>
      <c r="B435" s="94">
        <v>4.16</v>
      </c>
      <c r="G435" s="96">
        <v>41312</v>
      </c>
      <c r="H435" s="97">
        <v>242.82</v>
      </c>
      <c r="I435" s="99">
        <f t="shared" si="6"/>
        <v>3.8862245741690948E-3</v>
      </c>
      <c r="J435" s="91"/>
      <c r="K435" s="91"/>
    </row>
    <row r="436" spans="1:11" ht="16">
      <c r="A436" s="161">
        <v>41306</v>
      </c>
      <c r="B436" s="94">
        <v>4.1399999999999997</v>
      </c>
      <c r="G436" s="96">
        <v>41313</v>
      </c>
      <c r="H436" s="97">
        <v>244.01</v>
      </c>
      <c r="I436" s="99">
        <f t="shared" si="6"/>
        <v>4.9007495263981848E-3</v>
      </c>
      <c r="J436" s="91"/>
      <c r="K436" s="91"/>
    </row>
    <row r="437" spans="1:11" ht="16">
      <c r="A437" s="161">
        <v>41307</v>
      </c>
      <c r="B437" s="94">
        <v>4.13</v>
      </c>
      <c r="G437" s="96">
        <v>41314</v>
      </c>
      <c r="H437" s="97">
        <v>245.32</v>
      </c>
      <c r="I437" s="99">
        <f t="shared" si="6"/>
        <v>5.3686324330970425E-3</v>
      </c>
      <c r="J437" s="91"/>
      <c r="K437" s="91"/>
    </row>
    <row r="438" spans="1:11" ht="16">
      <c r="A438" s="161">
        <v>41310</v>
      </c>
      <c r="B438" s="94">
        <v>4.0999999999999996</v>
      </c>
      <c r="G438" s="96">
        <v>41317</v>
      </c>
      <c r="H438" s="97">
        <v>246.93</v>
      </c>
      <c r="I438" s="99">
        <f t="shared" si="6"/>
        <v>6.5628566769933006E-3</v>
      </c>
      <c r="J438" s="91"/>
      <c r="K438" s="91"/>
    </row>
    <row r="439" spans="1:11" ht="16">
      <c r="A439" s="161">
        <v>41311</v>
      </c>
      <c r="B439" s="94">
        <v>4.09</v>
      </c>
      <c r="G439" s="96">
        <v>41318</v>
      </c>
      <c r="H439" s="97">
        <v>246.33</v>
      </c>
      <c r="I439" s="99">
        <f t="shared" si="6"/>
        <v>-2.429838415745289E-3</v>
      </c>
      <c r="J439" s="91"/>
      <c r="K439" s="91"/>
    </row>
    <row r="440" spans="1:11" ht="16">
      <c r="A440" s="161">
        <v>41312</v>
      </c>
      <c r="B440" s="94">
        <v>4.08</v>
      </c>
      <c r="G440" s="96">
        <v>41319</v>
      </c>
      <c r="H440" s="97">
        <v>248.43</v>
      </c>
      <c r="I440" s="99">
        <f t="shared" si="6"/>
        <v>8.5251491901108256E-3</v>
      </c>
      <c r="J440" s="91"/>
      <c r="K440" s="91"/>
    </row>
    <row r="441" spans="1:11" ht="16">
      <c r="A441" s="161">
        <v>41313</v>
      </c>
      <c r="B441" s="94">
        <v>4.07</v>
      </c>
      <c r="G441" s="96">
        <v>41320</v>
      </c>
      <c r="H441" s="97">
        <v>249.45</v>
      </c>
      <c r="I441" s="99">
        <f t="shared" si="6"/>
        <v>4.105784325564521E-3</v>
      </c>
      <c r="J441" s="91"/>
      <c r="K441" s="91"/>
    </row>
    <row r="442" spans="1:11" ht="16">
      <c r="A442" s="161">
        <v>41314</v>
      </c>
      <c r="B442" s="94">
        <v>4.07</v>
      </c>
      <c r="G442" s="96">
        <v>41321</v>
      </c>
      <c r="H442" s="97">
        <v>247.88</v>
      </c>
      <c r="I442" s="99">
        <f t="shared" si="6"/>
        <v>-6.2938464622168677E-3</v>
      </c>
      <c r="J442" s="91"/>
      <c r="K442" s="91"/>
    </row>
    <row r="443" spans="1:11" ht="16">
      <c r="A443" s="161">
        <v>41317</v>
      </c>
      <c r="B443" s="94">
        <v>4.07</v>
      </c>
      <c r="G443" s="96">
        <v>41324</v>
      </c>
      <c r="H443" s="97">
        <v>249.14</v>
      </c>
      <c r="I443" s="99">
        <f t="shared" si="6"/>
        <v>5.0831047280941455E-3</v>
      </c>
      <c r="J443" s="91"/>
      <c r="K443" s="91"/>
    </row>
    <row r="444" spans="1:11" ht="16">
      <c r="A444" s="161">
        <v>41318</v>
      </c>
      <c r="B444" s="94">
        <v>4.0599999999999996</v>
      </c>
      <c r="G444" s="96">
        <v>41325</v>
      </c>
      <c r="H444" s="97">
        <v>249.31</v>
      </c>
      <c r="I444" s="99">
        <f t="shared" si="6"/>
        <v>6.8234727462468392E-4</v>
      </c>
      <c r="J444" s="91"/>
      <c r="K444" s="91"/>
    </row>
    <row r="445" spans="1:11" ht="16">
      <c r="A445" s="161">
        <v>41319</v>
      </c>
      <c r="B445" s="94">
        <v>4.08</v>
      </c>
      <c r="G445" s="96">
        <v>41326</v>
      </c>
      <c r="H445" s="97">
        <v>250.61</v>
      </c>
      <c r="I445" s="99">
        <f t="shared" si="6"/>
        <v>5.2143917211504576E-3</v>
      </c>
      <c r="J445" s="91"/>
      <c r="K445" s="91"/>
    </row>
    <row r="446" spans="1:11" ht="16">
      <c r="A446" s="161">
        <v>41320</v>
      </c>
      <c r="B446" s="94">
        <v>4.07</v>
      </c>
      <c r="G446" s="96">
        <v>41327</v>
      </c>
      <c r="H446" s="97">
        <v>250.88</v>
      </c>
      <c r="I446" s="99">
        <f t="shared" si="6"/>
        <v>1.0773712142371217E-3</v>
      </c>
      <c r="J446" s="91"/>
      <c r="K446" s="91"/>
    </row>
    <row r="447" spans="1:11" ht="16">
      <c r="A447" s="161">
        <v>41321</v>
      </c>
      <c r="B447" s="94">
        <v>4.0599999999999996</v>
      </c>
      <c r="G447" s="96">
        <v>41328</v>
      </c>
      <c r="H447" s="97">
        <v>248.65</v>
      </c>
      <c r="I447" s="99">
        <f t="shared" si="6"/>
        <v>-8.8887117346938549E-3</v>
      </c>
      <c r="J447" s="91"/>
      <c r="K447" s="91"/>
    </row>
    <row r="448" spans="1:11" ht="16">
      <c r="A448" s="161">
        <v>41324</v>
      </c>
      <c r="B448" s="94">
        <v>4.0599999999999996</v>
      </c>
      <c r="G448" s="96">
        <v>41331</v>
      </c>
      <c r="H448" s="97">
        <v>248.09</v>
      </c>
      <c r="I448" s="99">
        <f t="shared" si="6"/>
        <v>-2.2521616730344363E-3</v>
      </c>
      <c r="J448" s="91"/>
      <c r="K448" s="91"/>
    </row>
    <row r="449" spans="1:11" ht="16">
      <c r="A449" s="161">
        <v>41325</v>
      </c>
      <c r="B449" s="94">
        <v>4.04</v>
      </c>
      <c r="G449" s="96">
        <v>41332</v>
      </c>
      <c r="H449" s="97">
        <v>246.83</v>
      </c>
      <c r="I449" s="99">
        <f t="shared" si="6"/>
        <v>-5.0788020476439932E-3</v>
      </c>
      <c r="J449" s="91"/>
      <c r="K449" s="91"/>
    </row>
    <row r="450" spans="1:11" ht="16">
      <c r="A450" s="161">
        <v>41326</v>
      </c>
      <c r="B450" s="94">
        <v>4.0199999999999996</v>
      </c>
      <c r="G450" s="96">
        <v>41333</v>
      </c>
      <c r="H450" s="97">
        <v>247.47</v>
      </c>
      <c r="I450" s="99">
        <f t="shared" si="6"/>
        <v>2.5928776890977723E-3</v>
      </c>
      <c r="J450" s="91"/>
      <c r="K450" s="91"/>
    </row>
    <row r="451" spans="1:11" ht="16">
      <c r="A451" s="161">
        <v>41327</v>
      </c>
      <c r="B451" s="94">
        <v>3.99</v>
      </c>
      <c r="G451" s="96">
        <v>41334</v>
      </c>
      <c r="H451" s="97">
        <v>246.65</v>
      </c>
      <c r="I451" s="99">
        <f t="shared" si="6"/>
        <v>-3.3135329534892399E-3</v>
      </c>
      <c r="J451" s="91"/>
      <c r="K451" s="91"/>
    </row>
    <row r="452" spans="1:11" ht="16">
      <c r="A452" s="161">
        <v>41328</v>
      </c>
      <c r="B452" s="94">
        <v>3.98</v>
      </c>
      <c r="G452" s="96">
        <v>41335</v>
      </c>
      <c r="H452" s="97">
        <v>246.06</v>
      </c>
      <c r="I452" s="99">
        <f t="shared" si="6"/>
        <v>-2.3920535171295665E-3</v>
      </c>
      <c r="J452" s="91"/>
      <c r="K452" s="91"/>
    </row>
    <row r="453" spans="1:11" ht="16">
      <c r="A453" s="161">
        <v>41331</v>
      </c>
      <c r="B453" s="94">
        <v>3.98</v>
      </c>
      <c r="G453" s="96">
        <v>41338</v>
      </c>
      <c r="H453" s="97">
        <v>247.03</v>
      </c>
      <c r="I453" s="99">
        <f t="shared" si="6"/>
        <v>3.9421279362756856E-3</v>
      </c>
      <c r="J453" s="91"/>
      <c r="K453" s="91"/>
    </row>
    <row r="454" spans="1:11" ht="16">
      <c r="A454" s="161">
        <v>41332</v>
      </c>
      <c r="B454" s="94">
        <v>4.01</v>
      </c>
      <c r="G454" s="96">
        <v>41339</v>
      </c>
      <c r="H454" s="97">
        <v>247.14</v>
      </c>
      <c r="I454" s="99">
        <f t="shared" si="6"/>
        <v>4.4529004574345166E-4</v>
      </c>
      <c r="J454" s="91"/>
      <c r="K454" s="91"/>
    </row>
    <row r="455" spans="1:11" ht="16">
      <c r="A455" s="161">
        <v>41333</v>
      </c>
      <c r="B455" s="94">
        <v>4.0599999999999996</v>
      </c>
      <c r="G455" s="96">
        <v>41340</v>
      </c>
      <c r="H455" s="97">
        <v>246.48</v>
      </c>
      <c r="I455" s="99">
        <f t="shared" si="6"/>
        <v>-2.6705511046369868E-3</v>
      </c>
      <c r="J455" s="91"/>
      <c r="K455" s="91"/>
    </row>
    <row r="456" spans="1:11" ht="16">
      <c r="A456" s="161">
        <v>41334</v>
      </c>
      <c r="B456" s="94">
        <v>4.09</v>
      </c>
      <c r="G456" s="96">
        <v>41341</v>
      </c>
      <c r="H456" s="97">
        <v>243.6</v>
      </c>
      <c r="I456" s="99">
        <f t="shared" si="6"/>
        <v>-1.1684518013631906E-2</v>
      </c>
      <c r="J456" s="91"/>
      <c r="K456" s="91"/>
    </row>
    <row r="457" spans="1:11" ht="16">
      <c r="A457" s="161">
        <v>41335</v>
      </c>
      <c r="B457" s="94">
        <v>4.09</v>
      </c>
      <c r="G457" s="96">
        <v>41342</v>
      </c>
      <c r="H457" s="97">
        <v>244.26</v>
      </c>
      <c r="I457" s="99">
        <f t="shared" si="6"/>
        <v>2.7093596059113434E-3</v>
      </c>
      <c r="J457" s="91"/>
      <c r="K457" s="91"/>
    </row>
    <row r="458" spans="1:11" ht="16">
      <c r="A458" s="161">
        <v>41338</v>
      </c>
      <c r="B458" s="94">
        <v>4.08</v>
      </c>
      <c r="G458" s="96">
        <v>41345</v>
      </c>
      <c r="H458" s="97">
        <v>246.84</v>
      </c>
      <c r="I458" s="99">
        <f t="shared" si="6"/>
        <v>1.0562515352493307E-2</v>
      </c>
      <c r="J458" s="91"/>
      <c r="K458" s="91"/>
    </row>
    <row r="459" spans="1:11" ht="16">
      <c r="A459" s="161">
        <v>41339</v>
      </c>
      <c r="B459" s="94">
        <v>4.09</v>
      </c>
      <c r="G459" s="96">
        <v>41346</v>
      </c>
      <c r="H459" s="97">
        <v>247.2</v>
      </c>
      <c r="I459" s="99">
        <f t="shared" si="6"/>
        <v>1.4584346135146919E-3</v>
      </c>
      <c r="J459" s="91"/>
      <c r="K459" s="91"/>
    </row>
    <row r="460" spans="1:11" ht="16">
      <c r="A460" s="161">
        <v>41340</v>
      </c>
      <c r="B460" s="94">
        <v>4.1399999999999997</v>
      </c>
      <c r="G460" s="96">
        <v>41347</v>
      </c>
      <c r="H460" s="97">
        <v>248.18</v>
      </c>
      <c r="I460" s="99">
        <f t="shared" si="6"/>
        <v>3.9644012944983764E-3</v>
      </c>
      <c r="J460" s="91"/>
      <c r="K460" s="91"/>
    </row>
    <row r="461" spans="1:11" ht="16">
      <c r="A461" s="161">
        <v>41341</v>
      </c>
      <c r="B461" s="94">
        <v>4.21</v>
      </c>
      <c r="G461" s="96">
        <v>41348</v>
      </c>
      <c r="H461" s="97">
        <v>253.13</v>
      </c>
      <c r="I461" s="99">
        <f t="shared" si="6"/>
        <v>1.9945201063743978E-2</v>
      </c>
      <c r="J461" s="91"/>
      <c r="K461" s="91"/>
    </row>
    <row r="462" spans="1:11" ht="16">
      <c r="A462" s="161">
        <v>41342</v>
      </c>
      <c r="B462" s="94">
        <v>4.2</v>
      </c>
      <c r="G462" s="96">
        <v>41349</v>
      </c>
      <c r="H462" s="97">
        <v>253.52</v>
      </c>
      <c r="I462" s="99">
        <f t="shared" si="6"/>
        <v>1.540710306956905E-3</v>
      </c>
      <c r="J462" s="91"/>
      <c r="K462" s="91"/>
    </row>
    <row r="463" spans="1:11" ht="16">
      <c r="A463" s="161">
        <v>41345</v>
      </c>
      <c r="B463" s="94">
        <v>4.2</v>
      </c>
      <c r="G463" s="96">
        <v>41352</v>
      </c>
      <c r="H463" s="97">
        <v>255.07</v>
      </c>
      <c r="I463" s="99">
        <f t="shared" ref="I463:I526" si="7">H463/H462-1</f>
        <v>6.1139160618490784E-3</v>
      </c>
      <c r="J463" s="91"/>
      <c r="K463" s="91"/>
    </row>
    <row r="464" spans="1:11" ht="16">
      <c r="A464" s="161">
        <v>41346</v>
      </c>
      <c r="B464" s="94">
        <v>4.2300000000000004</v>
      </c>
      <c r="G464" s="96">
        <v>41353</v>
      </c>
      <c r="H464" s="97">
        <v>254.72</v>
      </c>
      <c r="I464" s="99">
        <f t="shared" si="7"/>
        <v>-1.372172344846545E-3</v>
      </c>
      <c r="J464" s="91"/>
      <c r="K464" s="91"/>
    </row>
    <row r="465" spans="1:11" ht="16">
      <c r="A465" s="161">
        <v>41347</v>
      </c>
      <c r="B465" s="94">
        <v>4.2</v>
      </c>
      <c r="G465" s="96">
        <v>41354</v>
      </c>
      <c r="H465" s="97">
        <v>253.22</v>
      </c>
      <c r="I465" s="99">
        <f t="shared" si="7"/>
        <v>-5.8888190954773378E-3</v>
      </c>
      <c r="J465" s="91"/>
      <c r="K465" s="91"/>
    </row>
    <row r="466" spans="1:11" ht="16">
      <c r="A466" s="161">
        <v>41348</v>
      </c>
      <c r="B466" s="94">
        <v>4.1399999999999997</v>
      </c>
      <c r="G466" s="96">
        <v>41355</v>
      </c>
      <c r="H466" s="97">
        <v>253.65</v>
      </c>
      <c r="I466" s="99">
        <f t="shared" si="7"/>
        <v>1.6981281099439638E-3</v>
      </c>
      <c r="J466" s="91"/>
      <c r="K466" s="91"/>
    </row>
    <row r="467" spans="1:11" ht="16">
      <c r="A467" s="161">
        <v>41349</v>
      </c>
      <c r="B467" s="94">
        <v>4.13</v>
      </c>
      <c r="G467" s="96">
        <v>41356</v>
      </c>
      <c r="H467" s="97">
        <v>254.15</v>
      </c>
      <c r="I467" s="99">
        <f t="shared" si="7"/>
        <v>1.9712201852946087E-3</v>
      </c>
      <c r="J467" s="91"/>
      <c r="K467" s="91"/>
    </row>
    <row r="468" spans="1:11" ht="16">
      <c r="A468" s="161">
        <v>41352</v>
      </c>
      <c r="B468" s="94">
        <v>4.12</v>
      </c>
      <c r="G468" s="96">
        <v>41359</v>
      </c>
      <c r="H468" s="97">
        <v>252.92</v>
      </c>
      <c r="I468" s="99">
        <f t="shared" si="7"/>
        <v>-4.8396616171553219E-3</v>
      </c>
      <c r="J468" s="91"/>
      <c r="K468" s="91"/>
    </row>
    <row r="469" spans="1:11" ht="16">
      <c r="A469" s="161">
        <v>41353</v>
      </c>
      <c r="B469" s="94">
        <v>4.0999999999999996</v>
      </c>
      <c r="G469" s="96">
        <v>41360</v>
      </c>
      <c r="H469" s="97">
        <v>254.12</v>
      </c>
      <c r="I469" s="99">
        <f t="shared" si="7"/>
        <v>4.7445832674364308E-3</v>
      </c>
      <c r="J469" s="91"/>
      <c r="K469" s="91"/>
    </row>
    <row r="470" spans="1:11" ht="16">
      <c r="A470" s="161">
        <v>41354</v>
      </c>
      <c r="B470" s="94">
        <v>4.08</v>
      </c>
      <c r="G470" s="96">
        <v>41361</v>
      </c>
      <c r="H470" s="97">
        <v>254.5</v>
      </c>
      <c r="I470" s="99">
        <f t="shared" si="7"/>
        <v>1.495356524476632E-3</v>
      </c>
      <c r="J470" s="91"/>
      <c r="K470" s="91"/>
    </row>
    <row r="471" spans="1:11" ht="16">
      <c r="A471" s="161">
        <v>41355</v>
      </c>
      <c r="B471" s="94">
        <v>4.12</v>
      </c>
      <c r="G471" s="96">
        <v>41362</v>
      </c>
      <c r="H471" s="97">
        <v>254.18</v>
      </c>
      <c r="I471" s="99">
        <f t="shared" si="7"/>
        <v>-1.2573673870334146E-3</v>
      </c>
      <c r="J471" s="91"/>
      <c r="K471" s="91"/>
    </row>
    <row r="472" spans="1:11" ht="16">
      <c r="A472" s="161">
        <v>41356</v>
      </c>
      <c r="B472" s="94">
        <v>4.1100000000000003</v>
      </c>
      <c r="G472" s="96">
        <v>41363</v>
      </c>
      <c r="H472" s="97">
        <v>251.6</v>
      </c>
      <c r="I472" s="99">
        <f t="shared" si="7"/>
        <v>-1.0150287198048669E-2</v>
      </c>
      <c r="J472" s="91"/>
      <c r="K472" s="91"/>
    </row>
    <row r="473" spans="1:11" ht="16">
      <c r="A473" s="161">
        <v>41359</v>
      </c>
      <c r="B473" s="94">
        <v>4.08</v>
      </c>
      <c r="G473" s="96">
        <v>41366</v>
      </c>
      <c r="H473" s="97">
        <v>253.29</v>
      </c>
      <c r="I473" s="99">
        <f t="shared" si="7"/>
        <v>6.7170111287757628E-3</v>
      </c>
      <c r="J473" s="91"/>
      <c r="K473" s="91"/>
    </row>
    <row r="474" spans="1:11" ht="16">
      <c r="A474" s="161">
        <v>41360</v>
      </c>
      <c r="B474" s="94">
        <v>4.08</v>
      </c>
      <c r="G474" s="96">
        <v>41367</v>
      </c>
      <c r="H474" s="97">
        <v>253.62</v>
      </c>
      <c r="I474" s="99">
        <f t="shared" si="7"/>
        <v>1.3028544356272764E-3</v>
      </c>
      <c r="J474" s="91"/>
      <c r="K474" s="91"/>
    </row>
    <row r="475" spans="1:11" ht="16">
      <c r="A475" s="161">
        <v>41361</v>
      </c>
      <c r="B475" s="94">
        <v>4.08</v>
      </c>
      <c r="G475" s="96">
        <v>41368</v>
      </c>
      <c r="H475" s="97">
        <v>254.92</v>
      </c>
      <c r="I475" s="99">
        <f t="shared" si="7"/>
        <v>5.1257787240752695E-3</v>
      </c>
      <c r="J475" s="91"/>
      <c r="K475" s="91"/>
    </row>
    <row r="476" spans="1:11" ht="16">
      <c r="A476" s="161">
        <v>41362</v>
      </c>
      <c r="B476" s="94">
        <v>4.07</v>
      </c>
      <c r="G476" s="96">
        <v>41369</v>
      </c>
      <c r="H476" s="97">
        <v>253.83</v>
      </c>
      <c r="I476" s="99">
        <f t="shared" si="7"/>
        <v>-4.2758512474501131E-3</v>
      </c>
      <c r="J476" s="91"/>
      <c r="K476" s="91"/>
    </row>
    <row r="477" spans="1:11" ht="16">
      <c r="A477" s="161">
        <v>41363</v>
      </c>
      <c r="B477" s="94">
        <v>4.12</v>
      </c>
      <c r="G477" s="96">
        <v>41370</v>
      </c>
      <c r="H477" s="97">
        <v>253.47</v>
      </c>
      <c r="I477" s="99">
        <f t="shared" si="7"/>
        <v>-1.4182720718591835E-3</v>
      </c>
      <c r="J477" s="91"/>
      <c r="K477" s="91"/>
    </row>
    <row r="478" spans="1:11" ht="16">
      <c r="A478" s="161">
        <v>41366</v>
      </c>
      <c r="B478" s="94">
        <v>4.0999999999999996</v>
      </c>
      <c r="G478" s="96">
        <v>41373</v>
      </c>
      <c r="H478" s="97">
        <v>252.94</v>
      </c>
      <c r="I478" s="99">
        <f t="shared" si="7"/>
        <v>-2.0909772359648526E-3</v>
      </c>
      <c r="J478" s="91"/>
      <c r="K478" s="91"/>
    </row>
    <row r="479" spans="1:11" ht="16">
      <c r="A479" s="161">
        <v>41367</v>
      </c>
      <c r="B479" s="94">
        <v>4.08</v>
      </c>
      <c r="G479" s="96">
        <v>41374</v>
      </c>
      <c r="H479" s="97">
        <v>252.35</v>
      </c>
      <c r="I479" s="99">
        <f t="shared" si="7"/>
        <v>-2.3325689886929402E-3</v>
      </c>
      <c r="J479" s="91"/>
      <c r="K479" s="91"/>
    </row>
    <row r="480" spans="1:11" ht="16">
      <c r="A480" s="161">
        <v>41368</v>
      </c>
      <c r="B480" s="94">
        <v>4.08</v>
      </c>
      <c r="G480" s="96">
        <v>41375</v>
      </c>
      <c r="H480" s="97">
        <v>253.04</v>
      </c>
      <c r="I480" s="99">
        <f t="shared" si="7"/>
        <v>2.7342976025361843E-3</v>
      </c>
      <c r="J480" s="91"/>
      <c r="K480" s="91"/>
    </row>
    <row r="481" spans="1:11" ht="16">
      <c r="A481" s="161">
        <v>41369</v>
      </c>
      <c r="B481" s="94">
        <v>4.07</v>
      </c>
      <c r="G481" s="96">
        <v>41376</v>
      </c>
      <c r="H481" s="97">
        <v>253.64</v>
      </c>
      <c r="I481" s="99">
        <f t="shared" si="7"/>
        <v>2.3711666139740739E-3</v>
      </c>
      <c r="J481" s="91"/>
      <c r="K481" s="91"/>
    </row>
    <row r="482" spans="1:11" ht="16">
      <c r="A482" s="161">
        <v>41370</v>
      </c>
      <c r="B482" s="94">
        <v>4.07</v>
      </c>
      <c r="G482" s="96">
        <v>41377</v>
      </c>
      <c r="H482" s="97">
        <v>253.06</v>
      </c>
      <c r="I482" s="99">
        <f t="shared" si="7"/>
        <v>-2.286705566945213E-3</v>
      </c>
      <c r="J482" s="91"/>
      <c r="K482" s="91"/>
    </row>
    <row r="483" spans="1:11" ht="16">
      <c r="A483" s="161">
        <v>41373</v>
      </c>
      <c r="B483" s="94">
        <v>4.08</v>
      </c>
      <c r="G483" s="96">
        <v>41380</v>
      </c>
      <c r="H483" s="97">
        <v>253.89</v>
      </c>
      <c r="I483" s="99">
        <f t="shared" si="7"/>
        <v>3.2798545799415102E-3</v>
      </c>
      <c r="J483" s="91"/>
      <c r="K483" s="91"/>
    </row>
    <row r="484" spans="1:11" ht="16">
      <c r="A484" s="161">
        <v>41374</v>
      </c>
      <c r="B484" s="94">
        <v>4.0599999999999996</v>
      </c>
      <c r="G484" s="96">
        <v>41381</v>
      </c>
      <c r="H484" s="97">
        <v>252.55</v>
      </c>
      <c r="I484" s="99">
        <f t="shared" si="7"/>
        <v>-5.2778762456180406E-3</v>
      </c>
      <c r="J484" s="91"/>
      <c r="K484" s="91"/>
    </row>
    <row r="485" spans="1:11" ht="16">
      <c r="A485" s="161">
        <v>41375</v>
      </c>
      <c r="B485" s="94">
        <v>4.05</v>
      </c>
      <c r="G485" s="96">
        <v>41382</v>
      </c>
      <c r="H485" s="97">
        <v>251.38</v>
      </c>
      <c r="I485" s="99">
        <f t="shared" si="7"/>
        <v>-4.6327459908929169E-3</v>
      </c>
      <c r="J485" s="91"/>
      <c r="K485" s="91"/>
    </row>
    <row r="486" spans="1:11" ht="16">
      <c r="A486" s="161">
        <v>41376</v>
      </c>
      <c r="B486" s="94">
        <v>4.0199999999999996</v>
      </c>
      <c r="G486" s="96">
        <v>41383</v>
      </c>
      <c r="H486" s="97">
        <v>252.69</v>
      </c>
      <c r="I486" s="99">
        <f t="shared" si="7"/>
        <v>5.2112339883840786E-3</v>
      </c>
      <c r="J486" s="91"/>
      <c r="K486" s="91"/>
    </row>
    <row r="487" spans="1:11" ht="16">
      <c r="A487" s="161">
        <v>41377</v>
      </c>
      <c r="B487" s="195">
        <v>4.0199999999999996</v>
      </c>
      <c r="G487" s="96">
        <v>41384</v>
      </c>
      <c r="H487" s="97">
        <v>253.13</v>
      </c>
      <c r="I487" s="99">
        <f t="shared" si="7"/>
        <v>1.7412639993668044E-3</v>
      </c>
      <c r="J487" s="91"/>
      <c r="K487" s="91"/>
    </row>
    <row r="488" spans="1:11" ht="16">
      <c r="A488" s="161">
        <v>41380</v>
      </c>
      <c r="B488" s="94">
        <v>4</v>
      </c>
      <c r="G488" s="96">
        <v>41387</v>
      </c>
      <c r="H488" s="97">
        <v>255.3</v>
      </c>
      <c r="I488" s="99">
        <f t="shared" si="7"/>
        <v>8.5726701694781582E-3</v>
      </c>
      <c r="J488" s="91"/>
      <c r="K488" s="91"/>
    </row>
    <row r="489" spans="1:11" ht="16">
      <c r="A489" s="161">
        <v>41381</v>
      </c>
      <c r="B489" s="94">
        <v>4</v>
      </c>
      <c r="G489" s="96">
        <v>41388</v>
      </c>
      <c r="H489" s="97">
        <v>257.85000000000002</v>
      </c>
      <c r="I489" s="99">
        <f t="shared" si="7"/>
        <v>9.9882491186840117E-3</v>
      </c>
      <c r="J489" s="91"/>
      <c r="K489" s="91"/>
    </row>
    <row r="490" spans="1:11" ht="16">
      <c r="A490" s="161">
        <v>41382</v>
      </c>
      <c r="B490" s="94">
        <v>4.01</v>
      </c>
      <c r="G490" s="96">
        <v>41389</v>
      </c>
      <c r="H490" s="97">
        <v>257.64</v>
      </c>
      <c r="I490" s="99">
        <f t="shared" si="7"/>
        <v>-8.144269924376113E-4</v>
      </c>
      <c r="J490" s="91"/>
      <c r="K490" s="91"/>
    </row>
    <row r="491" spans="1:11" ht="16">
      <c r="A491" s="161">
        <v>41383</v>
      </c>
      <c r="B491" s="94">
        <v>4.0199999999999996</v>
      </c>
      <c r="G491" s="96">
        <v>41390</v>
      </c>
      <c r="H491" s="97">
        <v>256.94</v>
      </c>
      <c r="I491" s="99">
        <f t="shared" si="7"/>
        <v>-2.7169694146871315E-3</v>
      </c>
      <c r="J491" s="91"/>
      <c r="K491" s="91"/>
    </row>
    <row r="492" spans="1:11" ht="16">
      <c r="A492" s="161">
        <v>41384</v>
      </c>
      <c r="B492" s="94">
        <v>4</v>
      </c>
      <c r="G492" s="96">
        <v>41391</v>
      </c>
      <c r="H492" s="97">
        <v>256.82</v>
      </c>
      <c r="I492" s="99">
        <f t="shared" si="7"/>
        <v>-4.6703510547208005E-4</v>
      </c>
      <c r="J492" s="91"/>
      <c r="K492" s="91"/>
    </row>
    <row r="493" spans="1:11" ht="16">
      <c r="A493" s="161">
        <v>41387</v>
      </c>
      <c r="B493" s="94">
        <v>4.01</v>
      </c>
      <c r="G493" s="96">
        <v>41394</v>
      </c>
      <c r="H493" s="97">
        <v>257.31</v>
      </c>
      <c r="I493" s="99">
        <f t="shared" si="7"/>
        <v>1.9079510941515387E-3</v>
      </c>
      <c r="J493" s="91"/>
      <c r="K493" s="91"/>
    </row>
    <row r="494" spans="1:11" ht="16">
      <c r="A494" s="161">
        <v>41388</v>
      </c>
      <c r="B494" s="94">
        <v>4.01</v>
      </c>
      <c r="G494" s="96">
        <v>41395</v>
      </c>
      <c r="H494" s="97">
        <v>259.01</v>
      </c>
      <c r="I494" s="99">
        <f t="shared" si="7"/>
        <v>6.6068166802688566E-3</v>
      </c>
      <c r="J494" s="91"/>
      <c r="K494" s="91"/>
    </row>
    <row r="495" spans="1:11" ht="16">
      <c r="A495" s="161">
        <v>41389</v>
      </c>
      <c r="B495" s="94">
        <v>4.0199999999999996</v>
      </c>
      <c r="G495" s="96">
        <v>41396</v>
      </c>
      <c r="H495" s="97">
        <v>258.26</v>
      </c>
      <c r="I495" s="99">
        <f t="shared" si="7"/>
        <v>-2.8956410949384503E-3</v>
      </c>
      <c r="J495" s="91"/>
      <c r="K495" s="91"/>
    </row>
    <row r="496" spans="1:11" ht="16">
      <c r="A496" s="161">
        <v>41390</v>
      </c>
      <c r="B496" s="94">
        <v>4.01</v>
      </c>
      <c r="G496" s="96">
        <v>41397</v>
      </c>
      <c r="H496" s="97">
        <v>256.39999999999998</v>
      </c>
      <c r="I496" s="99">
        <f t="shared" si="7"/>
        <v>-7.2020444513282156E-3</v>
      </c>
      <c r="J496" s="91"/>
      <c r="K496" s="91"/>
    </row>
    <row r="497" spans="1:11" ht="16">
      <c r="A497" s="161">
        <v>41391</v>
      </c>
      <c r="B497" s="94">
        <v>4</v>
      </c>
      <c r="G497" s="96">
        <v>41398</v>
      </c>
      <c r="H497" s="97">
        <v>255.71</v>
      </c>
      <c r="I497" s="99">
        <f t="shared" si="7"/>
        <v>-2.6911076443056903E-3</v>
      </c>
      <c r="J497" s="91"/>
      <c r="K497" s="91"/>
    </row>
    <row r="498" spans="1:11" ht="16">
      <c r="A498" s="161">
        <v>41393</v>
      </c>
      <c r="B498" s="94">
        <v>4</v>
      </c>
      <c r="G498" s="96">
        <v>41401</v>
      </c>
      <c r="H498" s="97">
        <v>256.45</v>
      </c>
      <c r="I498" s="99">
        <f t="shared" si="7"/>
        <v>2.8939032497750095E-3</v>
      </c>
      <c r="J498" s="91"/>
      <c r="K498" s="91"/>
    </row>
    <row r="499" spans="1:11" ht="16">
      <c r="A499" s="161">
        <v>41394</v>
      </c>
      <c r="B499" s="94">
        <v>4.01</v>
      </c>
      <c r="G499" s="96">
        <v>41402</v>
      </c>
      <c r="H499" s="97">
        <v>257.70999999999998</v>
      </c>
      <c r="I499" s="99">
        <f t="shared" si="7"/>
        <v>4.9132384480405911E-3</v>
      </c>
      <c r="J499" s="91"/>
      <c r="K499" s="91"/>
    </row>
    <row r="500" spans="1:11" ht="16">
      <c r="A500" s="161">
        <v>41395</v>
      </c>
      <c r="B500" s="94">
        <v>4</v>
      </c>
      <c r="G500" s="96">
        <v>41403</v>
      </c>
      <c r="H500" s="97">
        <v>259.64999999999998</v>
      </c>
      <c r="I500" s="99">
        <f t="shared" si="7"/>
        <v>7.5278413720849535E-3</v>
      </c>
      <c r="J500" s="91"/>
      <c r="K500" s="91"/>
    </row>
    <row r="501" spans="1:11" ht="16">
      <c r="A501" s="161">
        <v>41396</v>
      </c>
      <c r="B501" s="94">
        <v>3.99</v>
      </c>
      <c r="G501" s="96">
        <v>41404</v>
      </c>
      <c r="H501" s="97">
        <v>260.27999999999997</v>
      </c>
      <c r="I501" s="99">
        <f t="shared" si="7"/>
        <v>2.4263431542461689E-3</v>
      </c>
      <c r="J501" s="91"/>
      <c r="K501" s="91"/>
    </row>
    <row r="502" spans="1:11" ht="16">
      <c r="A502" s="161">
        <v>41397</v>
      </c>
      <c r="B502" s="94">
        <v>4.01</v>
      </c>
      <c r="G502" s="96">
        <v>41405</v>
      </c>
      <c r="H502" s="97">
        <v>260.95</v>
      </c>
      <c r="I502" s="99">
        <f t="shared" si="7"/>
        <v>2.5741509143999419E-3</v>
      </c>
      <c r="J502" s="91"/>
      <c r="K502" s="91"/>
    </row>
    <row r="503" spans="1:11" ht="16">
      <c r="A503" s="161">
        <v>41398</v>
      </c>
      <c r="B503" s="94">
        <v>4.03</v>
      </c>
      <c r="G503" s="96">
        <v>41408</v>
      </c>
      <c r="H503" s="97">
        <v>263.10000000000002</v>
      </c>
      <c r="I503" s="99">
        <f t="shared" si="7"/>
        <v>8.2391262694003764E-3</v>
      </c>
      <c r="J503" s="91"/>
      <c r="K503" s="91"/>
    </row>
    <row r="504" spans="1:11" ht="16">
      <c r="A504" s="161">
        <v>41401</v>
      </c>
      <c r="B504" s="94">
        <v>4.0199999999999996</v>
      </c>
      <c r="G504" s="96">
        <v>41409</v>
      </c>
      <c r="H504" s="97">
        <v>264.05</v>
      </c>
      <c r="I504" s="99">
        <f t="shared" si="7"/>
        <v>3.610794374762305E-3</v>
      </c>
      <c r="J504" s="91"/>
      <c r="K504" s="91"/>
    </row>
    <row r="505" spans="1:11" ht="16">
      <c r="A505" s="161">
        <v>41402</v>
      </c>
      <c r="B505" s="94">
        <v>4.03</v>
      </c>
      <c r="G505" s="96">
        <v>41410</v>
      </c>
      <c r="H505" s="97">
        <v>262.31</v>
      </c>
      <c r="I505" s="99">
        <f t="shared" si="7"/>
        <v>-6.5896610490437935E-3</v>
      </c>
      <c r="J505" s="91"/>
      <c r="K505" s="91"/>
    </row>
    <row r="506" spans="1:11" ht="16">
      <c r="A506" s="161">
        <v>41403</v>
      </c>
      <c r="B506" s="94">
        <v>4.0199999999999996</v>
      </c>
      <c r="G506" s="96">
        <v>41411</v>
      </c>
      <c r="H506" s="97">
        <v>256.58</v>
      </c>
      <c r="I506" s="99">
        <f t="shared" si="7"/>
        <v>-2.184438260073962E-2</v>
      </c>
      <c r="J506" s="91"/>
      <c r="K506" s="91"/>
    </row>
    <row r="507" spans="1:11" ht="16">
      <c r="A507" s="161">
        <v>41404</v>
      </c>
      <c r="B507" s="94">
        <v>4.01</v>
      </c>
      <c r="G507" s="96">
        <v>41412</v>
      </c>
      <c r="H507" s="97">
        <v>258.86</v>
      </c>
      <c r="I507" s="99">
        <f t="shared" si="7"/>
        <v>8.8861173902876622E-3</v>
      </c>
      <c r="J507" s="91"/>
      <c r="K507" s="91"/>
    </row>
    <row r="508" spans="1:11" ht="16">
      <c r="A508" s="161">
        <v>41405</v>
      </c>
      <c r="B508" s="94">
        <v>3.98</v>
      </c>
      <c r="G508" s="96">
        <v>41415</v>
      </c>
      <c r="H508" s="97">
        <v>260.16000000000003</v>
      </c>
      <c r="I508" s="99">
        <f t="shared" si="7"/>
        <v>5.0220196245074344E-3</v>
      </c>
      <c r="J508" s="91"/>
      <c r="K508" s="91"/>
    </row>
    <row r="509" spans="1:11" ht="16">
      <c r="A509" s="161">
        <v>41408</v>
      </c>
      <c r="B509" s="94">
        <v>3.94</v>
      </c>
      <c r="G509" s="96">
        <v>41416</v>
      </c>
      <c r="H509" s="97">
        <v>260.23</v>
      </c>
      <c r="I509" s="99">
        <f t="shared" si="7"/>
        <v>2.6906519065184042E-4</v>
      </c>
      <c r="J509" s="91"/>
      <c r="K509" s="91"/>
    </row>
    <row r="510" spans="1:11" ht="16">
      <c r="A510" s="161">
        <v>41409</v>
      </c>
      <c r="B510" s="94">
        <v>3.93</v>
      </c>
      <c r="G510" s="96">
        <v>41417</v>
      </c>
      <c r="H510" s="97">
        <v>260.38</v>
      </c>
      <c r="I510" s="99">
        <f t="shared" si="7"/>
        <v>5.7641317296219796E-4</v>
      </c>
      <c r="J510" s="91"/>
      <c r="K510" s="91"/>
    </row>
    <row r="511" spans="1:11" ht="16">
      <c r="A511" s="161">
        <v>41410</v>
      </c>
      <c r="B511" s="94">
        <v>3.91</v>
      </c>
      <c r="G511" s="96">
        <v>41418</v>
      </c>
      <c r="H511" s="97">
        <v>262.36</v>
      </c>
      <c r="I511" s="99">
        <f t="shared" si="7"/>
        <v>7.6042706813119754E-3</v>
      </c>
      <c r="J511" s="91"/>
      <c r="K511" s="91"/>
    </row>
    <row r="512" spans="1:11" ht="16">
      <c r="A512" s="161">
        <v>41411</v>
      </c>
      <c r="B512" s="94">
        <v>3.97</v>
      </c>
      <c r="G512" s="96">
        <v>41419</v>
      </c>
      <c r="H512" s="97">
        <v>263.08999999999997</v>
      </c>
      <c r="I512" s="99">
        <f t="shared" si="7"/>
        <v>2.7824363470039248E-3</v>
      </c>
      <c r="J512" s="91"/>
      <c r="K512" s="91"/>
    </row>
    <row r="513" spans="1:11" ht="16">
      <c r="A513" s="161">
        <v>41412</v>
      </c>
      <c r="B513" s="94">
        <v>3.95</v>
      </c>
      <c r="G513" s="96">
        <v>41422</v>
      </c>
      <c r="H513" s="97">
        <v>262.58</v>
      </c>
      <c r="I513" s="99">
        <f t="shared" si="7"/>
        <v>-1.9385001330343155E-3</v>
      </c>
      <c r="J513" s="91"/>
      <c r="K513" s="91"/>
    </row>
    <row r="514" spans="1:11" ht="16">
      <c r="A514" s="161">
        <v>41415</v>
      </c>
      <c r="B514" s="94">
        <v>3.95</v>
      </c>
      <c r="G514" s="96">
        <v>41423</v>
      </c>
      <c r="H514" s="97">
        <v>262.13</v>
      </c>
      <c r="I514" s="99">
        <f t="shared" si="7"/>
        <v>-1.7137634244801525E-3</v>
      </c>
      <c r="J514" s="91"/>
      <c r="K514" s="91"/>
    </row>
    <row r="515" spans="1:11" ht="16">
      <c r="A515" s="161">
        <v>41416</v>
      </c>
      <c r="B515" s="94">
        <v>3.95</v>
      </c>
      <c r="G515" s="96">
        <v>41424</v>
      </c>
      <c r="H515" s="97">
        <v>260.52</v>
      </c>
      <c r="I515" s="99">
        <f t="shared" si="7"/>
        <v>-6.1419906153435955E-3</v>
      </c>
      <c r="J515" s="91"/>
      <c r="K515" s="91"/>
    </row>
    <row r="516" spans="1:11" ht="16">
      <c r="A516" s="161">
        <v>41417</v>
      </c>
      <c r="B516" s="94">
        <v>3.94</v>
      </c>
      <c r="G516" s="96">
        <v>41425</v>
      </c>
      <c r="H516" s="97">
        <v>261.45</v>
      </c>
      <c r="I516" s="99">
        <f t="shared" si="7"/>
        <v>3.5697835099033348E-3</v>
      </c>
      <c r="J516" s="91"/>
      <c r="K516" s="91"/>
    </row>
    <row r="517" spans="1:11" ht="16">
      <c r="A517" s="161">
        <v>41418</v>
      </c>
      <c r="B517" s="94">
        <v>3.92</v>
      </c>
      <c r="G517" s="96">
        <v>41426</v>
      </c>
      <c r="H517" s="97">
        <v>262.81</v>
      </c>
      <c r="I517" s="99">
        <f t="shared" si="7"/>
        <v>5.2017594186268834E-3</v>
      </c>
      <c r="J517" s="91"/>
      <c r="K517" s="91"/>
    </row>
    <row r="518" spans="1:11" ht="16">
      <c r="A518" s="161">
        <v>41419</v>
      </c>
      <c r="B518" s="94">
        <v>3.91</v>
      </c>
      <c r="G518" s="96">
        <v>41429</v>
      </c>
      <c r="H518" s="97">
        <v>263.39</v>
      </c>
      <c r="I518" s="99">
        <f t="shared" si="7"/>
        <v>2.2069175449943579E-3</v>
      </c>
      <c r="J518" s="91"/>
      <c r="K518" s="91"/>
    </row>
    <row r="519" spans="1:11" ht="16">
      <c r="A519" s="161">
        <v>41422</v>
      </c>
      <c r="B519" s="94">
        <v>3.91</v>
      </c>
      <c r="G519" s="96">
        <v>41430</v>
      </c>
      <c r="H519" s="97">
        <v>262.94</v>
      </c>
      <c r="I519" s="99">
        <f t="shared" si="7"/>
        <v>-1.7084931090777244E-3</v>
      </c>
      <c r="J519" s="91"/>
      <c r="K519" s="91"/>
    </row>
    <row r="520" spans="1:11" ht="16">
      <c r="A520" s="161">
        <v>41423</v>
      </c>
      <c r="B520" s="94">
        <v>3.9</v>
      </c>
      <c r="G520" s="96">
        <v>41431</v>
      </c>
      <c r="H520" s="97">
        <v>263.39999999999998</v>
      </c>
      <c r="I520" s="99">
        <f t="shared" si="7"/>
        <v>1.7494485433937612E-3</v>
      </c>
      <c r="J520" s="91"/>
      <c r="K520" s="91"/>
    </row>
    <row r="521" spans="1:11" ht="16">
      <c r="A521" s="161">
        <v>41424</v>
      </c>
      <c r="B521" s="94">
        <v>3.95</v>
      </c>
      <c r="G521" s="96">
        <v>41432</v>
      </c>
      <c r="H521" s="97">
        <v>264.14</v>
      </c>
      <c r="I521" s="99">
        <f t="shared" si="7"/>
        <v>2.8094153378892539E-3</v>
      </c>
      <c r="J521" s="91"/>
      <c r="K521" s="91"/>
    </row>
    <row r="522" spans="1:11" ht="16">
      <c r="A522" s="161">
        <v>41425</v>
      </c>
      <c r="B522" s="94">
        <v>3.94</v>
      </c>
      <c r="G522" s="96">
        <v>41433</v>
      </c>
      <c r="H522" s="97">
        <v>263.55</v>
      </c>
      <c r="I522" s="99">
        <f t="shared" si="7"/>
        <v>-2.2336639660784918E-3</v>
      </c>
      <c r="J522" s="91"/>
      <c r="K522" s="91"/>
    </row>
    <row r="523" spans="1:11" ht="16">
      <c r="A523" s="161">
        <v>41426</v>
      </c>
      <c r="B523" s="94">
        <v>3.92</v>
      </c>
      <c r="G523" s="96">
        <v>41436</v>
      </c>
      <c r="H523" s="97">
        <v>261.63</v>
      </c>
      <c r="I523" s="99">
        <f t="shared" si="7"/>
        <v>-7.2851451337507811E-3</v>
      </c>
      <c r="J523" s="91"/>
      <c r="K523" s="91"/>
    </row>
    <row r="524" spans="1:11" ht="16">
      <c r="A524" s="161">
        <v>41429</v>
      </c>
      <c r="B524" s="94">
        <v>3.91</v>
      </c>
      <c r="G524" s="96">
        <v>41437</v>
      </c>
      <c r="H524" s="97">
        <v>261.76</v>
      </c>
      <c r="I524" s="99">
        <f t="shared" si="7"/>
        <v>4.968849138096143E-4</v>
      </c>
      <c r="J524" s="91"/>
      <c r="K524" s="91"/>
    </row>
    <row r="525" spans="1:11" ht="16">
      <c r="A525" s="161">
        <v>41430</v>
      </c>
      <c r="B525" s="94">
        <v>3.9</v>
      </c>
      <c r="G525" s="96">
        <v>41438</v>
      </c>
      <c r="H525" s="97">
        <v>262.55</v>
      </c>
      <c r="I525" s="99">
        <f t="shared" si="7"/>
        <v>3.0180317848411686E-3</v>
      </c>
      <c r="J525" s="91"/>
      <c r="K525" s="91"/>
    </row>
    <row r="526" spans="1:11" ht="16">
      <c r="A526" s="161">
        <v>41431</v>
      </c>
      <c r="B526" s="94">
        <v>3.92</v>
      </c>
      <c r="G526" s="96">
        <v>41439</v>
      </c>
      <c r="H526" s="97">
        <v>259.94</v>
      </c>
      <c r="I526" s="99">
        <f t="shared" si="7"/>
        <v>-9.9409636259760736E-3</v>
      </c>
      <c r="J526" s="91"/>
      <c r="K526" s="91"/>
    </row>
    <row r="527" spans="1:11" ht="16">
      <c r="A527" s="161">
        <v>41432</v>
      </c>
      <c r="B527" s="94">
        <v>3.94</v>
      </c>
      <c r="G527" s="96">
        <v>41440</v>
      </c>
      <c r="H527" s="97">
        <v>260.2</v>
      </c>
      <c r="I527" s="99">
        <f t="shared" ref="I527:I590" si="8">H527/H526-1</f>
        <v>1.0002308224974499E-3</v>
      </c>
      <c r="J527" s="91"/>
      <c r="K527" s="91"/>
    </row>
    <row r="528" spans="1:11" ht="16">
      <c r="A528" s="161">
        <v>41433</v>
      </c>
      <c r="B528" s="94">
        <v>3.95</v>
      </c>
      <c r="G528" s="96">
        <v>41443</v>
      </c>
      <c r="H528" s="97">
        <v>262.45</v>
      </c>
      <c r="I528" s="99">
        <f t="shared" si="8"/>
        <v>8.647194465795538E-3</v>
      </c>
      <c r="J528" s="91"/>
      <c r="K528" s="91"/>
    </row>
    <row r="529" spans="1:11" ht="16">
      <c r="A529" s="161">
        <v>41436</v>
      </c>
      <c r="B529" s="94">
        <v>3.96</v>
      </c>
      <c r="G529" s="96">
        <v>41444</v>
      </c>
      <c r="H529" s="97">
        <v>260.97000000000003</v>
      </c>
      <c r="I529" s="99">
        <f t="shared" si="8"/>
        <v>-5.6391693655932773E-3</v>
      </c>
      <c r="J529" s="91"/>
      <c r="K529" s="91"/>
    </row>
    <row r="530" spans="1:11" ht="16">
      <c r="A530" s="161">
        <v>41437</v>
      </c>
      <c r="B530" s="94">
        <v>3.96</v>
      </c>
      <c r="G530" s="96">
        <v>41445</v>
      </c>
      <c r="H530" s="97">
        <v>261.14999999999998</v>
      </c>
      <c r="I530" s="99">
        <f t="shared" si="8"/>
        <v>6.8973445223563523E-4</v>
      </c>
      <c r="J530" s="91"/>
      <c r="K530" s="91"/>
    </row>
    <row r="531" spans="1:11" ht="16">
      <c r="A531" s="161">
        <v>41438</v>
      </c>
      <c r="B531" s="94">
        <v>3.94</v>
      </c>
      <c r="G531" s="96">
        <v>41446</v>
      </c>
      <c r="H531" s="97">
        <v>261.29000000000002</v>
      </c>
      <c r="I531" s="99">
        <f t="shared" si="8"/>
        <v>5.3609036951951516E-4</v>
      </c>
      <c r="J531" s="91"/>
      <c r="K531" s="91"/>
    </row>
    <row r="532" spans="1:11" ht="16">
      <c r="A532" s="161">
        <v>41439</v>
      </c>
      <c r="B532" s="94">
        <v>3.95</v>
      </c>
      <c r="G532" s="96">
        <v>41447</v>
      </c>
      <c r="H532" s="97">
        <v>261.83999999999997</v>
      </c>
      <c r="I532" s="99">
        <f t="shared" si="8"/>
        <v>2.1049408702971117E-3</v>
      </c>
      <c r="J532" s="91"/>
      <c r="K532" s="91"/>
    </row>
    <row r="533" spans="1:11" ht="16">
      <c r="A533" s="161">
        <v>41440</v>
      </c>
      <c r="B533" s="94">
        <v>3.96</v>
      </c>
      <c r="G533" s="96">
        <v>41450</v>
      </c>
      <c r="H533" s="97">
        <v>263.62</v>
      </c>
      <c r="I533" s="99">
        <f t="shared" si="8"/>
        <v>6.7980446073938605E-3</v>
      </c>
      <c r="J533" s="91"/>
      <c r="K533" s="91"/>
    </row>
    <row r="534" spans="1:11" ht="16">
      <c r="A534" s="161">
        <v>41443</v>
      </c>
      <c r="B534" s="94">
        <v>3.96</v>
      </c>
      <c r="G534" s="96">
        <v>41451</v>
      </c>
      <c r="H534" s="97">
        <v>262.77</v>
      </c>
      <c r="I534" s="99">
        <f t="shared" si="8"/>
        <v>-3.2243380623625528E-3</v>
      </c>
      <c r="J534" s="91"/>
      <c r="K534" s="91"/>
    </row>
    <row r="535" spans="1:11" ht="16">
      <c r="A535" s="161">
        <v>41444</v>
      </c>
      <c r="B535" s="94">
        <v>3.99</v>
      </c>
      <c r="G535" s="96">
        <v>41452</v>
      </c>
      <c r="H535" s="97">
        <v>261.95999999999998</v>
      </c>
      <c r="I535" s="99">
        <f t="shared" si="8"/>
        <v>-3.0825436693686648E-3</v>
      </c>
      <c r="J535" s="91"/>
      <c r="K535" s="91"/>
    </row>
    <row r="536" spans="1:11" ht="16">
      <c r="A536" s="161">
        <v>41445</v>
      </c>
      <c r="B536" s="94">
        <v>4.01</v>
      </c>
      <c r="G536" s="96">
        <v>41453</v>
      </c>
      <c r="H536" s="97">
        <v>262.23</v>
      </c>
      <c r="I536" s="99">
        <f t="shared" si="8"/>
        <v>1.0306917086579936E-3</v>
      </c>
      <c r="J536" s="91"/>
      <c r="K536" s="91"/>
    </row>
    <row r="537" spans="1:11" ht="16">
      <c r="A537" s="161">
        <v>41446</v>
      </c>
      <c r="B537" s="94">
        <v>4.01</v>
      </c>
      <c r="G537" s="96">
        <v>41454</v>
      </c>
      <c r="H537" s="97">
        <v>261.76</v>
      </c>
      <c r="I537" s="99">
        <f t="shared" si="8"/>
        <v>-1.7923197193304707E-3</v>
      </c>
    </row>
    <row r="538" spans="1:11" ht="16">
      <c r="A538" s="161">
        <v>41447</v>
      </c>
      <c r="B538" s="94">
        <v>4</v>
      </c>
      <c r="G538" s="96">
        <v>41457</v>
      </c>
      <c r="H538" s="97">
        <v>262.77</v>
      </c>
      <c r="I538" s="99">
        <f t="shared" si="8"/>
        <v>3.8584963325183352E-3</v>
      </c>
    </row>
    <row r="539" spans="1:11" ht="16">
      <c r="A539" s="161">
        <v>41450</v>
      </c>
      <c r="B539" s="94">
        <v>3.98</v>
      </c>
      <c r="G539" s="96">
        <v>41458</v>
      </c>
      <c r="H539" s="97">
        <v>261.25</v>
      </c>
      <c r="I539" s="99">
        <f t="shared" si="8"/>
        <v>-5.7845263919016343E-3</v>
      </c>
    </row>
    <row r="540" spans="1:11" ht="16">
      <c r="A540" s="161">
        <v>41451</v>
      </c>
      <c r="B540" s="94">
        <v>3.99</v>
      </c>
      <c r="G540" s="96">
        <v>41459</v>
      </c>
      <c r="H540" s="97">
        <v>261.86</v>
      </c>
      <c r="I540" s="99">
        <f t="shared" si="8"/>
        <v>2.3349282296651896E-3</v>
      </c>
    </row>
    <row r="541" spans="1:11" ht="16">
      <c r="A541" s="161">
        <v>41452</v>
      </c>
      <c r="B541" s="94">
        <v>4.01</v>
      </c>
      <c r="G541" s="96">
        <v>41460</v>
      </c>
      <c r="H541" s="97">
        <v>261.22000000000003</v>
      </c>
      <c r="I541" s="99">
        <f t="shared" si="8"/>
        <v>-2.444054074696389E-3</v>
      </c>
    </row>
    <row r="542" spans="1:11" ht="16">
      <c r="A542" s="161">
        <v>41453</v>
      </c>
      <c r="B542" s="94">
        <v>4.03</v>
      </c>
      <c r="G542" s="96">
        <v>41461</v>
      </c>
      <c r="H542" s="97">
        <v>260.44</v>
      </c>
      <c r="I542" s="99">
        <f t="shared" si="8"/>
        <v>-2.9859888216829944E-3</v>
      </c>
    </row>
    <row r="543" spans="1:11" ht="16">
      <c r="A543" s="161">
        <v>41454</v>
      </c>
      <c r="B543" s="94">
        <v>4.05</v>
      </c>
      <c r="G543" s="96">
        <v>41464</v>
      </c>
      <c r="H543" s="97">
        <v>261.99</v>
      </c>
      <c r="I543" s="99">
        <f t="shared" si="8"/>
        <v>5.9514667485793815E-3</v>
      </c>
    </row>
    <row r="544" spans="1:11" ht="16">
      <c r="A544" s="161">
        <v>41457</v>
      </c>
      <c r="B544" s="94">
        <v>4.07</v>
      </c>
      <c r="G544" s="96">
        <v>41465</v>
      </c>
      <c r="H544" s="97">
        <v>263.91000000000003</v>
      </c>
      <c r="I544" s="99">
        <f t="shared" si="8"/>
        <v>7.3285239894653742E-3</v>
      </c>
    </row>
    <row r="545" spans="1:9" ht="16">
      <c r="A545" s="161">
        <v>41458</v>
      </c>
      <c r="B545" s="94">
        <v>4.0599999999999996</v>
      </c>
      <c r="G545" s="96">
        <v>41466</v>
      </c>
      <c r="H545" s="97">
        <v>267.02</v>
      </c>
      <c r="I545" s="99">
        <f t="shared" si="8"/>
        <v>1.1784320412261629E-2</v>
      </c>
    </row>
    <row r="546" spans="1:9" ht="16">
      <c r="A546" s="161">
        <v>41459</v>
      </c>
      <c r="B546" s="94">
        <v>4.09</v>
      </c>
      <c r="E546" s="96"/>
      <c r="F546" s="97"/>
      <c r="G546" s="96">
        <v>41467</v>
      </c>
      <c r="H546" s="97">
        <v>269.3</v>
      </c>
      <c r="I546" s="99">
        <f t="shared" si="8"/>
        <v>8.5386862407310637E-3</v>
      </c>
    </row>
    <row r="547" spans="1:9" ht="16">
      <c r="A547" s="161">
        <v>41460</v>
      </c>
      <c r="B547" s="94">
        <v>4.1100000000000003</v>
      </c>
      <c r="E547" s="96"/>
      <c r="F547" s="97"/>
      <c r="G547" s="96">
        <v>41468</v>
      </c>
      <c r="H547" s="97">
        <v>270.89</v>
      </c>
      <c r="I547" s="99">
        <f t="shared" si="8"/>
        <v>5.9041960638692714E-3</v>
      </c>
    </row>
    <row r="548" spans="1:9" ht="16">
      <c r="A548" s="161">
        <v>41461</v>
      </c>
      <c r="B548" s="94">
        <v>4.13</v>
      </c>
      <c r="E548" s="96"/>
      <c r="F548" s="97"/>
      <c r="G548" s="96">
        <v>41471</v>
      </c>
      <c r="H548" s="97">
        <v>271.74</v>
      </c>
      <c r="I548" s="99">
        <f t="shared" si="8"/>
        <v>3.1378050131050106E-3</v>
      </c>
    </row>
    <row r="549" spans="1:9" ht="16">
      <c r="A549" s="161">
        <v>41464</v>
      </c>
      <c r="B549" s="94">
        <v>4.1100000000000003</v>
      </c>
      <c r="E549" s="96"/>
      <c r="F549" s="97"/>
      <c r="G549" s="96">
        <v>41472</v>
      </c>
      <c r="H549" s="97">
        <v>272.02</v>
      </c>
      <c r="I549" s="99">
        <f t="shared" si="8"/>
        <v>1.0303967027305294E-3</v>
      </c>
    </row>
    <row r="550" spans="1:9" ht="16">
      <c r="A550" s="161">
        <v>41465</v>
      </c>
      <c r="B550" s="94">
        <v>4.0999999999999996</v>
      </c>
      <c r="E550" s="96"/>
      <c r="F550" s="97"/>
      <c r="G550" s="96">
        <v>41473</v>
      </c>
      <c r="H550" s="97">
        <v>273.86</v>
      </c>
      <c r="I550" s="99">
        <f t="shared" si="8"/>
        <v>6.7642085140799946E-3</v>
      </c>
    </row>
    <row r="551" spans="1:9" ht="16">
      <c r="A551" s="161">
        <v>41466</v>
      </c>
      <c r="B551" s="94">
        <v>4.0599999999999996</v>
      </c>
      <c r="E551" s="96"/>
      <c r="F551" s="97"/>
      <c r="G551" s="96">
        <v>41474</v>
      </c>
      <c r="H551" s="97">
        <v>273.57</v>
      </c>
      <c r="I551" s="99">
        <f t="shared" si="8"/>
        <v>-1.0589352223764337E-3</v>
      </c>
    </row>
    <row r="552" spans="1:9" ht="16">
      <c r="A552" s="161">
        <v>41467</v>
      </c>
      <c r="B552" s="94">
        <v>4.05</v>
      </c>
      <c r="E552" s="96"/>
      <c r="F552" s="97"/>
      <c r="G552" s="96">
        <v>41475</v>
      </c>
      <c r="H552" s="97">
        <v>273.3</v>
      </c>
      <c r="I552" s="99">
        <f t="shared" si="8"/>
        <v>-9.8695032350026857E-4</v>
      </c>
    </row>
    <row r="553" spans="1:9" ht="16">
      <c r="A553" s="161">
        <v>41468</v>
      </c>
      <c r="B553" s="94">
        <v>4.04</v>
      </c>
      <c r="E553" s="96"/>
      <c r="F553" s="97"/>
      <c r="G553" s="96">
        <v>41478</v>
      </c>
      <c r="H553" s="97">
        <v>274.20999999999998</v>
      </c>
      <c r="I553" s="99">
        <f t="shared" si="8"/>
        <v>3.3296743505304427E-3</v>
      </c>
    </row>
    <row r="554" spans="1:9" ht="16">
      <c r="A554" s="161">
        <v>41471</v>
      </c>
      <c r="B554" s="94">
        <v>4.0199999999999996</v>
      </c>
      <c r="E554" s="96"/>
      <c r="F554" s="97"/>
      <c r="G554" s="96">
        <v>41479</v>
      </c>
      <c r="H554" s="97">
        <v>273.91000000000003</v>
      </c>
      <c r="I554" s="99">
        <f t="shared" si="8"/>
        <v>-1.0940520039384172E-3</v>
      </c>
    </row>
    <row r="555" spans="1:9" ht="16">
      <c r="A555" s="161">
        <v>41472</v>
      </c>
      <c r="B555" s="94">
        <v>4</v>
      </c>
      <c r="E555" s="96"/>
      <c r="F555" s="97"/>
      <c r="G555" s="96">
        <v>41480</v>
      </c>
      <c r="H555" s="97">
        <v>274.43</v>
      </c>
      <c r="I555" s="99">
        <f t="shared" si="8"/>
        <v>1.8984337921215122E-3</v>
      </c>
    </row>
    <row r="556" spans="1:9" ht="16">
      <c r="A556" s="161">
        <v>41473</v>
      </c>
      <c r="B556" s="94">
        <v>3.99</v>
      </c>
      <c r="E556" s="96"/>
      <c r="F556" s="97"/>
      <c r="G556" s="96">
        <v>41481</v>
      </c>
      <c r="H556" s="97">
        <v>275.86</v>
      </c>
      <c r="I556" s="99">
        <f t="shared" si="8"/>
        <v>5.2108005684510239E-3</v>
      </c>
    </row>
    <row r="557" spans="1:9" ht="16">
      <c r="A557" s="161">
        <v>41474</v>
      </c>
      <c r="B557" s="94">
        <v>3.98</v>
      </c>
      <c r="E557" s="96"/>
      <c r="F557" s="97"/>
      <c r="G557" s="96">
        <v>41482</v>
      </c>
      <c r="H557" s="97">
        <v>275.51</v>
      </c>
      <c r="I557" s="99">
        <f t="shared" si="8"/>
        <v>-1.2687595156964937E-3</v>
      </c>
    </row>
    <row r="558" spans="1:9" ht="16">
      <c r="A558" s="161">
        <v>41475</v>
      </c>
      <c r="B558" s="94">
        <v>3.96</v>
      </c>
      <c r="E558" s="96"/>
      <c r="F558" s="97"/>
      <c r="G558" s="96">
        <v>41485</v>
      </c>
      <c r="H558" s="97">
        <v>276.23</v>
      </c>
      <c r="I558" s="99">
        <f t="shared" si="8"/>
        <v>2.613335269137318E-3</v>
      </c>
    </row>
    <row r="559" spans="1:9" ht="16">
      <c r="A559" s="161">
        <v>41478</v>
      </c>
      <c r="B559" s="94">
        <v>3.97</v>
      </c>
      <c r="E559" s="96"/>
      <c r="F559" s="97"/>
      <c r="G559" s="96">
        <v>41486</v>
      </c>
      <c r="H559" s="97">
        <v>276.94</v>
      </c>
      <c r="I559" s="99">
        <f t="shared" si="8"/>
        <v>2.570321833254896E-3</v>
      </c>
    </row>
    <row r="560" spans="1:9" ht="16">
      <c r="A560" s="161">
        <v>41479</v>
      </c>
      <c r="B560" s="94">
        <v>3.98</v>
      </c>
      <c r="E560" s="96"/>
      <c r="F560" s="97"/>
      <c r="G560" s="96">
        <v>41487</v>
      </c>
      <c r="H560" s="97">
        <v>277.22000000000003</v>
      </c>
      <c r="I560" s="99">
        <f t="shared" si="8"/>
        <v>1.011049324763702E-3</v>
      </c>
    </row>
    <row r="561" spans="1:9" ht="16">
      <c r="A561" s="161">
        <v>41480</v>
      </c>
      <c r="B561" s="94">
        <v>3.97</v>
      </c>
      <c r="E561" s="96"/>
      <c r="F561" s="97"/>
      <c r="G561" s="96">
        <v>41488</v>
      </c>
      <c r="H561" s="97">
        <v>276.63</v>
      </c>
      <c r="I561" s="99">
        <f t="shared" si="8"/>
        <v>-2.1282735733353375E-3</v>
      </c>
    </row>
    <row r="562" spans="1:9" ht="16">
      <c r="A562" s="161">
        <v>41481</v>
      </c>
      <c r="B562" s="94">
        <v>3.96</v>
      </c>
      <c r="E562" s="96"/>
      <c r="F562" s="97"/>
      <c r="G562" s="96">
        <v>41489</v>
      </c>
      <c r="H562" s="97">
        <v>277.35000000000002</v>
      </c>
      <c r="I562" s="99">
        <f t="shared" si="8"/>
        <v>2.6027545819327091E-3</v>
      </c>
    </row>
    <row r="563" spans="1:9" ht="16">
      <c r="A563" s="161">
        <v>41482</v>
      </c>
      <c r="B563" s="94">
        <v>3.97</v>
      </c>
      <c r="E563" s="96"/>
      <c r="F563" s="97"/>
      <c r="G563" s="96">
        <v>41492</v>
      </c>
      <c r="H563" s="97">
        <v>279.56</v>
      </c>
      <c r="I563" s="99">
        <f t="shared" si="8"/>
        <v>7.968271137551719E-3</v>
      </c>
    </row>
    <row r="564" spans="1:9" ht="16">
      <c r="A564" s="161">
        <v>41485</v>
      </c>
      <c r="B564" s="94">
        <v>4</v>
      </c>
      <c r="E564" s="96"/>
      <c r="F564" s="97"/>
      <c r="G564" s="96">
        <v>41493</v>
      </c>
      <c r="H564" s="97">
        <v>280.20999999999998</v>
      </c>
      <c r="I564" s="99">
        <f t="shared" si="8"/>
        <v>2.3250822721418984E-3</v>
      </c>
    </row>
    <row r="565" spans="1:9" ht="16">
      <c r="A565" s="161">
        <v>41486</v>
      </c>
      <c r="B565" s="94">
        <v>4</v>
      </c>
      <c r="E565" s="96"/>
      <c r="F565" s="97"/>
      <c r="G565" s="96">
        <v>41494</v>
      </c>
      <c r="H565" s="97">
        <v>278.39999999999998</v>
      </c>
      <c r="I565" s="99">
        <f t="shared" si="8"/>
        <v>-6.4594411334356616E-3</v>
      </c>
    </row>
    <row r="566" spans="1:9" ht="16">
      <c r="A566" s="161">
        <v>41487</v>
      </c>
      <c r="B566" s="94">
        <v>3.99</v>
      </c>
      <c r="E566" s="96"/>
      <c r="F566" s="97"/>
      <c r="G566" s="96">
        <v>41495</v>
      </c>
      <c r="H566" s="97">
        <v>274.82</v>
      </c>
      <c r="I566" s="99">
        <f t="shared" si="8"/>
        <v>-1.285919540229874E-2</v>
      </c>
    </row>
    <row r="567" spans="1:9" ht="16">
      <c r="A567" s="161">
        <v>41488</v>
      </c>
      <c r="B567" s="94">
        <v>3.96</v>
      </c>
      <c r="E567" s="96"/>
      <c r="F567" s="97"/>
      <c r="G567" s="96">
        <v>41496</v>
      </c>
      <c r="H567" s="97">
        <v>271.97000000000003</v>
      </c>
      <c r="I567" s="99">
        <f t="shared" si="8"/>
        <v>-1.0370424277708956E-2</v>
      </c>
    </row>
    <row r="568" spans="1:9" ht="16">
      <c r="A568" s="161">
        <v>41489</v>
      </c>
      <c r="B568" s="94">
        <v>3.96</v>
      </c>
      <c r="E568" s="96"/>
      <c r="F568" s="97"/>
      <c r="G568" s="96">
        <v>41499</v>
      </c>
      <c r="H568" s="97">
        <v>274.45999999999998</v>
      </c>
      <c r="I568" s="99">
        <f t="shared" si="8"/>
        <v>9.1554215538476313E-3</v>
      </c>
    </row>
    <row r="569" spans="1:9" ht="16">
      <c r="A569" s="161">
        <v>41492</v>
      </c>
      <c r="B569" s="94">
        <v>3.96</v>
      </c>
      <c r="E569" s="96"/>
      <c r="F569" s="97"/>
      <c r="G569" s="96">
        <v>41500</v>
      </c>
      <c r="H569" s="97">
        <v>274.16000000000003</v>
      </c>
      <c r="I569" s="99">
        <f t="shared" si="8"/>
        <v>-1.0930554543465698E-3</v>
      </c>
    </row>
    <row r="570" spans="1:9" ht="16">
      <c r="A570" s="161">
        <v>41493</v>
      </c>
      <c r="B570" s="94">
        <v>3.96</v>
      </c>
      <c r="E570" s="96"/>
      <c r="F570" s="97"/>
      <c r="G570" s="96">
        <v>41501</v>
      </c>
      <c r="H570" s="97">
        <v>276.16000000000003</v>
      </c>
      <c r="I570" s="99">
        <f t="shared" si="8"/>
        <v>7.2950102130142636E-3</v>
      </c>
    </row>
    <row r="571" spans="1:9" ht="16">
      <c r="A571" s="161">
        <v>41494</v>
      </c>
      <c r="B571" s="94">
        <v>3.96</v>
      </c>
      <c r="E571" s="96"/>
      <c r="F571" s="97"/>
      <c r="G571" s="96">
        <v>41502</v>
      </c>
      <c r="H571" s="97">
        <v>276.57</v>
      </c>
      <c r="I571" s="99">
        <f t="shared" si="8"/>
        <v>1.4846465816915622E-3</v>
      </c>
    </row>
    <row r="572" spans="1:9" ht="16">
      <c r="A572" s="161">
        <v>41495</v>
      </c>
      <c r="B572" s="94">
        <v>3.97</v>
      </c>
      <c r="E572" s="96"/>
      <c r="F572" s="97"/>
      <c r="G572" s="96">
        <v>41503</v>
      </c>
      <c r="H572" s="97">
        <v>275.69</v>
      </c>
      <c r="I572" s="99">
        <f t="shared" si="8"/>
        <v>-3.1818346169143474E-3</v>
      </c>
    </row>
    <row r="573" spans="1:9" ht="16">
      <c r="A573" s="161">
        <v>41496</v>
      </c>
      <c r="B573" s="94">
        <v>3.97</v>
      </c>
      <c r="E573" s="96"/>
      <c r="F573" s="97"/>
      <c r="G573" s="96">
        <v>41506</v>
      </c>
      <c r="H573" s="97">
        <v>276.77999999999997</v>
      </c>
      <c r="I573" s="99">
        <f t="shared" si="8"/>
        <v>3.9537161304363799E-3</v>
      </c>
    </row>
    <row r="574" spans="1:9" ht="16">
      <c r="A574" s="161">
        <v>41499</v>
      </c>
      <c r="B574" s="94">
        <v>3.95</v>
      </c>
      <c r="E574" s="96"/>
      <c r="F574" s="97"/>
      <c r="G574" s="96">
        <v>41507</v>
      </c>
      <c r="H574" s="97">
        <v>278.81</v>
      </c>
      <c r="I574" s="99">
        <f t="shared" si="8"/>
        <v>7.3343449671219307E-3</v>
      </c>
    </row>
    <row r="575" spans="1:9" ht="16">
      <c r="A575" s="161">
        <v>41500</v>
      </c>
      <c r="B575" s="94">
        <v>3.96</v>
      </c>
      <c r="E575" s="96"/>
      <c r="F575" s="97"/>
      <c r="G575" s="96">
        <v>41508</v>
      </c>
      <c r="H575" s="97">
        <v>279.57</v>
      </c>
      <c r="I575" s="99">
        <f t="shared" si="8"/>
        <v>2.7258706646102748E-3</v>
      </c>
    </row>
    <row r="576" spans="1:9" ht="16">
      <c r="A576" s="161">
        <v>41501</v>
      </c>
      <c r="B576" s="94">
        <v>3.97</v>
      </c>
      <c r="E576" s="96"/>
      <c r="F576" s="97"/>
      <c r="G576" s="96">
        <v>41509</v>
      </c>
      <c r="H576" s="97">
        <v>281.25</v>
      </c>
      <c r="I576" s="99">
        <f t="shared" si="8"/>
        <v>6.0092284579891242E-3</v>
      </c>
    </row>
    <row r="577" spans="1:9" ht="16">
      <c r="A577" s="161">
        <v>41502</v>
      </c>
      <c r="B577" s="94">
        <v>3.93</v>
      </c>
      <c r="E577" s="96"/>
      <c r="F577" s="97"/>
      <c r="G577" s="96">
        <v>41510</v>
      </c>
      <c r="H577" s="97">
        <v>282.22000000000003</v>
      </c>
      <c r="I577" s="99">
        <f t="shared" si="8"/>
        <v>3.4488888888890568E-3</v>
      </c>
    </row>
    <row r="578" spans="1:9" ht="16">
      <c r="A578" s="161">
        <v>41503</v>
      </c>
      <c r="B578" s="94">
        <v>3.92</v>
      </c>
      <c r="E578" s="96"/>
      <c r="F578" s="97"/>
      <c r="G578" s="96">
        <v>41513</v>
      </c>
      <c r="H578" s="97">
        <v>282.35000000000002</v>
      </c>
      <c r="I578" s="99">
        <f t="shared" si="8"/>
        <v>4.6063354829573022E-4</v>
      </c>
    </row>
    <row r="579" spans="1:9" ht="16">
      <c r="A579" s="161">
        <v>41506</v>
      </c>
      <c r="B579" s="94">
        <v>3.9</v>
      </c>
      <c r="E579" s="96"/>
      <c r="F579" s="97"/>
      <c r="G579" s="96">
        <v>41514</v>
      </c>
      <c r="H579" s="97">
        <v>281.45999999999998</v>
      </c>
      <c r="I579" s="99">
        <f t="shared" si="8"/>
        <v>-3.1521161678769172E-3</v>
      </c>
    </row>
    <row r="580" spans="1:9" ht="16">
      <c r="A580" s="161">
        <v>41507</v>
      </c>
      <c r="B580" s="94">
        <v>3.91</v>
      </c>
      <c r="E580" s="96"/>
      <c r="F580" s="97"/>
      <c r="G580" s="96">
        <v>41515</v>
      </c>
      <c r="H580" s="97">
        <v>283.31</v>
      </c>
      <c r="I580" s="99">
        <f t="shared" si="8"/>
        <v>6.5728700348184343E-3</v>
      </c>
    </row>
    <row r="581" spans="1:9" ht="16">
      <c r="A581" s="161">
        <v>41508</v>
      </c>
      <c r="B581" s="94">
        <v>3.91</v>
      </c>
      <c r="E581" s="96"/>
      <c r="F581" s="97"/>
      <c r="G581" s="96">
        <v>41516</v>
      </c>
      <c r="H581" s="97">
        <v>283.92</v>
      </c>
      <c r="I581" s="99">
        <f t="shared" si="8"/>
        <v>2.1531184921110835E-3</v>
      </c>
    </row>
    <row r="582" spans="1:9" ht="16">
      <c r="A582" s="161">
        <v>41509</v>
      </c>
      <c r="B582" s="94">
        <v>3.88</v>
      </c>
      <c r="E582" s="96"/>
      <c r="F582" s="97"/>
      <c r="G582" s="96">
        <v>41517</v>
      </c>
      <c r="H582" s="97">
        <v>285.18</v>
      </c>
      <c r="I582" s="99">
        <f t="shared" si="8"/>
        <v>4.4378698224851743E-3</v>
      </c>
    </row>
    <row r="583" spans="1:9" ht="16">
      <c r="A583" s="161">
        <v>41510</v>
      </c>
      <c r="B583" s="94">
        <v>3.87</v>
      </c>
      <c r="E583" s="96"/>
      <c r="F583" s="97"/>
      <c r="G583" s="96">
        <v>41520</v>
      </c>
      <c r="H583" s="97">
        <v>283.83999999999997</v>
      </c>
      <c r="I583" s="99">
        <f t="shared" si="8"/>
        <v>-4.6987867311873988E-3</v>
      </c>
    </row>
    <row r="584" spans="1:9" ht="16">
      <c r="A584" s="161">
        <v>41513</v>
      </c>
      <c r="B584" s="94">
        <v>3.86</v>
      </c>
      <c r="E584" s="96"/>
      <c r="F584" s="97"/>
      <c r="G584" s="96">
        <v>41521</v>
      </c>
      <c r="H584" s="97">
        <v>284.52</v>
      </c>
      <c r="I584" s="99">
        <f t="shared" si="8"/>
        <v>2.3957158962795155E-3</v>
      </c>
    </row>
    <row r="585" spans="1:9" ht="16">
      <c r="A585" s="161">
        <v>41514</v>
      </c>
      <c r="B585" s="94">
        <v>3.84</v>
      </c>
      <c r="E585" s="96"/>
      <c r="F585" s="97"/>
      <c r="G585" s="96">
        <v>41522</v>
      </c>
      <c r="H585" s="97">
        <v>284.36</v>
      </c>
      <c r="I585" s="99">
        <f t="shared" si="8"/>
        <v>-5.6235062561493798E-4</v>
      </c>
    </row>
    <row r="586" spans="1:9" ht="16">
      <c r="A586" s="161">
        <v>41515</v>
      </c>
      <c r="B586" s="94">
        <v>3.84</v>
      </c>
      <c r="E586" s="96"/>
      <c r="F586" s="97"/>
      <c r="G586" s="96">
        <v>41523</v>
      </c>
      <c r="H586" s="97">
        <v>285.67</v>
      </c>
      <c r="I586" s="99">
        <f t="shared" si="8"/>
        <v>4.6068364045575017E-3</v>
      </c>
    </row>
    <row r="587" spans="1:9" ht="16">
      <c r="A587" s="161">
        <v>41516</v>
      </c>
      <c r="B587" s="94">
        <v>3.85</v>
      </c>
      <c r="E587" s="96"/>
      <c r="F587" s="97"/>
      <c r="G587" s="96">
        <v>41524</v>
      </c>
      <c r="H587" s="97">
        <v>285.83999999999997</v>
      </c>
      <c r="I587" s="99">
        <f t="shared" si="8"/>
        <v>5.950922392969904E-4</v>
      </c>
    </row>
    <row r="588" spans="1:9" ht="16">
      <c r="A588" s="161">
        <v>41517</v>
      </c>
      <c r="B588" s="94">
        <v>3.84</v>
      </c>
      <c r="E588" s="96"/>
      <c r="F588" s="97"/>
      <c r="G588" s="96">
        <v>41527</v>
      </c>
      <c r="H588" s="97">
        <v>287.94</v>
      </c>
      <c r="I588" s="99">
        <f t="shared" si="8"/>
        <v>7.3467674223341994E-3</v>
      </c>
    </row>
    <row r="589" spans="1:9" ht="16">
      <c r="A589" s="161">
        <v>41520</v>
      </c>
      <c r="B589" s="94">
        <v>3.83</v>
      </c>
      <c r="E589" s="96"/>
      <c r="F589" s="97"/>
      <c r="G589" s="96">
        <v>41528</v>
      </c>
      <c r="H589" s="97">
        <v>288.56</v>
      </c>
      <c r="I589" s="99">
        <f t="shared" si="8"/>
        <v>2.1532263666041995E-3</v>
      </c>
    </row>
    <row r="590" spans="1:9" ht="16">
      <c r="A590" s="161">
        <v>41521</v>
      </c>
      <c r="B590" s="94">
        <v>3.82</v>
      </c>
      <c r="E590" s="96"/>
      <c r="F590" s="97"/>
      <c r="G590" s="96">
        <v>41529</v>
      </c>
      <c r="H590" s="97">
        <v>287.86</v>
      </c>
      <c r="I590" s="99">
        <f t="shared" si="8"/>
        <v>-2.4258386470751292E-3</v>
      </c>
    </row>
    <row r="591" spans="1:9" ht="16">
      <c r="A591" s="161">
        <v>41522</v>
      </c>
      <c r="B591" s="94">
        <v>3.82</v>
      </c>
      <c r="E591" s="96"/>
      <c r="F591" s="97"/>
      <c r="G591" s="96">
        <v>41530</v>
      </c>
      <c r="H591" s="97">
        <v>287.83</v>
      </c>
      <c r="I591" s="99">
        <f t="shared" ref="I591:I654" si="9">H591/H590-1</f>
        <v>-1.0421732786780602E-4</v>
      </c>
    </row>
    <row r="592" spans="1:9" ht="16">
      <c r="A592" s="161">
        <v>41523</v>
      </c>
      <c r="B592" s="94">
        <v>3.79</v>
      </c>
      <c r="E592" s="96"/>
      <c r="F592" s="97"/>
      <c r="G592" s="96">
        <v>41531</v>
      </c>
      <c r="H592" s="97">
        <v>288.35000000000002</v>
      </c>
      <c r="I592" s="99">
        <f t="shared" si="9"/>
        <v>1.8066219643539938E-3</v>
      </c>
    </row>
    <row r="593" spans="1:9" ht="16">
      <c r="A593" s="161">
        <v>41524</v>
      </c>
      <c r="B593" s="94">
        <v>3.77</v>
      </c>
      <c r="E593" s="96"/>
      <c r="F593" s="97"/>
      <c r="G593" s="96">
        <v>41534</v>
      </c>
      <c r="H593" s="97">
        <v>290.07</v>
      </c>
      <c r="I593" s="99">
        <f t="shared" si="9"/>
        <v>5.9649731229407532E-3</v>
      </c>
    </row>
    <row r="594" spans="1:9" ht="16">
      <c r="A594" s="161">
        <v>41527</v>
      </c>
      <c r="B594" s="94">
        <v>3.79</v>
      </c>
      <c r="E594" s="96"/>
      <c r="F594" s="97"/>
      <c r="G594" s="96">
        <v>41535</v>
      </c>
      <c r="H594" s="97">
        <v>289.27999999999997</v>
      </c>
      <c r="I594" s="99">
        <f t="shared" si="9"/>
        <v>-2.7234805391802563E-3</v>
      </c>
    </row>
    <row r="595" spans="1:9" ht="16">
      <c r="A595" s="161">
        <v>41528</v>
      </c>
      <c r="B595" s="94">
        <v>3.82</v>
      </c>
      <c r="E595" s="96"/>
      <c r="F595" s="97"/>
      <c r="G595" s="96">
        <v>41536</v>
      </c>
      <c r="H595" s="97">
        <v>289.8</v>
      </c>
      <c r="I595" s="99">
        <f t="shared" si="9"/>
        <v>1.7975663716816026E-3</v>
      </c>
    </row>
    <row r="596" spans="1:9" ht="16">
      <c r="A596" s="161">
        <v>41529</v>
      </c>
      <c r="B596" s="94">
        <v>3.82</v>
      </c>
      <c r="E596" s="96"/>
      <c r="F596" s="97"/>
      <c r="G596" s="96">
        <v>41537</v>
      </c>
      <c r="H596" s="97">
        <v>288.88</v>
      </c>
      <c r="I596" s="99">
        <f t="shared" si="9"/>
        <v>-3.1746031746032743E-3</v>
      </c>
    </row>
    <row r="597" spans="1:9" ht="16">
      <c r="A597" s="161">
        <v>41530</v>
      </c>
      <c r="B597" s="94">
        <v>3.83</v>
      </c>
      <c r="E597" s="96"/>
      <c r="F597" s="97"/>
      <c r="G597" s="96">
        <v>41538</v>
      </c>
      <c r="H597" s="97">
        <v>287.35000000000002</v>
      </c>
      <c r="I597" s="99">
        <f t="shared" si="9"/>
        <v>-5.2963168097478475E-3</v>
      </c>
    </row>
    <row r="598" spans="1:9" ht="16">
      <c r="A598" s="161">
        <v>41531</v>
      </c>
      <c r="B598" s="94">
        <v>3.83</v>
      </c>
      <c r="E598" s="96"/>
      <c r="F598" s="97"/>
      <c r="G598" s="96">
        <v>41541</v>
      </c>
      <c r="H598" s="97">
        <v>282.52999999999997</v>
      </c>
      <c r="I598" s="99">
        <f t="shared" si="9"/>
        <v>-1.6773969027318758E-2</v>
      </c>
    </row>
    <row r="599" spans="1:9" ht="16">
      <c r="A599" s="161">
        <v>41534</v>
      </c>
      <c r="B599" s="94">
        <v>3.82</v>
      </c>
      <c r="E599" s="96"/>
      <c r="F599" s="97"/>
      <c r="G599" s="96">
        <v>41542</v>
      </c>
      <c r="H599" s="97">
        <v>281</v>
      </c>
      <c r="I599" s="99">
        <f t="shared" si="9"/>
        <v>-5.4153541216861445E-3</v>
      </c>
    </row>
    <row r="600" spans="1:9" ht="16">
      <c r="A600" s="161">
        <v>41535</v>
      </c>
      <c r="B600" s="94">
        <v>3.83</v>
      </c>
      <c r="E600" s="96"/>
      <c r="F600" s="97"/>
      <c r="G600" s="96">
        <v>41543</v>
      </c>
      <c r="H600" s="97">
        <v>280.57</v>
      </c>
      <c r="I600" s="99">
        <f t="shared" si="9"/>
        <v>-1.530249110320292E-3</v>
      </c>
    </row>
    <row r="601" spans="1:9" ht="16">
      <c r="A601" s="161">
        <v>41536</v>
      </c>
      <c r="B601" s="94">
        <v>3.84</v>
      </c>
      <c r="E601" s="96"/>
      <c r="F601" s="97"/>
      <c r="G601" s="96">
        <v>41544</v>
      </c>
      <c r="H601" s="97">
        <v>279.42</v>
      </c>
      <c r="I601" s="99">
        <f t="shared" si="9"/>
        <v>-4.0987988737212211E-3</v>
      </c>
    </row>
    <row r="602" spans="1:9" ht="16">
      <c r="A602" s="161">
        <v>41537</v>
      </c>
      <c r="B602" s="94">
        <v>3.86</v>
      </c>
      <c r="E602" s="96"/>
      <c r="F602" s="97"/>
      <c r="G602" s="96">
        <v>41545</v>
      </c>
      <c r="H602" s="97">
        <v>281.86</v>
      </c>
      <c r="I602" s="99">
        <f t="shared" si="9"/>
        <v>8.7323742037077601E-3</v>
      </c>
    </row>
    <row r="603" spans="1:9" ht="16">
      <c r="A603" s="161">
        <v>41538</v>
      </c>
      <c r="B603" s="94">
        <v>3.85</v>
      </c>
      <c r="E603" s="96"/>
      <c r="F603" s="97"/>
      <c r="G603" s="96">
        <v>41548</v>
      </c>
      <c r="H603" s="97">
        <v>282.26</v>
      </c>
      <c r="I603" s="99">
        <f t="shared" si="9"/>
        <v>1.419144256013638E-3</v>
      </c>
    </row>
    <row r="604" spans="1:9" ht="16">
      <c r="A604" s="161">
        <v>41541</v>
      </c>
      <c r="B604" s="94">
        <v>3.84</v>
      </c>
      <c r="E604" s="96"/>
      <c r="F604" s="97"/>
      <c r="G604" s="96">
        <v>41549</v>
      </c>
      <c r="H604" s="97">
        <v>286.05</v>
      </c>
      <c r="I604" s="99">
        <f t="shared" si="9"/>
        <v>1.3427336498263998E-2</v>
      </c>
    </row>
    <row r="605" spans="1:9" ht="16">
      <c r="A605" s="161">
        <v>41542</v>
      </c>
      <c r="B605" s="94">
        <v>3.84</v>
      </c>
      <c r="E605" s="96"/>
      <c r="F605" s="97"/>
      <c r="G605" s="96">
        <v>41550</v>
      </c>
      <c r="H605" s="97">
        <v>287.55</v>
      </c>
      <c r="I605" s="99">
        <f t="shared" si="9"/>
        <v>5.2438384897746104E-3</v>
      </c>
    </row>
    <row r="606" spans="1:9" ht="16">
      <c r="A606" s="161">
        <v>41543</v>
      </c>
      <c r="B606" s="94">
        <v>3.89</v>
      </c>
      <c r="E606" s="96"/>
      <c r="F606" s="97"/>
      <c r="G606" s="96">
        <v>41551</v>
      </c>
      <c r="H606" s="97">
        <v>287.94</v>
      </c>
      <c r="I606" s="99">
        <f t="shared" si="9"/>
        <v>1.3562858633280328E-3</v>
      </c>
    </row>
    <row r="607" spans="1:9" ht="16">
      <c r="A607" s="161">
        <v>41544</v>
      </c>
      <c r="B607" s="94">
        <v>3.88</v>
      </c>
      <c r="E607" s="96"/>
      <c r="F607" s="97"/>
      <c r="G607" s="96">
        <v>41552</v>
      </c>
      <c r="H607" s="97">
        <v>288</v>
      </c>
      <c r="I607" s="99">
        <f t="shared" si="9"/>
        <v>2.0837674515528093E-4</v>
      </c>
    </row>
    <row r="608" spans="1:9" ht="16">
      <c r="A608" s="161">
        <v>41545</v>
      </c>
      <c r="B608" s="94">
        <v>3.86</v>
      </c>
      <c r="E608" s="96"/>
      <c r="F608" s="97"/>
      <c r="G608" s="96">
        <v>41555</v>
      </c>
      <c r="H608" s="97">
        <v>287.20999999999998</v>
      </c>
      <c r="I608" s="99">
        <f t="shared" si="9"/>
        <v>-2.7430555555556513E-3</v>
      </c>
    </row>
    <row r="609" spans="1:9" ht="16">
      <c r="A609" s="161">
        <v>41546</v>
      </c>
      <c r="B609" s="94">
        <v>3.89</v>
      </c>
      <c r="E609" s="96"/>
      <c r="F609" s="97"/>
      <c r="G609" s="96">
        <v>41556</v>
      </c>
      <c r="H609" s="97">
        <v>289.38</v>
      </c>
      <c r="I609" s="99">
        <f t="shared" si="9"/>
        <v>7.5554472337315826E-3</v>
      </c>
    </row>
    <row r="610" spans="1:9" ht="16">
      <c r="A610" s="161">
        <v>41548</v>
      </c>
      <c r="B610" s="94">
        <v>3.91</v>
      </c>
      <c r="E610" s="96"/>
      <c r="F610" s="97"/>
      <c r="G610" s="96">
        <v>41557</v>
      </c>
      <c r="H610" s="97">
        <v>289.82</v>
      </c>
      <c r="I610" s="99">
        <f t="shared" si="9"/>
        <v>1.5204920865297122E-3</v>
      </c>
    </row>
    <row r="611" spans="1:9" ht="16">
      <c r="A611" s="161">
        <v>41549</v>
      </c>
      <c r="B611" s="94">
        <v>3.9</v>
      </c>
      <c r="E611" s="96"/>
      <c r="F611" s="97"/>
      <c r="G611" s="96">
        <v>41558</v>
      </c>
      <c r="H611" s="97">
        <v>290.86</v>
      </c>
      <c r="I611" s="99">
        <f t="shared" si="9"/>
        <v>3.5884342005383374E-3</v>
      </c>
    </row>
    <row r="612" spans="1:9" ht="16">
      <c r="A612" s="161">
        <v>41550</v>
      </c>
      <c r="B612" s="94">
        <v>3.88</v>
      </c>
      <c r="E612" s="96"/>
      <c r="F612" s="97"/>
      <c r="G612" s="96">
        <v>41559</v>
      </c>
      <c r="H612" s="97">
        <v>292.14999999999998</v>
      </c>
      <c r="I612" s="99">
        <f t="shared" si="9"/>
        <v>4.4351234270783024E-3</v>
      </c>
    </row>
    <row r="613" spans="1:9" ht="16">
      <c r="A613" s="161">
        <v>41551</v>
      </c>
      <c r="B613" s="94">
        <v>3.88</v>
      </c>
      <c r="E613" s="96"/>
      <c r="F613" s="97"/>
      <c r="G613" s="96">
        <v>41562</v>
      </c>
      <c r="H613" s="97">
        <v>293.64999999999998</v>
      </c>
      <c r="I613" s="99">
        <f t="shared" si="9"/>
        <v>5.1343487934281118E-3</v>
      </c>
    </row>
    <row r="614" spans="1:9" ht="16">
      <c r="A614" s="161">
        <v>41552</v>
      </c>
      <c r="B614" s="94">
        <v>3.9</v>
      </c>
      <c r="E614" s="96"/>
      <c r="F614" s="97"/>
      <c r="G614" s="96">
        <v>41563</v>
      </c>
      <c r="H614" s="97">
        <v>291.76</v>
      </c>
      <c r="I614" s="99">
        <f t="shared" si="9"/>
        <v>-6.4362336114421881E-3</v>
      </c>
    </row>
    <row r="615" spans="1:9" ht="16">
      <c r="A615" s="161">
        <v>41555</v>
      </c>
      <c r="B615" s="94">
        <v>3.9</v>
      </c>
      <c r="E615" s="96"/>
      <c r="F615" s="97"/>
      <c r="G615" s="96">
        <v>41564</v>
      </c>
      <c r="H615" s="97">
        <v>292.02</v>
      </c>
      <c r="I615" s="99">
        <f t="shared" si="9"/>
        <v>8.9114340553875238E-4</v>
      </c>
    </row>
    <row r="616" spans="1:9" ht="16">
      <c r="A616" s="161">
        <v>41556</v>
      </c>
      <c r="B616" s="94">
        <v>3.89</v>
      </c>
      <c r="E616" s="96"/>
      <c r="F616" s="97"/>
      <c r="G616" s="96">
        <v>41565</v>
      </c>
      <c r="H616" s="97">
        <v>289.76</v>
      </c>
      <c r="I616" s="99">
        <f t="shared" si="9"/>
        <v>-7.7391959454831127E-3</v>
      </c>
    </row>
    <row r="617" spans="1:9" ht="16">
      <c r="A617" s="161">
        <v>41557</v>
      </c>
      <c r="B617" s="94">
        <v>3.88</v>
      </c>
      <c r="E617" s="96"/>
      <c r="F617" s="97"/>
      <c r="G617" s="96">
        <v>41566</v>
      </c>
      <c r="H617" s="97">
        <v>290.23</v>
      </c>
      <c r="I617" s="99">
        <f t="shared" si="9"/>
        <v>1.6220320265047938E-3</v>
      </c>
    </row>
    <row r="618" spans="1:9" ht="16">
      <c r="A618" s="161">
        <v>41558</v>
      </c>
      <c r="B618" s="94">
        <v>3.86</v>
      </c>
      <c r="E618" s="96"/>
      <c r="F618" s="97"/>
      <c r="G618" s="96">
        <v>41569</v>
      </c>
      <c r="H618" s="97">
        <v>289.10000000000002</v>
      </c>
      <c r="I618" s="99">
        <f t="shared" si="9"/>
        <v>-3.8934638045687864E-3</v>
      </c>
    </row>
    <row r="619" spans="1:9" ht="16">
      <c r="A619" s="161">
        <v>41559</v>
      </c>
      <c r="B619" s="94">
        <v>3.86</v>
      </c>
      <c r="E619" s="96"/>
      <c r="F619" s="97"/>
      <c r="G619" s="96">
        <v>41570</v>
      </c>
      <c r="H619" s="97">
        <v>288.41000000000003</v>
      </c>
      <c r="I619" s="99">
        <f t="shared" si="9"/>
        <v>-2.386717398823901E-3</v>
      </c>
    </row>
    <row r="620" spans="1:9" ht="16">
      <c r="A620" s="161">
        <v>41562</v>
      </c>
      <c r="B620" s="94">
        <v>3.86</v>
      </c>
      <c r="E620" s="96"/>
      <c r="F620" s="97"/>
      <c r="G620" s="96">
        <v>41571</v>
      </c>
      <c r="H620" s="97">
        <v>288.73</v>
      </c>
      <c r="I620" s="99">
        <f t="shared" si="9"/>
        <v>1.1095315696403318E-3</v>
      </c>
    </row>
    <row r="621" spans="1:9" ht="16">
      <c r="A621" s="161">
        <v>41563</v>
      </c>
      <c r="B621" s="94">
        <v>3.86</v>
      </c>
      <c r="E621" s="96"/>
      <c r="F621" s="97"/>
      <c r="G621" s="96">
        <v>41572</v>
      </c>
      <c r="H621" s="97">
        <v>287.48</v>
      </c>
      <c r="I621" s="99">
        <f t="shared" si="9"/>
        <v>-4.3293041942299437E-3</v>
      </c>
    </row>
    <row r="622" spans="1:9" ht="16">
      <c r="A622" s="161">
        <v>41564</v>
      </c>
      <c r="B622" s="94">
        <v>3.85</v>
      </c>
      <c r="E622" s="96"/>
      <c r="F622" s="97"/>
      <c r="G622" s="96">
        <v>41573</v>
      </c>
      <c r="H622" s="97">
        <v>287.54000000000002</v>
      </c>
      <c r="I622" s="99">
        <f t="shared" si="9"/>
        <v>2.0871017114232338E-4</v>
      </c>
    </row>
    <row r="623" spans="1:9" ht="16">
      <c r="A623" s="161">
        <v>41565</v>
      </c>
      <c r="B623" s="94">
        <v>3.84</v>
      </c>
      <c r="E623" s="96"/>
      <c r="F623" s="97"/>
      <c r="G623" s="96">
        <v>41576</v>
      </c>
      <c r="H623" s="97">
        <v>288.61</v>
      </c>
      <c r="I623" s="99">
        <f t="shared" si="9"/>
        <v>3.721221395284191E-3</v>
      </c>
    </row>
    <row r="624" spans="1:9" ht="16">
      <c r="A624" s="161">
        <v>41566</v>
      </c>
      <c r="B624" s="94">
        <v>3.88</v>
      </c>
      <c r="E624" s="96"/>
      <c r="F624" s="97"/>
      <c r="G624" s="96">
        <v>41577</v>
      </c>
      <c r="H624" s="97">
        <v>288.99</v>
      </c>
      <c r="I624" s="99">
        <f t="shared" si="9"/>
        <v>1.3166556945358732E-3</v>
      </c>
    </row>
    <row r="625" spans="1:9" ht="16">
      <c r="A625" s="161">
        <v>41569</v>
      </c>
      <c r="B625" s="94">
        <v>3.89</v>
      </c>
      <c r="E625" s="96"/>
      <c r="F625" s="97"/>
      <c r="G625" s="96">
        <v>41578</v>
      </c>
      <c r="H625" s="97">
        <v>290.7</v>
      </c>
      <c r="I625" s="99">
        <f t="shared" si="9"/>
        <v>5.9171597633136397E-3</v>
      </c>
    </row>
    <row r="626" spans="1:9" ht="16">
      <c r="A626" s="161">
        <v>41570</v>
      </c>
      <c r="B626" s="94">
        <v>3.89</v>
      </c>
      <c r="E626" s="96"/>
      <c r="F626" s="97"/>
      <c r="G626" s="96">
        <v>41579</v>
      </c>
      <c r="H626" s="97">
        <v>290.44</v>
      </c>
      <c r="I626" s="99">
        <f t="shared" si="9"/>
        <v>-8.9439284485726134E-4</v>
      </c>
    </row>
    <row r="627" spans="1:9" ht="16">
      <c r="A627" s="161">
        <v>41571</v>
      </c>
      <c r="B627" s="94">
        <v>3.91</v>
      </c>
      <c r="E627" s="96"/>
      <c r="F627" s="97"/>
      <c r="G627" s="96">
        <v>41580</v>
      </c>
      <c r="H627" s="97">
        <v>289.86</v>
      </c>
      <c r="I627" s="99">
        <f t="shared" si="9"/>
        <v>-1.9969701143092156E-3</v>
      </c>
    </row>
    <row r="628" spans="1:9" ht="16">
      <c r="A628" s="161">
        <v>41572</v>
      </c>
      <c r="B628" s="94">
        <v>3.9</v>
      </c>
      <c r="E628" s="96"/>
      <c r="F628" s="97"/>
      <c r="G628" s="96">
        <v>41583</v>
      </c>
      <c r="H628" s="97">
        <v>291.35000000000002</v>
      </c>
      <c r="I628" s="99">
        <f t="shared" si="9"/>
        <v>5.1404126129857008E-3</v>
      </c>
    </row>
    <row r="629" spans="1:9" ht="16">
      <c r="A629" s="161">
        <v>41573</v>
      </c>
      <c r="B629" s="94">
        <v>3.9</v>
      </c>
      <c r="E629" s="96"/>
      <c r="F629" s="97"/>
      <c r="G629" s="96">
        <v>41584</v>
      </c>
      <c r="H629" s="97">
        <v>291.91000000000003</v>
      </c>
      <c r="I629" s="99">
        <f t="shared" si="9"/>
        <v>1.92208683713746E-3</v>
      </c>
    </row>
    <row r="630" spans="1:9" ht="16">
      <c r="A630" s="161">
        <v>41576</v>
      </c>
      <c r="B630" s="94">
        <v>3.87</v>
      </c>
      <c r="E630" s="96"/>
      <c r="F630" s="97"/>
      <c r="G630" s="96">
        <v>41585</v>
      </c>
      <c r="H630" s="97">
        <v>292.04000000000002</v>
      </c>
      <c r="I630" s="99">
        <f t="shared" si="9"/>
        <v>4.4534274262608697E-4</v>
      </c>
    </row>
    <row r="631" spans="1:9" ht="16">
      <c r="A631" s="161">
        <v>41577</v>
      </c>
      <c r="B631" s="94">
        <v>3.93</v>
      </c>
      <c r="E631" s="96"/>
      <c r="F631" s="97"/>
      <c r="G631" s="96">
        <v>41586</v>
      </c>
      <c r="H631" s="97">
        <v>291.83999999999997</v>
      </c>
      <c r="I631" s="99">
        <f t="shared" si="9"/>
        <v>-6.8483769346683321E-4</v>
      </c>
    </row>
    <row r="632" spans="1:9" ht="16">
      <c r="A632" s="161">
        <v>41578</v>
      </c>
      <c r="B632" s="94">
        <v>3.94</v>
      </c>
      <c r="E632" s="96"/>
      <c r="F632" s="97"/>
      <c r="G632" s="96">
        <v>41587</v>
      </c>
      <c r="H632" s="97">
        <v>290.57</v>
      </c>
      <c r="I632" s="99">
        <f t="shared" si="9"/>
        <v>-4.3516995614034659E-3</v>
      </c>
    </row>
    <row r="633" spans="1:9" ht="16">
      <c r="A633" s="161">
        <v>41579</v>
      </c>
      <c r="B633" s="94">
        <v>3.93</v>
      </c>
      <c r="E633" s="96"/>
      <c r="F633" s="97"/>
      <c r="G633" s="96">
        <v>41590</v>
      </c>
      <c r="H633" s="97">
        <v>289.26</v>
      </c>
      <c r="I633" s="99">
        <f t="shared" si="9"/>
        <v>-4.5083800805313379E-3</v>
      </c>
    </row>
    <row r="634" spans="1:9" ht="16">
      <c r="A634" s="161">
        <v>41580</v>
      </c>
      <c r="B634" s="94">
        <v>3.97</v>
      </c>
      <c r="E634" s="96"/>
      <c r="F634" s="97"/>
      <c r="G634" s="96">
        <v>41591</v>
      </c>
      <c r="H634" s="97">
        <v>287.89</v>
      </c>
      <c r="I634" s="99">
        <f t="shared" si="9"/>
        <v>-4.7362234667772674E-3</v>
      </c>
    </row>
    <row r="635" spans="1:9" ht="16">
      <c r="A635" s="161">
        <v>41583</v>
      </c>
      <c r="B635" s="94">
        <v>3.96</v>
      </c>
      <c r="E635" s="96"/>
      <c r="F635" s="97"/>
      <c r="G635" s="96">
        <v>41592</v>
      </c>
      <c r="H635" s="97">
        <v>285.74</v>
      </c>
      <c r="I635" s="99">
        <f t="shared" si="9"/>
        <v>-7.4681301886135865E-3</v>
      </c>
    </row>
    <row r="636" spans="1:9" ht="16">
      <c r="A636" s="161">
        <v>41584</v>
      </c>
      <c r="B636" s="94">
        <v>3.98</v>
      </c>
      <c r="E636" s="96"/>
      <c r="F636" s="97"/>
      <c r="G636" s="96">
        <v>41593</v>
      </c>
      <c r="H636" s="97">
        <v>288.81</v>
      </c>
      <c r="I636" s="99">
        <f t="shared" si="9"/>
        <v>1.0744033037026535E-2</v>
      </c>
    </row>
    <row r="637" spans="1:9" ht="16">
      <c r="A637" s="161">
        <v>41585</v>
      </c>
      <c r="B637" s="94">
        <v>3.99</v>
      </c>
      <c r="E637" s="96"/>
      <c r="F637" s="97"/>
      <c r="G637" s="96">
        <v>41594</v>
      </c>
      <c r="H637" s="97">
        <v>291.7</v>
      </c>
      <c r="I637" s="99">
        <f t="shared" si="9"/>
        <v>1.0006578719573334E-2</v>
      </c>
    </row>
    <row r="638" spans="1:9" ht="16">
      <c r="A638" s="161">
        <v>41586</v>
      </c>
      <c r="B638" s="94">
        <v>4</v>
      </c>
      <c r="E638" s="96"/>
      <c r="F638" s="97"/>
      <c r="G638" s="96">
        <v>41597</v>
      </c>
      <c r="H638" s="97">
        <v>291.89</v>
      </c>
      <c r="I638" s="99">
        <f t="shared" si="9"/>
        <v>6.5135413095651629E-4</v>
      </c>
    </row>
    <row r="639" spans="1:9" ht="16">
      <c r="A639" s="161">
        <v>41587</v>
      </c>
      <c r="B639" s="94">
        <v>4.03</v>
      </c>
      <c r="E639" s="96"/>
      <c r="F639" s="97"/>
      <c r="G639" s="96">
        <v>41598</v>
      </c>
      <c r="H639" s="97">
        <v>295.54000000000002</v>
      </c>
      <c r="I639" s="99">
        <f t="shared" si="9"/>
        <v>1.250471067868042E-2</v>
      </c>
    </row>
    <row r="640" spans="1:9" ht="16">
      <c r="A640" s="161">
        <v>41590</v>
      </c>
      <c r="B640" s="94">
        <v>4.03</v>
      </c>
      <c r="E640" s="96"/>
      <c r="F640" s="97"/>
      <c r="G640" s="96">
        <v>41599</v>
      </c>
      <c r="H640" s="97">
        <v>296.69</v>
      </c>
      <c r="I640" s="99">
        <f t="shared" si="9"/>
        <v>3.8911822426743736E-3</v>
      </c>
    </row>
    <row r="641" spans="1:9" ht="16">
      <c r="A641" s="161">
        <v>41591</v>
      </c>
      <c r="B641" s="94">
        <v>4.03</v>
      </c>
      <c r="E641" s="96"/>
      <c r="F641" s="97"/>
      <c r="G641" s="96">
        <v>41600</v>
      </c>
      <c r="H641" s="97">
        <v>295.74</v>
      </c>
      <c r="I641" s="99">
        <f t="shared" si="9"/>
        <v>-3.2019953486803754E-3</v>
      </c>
    </row>
    <row r="642" spans="1:9" ht="16">
      <c r="A642" s="161">
        <v>41592</v>
      </c>
      <c r="B642" s="94">
        <v>4</v>
      </c>
      <c r="E642" s="96"/>
      <c r="F642" s="97"/>
      <c r="G642" s="96">
        <v>41601</v>
      </c>
      <c r="H642" s="97">
        <v>296.29000000000002</v>
      </c>
      <c r="I642" s="99">
        <f t="shared" si="9"/>
        <v>1.8597416649759335E-3</v>
      </c>
    </row>
    <row r="643" spans="1:9" ht="16">
      <c r="A643" s="161">
        <v>41593</v>
      </c>
      <c r="B643" s="94">
        <v>3.97</v>
      </c>
      <c r="E643" s="96"/>
      <c r="F643" s="97"/>
      <c r="G643" s="96">
        <v>41604</v>
      </c>
      <c r="H643" s="97">
        <v>294.92</v>
      </c>
      <c r="I643" s="99">
        <f t="shared" si="9"/>
        <v>-4.6238482567754202E-3</v>
      </c>
    </row>
    <row r="644" spans="1:9" ht="16">
      <c r="A644" s="161">
        <v>41594</v>
      </c>
      <c r="B644" s="94">
        <v>3.97</v>
      </c>
      <c r="E644" s="96"/>
      <c r="F644" s="97"/>
      <c r="G644" s="96">
        <v>41605</v>
      </c>
      <c r="H644" s="97">
        <v>295.08999999999997</v>
      </c>
      <c r="I644" s="99">
        <f t="shared" si="9"/>
        <v>5.7642750576403223E-4</v>
      </c>
    </row>
    <row r="645" spans="1:9" ht="16">
      <c r="A645" s="161">
        <v>41597</v>
      </c>
      <c r="B645" s="94">
        <v>3.96</v>
      </c>
      <c r="E645" s="96"/>
      <c r="F645" s="97"/>
      <c r="G645" s="96">
        <v>41606</v>
      </c>
      <c r="H645" s="97">
        <v>293.57</v>
      </c>
      <c r="I645" s="99">
        <f t="shared" si="9"/>
        <v>-5.1509708902368612E-3</v>
      </c>
    </row>
    <row r="646" spans="1:9" ht="16">
      <c r="A646" s="161">
        <v>41598</v>
      </c>
      <c r="B646" s="94">
        <v>3.98</v>
      </c>
      <c r="E646" s="96"/>
      <c r="F646" s="97"/>
      <c r="G646" s="96">
        <v>41607</v>
      </c>
      <c r="H646" s="97">
        <v>289.61</v>
      </c>
      <c r="I646" s="99">
        <f t="shared" si="9"/>
        <v>-1.3489116735361129E-2</v>
      </c>
    </row>
    <row r="647" spans="1:9" ht="16">
      <c r="A647" s="161">
        <v>41599</v>
      </c>
      <c r="B647" s="94">
        <v>3.96</v>
      </c>
      <c r="E647" s="96"/>
      <c r="F647" s="97"/>
      <c r="G647" s="96">
        <v>41608</v>
      </c>
      <c r="H647" s="97">
        <v>288.08</v>
      </c>
      <c r="I647" s="99">
        <f t="shared" si="9"/>
        <v>-5.2829667483859089E-3</v>
      </c>
    </row>
    <row r="648" spans="1:9" ht="16">
      <c r="A648" s="161">
        <v>41600</v>
      </c>
      <c r="B648" s="94">
        <v>3.96</v>
      </c>
      <c r="E648" s="96"/>
      <c r="F648" s="97"/>
      <c r="G648" s="96">
        <v>41611</v>
      </c>
      <c r="H648" s="97">
        <v>289.14</v>
      </c>
      <c r="I648" s="99">
        <f t="shared" si="9"/>
        <v>3.6795334629269316E-3</v>
      </c>
    </row>
    <row r="649" spans="1:9" ht="16">
      <c r="A649" s="161">
        <v>41601</v>
      </c>
      <c r="B649" s="94">
        <v>3.96</v>
      </c>
      <c r="E649" s="96"/>
      <c r="F649" s="97"/>
      <c r="G649" s="96">
        <v>41612</v>
      </c>
      <c r="H649" s="97">
        <v>287.83999999999997</v>
      </c>
      <c r="I649" s="99">
        <f t="shared" si="9"/>
        <v>-4.4960918586152143E-3</v>
      </c>
    </row>
    <row r="650" spans="1:9" ht="16">
      <c r="A650" s="161">
        <v>41604</v>
      </c>
      <c r="B650" s="94">
        <v>3.93</v>
      </c>
      <c r="E650" s="96"/>
      <c r="F650" s="97"/>
      <c r="G650" s="96">
        <v>41613</v>
      </c>
      <c r="H650" s="97">
        <v>284.08999999999997</v>
      </c>
      <c r="I650" s="99">
        <f t="shared" si="9"/>
        <v>-1.3028071150639198E-2</v>
      </c>
    </row>
    <row r="651" spans="1:9" ht="16">
      <c r="A651" s="161">
        <v>41605</v>
      </c>
      <c r="B651" s="94">
        <v>3.92</v>
      </c>
      <c r="E651" s="96"/>
      <c r="F651" s="97"/>
      <c r="G651" s="96">
        <v>41614</v>
      </c>
      <c r="H651" s="97">
        <v>283.88</v>
      </c>
      <c r="I651" s="99">
        <f t="shared" si="9"/>
        <v>-7.3920236544744444E-4</v>
      </c>
    </row>
    <row r="652" spans="1:9" ht="16">
      <c r="A652" s="161">
        <v>41606</v>
      </c>
      <c r="B652" s="94">
        <v>3.96</v>
      </c>
      <c r="E652" s="96"/>
      <c r="F652" s="97"/>
      <c r="G652" s="96">
        <v>41615</v>
      </c>
      <c r="H652" s="97">
        <v>286.56</v>
      </c>
      <c r="I652" s="99">
        <f t="shared" si="9"/>
        <v>9.4406087079048628E-3</v>
      </c>
    </row>
    <row r="653" spans="1:9" ht="16">
      <c r="A653" s="161">
        <v>41607</v>
      </c>
      <c r="B653" s="94">
        <v>3.91</v>
      </c>
      <c r="E653" s="96"/>
      <c r="F653" s="97"/>
      <c r="G653" s="96">
        <v>41618</v>
      </c>
      <c r="H653" s="97">
        <v>289.06</v>
      </c>
      <c r="I653" s="99">
        <f t="shared" si="9"/>
        <v>8.7241764377443687E-3</v>
      </c>
    </row>
    <row r="654" spans="1:9" ht="16">
      <c r="A654" s="161">
        <v>41608</v>
      </c>
      <c r="B654" s="94">
        <v>3.9</v>
      </c>
      <c r="E654" s="96"/>
      <c r="F654" s="97"/>
      <c r="G654" s="96">
        <v>41619</v>
      </c>
      <c r="H654" s="97">
        <v>286.97000000000003</v>
      </c>
      <c r="I654" s="99">
        <f t="shared" si="9"/>
        <v>-7.2303328028782143E-3</v>
      </c>
    </row>
    <row r="655" spans="1:9" ht="16">
      <c r="A655" s="161">
        <v>41611</v>
      </c>
      <c r="B655" s="94">
        <v>3.91</v>
      </c>
      <c r="E655" s="96"/>
      <c r="F655" s="97"/>
      <c r="G655" s="96">
        <v>41620</v>
      </c>
      <c r="H655" s="97">
        <v>288.51</v>
      </c>
      <c r="I655" s="99">
        <f t="shared" ref="I655:I718" si="10">H655/H654-1</f>
        <v>5.3664146077985198E-3</v>
      </c>
    </row>
    <row r="656" spans="1:9" ht="16">
      <c r="A656" s="161">
        <v>41612</v>
      </c>
      <c r="B656" s="94">
        <v>3.9</v>
      </c>
      <c r="E656" s="96"/>
      <c r="F656" s="97"/>
      <c r="G656" s="96">
        <v>41621</v>
      </c>
      <c r="H656" s="97">
        <v>289.33</v>
      </c>
      <c r="I656" s="99">
        <f t="shared" si="10"/>
        <v>2.8421891788845688E-3</v>
      </c>
    </row>
    <row r="657" spans="1:9" ht="16">
      <c r="A657" s="161">
        <v>41613</v>
      </c>
      <c r="B657" s="94">
        <v>3.89</v>
      </c>
      <c r="E657" s="96"/>
      <c r="F657" s="97"/>
      <c r="G657" s="96">
        <v>41622</v>
      </c>
      <c r="H657" s="97">
        <v>288.87</v>
      </c>
      <c r="I657" s="99">
        <f t="shared" si="10"/>
        <v>-1.5898800677426328E-3</v>
      </c>
    </row>
    <row r="658" spans="1:9" ht="16">
      <c r="A658" s="161">
        <v>41614</v>
      </c>
      <c r="B658" s="94">
        <v>3.91</v>
      </c>
      <c r="E658" s="96"/>
      <c r="F658" s="97"/>
      <c r="G658" s="96">
        <v>41625</v>
      </c>
      <c r="H658" s="97">
        <v>292.2</v>
      </c>
      <c r="I658" s="99">
        <f t="shared" si="10"/>
        <v>1.152767680963751E-2</v>
      </c>
    </row>
    <row r="659" spans="1:9" ht="16">
      <c r="A659" s="161">
        <v>41615</v>
      </c>
      <c r="B659" s="94">
        <v>3.92</v>
      </c>
      <c r="E659" s="96"/>
      <c r="F659" s="97"/>
      <c r="G659" s="96">
        <v>41626</v>
      </c>
      <c r="H659" s="97">
        <v>292.49</v>
      </c>
      <c r="I659" s="99">
        <f t="shared" si="10"/>
        <v>9.9247091033549673E-4</v>
      </c>
    </row>
    <row r="660" spans="1:9" ht="16">
      <c r="A660" s="161">
        <v>41618</v>
      </c>
      <c r="B660" s="94">
        <v>3.92</v>
      </c>
      <c r="E660" s="96"/>
      <c r="F660" s="97"/>
      <c r="G660" s="96">
        <v>41627</v>
      </c>
      <c r="H660" s="97">
        <v>292.94</v>
      </c>
      <c r="I660" s="99">
        <f t="shared" si="10"/>
        <v>1.5385141372354916E-3</v>
      </c>
    </row>
    <row r="661" spans="1:9" ht="16">
      <c r="A661" s="161">
        <v>41619</v>
      </c>
      <c r="B661" s="94">
        <v>3.94</v>
      </c>
      <c r="E661" s="96"/>
      <c r="F661" s="97"/>
      <c r="G661" s="96">
        <v>41628</v>
      </c>
      <c r="H661" s="97">
        <v>294.49</v>
      </c>
      <c r="I661" s="99">
        <f t="shared" si="10"/>
        <v>5.2911859083770718E-3</v>
      </c>
    </row>
    <row r="662" spans="1:9" ht="16">
      <c r="A662" s="161">
        <v>41620</v>
      </c>
      <c r="B662" s="94">
        <v>3.93</v>
      </c>
      <c r="E662" s="96"/>
      <c r="F662" s="97"/>
      <c r="G662" s="96">
        <v>41629</v>
      </c>
      <c r="H662" s="97">
        <v>295.97000000000003</v>
      </c>
      <c r="I662" s="99">
        <f t="shared" si="10"/>
        <v>5.0256375428707756E-3</v>
      </c>
    </row>
    <row r="663" spans="1:9" ht="16">
      <c r="A663" s="161">
        <v>41621</v>
      </c>
      <c r="B663" s="94">
        <v>3.92</v>
      </c>
      <c r="E663" s="96"/>
      <c r="F663" s="97"/>
      <c r="G663" s="96">
        <v>41632</v>
      </c>
      <c r="H663" s="97">
        <v>295.95</v>
      </c>
      <c r="I663" s="99">
        <f t="shared" si="10"/>
        <v>-6.7574416326099396E-5</v>
      </c>
    </row>
    <row r="664" spans="1:9" ht="16">
      <c r="A664" s="161">
        <v>41622</v>
      </c>
      <c r="B664" s="94">
        <v>3.92</v>
      </c>
      <c r="E664" s="96"/>
      <c r="F664" s="97"/>
      <c r="G664" s="96">
        <v>41633</v>
      </c>
      <c r="H664" s="97">
        <v>295.58999999999997</v>
      </c>
      <c r="I664" s="99">
        <f t="shared" si="10"/>
        <v>-1.2164216928535199E-3</v>
      </c>
    </row>
    <row r="665" spans="1:9" ht="16">
      <c r="A665" s="161">
        <v>41625</v>
      </c>
      <c r="B665" s="94">
        <v>3.93</v>
      </c>
      <c r="E665" s="96"/>
      <c r="F665" s="97"/>
      <c r="G665" s="96">
        <v>41634</v>
      </c>
      <c r="H665" s="97">
        <v>296.95999999999998</v>
      </c>
      <c r="I665" s="99">
        <f t="shared" si="10"/>
        <v>4.6347982002097332E-3</v>
      </c>
    </row>
    <row r="666" spans="1:9" ht="16">
      <c r="A666" s="161">
        <v>41626</v>
      </c>
      <c r="B666" s="94">
        <v>3.94</v>
      </c>
      <c r="E666" s="96"/>
      <c r="F666" s="97"/>
      <c r="G666" s="96">
        <v>41635</v>
      </c>
      <c r="H666" s="97">
        <v>298.8</v>
      </c>
      <c r="I666" s="99">
        <f t="shared" si="10"/>
        <v>6.196120689655249E-3</v>
      </c>
    </row>
    <row r="667" spans="1:9" ht="16">
      <c r="A667" s="161">
        <v>41627</v>
      </c>
      <c r="B667" s="94">
        <v>3.96</v>
      </c>
      <c r="E667" s="96"/>
      <c r="F667" s="97"/>
      <c r="G667" s="96">
        <v>41636</v>
      </c>
      <c r="H667" s="97">
        <v>300.33999999999997</v>
      </c>
      <c r="I667" s="99">
        <f t="shared" si="10"/>
        <v>5.1539491298526752E-3</v>
      </c>
    </row>
    <row r="668" spans="1:9" ht="16">
      <c r="A668" s="161">
        <v>41628</v>
      </c>
      <c r="B668" s="94">
        <v>3.97</v>
      </c>
      <c r="E668" s="96"/>
      <c r="F668" s="97"/>
      <c r="G668" s="96">
        <v>41639</v>
      </c>
      <c r="H668" s="97">
        <v>300.16000000000003</v>
      </c>
      <c r="I668" s="99">
        <f t="shared" si="10"/>
        <v>-5.9932076979407611E-4</v>
      </c>
    </row>
    <row r="669" spans="1:9" ht="16">
      <c r="A669" s="161">
        <v>41629</v>
      </c>
      <c r="B669" s="94">
        <v>3.97</v>
      </c>
      <c r="E669" s="96"/>
      <c r="F669" s="97"/>
      <c r="G669" s="96">
        <v>41640</v>
      </c>
      <c r="H669" s="97">
        <v>305.17</v>
      </c>
      <c r="I669" s="99">
        <f t="shared" si="10"/>
        <v>1.6691098081023314E-2</v>
      </c>
    </row>
    <row r="670" spans="1:9" ht="16">
      <c r="A670" s="161">
        <v>41632</v>
      </c>
      <c r="B670" s="195">
        <v>3.97</v>
      </c>
      <c r="E670" s="96"/>
      <c r="F670" s="97"/>
      <c r="G670" s="96">
        <v>41641</v>
      </c>
      <c r="H670" s="97">
        <v>306.92</v>
      </c>
      <c r="I670" s="99">
        <f t="shared" si="10"/>
        <v>5.7345086345315099E-3</v>
      </c>
    </row>
    <row r="671" spans="1:9" ht="16">
      <c r="A671" s="161">
        <v>41633</v>
      </c>
      <c r="B671" s="94">
        <v>3.97</v>
      </c>
      <c r="E671" s="96"/>
      <c r="F671" s="97"/>
      <c r="G671" s="96">
        <v>41642</v>
      </c>
      <c r="H671" s="97">
        <v>309.70999999999998</v>
      </c>
      <c r="I671" s="99">
        <f t="shared" si="10"/>
        <v>9.0903166949041214E-3</v>
      </c>
    </row>
    <row r="672" spans="1:9" ht="16">
      <c r="A672" s="161">
        <v>41634</v>
      </c>
      <c r="B672" s="94">
        <v>3.96</v>
      </c>
      <c r="E672" s="96"/>
      <c r="F672" s="97"/>
      <c r="G672" s="96">
        <v>41643</v>
      </c>
      <c r="H672" s="97">
        <v>311.49</v>
      </c>
      <c r="I672" s="99">
        <f t="shared" si="10"/>
        <v>5.7473120015498758E-3</v>
      </c>
    </row>
    <row r="673" spans="1:9" ht="16">
      <c r="A673" s="161">
        <v>41635</v>
      </c>
      <c r="B673" s="94">
        <v>3.95</v>
      </c>
      <c r="E673" s="96"/>
      <c r="F673" s="97"/>
      <c r="G673" s="96">
        <v>41646</v>
      </c>
      <c r="H673" s="97">
        <v>312.86</v>
      </c>
      <c r="I673" s="99">
        <f t="shared" si="10"/>
        <v>4.398215030980035E-3</v>
      </c>
    </row>
    <row r="674" spans="1:9" ht="16">
      <c r="A674" s="161">
        <v>41636</v>
      </c>
      <c r="B674" s="94">
        <v>3.95</v>
      </c>
      <c r="E674" s="96"/>
      <c r="F674" s="97"/>
      <c r="G674" s="96">
        <v>41647</v>
      </c>
      <c r="H674" s="97">
        <v>312.63</v>
      </c>
      <c r="I674" s="99">
        <f t="shared" si="10"/>
        <v>-7.3515310362470832E-4</v>
      </c>
    </row>
    <row r="675" spans="1:9" ht="16">
      <c r="A675" s="161">
        <v>41638</v>
      </c>
      <c r="B675" s="94">
        <v>3.75</v>
      </c>
      <c r="E675" s="96"/>
      <c r="F675" s="97"/>
      <c r="G675" s="96">
        <v>41648</v>
      </c>
      <c r="H675" s="97">
        <v>311.47000000000003</v>
      </c>
      <c r="I675" s="99">
        <f t="shared" si="10"/>
        <v>-3.7104564501166948E-3</v>
      </c>
    </row>
    <row r="676" spans="1:9" ht="16">
      <c r="A676" s="161">
        <v>41639</v>
      </c>
      <c r="B676" s="195">
        <v>3.75</v>
      </c>
      <c r="E676" s="96"/>
      <c r="F676" s="97"/>
      <c r="G676" s="96">
        <v>41649</v>
      </c>
      <c r="H676" s="97">
        <v>311.67</v>
      </c>
      <c r="I676" s="99">
        <f t="shared" si="10"/>
        <v>6.4211641570621758E-4</v>
      </c>
    </row>
    <row r="677" spans="1:9" ht="16">
      <c r="A677" s="161">
        <v>41640</v>
      </c>
      <c r="B677" s="94">
        <v>3.75</v>
      </c>
      <c r="E677" s="96"/>
      <c r="F677" s="97"/>
      <c r="G677" s="96">
        <v>41650</v>
      </c>
      <c r="H677" s="97">
        <v>314</v>
      </c>
      <c r="I677" s="99">
        <f t="shared" si="10"/>
        <v>7.4758558731990998E-3</v>
      </c>
    </row>
    <row r="678" spans="1:9" ht="16">
      <c r="A678" s="161">
        <v>41641</v>
      </c>
      <c r="B678" s="94">
        <v>3.74</v>
      </c>
      <c r="E678" s="96"/>
      <c r="F678" s="97"/>
      <c r="G678" s="96">
        <v>41653</v>
      </c>
      <c r="H678" s="97">
        <v>314.42</v>
      </c>
      <c r="I678" s="99">
        <f t="shared" si="10"/>
        <v>1.3375796178345389E-3</v>
      </c>
    </row>
    <row r="679" spans="1:9" ht="16">
      <c r="A679" s="161">
        <v>41642</v>
      </c>
      <c r="B679" s="94">
        <v>3.74</v>
      </c>
      <c r="E679" s="96"/>
      <c r="F679" s="97"/>
      <c r="G679" s="96">
        <v>41654</v>
      </c>
      <c r="H679" s="97">
        <v>315.63</v>
      </c>
      <c r="I679" s="99">
        <f t="shared" si="10"/>
        <v>3.8483557025634774E-3</v>
      </c>
    </row>
    <row r="680" spans="1:9" ht="16">
      <c r="A680" s="161">
        <v>41643</v>
      </c>
      <c r="B680" s="94">
        <v>3.74</v>
      </c>
      <c r="E680" s="96"/>
      <c r="F680" s="97"/>
      <c r="G680" s="96">
        <v>41655</v>
      </c>
      <c r="H680" s="97">
        <v>317.52999999999997</v>
      </c>
      <c r="I680" s="99">
        <f t="shared" si="10"/>
        <v>6.0197066185090353E-3</v>
      </c>
    </row>
    <row r="681" spans="1:9" ht="16">
      <c r="A681" s="161">
        <v>41646</v>
      </c>
      <c r="B681" s="94">
        <v>3.74</v>
      </c>
      <c r="E681" s="96"/>
      <c r="F681" s="97"/>
      <c r="G681" s="96">
        <v>41656</v>
      </c>
      <c r="H681" s="97">
        <v>318.77</v>
      </c>
      <c r="I681" s="99">
        <f t="shared" si="10"/>
        <v>3.9051428211507311E-3</v>
      </c>
    </row>
    <row r="682" spans="1:9" ht="16">
      <c r="A682" s="161">
        <v>41647</v>
      </c>
      <c r="B682" s="94">
        <v>3.76</v>
      </c>
      <c r="E682" s="96"/>
      <c r="F682" s="97"/>
      <c r="G682" s="96">
        <v>41657</v>
      </c>
      <c r="H682" s="97">
        <v>320.27999999999997</v>
      </c>
      <c r="I682" s="99">
        <f t="shared" si="10"/>
        <v>4.7369576810867287E-3</v>
      </c>
    </row>
    <row r="683" spans="1:9" ht="16">
      <c r="A683" s="161">
        <v>41648</v>
      </c>
      <c r="B683" s="94">
        <v>3.78</v>
      </c>
      <c r="E683" s="96"/>
      <c r="F683" s="97"/>
      <c r="G683" s="96">
        <v>41660</v>
      </c>
      <c r="H683" s="97">
        <v>322.77999999999997</v>
      </c>
      <c r="I683" s="99">
        <f t="shared" si="10"/>
        <v>7.8056700387161282E-3</v>
      </c>
    </row>
    <row r="684" spans="1:9" ht="16">
      <c r="A684" s="161">
        <v>41649</v>
      </c>
      <c r="B684" s="94">
        <v>3.77</v>
      </c>
      <c r="E684" s="96"/>
      <c r="F684" s="97"/>
      <c r="G684" s="96">
        <v>41661</v>
      </c>
      <c r="H684" s="97">
        <v>325.54000000000002</v>
      </c>
      <c r="I684" s="99">
        <f t="shared" si="10"/>
        <v>8.5507156577235843E-3</v>
      </c>
    </row>
    <row r="685" spans="1:9" ht="16">
      <c r="A685" s="161">
        <v>41650</v>
      </c>
      <c r="B685" s="94">
        <v>3.78</v>
      </c>
      <c r="E685" s="96"/>
      <c r="F685" s="97"/>
      <c r="G685" s="96">
        <v>41662</v>
      </c>
      <c r="H685" s="97">
        <v>327.77</v>
      </c>
      <c r="I685" s="99">
        <f t="shared" si="10"/>
        <v>6.8501566627756638E-3</v>
      </c>
    </row>
    <row r="686" spans="1:9" ht="16">
      <c r="A686" s="161">
        <v>41653</v>
      </c>
      <c r="B686" s="94">
        <v>3.78</v>
      </c>
      <c r="E686" s="96"/>
      <c r="F686" s="97"/>
      <c r="G686" s="96">
        <v>41663</v>
      </c>
      <c r="H686" s="97">
        <v>328.18</v>
      </c>
      <c r="I686" s="99">
        <f t="shared" si="10"/>
        <v>1.2508771394577067E-3</v>
      </c>
    </row>
    <row r="687" spans="1:9" ht="16">
      <c r="A687" s="161">
        <v>41654</v>
      </c>
      <c r="B687" s="94">
        <v>3.77</v>
      </c>
      <c r="E687" s="96"/>
      <c r="F687" s="97"/>
      <c r="G687" s="96">
        <v>41664</v>
      </c>
      <c r="H687" s="97">
        <v>330.88</v>
      </c>
      <c r="I687" s="99">
        <f t="shared" si="10"/>
        <v>8.227192394417715E-3</v>
      </c>
    </row>
    <row r="688" spans="1:9" ht="16">
      <c r="A688" s="161">
        <v>41655</v>
      </c>
      <c r="B688" s="94">
        <v>3.78</v>
      </c>
      <c r="E688" s="96"/>
      <c r="F688" s="97"/>
      <c r="G688" s="96">
        <v>41667</v>
      </c>
      <c r="H688" s="97">
        <v>328.97</v>
      </c>
      <c r="I688" s="99">
        <f t="shared" si="10"/>
        <v>-5.7724854932300618E-3</v>
      </c>
    </row>
    <row r="689" spans="1:9" ht="16">
      <c r="A689" s="161">
        <v>41656</v>
      </c>
      <c r="B689" s="94">
        <v>3.8</v>
      </c>
      <c r="E689" s="96"/>
      <c r="F689" s="97"/>
      <c r="G689" s="96">
        <v>41668</v>
      </c>
      <c r="H689" s="97">
        <v>324.38</v>
      </c>
      <c r="I689" s="99">
        <f t="shared" si="10"/>
        <v>-1.3952640058364052E-2</v>
      </c>
    </row>
    <row r="690" spans="1:9" ht="16">
      <c r="A690" s="161">
        <v>41657</v>
      </c>
      <c r="B690" s="94">
        <v>3.82</v>
      </c>
      <c r="E690" s="96"/>
      <c r="F690" s="97"/>
      <c r="G690" s="96">
        <v>41669</v>
      </c>
      <c r="H690" s="97">
        <v>326.02999999999997</v>
      </c>
      <c r="I690" s="99">
        <f t="shared" si="10"/>
        <v>5.0866267957332401E-3</v>
      </c>
    </row>
    <row r="691" spans="1:9" ht="16">
      <c r="A691" s="161">
        <v>41660</v>
      </c>
      <c r="B691" s="94">
        <v>3.83</v>
      </c>
      <c r="E691" s="96"/>
      <c r="F691" s="97"/>
      <c r="G691" s="96">
        <v>41670</v>
      </c>
      <c r="H691" s="97">
        <v>324.76</v>
      </c>
      <c r="I691" s="99">
        <f t="shared" si="10"/>
        <v>-3.895347053952003E-3</v>
      </c>
    </row>
    <row r="692" spans="1:9" ht="16">
      <c r="A692" s="161">
        <v>41661</v>
      </c>
      <c r="B692" s="94">
        <v>3.81</v>
      </c>
      <c r="E692" s="96"/>
      <c r="F692" s="97"/>
      <c r="G692" s="96">
        <v>41671</v>
      </c>
      <c r="H692" s="97">
        <v>320.61</v>
      </c>
      <c r="I692" s="99">
        <f t="shared" si="10"/>
        <v>-1.2778667323561921E-2</v>
      </c>
    </row>
    <row r="693" spans="1:9" ht="16">
      <c r="A693" s="161">
        <v>41662</v>
      </c>
      <c r="B693" s="94">
        <v>3.81</v>
      </c>
      <c r="E693" s="96"/>
      <c r="F693" s="97"/>
      <c r="G693" s="96">
        <v>41674</v>
      </c>
      <c r="H693" s="97">
        <v>315.41000000000003</v>
      </c>
      <c r="I693" s="99">
        <f t="shared" si="10"/>
        <v>-1.6219082374224092E-2</v>
      </c>
    </row>
    <row r="694" spans="1:9" ht="16">
      <c r="A694" s="161">
        <v>41663</v>
      </c>
      <c r="B694" s="94">
        <v>3.8</v>
      </c>
      <c r="E694" s="96"/>
      <c r="F694" s="97"/>
      <c r="G694" s="96">
        <v>41675</v>
      </c>
      <c r="H694" s="97">
        <v>306.3</v>
      </c>
      <c r="I694" s="99">
        <f t="shared" si="10"/>
        <v>-2.8883041121080533E-2</v>
      </c>
    </row>
    <row r="695" spans="1:9" ht="16">
      <c r="A695" s="161">
        <v>41664</v>
      </c>
      <c r="B695" s="94">
        <v>3.81</v>
      </c>
      <c r="E695" s="96"/>
      <c r="F695" s="97"/>
      <c r="G695" s="96">
        <v>41676</v>
      </c>
      <c r="H695" s="97">
        <v>306.58</v>
      </c>
      <c r="I695" s="99">
        <f t="shared" si="10"/>
        <v>9.1413646751536959E-4</v>
      </c>
    </row>
    <row r="696" spans="1:9" ht="16">
      <c r="A696" s="161">
        <v>41667</v>
      </c>
      <c r="B696" s="94">
        <v>3.85</v>
      </c>
      <c r="E696" s="96"/>
      <c r="F696" s="97"/>
      <c r="G696" s="96">
        <v>41677</v>
      </c>
      <c r="H696" s="97">
        <v>303.69</v>
      </c>
      <c r="I696" s="99">
        <f t="shared" si="10"/>
        <v>-9.4265770761301493E-3</v>
      </c>
    </row>
    <row r="697" spans="1:9" ht="16">
      <c r="A697" s="161">
        <v>41668</v>
      </c>
      <c r="B697" s="94">
        <v>3.86</v>
      </c>
      <c r="E697" s="96"/>
      <c r="F697" s="97"/>
      <c r="G697" s="96">
        <v>41678</v>
      </c>
      <c r="H697" s="97">
        <v>299.01</v>
      </c>
      <c r="I697" s="99">
        <f t="shared" si="10"/>
        <v>-1.5410451447199436E-2</v>
      </c>
    </row>
    <row r="698" spans="1:9" ht="16">
      <c r="A698" s="161">
        <v>41669</v>
      </c>
      <c r="B698" s="94">
        <v>3.88</v>
      </c>
      <c r="E698" s="96"/>
      <c r="F698" s="97"/>
      <c r="G698" s="96">
        <v>41681</v>
      </c>
      <c r="H698" s="97">
        <v>301.33</v>
      </c>
      <c r="I698" s="99">
        <f t="shared" si="10"/>
        <v>7.7589378281661681E-3</v>
      </c>
    </row>
    <row r="699" spans="1:9" ht="16">
      <c r="A699" s="161">
        <v>41670</v>
      </c>
      <c r="B699" s="94">
        <v>3.91</v>
      </c>
      <c r="E699" s="96"/>
      <c r="F699" s="97"/>
      <c r="G699" s="96">
        <v>41682</v>
      </c>
      <c r="H699" s="97">
        <v>303.83</v>
      </c>
      <c r="I699" s="99">
        <f t="shared" si="10"/>
        <v>8.2965519530082688E-3</v>
      </c>
    </row>
    <row r="700" spans="1:9" ht="16">
      <c r="A700" s="161">
        <v>41671</v>
      </c>
      <c r="B700" s="94">
        <v>3.94</v>
      </c>
      <c r="E700" s="96"/>
      <c r="F700" s="97"/>
      <c r="G700" s="96">
        <v>41683</v>
      </c>
      <c r="H700" s="97">
        <v>308.75</v>
      </c>
      <c r="I700" s="99">
        <f t="shared" si="10"/>
        <v>1.6193265971102377E-2</v>
      </c>
    </row>
    <row r="701" spans="1:9" ht="16">
      <c r="A701" s="161">
        <v>41674</v>
      </c>
      <c r="B701" s="94">
        <v>3.96</v>
      </c>
      <c r="E701" s="96"/>
      <c r="F701" s="97"/>
      <c r="G701" s="96">
        <v>41684</v>
      </c>
      <c r="H701" s="97">
        <v>313.55</v>
      </c>
      <c r="I701" s="99">
        <f t="shared" si="10"/>
        <v>1.5546558704453428E-2</v>
      </c>
    </row>
    <row r="702" spans="1:9" ht="16">
      <c r="A702" s="161">
        <v>41675</v>
      </c>
      <c r="B702" s="94">
        <v>3.95</v>
      </c>
      <c r="E702" s="96"/>
      <c r="F702" s="97"/>
      <c r="G702" s="96">
        <v>41685</v>
      </c>
      <c r="H702" s="97">
        <v>312.73</v>
      </c>
      <c r="I702" s="99">
        <f t="shared" si="10"/>
        <v>-2.6152128847073408E-3</v>
      </c>
    </row>
    <row r="703" spans="1:9" ht="16">
      <c r="A703" s="161">
        <v>41676</v>
      </c>
      <c r="B703" s="94">
        <v>3.95</v>
      </c>
      <c r="E703" s="96"/>
      <c r="F703" s="97"/>
      <c r="G703" s="96">
        <v>41688</v>
      </c>
      <c r="H703" s="97">
        <v>312.32</v>
      </c>
      <c r="I703" s="99">
        <f t="shared" si="10"/>
        <v>-1.311035078182532E-3</v>
      </c>
    </row>
    <row r="704" spans="1:9" ht="16">
      <c r="A704" s="161">
        <v>41677</v>
      </c>
      <c r="B704" s="94">
        <v>4.01</v>
      </c>
      <c r="E704" s="96"/>
      <c r="F704" s="97"/>
      <c r="G704" s="96">
        <v>41689</v>
      </c>
      <c r="H704" s="97">
        <v>311.25</v>
      </c>
      <c r="I704" s="99">
        <f t="shared" si="10"/>
        <v>-3.4259733606557541E-3</v>
      </c>
    </row>
    <row r="705" spans="1:9" ht="16">
      <c r="A705" s="161">
        <v>41678</v>
      </c>
      <c r="B705" s="94">
        <v>4.07</v>
      </c>
      <c r="E705" s="96"/>
      <c r="F705" s="97"/>
      <c r="G705" s="96">
        <v>41690</v>
      </c>
      <c r="H705" s="97">
        <v>315.44</v>
      </c>
      <c r="I705" s="99">
        <f t="shared" si="10"/>
        <v>1.3461847389558246E-2</v>
      </c>
    </row>
    <row r="706" spans="1:9" ht="16">
      <c r="A706" s="161">
        <v>41681</v>
      </c>
      <c r="B706" s="94">
        <v>4.05</v>
      </c>
      <c r="E706" s="96"/>
      <c r="F706" s="97"/>
      <c r="G706" s="96">
        <v>41691</v>
      </c>
      <c r="H706" s="97">
        <v>313.77</v>
      </c>
      <c r="I706" s="99">
        <f t="shared" si="10"/>
        <v>-5.2941922394116325E-3</v>
      </c>
    </row>
    <row r="707" spans="1:9" ht="16">
      <c r="A707" s="161">
        <v>41682</v>
      </c>
      <c r="B707" s="94">
        <v>4.05</v>
      </c>
      <c r="E707" s="96"/>
      <c r="F707" s="97"/>
      <c r="G707" s="96">
        <v>41692</v>
      </c>
      <c r="H707" s="97">
        <v>317.37</v>
      </c>
      <c r="I707" s="99">
        <f t="shared" si="10"/>
        <v>1.1473372215317079E-2</v>
      </c>
    </row>
    <row r="708" spans="1:9" ht="16">
      <c r="A708" s="161">
        <v>41683</v>
      </c>
      <c r="B708" s="94">
        <v>4.08</v>
      </c>
      <c r="E708" s="96"/>
      <c r="F708" s="97"/>
      <c r="G708" s="96">
        <v>41695</v>
      </c>
      <c r="H708" s="97">
        <v>318.49</v>
      </c>
      <c r="I708" s="99">
        <f t="shared" si="10"/>
        <v>3.5290040016384694E-3</v>
      </c>
    </row>
    <row r="709" spans="1:9" ht="16">
      <c r="A709" s="161">
        <v>41684</v>
      </c>
      <c r="B709" s="94">
        <v>4.09</v>
      </c>
      <c r="E709" s="96"/>
      <c r="F709" s="97"/>
      <c r="G709" s="96">
        <v>41696</v>
      </c>
      <c r="H709" s="97">
        <v>315.76</v>
      </c>
      <c r="I709" s="99">
        <f t="shared" si="10"/>
        <v>-8.5716976985149573E-3</v>
      </c>
    </row>
    <row r="710" spans="1:9" ht="16">
      <c r="A710" s="161">
        <v>41685</v>
      </c>
      <c r="B710" s="94">
        <v>4.0599999999999996</v>
      </c>
      <c r="E710" s="96"/>
      <c r="F710" s="97"/>
      <c r="G710" s="96">
        <v>41697</v>
      </c>
      <c r="H710" s="97">
        <v>312.22000000000003</v>
      </c>
      <c r="I710" s="99">
        <f t="shared" si="10"/>
        <v>-1.1211046364327237E-2</v>
      </c>
    </row>
    <row r="711" spans="1:9" ht="16">
      <c r="A711" s="161">
        <v>41688</v>
      </c>
      <c r="B711" s="94">
        <v>4.0599999999999996</v>
      </c>
      <c r="E711" s="96"/>
      <c r="F711" s="97"/>
      <c r="G711" s="96">
        <v>41698</v>
      </c>
      <c r="H711" s="97">
        <v>311.47000000000003</v>
      </c>
      <c r="I711" s="99">
        <f t="shared" si="10"/>
        <v>-2.4021523284862845E-3</v>
      </c>
    </row>
    <row r="712" spans="1:9" ht="16">
      <c r="A712" s="161">
        <v>41689</v>
      </c>
      <c r="B712" s="94">
        <v>4.09</v>
      </c>
      <c r="E712" s="96"/>
      <c r="F712" s="97"/>
      <c r="G712" s="96">
        <v>41699</v>
      </c>
      <c r="H712" s="97">
        <v>309.06</v>
      </c>
      <c r="I712" s="99">
        <f t="shared" si="10"/>
        <v>-7.7375028092594444E-3</v>
      </c>
    </row>
    <row r="713" spans="1:9" ht="16">
      <c r="A713" s="161">
        <v>41690</v>
      </c>
      <c r="B713" s="94">
        <v>4.09</v>
      </c>
      <c r="E713" s="96"/>
      <c r="F713" s="97"/>
      <c r="G713" s="96">
        <v>41702</v>
      </c>
      <c r="H713" s="97">
        <v>307.72000000000003</v>
      </c>
      <c r="I713" s="99">
        <f t="shared" si="10"/>
        <v>-4.3357276904160136E-3</v>
      </c>
    </row>
    <row r="714" spans="1:9" ht="16">
      <c r="A714" s="161">
        <v>41691</v>
      </c>
      <c r="B714" s="94">
        <v>4.0999999999999996</v>
      </c>
      <c r="E714" s="96"/>
      <c r="F714" s="97"/>
      <c r="G714" s="96">
        <v>41703</v>
      </c>
      <c r="H714" s="97">
        <v>311.29000000000002</v>
      </c>
      <c r="I714" s="99">
        <f t="shared" si="10"/>
        <v>1.1601455868971877E-2</v>
      </c>
    </row>
    <row r="715" spans="1:9" ht="16">
      <c r="A715" s="161">
        <v>41692</v>
      </c>
      <c r="B715" s="94">
        <v>4.09</v>
      </c>
      <c r="E715" s="96"/>
      <c r="F715" s="97"/>
      <c r="G715" s="96">
        <v>41704</v>
      </c>
      <c r="H715" s="97">
        <v>309.49</v>
      </c>
      <c r="I715" s="99">
        <f t="shared" si="10"/>
        <v>-5.7823894118025354E-3</v>
      </c>
    </row>
    <row r="716" spans="1:9" ht="16">
      <c r="A716" s="161">
        <v>41695</v>
      </c>
      <c r="B716" s="94">
        <v>4.0599999999999996</v>
      </c>
      <c r="E716" s="96"/>
      <c r="F716" s="97"/>
      <c r="G716" s="96">
        <v>41705</v>
      </c>
      <c r="H716" s="97">
        <v>310.54000000000002</v>
      </c>
      <c r="I716" s="99">
        <f t="shared" si="10"/>
        <v>3.3926782771656061E-3</v>
      </c>
    </row>
    <row r="717" spans="1:9" ht="16">
      <c r="A717" s="161">
        <v>41696</v>
      </c>
      <c r="B717" s="94">
        <v>4.0599999999999996</v>
      </c>
      <c r="E717" s="96"/>
      <c r="F717" s="97"/>
      <c r="G717" s="96">
        <v>41706</v>
      </c>
      <c r="H717" s="97">
        <v>313.27999999999997</v>
      </c>
      <c r="I717" s="99">
        <f t="shared" si="10"/>
        <v>8.8233399884072305E-3</v>
      </c>
    </row>
    <row r="718" spans="1:9" ht="16">
      <c r="A718" s="161">
        <v>41697</v>
      </c>
      <c r="B718" s="94">
        <v>4.1100000000000003</v>
      </c>
      <c r="E718" s="96"/>
      <c r="F718" s="97"/>
      <c r="G718" s="96">
        <v>41709</v>
      </c>
      <c r="H718" s="97">
        <v>316.83</v>
      </c>
      <c r="I718" s="99">
        <f t="shared" si="10"/>
        <v>1.1331716036772299E-2</v>
      </c>
    </row>
    <row r="719" spans="1:9" ht="16">
      <c r="A719" s="161">
        <v>41698</v>
      </c>
      <c r="B719" s="94">
        <v>4.1100000000000003</v>
      </c>
      <c r="E719" s="96"/>
      <c r="F719" s="97"/>
      <c r="G719" s="96">
        <v>41710</v>
      </c>
      <c r="H719" s="97">
        <v>316.91000000000003</v>
      </c>
      <c r="I719" s="99">
        <f t="shared" ref="I719:I782" si="11">H719/H718-1</f>
        <v>2.5250134141341363E-4</v>
      </c>
    </row>
    <row r="720" spans="1:9" ht="16">
      <c r="A720" s="161">
        <v>41699</v>
      </c>
      <c r="B720" s="94">
        <v>4.1100000000000003</v>
      </c>
      <c r="E720" s="96"/>
      <c r="F720" s="97"/>
      <c r="G720" s="96">
        <v>41711</v>
      </c>
      <c r="H720" s="97">
        <v>315.51</v>
      </c>
      <c r="I720" s="99">
        <f t="shared" si="11"/>
        <v>-4.4176580101606966E-3</v>
      </c>
    </row>
    <row r="721" spans="1:9" ht="16">
      <c r="A721" s="161">
        <v>41702</v>
      </c>
      <c r="B721" s="94">
        <v>4.0999999999999996</v>
      </c>
      <c r="E721" s="96"/>
      <c r="F721" s="97"/>
      <c r="G721" s="96">
        <v>41712</v>
      </c>
      <c r="H721" s="97">
        <v>314.89</v>
      </c>
      <c r="I721" s="99">
        <f t="shared" si="11"/>
        <v>-1.965072422427161E-3</v>
      </c>
    </row>
    <row r="722" spans="1:9" ht="16">
      <c r="A722" s="161">
        <v>41703</v>
      </c>
      <c r="B722" s="94">
        <v>4.1100000000000003</v>
      </c>
      <c r="E722" s="96"/>
      <c r="F722" s="97"/>
      <c r="G722" s="96">
        <v>41713</v>
      </c>
      <c r="H722" s="97">
        <v>313.88</v>
      </c>
      <c r="I722" s="99">
        <f t="shared" si="11"/>
        <v>-3.2074692749849421E-3</v>
      </c>
    </row>
    <row r="723" spans="1:9" ht="16">
      <c r="A723" s="161">
        <v>41704</v>
      </c>
      <c r="B723" s="94">
        <v>4.12</v>
      </c>
      <c r="E723" s="96"/>
      <c r="F723" s="97"/>
      <c r="G723" s="96">
        <v>41716</v>
      </c>
      <c r="H723" s="97">
        <v>311.68</v>
      </c>
      <c r="I723" s="99">
        <f t="shared" si="11"/>
        <v>-7.0090480438383951E-3</v>
      </c>
    </row>
    <row r="724" spans="1:9" ht="16">
      <c r="A724" s="161">
        <v>41705</v>
      </c>
      <c r="B724" s="94">
        <v>4.12</v>
      </c>
      <c r="E724" s="96"/>
      <c r="F724" s="97"/>
      <c r="G724" s="96">
        <v>41717</v>
      </c>
      <c r="H724" s="97">
        <v>312.77</v>
      </c>
      <c r="I724" s="99">
        <f t="shared" si="11"/>
        <v>3.4971765913756059E-3</v>
      </c>
    </row>
    <row r="725" spans="1:9" ht="16">
      <c r="A725" s="161">
        <v>41706</v>
      </c>
      <c r="B725" s="94">
        <v>4.13</v>
      </c>
      <c r="E725" s="96"/>
      <c r="F725" s="97"/>
      <c r="G725" s="96">
        <v>41718</v>
      </c>
      <c r="H725" s="97">
        <v>313.02</v>
      </c>
      <c r="I725" s="99">
        <f t="shared" si="11"/>
        <v>7.9930939668115819E-4</v>
      </c>
    </row>
    <row r="726" spans="1:9" ht="16">
      <c r="A726" s="161">
        <v>41709</v>
      </c>
      <c r="B726" s="94">
        <v>4.13</v>
      </c>
      <c r="E726" s="96"/>
      <c r="F726" s="97"/>
      <c r="G726" s="96">
        <v>41719</v>
      </c>
      <c r="H726" s="97">
        <v>309.33999999999997</v>
      </c>
      <c r="I726" s="99">
        <f t="shared" si="11"/>
        <v>-1.1756437288352184E-2</v>
      </c>
    </row>
    <row r="727" spans="1:9" ht="16">
      <c r="A727" s="161">
        <v>41710</v>
      </c>
      <c r="B727" s="94">
        <v>4.12</v>
      </c>
      <c r="E727" s="96"/>
      <c r="F727" s="97"/>
      <c r="G727" s="96">
        <v>41720</v>
      </c>
      <c r="H727" s="97">
        <v>304.42</v>
      </c>
      <c r="I727" s="99">
        <f t="shared" si="11"/>
        <v>-1.5904829637292117E-2</v>
      </c>
    </row>
    <row r="728" spans="1:9" ht="16">
      <c r="A728" s="161">
        <v>41711</v>
      </c>
      <c r="B728" s="94">
        <v>4.12</v>
      </c>
      <c r="E728" s="96"/>
      <c r="F728" s="97"/>
      <c r="G728" s="96">
        <v>41723</v>
      </c>
      <c r="H728" s="97">
        <v>306.98</v>
      </c>
      <c r="I728" s="99">
        <f t="shared" si="11"/>
        <v>8.4094343341436506E-3</v>
      </c>
    </row>
    <row r="729" spans="1:9" ht="16">
      <c r="A729" s="161">
        <v>41712</v>
      </c>
      <c r="B729" s="94">
        <v>4.13</v>
      </c>
      <c r="E729" s="96"/>
      <c r="F729" s="97"/>
      <c r="G729" s="96">
        <v>41724</v>
      </c>
      <c r="H729" s="97">
        <v>307.33999999999997</v>
      </c>
      <c r="I729" s="99">
        <f t="shared" si="11"/>
        <v>1.1727148348426031E-3</v>
      </c>
    </row>
    <row r="730" spans="1:9" ht="16">
      <c r="A730" s="161">
        <v>41713</v>
      </c>
      <c r="B730" s="94">
        <v>4.13</v>
      </c>
      <c r="E730" s="96"/>
      <c r="F730" s="97"/>
      <c r="G730" s="96">
        <v>41725</v>
      </c>
      <c r="H730" s="97">
        <v>301.98</v>
      </c>
      <c r="I730" s="99">
        <f t="shared" si="11"/>
        <v>-1.7439968764234925E-2</v>
      </c>
    </row>
    <row r="731" spans="1:9" ht="16">
      <c r="A731" s="161">
        <v>41716</v>
      </c>
      <c r="B731" s="94">
        <v>4.16</v>
      </c>
      <c r="E731" s="96"/>
      <c r="F731" s="97"/>
      <c r="G731" s="96">
        <v>41726</v>
      </c>
      <c r="H731" s="97">
        <v>303.39999999999998</v>
      </c>
      <c r="I731" s="99">
        <f t="shared" si="11"/>
        <v>4.7022981654412099E-3</v>
      </c>
    </row>
    <row r="732" spans="1:9" ht="16">
      <c r="A732" s="161">
        <v>41717</v>
      </c>
      <c r="B732" s="94">
        <v>4.18</v>
      </c>
      <c r="E732" s="96"/>
      <c r="F732" s="97"/>
      <c r="G732" s="96">
        <v>41727</v>
      </c>
      <c r="H732" s="97">
        <v>303.75</v>
      </c>
      <c r="I732" s="99">
        <f t="shared" si="11"/>
        <v>1.1535926170074262E-3</v>
      </c>
    </row>
    <row r="733" spans="1:9" ht="16">
      <c r="A733" s="161">
        <v>41718</v>
      </c>
      <c r="B733" s="94">
        <v>4.2</v>
      </c>
      <c r="E733" s="96"/>
      <c r="F733" s="97"/>
      <c r="G733" s="96">
        <v>41730</v>
      </c>
      <c r="H733" s="97">
        <v>303.35000000000002</v>
      </c>
      <c r="I733" s="99">
        <f t="shared" si="11"/>
        <v>-1.3168724279835065E-3</v>
      </c>
    </row>
    <row r="734" spans="1:9" ht="16">
      <c r="A734" s="161">
        <v>41719</v>
      </c>
      <c r="B734" s="94">
        <v>4.18</v>
      </c>
      <c r="E734" s="96"/>
      <c r="F734" s="97"/>
      <c r="G734" s="96">
        <v>41731</v>
      </c>
      <c r="H734" s="97">
        <v>303.69</v>
      </c>
      <c r="I734" s="99">
        <f t="shared" si="11"/>
        <v>1.1208175374979312E-3</v>
      </c>
    </row>
    <row r="735" spans="1:9" ht="16">
      <c r="A735" s="161">
        <v>41720</v>
      </c>
      <c r="B735" s="94">
        <v>4.1900000000000004</v>
      </c>
      <c r="E735" s="96"/>
      <c r="F735" s="97"/>
      <c r="G735" s="96">
        <v>41732</v>
      </c>
      <c r="H735" s="97">
        <v>300.43</v>
      </c>
      <c r="I735" s="99">
        <f t="shared" si="11"/>
        <v>-1.0734630708946646E-2</v>
      </c>
    </row>
    <row r="736" spans="1:9" ht="16">
      <c r="A736" s="161">
        <v>41723</v>
      </c>
      <c r="B736" s="94">
        <v>4.2</v>
      </c>
      <c r="E736" s="96"/>
      <c r="F736" s="97"/>
      <c r="G736" s="96">
        <v>41733</v>
      </c>
      <c r="H736" s="97">
        <v>302.97000000000003</v>
      </c>
      <c r="I736" s="99">
        <f t="shared" si="11"/>
        <v>8.4545484805114146E-3</v>
      </c>
    </row>
    <row r="737" spans="1:9" ht="16">
      <c r="A737" s="161">
        <v>41724</v>
      </c>
      <c r="B737" s="94">
        <v>4.18</v>
      </c>
      <c r="E737" s="96"/>
      <c r="F737" s="97"/>
      <c r="G737" s="96">
        <v>41734</v>
      </c>
      <c r="H737" s="97">
        <v>302.49</v>
      </c>
      <c r="I737" s="99">
        <f t="shared" si="11"/>
        <v>-1.584315278740478E-3</v>
      </c>
    </row>
    <row r="738" spans="1:9" ht="16">
      <c r="A738" s="161">
        <v>41725</v>
      </c>
      <c r="B738" s="94">
        <v>4.17</v>
      </c>
      <c r="E738" s="96"/>
      <c r="F738" s="97"/>
      <c r="G738" s="96">
        <v>41737</v>
      </c>
      <c r="H738" s="97">
        <v>302.18</v>
      </c>
      <c r="I738" s="99">
        <f t="shared" si="11"/>
        <v>-1.0248272670171366E-3</v>
      </c>
    </row>
    <row r="739" spans="1:9" ht="16">
      <c r="A739" s="161">
        <v>41726</v>
      </c>
      <c r="B739" s="94">
        <v>4.16</v>
      </c>
      <c r="E739" s="96"/>
      <c r="F739" s="97"/>
      <c r="G739" s="96">
        <v>41738</v>
      </c>
      <c r="H739" s="97">
        <v>305.39999999999998</v>
      </c>
      <c r="I739" s="99">
        <f t="shared" si="11"/>
        <v>1.06559004566813E-2</v>
      </c>
    </row>
    <row r="740" spans="1:9" ht="16">
      <c r="A740" s="161">
        <v>41727</v>
      </c>
      <c r="B740" s="195">
        <v>4.16</v>
      </c>
      <c r="E740" s="96"/>
      <c r="F740" s="97"/>
      <c r="G740" s="96">
        <v>41739</v>
      </c>
      <c r="H740" s="97">
        <v>305.60000000000002</v>
      </c>
      <c r="I740" s="99">
        <f t="shared" si="11"/>
        <v>6.548788474134426E-4</v>
      </c>
    </row>
    <row r="741" spans="1:9" ht="16">
      <c r="A741" s="161">
        <v>41728</v>
      </c>
      <c r="B741" s="94">
        <v>4.12</v>
      </c>
      <c r="E741" s="96"/>
      <c r="F741" s="97"/>
      <c r="G741" s="96">
        <v>41740</v>
      </c>
      <c r="H741" s="97">
        <v>306.08</v>
      </c>
      <c r="I741" s="99">
        <f t="shared" si="11"/>
        <v>1.5706806282720365E-3</v>
      </c>
    </row>
    <row r="742" spans="1:9" ht="16">
      <c r="A742" s="161">
        <v>41730</v>
      </c>
      <c r="B742" s="94">
        <v>4.13</v>
      </c>
      <c r="E742" s="96"/>
      <c r="F742" s="97"/>
      <c r="G742" s="96">
        <v>41741</v>
      </c>
      <c r="H742" s="97">
        <v>304.18</v>
      </c>
      <c r="I742" s="99">
        <f t="shared" si="11"/>
        <v>-6.2075274438054828E-3</v>
      </c>
    </row>
    <row r="743" spans="1:9" ht="16">
      <c r="A743" s="161">
        <v>41731</v>
      </c>
      <c r="B743" s="94">
        <v>4.12</v>
      </c>
      <c r="E743" s="96"/>
      <c r="F743" s="97"/>
      <c r="G743" s="96">
        <v>41744</v>
      </c>
      <c r="H743" s="97">
        <v>302.32</v>
      </c>
      <c r="I743" s="99">
        <f t="shared" si="11"/>
        <v>-6.1148004471037742E-3</v>
      </c>
    </row>
    <row r="744" spans="1:9" ht="16">
      <c r="A744" s="161">
        <v>41732</v>
      </c>
      <c r="B744" s="94">
        <v>4.12</v>
      </c>
      <c r="E744" s="96"/>
      <c r="F744" s="97"/>
      <c r="G744" s="96">
        <v>41745</v>
      </c>
      <c r="H744" s="97">
        <v>302.36</v>
      </c>
      <c r="I744" s="99">
        <f t="shared" si="11"/>
        <v>1.3231013495640376E-4</v>
      </c>
    </row>
    <row r="745" spans="1:9" ht="16">
      <c r="A745" s="161">
        <v>41733</v>
      </c>
      <c r="B745" s="94">
        <v>4.12</v>
      </c>
      <c r="E745" s="96"/>
      <c r="F745" s="97"/>
      <c r="G745" s="96">
        <v>41746</v>
      </c>
      <c r="H745" s="97">
        <v>304.91000000000003</v>
      </c>
      <c r="I745" s="99">
        <f t="shared" si="11"/>
        <v>8.4336552454029601E-3</v>
      </c>
    </row>
    <row r="746" spans="1:9" ht="16">
      <c r="A746" s="161">
        <v>41734</v>
      </c>
      <c r="B746" s="94">
        <v>4.1100000000000003</v>
      </c>
      <c r="E746" s="96"/>
      <c r="F746" s="97"/>
      <c r="G746" s="96">
        <v>41747</v>
      </c>
      <c r="H746" s="97">
        <v>306.54000000000002</v>
      </c>
      <c r="I746" s="99">
        <f t="shared" si="11"/>
        <v>5.3458397559935644E-3</v>
      </c>
    </row>
    <row r="747" spans="1:9" ht="16">
      <c r="A747" s="161">
        <v>41737</v>
      </c>
      <c r="B747" s="94">
        <v>4.13</v>
      </c>
      <c r="E747" s="96"/>
      <c r="F747" s="97"/>
      <c r="G747" s="96">
        <v>41748</v>
      </c>
      <c r="H747" s="97">
        <v>302.93</v>
      </c>
      <c r="I747" s="99">
        <f t="shared" si="11"/>
        <v>-1.1776603379656914E-2</v>
      </c>
    </row>
    <row r="748" spans="1:9" ht="16">
      <c r="A748" s="161">
        <v>41738</v>
      </c>
      <c r="B748" s="94">
        <v>4.16</v>
      </c>
      <c r="E748" s="96"/>
      <c r="F748" s="97"/>
      <c r="G748" s="96">
        <v>41751</v>
      </c>
      <c r="H748" s="97">
        <v>300.10000000000002</v>
      </c>
      <c r="I748" s="99">
        <f t="shared" si="11"/>
        <v>-9.3420922325289091E-3</v>
      </c>
    </row>
    <row r="749" spans="1:9" ht="16">
      <c r="A749" s="161">
        <v>41739</v>
      </c>
      <c r="B749" s="94">
        <v>4.16</v>
      </c>
      <c r="E749" s="96"/>
      <c r="F749" s="97"/>
      <c r="G749" s="96">
        <v>41752</v>
      </c>
      <c r="H749" s="97">
        <v>299.70999999999998</v>
      </c>
      <c r="I749" s="99">
        <f t="shared" si="11"/>
        <v>-1.2995668110631353E-3</v>
      </c>
    </row>
    <row r="750" spans="1:9" ht="16">
      <c r="A750" s="161">
        <v>41740</v>
      </c>
      <c r="B750" s="94">
        <v>4.16</v>
      </c>
      <c r="E750" s="96"/>
      <c r="F750" s="97"/>
      <c r="G750" s="96">
        <v>41753</v>
      </c>
      <c r="H750" s="97">
        <v>296.04000000000002</v>
      </c>
      <c r="I750" s="99">
        <f t="shared" si="11"/>
        <v>-1.224517033132011E-2</v>
      </c>
    </row>
    <row r="751" spans="1:9" ht="16">
      <c r="A751" s="161">
        <v>41741</v>
      </c>
      <c r="B751" s="94">
        <v>4.17</v>
      </c>
      <c r="E751" s="96"/>
      <c r="F751" s="97"/>
      <c r="G751" s="96">
        <v>41754</v>
      </c>
      <c r="H751" s="97">
        <v>296.43</v>
      </c>
      <c r="I751" s="99">
        <f t="shared" si="11"/>
        <v>1.3173895419538173E-3</v>
      </c>
    </row>
    <row r="752" spans="1:9" ht="16">
      <c r="A752" s="161">
        <v>41744</v>
      </c>
      <c r="B752" s="94">
        <v>4.1900000000000004</v>
      </c>
      <c r="E752" s="96"/>
      <c r="F752" s="97"/>
      <c r="G752" s="96">
        <v>41755</v>
      </c>
      <c r="H752" s="97">
        <v>299.12</v>
      </c>
      <c r="I752" s="99">
        <f t="shared" si="11"/>
        <v>9.0746550619034139E-3</v>
      </c>
    </row>
    <row r="753" spans="1:9" ht="16">
      <c r="A753" s="161">
        <v>41745</v>
      </c>
      <c r="B753" s="94">
        <v>4.1900000000000004</v>
      </c>
      <c r="E753" s="96"/>
      <c r="F753" s="97"/>
      <c r="G753" s="96">
        <v>41758</v>
      </c>
      <c r="H753" s="97">
        <v>300.81</v>
      </c>
      <c r="I753" s="99">
        <f t="shared" si="11"/>
        <v>5.6499063920834036E-3</v>
      </c>
    </row>
    <row r="754" spans="1:9" ht="16">
      <c r="A754" s="161">
        <v>41746</v>
      </c>
      <c r="B754" s="94">
        <v>4.1900000000000004</v>
      </c>
      <c r="E754" s="96"/>
      <c r="F754" s="97"/>
      <c r="G754" s="96">
        <v>41759</v>
      </c>
      <c r="H754" s="97">
        <v>300.24</v>
      </c>
      <c r="I754" s="99">
        <f t="shared" si="11"/>
        <v>-1.8948838137029522E-3</v>
      </c>
    </row>
    <row r="755" spans="1:9" ht="16">
      <c r="A755" s="161">
        <v>41747</v>
      </c>
      <c r="B755" s="94">
        <v>4.22</v>
      </c>
      <c r="E755" s="96"/>
      <c r="F755" s="97"/>
      <c r="G755" s="96">
        <v>41760</v>
      </c>
      <c r="H755" s="97">
        <v>297.97000000000003</v>
      </c>
      <c r="I755" s="99">
        <f t="shared" si="11"/>
        <v>-7.5606181721289412E-3</v>
      </c>
    </row>
    <row r="756" spans="1:9" ht="16">
      <c r="A756" s="161">
        <v>41748</v>
      </c>
      <c r="B756" s="94">
        <v>4.25</v>
      </c>
      <c r="E756" s="96"/>
      <c r="F756" s="97"/>
      <c r="G756" s="96">
        <v>41761</v>
      </c>
      <c r="H756" s="97">
        <v>294.48</v>
      </c>
      <c r="I756" s="99">
        <f t="shared" si="11"/>
        <v>-1.1712588515622402E-2</v>
      </c>
    </row>
    <row r="757" spans="1:9" ht="16">
      <c r="A757" s="161">
        <v>41751</v>
      </c>
      <c r="B757" s="94">
        <v>4.28</v>
      </c>
      <c r="E757" s="96"/>
      <c r="F757" s="97"/>
      <c r="G757" s="96">
        <v>41762</v>
      </c>
      <c r="H757" s="97">
        <v>294.58</v>
      </c>
      <c r="I757" s="99">
        <f t="shared" si="11"/>
        <v>3.3958163542502362E-4</v>
      </c>
    </row>
    <row r="758" spans="1:9" ht="16">
      <c r="A758" s="161">
        <v>41752</v>
      </c>
      <c r="B758" s="94">
        <v>4.28</v>
      </c>
      <c r="E758" s="96"/>
      <c r="F758" s="97"/>
      <c r="G758" s="96">
        <v>41765</v>
      </c>
      <c r="H758" s="97">
        <v>295.38</v>
      </c>
      <c r="I758" s="99">
        <f t="shared" si="11"/>
        <v>2.7157308710707984E-3</v>
      </c>
    </row>
    <row r="759" spans="1:9" ht="16">
      <c r="A759" s="161">
        <v>41753</v>
      </c>
      <c r="B759" s="94">
        <v>4.32</v>
      </c>
      <c r="E759" s="96"/>
      <c r="F759" s="97"/>
      <c r="G759" s="96">
        <v>41766</v>
      </c>
      <c r="H759" s="97">
        <v>296.07</v>
      </c>
      <c r="I759" s="99">
        <f t="shared" si="11"/>
        <v>2.3359739995938433E-3</v>
      </c>
    </row>
    <row r="760" spans="1:9" ht="16">
      <c r="A760" s="161">
        <v>41754</v>
      </c>
      <c r="B760" s="94">
        <v>4.3099999999999996</v>
      </c>
      <c r="E760" s="96"/>
      <c r="F760" s="97"/>
      <c r="G760" s="96">
        <v>41767</v>
      </c>
      <c r="H760" s="97">
        <v>296.70999999999998</v>
      </c>
      <c r="I760" s="99">
        <f t="shared" si="11"/>
        <v>2.1616509609214685E-3</v>
      </c>
    </row>
    <row r="761" spans="1:9" ht="16">
      <c r="A761" s="161">
        <v>41755</v>
      </c>
      <c r="B761" s="94">
        <v>4.3099999999999996</v>
      </c>
      <c r="E761" s="96"/>
      <c r="F761" s="97"/>
      <c r="G761" s="96">
        <v>41768</v>
      </c>
      <c r="H761" s="97">
        <v>299.32</v>
      </c>
      <c r="I761" s="99">
        <f t="shared" si="11"/>
        <v>8.7964679316505645E-3</v>
      </c>
    </row>
    <row r="762" spans="1:9" ht="16">
      <c r="A762" s="161">
        <v>41758</v>
      </c>
      <c r="B762" s="94">
        <v>4.3499999999999996</v>
      </c>
      <c r="E762" s="96"/>
      <c r="F762" s="97"/>
      <c r="G762" s="96">
        <v>41769</v>
      </c>
      <c r="H762" s="97">
        <v>301.20999999999998</v>
      </c>
      <c r="I762" s="99">
        <f t="shared" si="11"/>
        <v>6.3143124415341312E-3</v>
      </c>
    </row>
    <row r="763" spans="1:9" ht="16">
      <c r="A763" s="161">
        <v>41759</v>
      </c>
      <c r="B763" s="94">
        <v>4.37</v>
      </c>
      <c r="E763" s="96"/>
      <c r="F763" s="97"/>
      <c r="G763" s="96">
        <v>41772</v>
      </c>
      <c r="H763" s="97">
        <v>302.49</v>
      </c>
      <c r="I763" s="99">
        <f t="shared" si="11"/>
        <v>4.2495269081372911E-3</v>
      </c>
    </row>
    <row r="764" spans="1:9" ht="16">
      <c r="A764" s="161">
        <v>41760</v>
      </c>
      <c r="B764" s="94">
        <v>4.4000000000000004</v>
      </c>
      <c r="E764" s="96"/>
      <c r="F764" s="97"/>
      <c r="G764" s="96">
        <v>41773</v>
      </c>
      <c r="H764" s="97">
        <v>298.13</v>
      </c>
      <c r="I764" s="99">
        <f t="shared" si="11"/>
        <v>-1.4413699626434018E-2</v>
      </c>
    </row>
    <row r="765" spans="1:9" ht="16">
      <c r="A765" s="161">
        <v>41761</v>
      </c>
      <c r="B765" s="94">
        <v>4.43</v>
      </c>
      <c r="E765" s="96"/>
      <c r="F765" s="97"/>
      <c r="G765" s="96">
        <v>41774</v>
      </c>
      <c r="H765" s="97">
        <v>299.37</v>
      </c>
      <c r="I765" s="99">
        <f t="shared" si="11"/>
        <v>4.1592593834904878E-3</v>
      </c>
    </row>
    <row r="766" spans="1:9" ht="16">
      <c r="A766" s="161">
        <v>41762</v>
      </c>
      <c r="B766" s="94">
        <v>4.43</v>
      </c>
      <c r="E766" s="96"/>
      <c r="F766" s="97"/>
      <c r="G766" s="96">
        <v>41775</v>
      </c>
      <c r="H766" s="97">
        <v>296.98</v>
      </c>
      <c r="I766" s="99">
        <f t="shared" si="11"/>
        <v>-7.9834318736011767E-3</v>
      </c>
    </row>
    <row r="767" spans="1:9" ht="16">
      <c r="A767" s="161">
        <v>41765</v>
      </c>
      <c r="B767" s="94">
        <v>4.4400000000000004</v>
      </c>
      <c r="E767" s="96"/>
      <c r="F767" s="97"/>
      <c r="G767" s="96">
        <v>41776</v>
      </c>
      <c r="H767" s="97">
        <v>294.82</v>
      </c>
      <c r="I767" s="99">
        <f t="shared" si="11"/>
        <v>-7.2732170516534023E-3</v>
      </c>
    </row>
    <row r="768" spans="1:9" ht="16">
      <c r="A768" s="161">
        <v>41766</v>
      </c>
      <c r="B768" s="94">
        <v>4.4800000000000004</v>
      </c>
      <c r="E768" s="96"/>
      <c r="F768" s="97"/>
      <c r="G768" s="96">
        <v>41779</v>
      </c>
      <c r="H768" s="97">
        <v>294.60000000000002</v>
      </c>
      <c r="I768" s="99">
        <f t="shared" si="11"/>
        <v>-7.4621803134100606E-4</v>
      </c>
    </row>
    <row r="769" spans="1:9" ht="16">
      <c r="A769" s="161">
        <v>41767</v>
      </c>
      <c r="B769" s="94">
        <v>4.5199999999999996</v>
      </c>
      <c r="E769" s="96"/>
      <c r="F769" s="97"/>
      <c r="G769" s="96">
        <v>41780</v>
      </c>
      <c r="H769" s="97">
        <v>296.25</v>
      </c>
      <c r="I769" s="99">
        <f t="shared" si="11"/>
        <v>5.6008146639510148E-3</v>
      </c>
    </row>
    <row r="770" spans="1:9" ht="16">
      <c r="A770" s="161">
        <v>41768</v>
      </c>
      <c r="B770" s="94">
        <v>4.47</v>
      </c>
      <c r="E770" s="96"/>
      <c r="F770" s="97"/>
      <c r="G770" s="96">
        <v>41781</v>
      </c>
      <c r="H770" s="97">
        <v>293</v>
      </c>
      <c r="I770" s="99">
        <f t="shared" si="11"/>
        <v>-1.0970464135021119E-2</v>
      </c>
    </row>
    <row r="771" spans="1:9" ht="16">
      <c r="A771" s="161">
        <v>41769</v>
      </c>
      <c r="B771" s="94">
        <v>4.46</v>
      </c>
      <c r="E771" s="96"/>
      <c r="F771" s="97"/>
      <c r="G771" s="96">
        <v>41782</v>
      </c>
      <c r="H771" s="97">
        <v>293.64999999999998</v>
      </c>
      <c r="I771" s="99">
        <f t="shared" si="11"/>
        <v>2.2184300341296925E-3</v>
      </c>
    </row>
    <row r="772" spans="1:9" ht="16">
      <c r="A772" s="161">
        <v>41772</v>
      </c>
      <c r="B772" s="94">
        <v>4.47</v>
      </c>
      <c r="E772" s="96"/>
      <c r="F772" s="97"/>
      <c r="G772" s="96">
        <v>41783</v>
      </c>
      <c r="H772" s="97">
        <v>294.05</v>
      </c>
      <c r="I772" s="99">
        <f t="shared" si="11"/>
        <v>1.3621658436915318E-3</v>
      </c>
    </row>
    <row r="773" spans="1:9" ht="16">
      <c r="A773" s="161">
        <v>41773</v>
      </c>
      <c r="B773" s="94">
        <v>4.5199999999999996</v>
      </c>
      <c r="E773" s="96"/>
      <c r="F773" s="97"/>
      <c r="G773" s="96">
        <v>41786</v>
      </c>
      <c r="H773" s="97">
        <v>294.26</v>
      </c>
      <c r="I773" s="99">
        <f t="shared" si="11"/>
        <v>7.1416425777925951E-4</v>
      </c>
    </row>
    <row r="774" spans="1:9" ht="16">
      <c r="A774" s="161">
        <v>41774</v>
      </c>
      <c r="B774" s="94">
        <v>4.53</v>
      </c>
      <c r="E774" s="96"/>
      <c r="F774" s="97"/>
      <c r="G774" s="96">
        <v>41787</v>
      </c>
      <c r="H774" s="97">
        <v>291.57</v>
      </c>
      <c r="I774" s="99">
        <f t="shared" si="11"/>
        <v>-9.1415754774688551E-3</v>
      </c>
    </row>
    <row r="775" spans="1:9" ht="16">
      <c r="A775" s="161">
        <v>41775</v>
      </c>
      <c r="B775" s="94">
        <v>4.55</v>
      </c>
      <c r="E775" s="96"/>
      <c r="F775" s="97"/>
      <c r="G775" s="96">
        <v>41788</v>
      </c>
      <c r="H775" s="97">
        <v>289.42</v>
      </c>
      <c r="I775" s="99">
        <f t="shared" si="11"/>
        <v>-7.3738724834515601E-3</v>
      </c>
    </row>
    <row r="776" spans="1:9" ht="16">
      <c r="A776" s="161">
        <v>41776</v>
      </c>
      <c r="B776" s="94">
        <v>4.5599999999999996</v>
      </c>
      <c r="E776" s="96"/>
      <c r="F776" s="97"/>
      <c r="G776" s="96">
        <v>41789</v>
      </c>
      <c r="H776" s="97">
        <v>291.29000000000002</v>
      </c>
      <c r="I776" s="99">
        <f t="shared" si="11"/>
        <v>6.4611982585860428E-3</v>
      </c>
    </row>
    <row r="777" spans="1:9" ht="16">
      <c r="A777" s="161">
        <v>41779</v>
      </c>
      <c r="B777" s="94">
        <v>4.55</v>
      </c>
      <c r="E777" s="96"/>
      <c r="F777" s="97"/>
      <c r="G777" s="96">
        <v>41790</v>
      </c>
      <c r="H777" s="97">
        <v>293.39</v>
      </c>
      <c r="I777" s="99">
        <f t="shared" si="11"/>
        <v>7.2093103093135991E-3</v>
      </c>
    </row>
    <row r="778" spans="1:9" ht="16">
      <c r="A778" s="161">
        <v>41780</v>
      </c>
      <c r="B778" s="94">
        <v>4.5199999999999996</v>
      </c>
      <c r="E778" s="96"/>
      <c r="F778" s="97"/>
      <c r="G778" s="96">
        <v>41793</v>
      </c>
      <c r="H778" s="97">
        <v>297.25</v>
      </c>
      <c r="I778" s="99">
        <f t="shared" si="11"/>
        <v>1.3156549302975717E-2</v>
      </c>
    </row>
    <row r="779" spans="1:9" ht="16">
      <c r="A779" s="161">
        <v>41781</v>
      </c>
      <c r="B779" s="94">
        <v>4.5</v>
      </c>
      <c r="E779" s="96"/>
      <c r="F779" s="97"/>
      <c r="G779" s="96">
        <v>41794</v>
      </c>
      <c r="H779" s="97">
        <v>296.11</v>
      </c>
      <c r="I779" s="99">
        <f t="shared" si="11"/>
        <v>-3.8351555929352354E-3</v>
      </c>
    </row>
    <row r="780" spans="1:9" ht="16">
      <c r="A780" s="161">
        <v>41782</v>
      </c>
      <c r="B780" s="94">
        <v>4.47</v>
      </c>
      <c r="E780" s="96"/>
      <c r="F780" s="97"/>
      <c r="G780" s="96">
        <v>41795</v>
      </c>
      <c r="H780" s="97">
        <v>297.91000000000003</v>
      </c>
      <c r="I780" s="99">
        <f t="shared" si="11"/>
        <v>6.0788220593699371E-3</v>
      </c>
    </row>
    <row r="781" spans="1:9" ht="16">
      <c r="A781" s="161">
        <v>41783</v>
      </c>
      <c r="B781" s="94">
        <v>4.45</v>
      </c>
      <c r="E781" s="96"/>
      <c r="F781" s="97"/>
      <c r="G781" s="96">
        <v>41796</v>
      </c>
      <c r="H781" s="97">
        <v>297.45</v>
      </c>
      <c r="I781" s="99">
        <f t="shared" si="11"/>
        <v>-1.5440904971301128E-3</v>
      </c>
    </row>
    <row r="782" spans="1:9" ht="16">
      <c r="A782" s="161">
        <v>41786</v>
      </c>
      <c r="B782" s="94">
        <v>4.4400000000000004</v>
      </c>
      <c r="E782" s="96"/>
      <c r="F782" s="97"/>
      <c r="G782" s="96">
        <v>41797</v>
      </c>
      <c r="H782" s="97">
        <v>294.32</v>
      </c>
      <c r="I782" s="99">
        <f t="shared" si="11"/>
        <v>-1.0522776937300415E-2</v>
      </c>
    </row>
    <row r="783" spans="1:9" ht="16">
      <c r="A783" s="161">
        <v>41787</v>
      </c>
      <c r="B783" s="94">
        <v>4.4000000000000004</v>
      </c>
      <c r="E783" s="96"/>
      <c r="F783" s="97"/>
      <c r="G783" s="96">
        <v>41800</v>
      </c>
      <c r="H783" s="97">
        <v>295.3</v>
      </c>
      <c r="I783" s="99">
        <f t="shared" ref="I783:I846" si="12">H783/H782-1</f>
        <v>3.3297091600978934E-3</v>
      </c>
    </row>
    <row r="784" spans="1:9" ht="16">
      <c r="A784" s="161">
        <v>41788</v>
      </c>
      <c r="B784" s="94">
        <v>4.43</v>
      </c>
      <c r="E784" s="96"/>
      <c r="F784" s="97"/>
      <c r="G784" s="96">
        <v>41801</v>
      </c>
      <c r="H784" s="97">
        <v>295.76</v>
      </c>
      <c r="I784" s="99">
        <f t="shared" si="12"/>
        <v>1.5577378936673103E-3</v>
      </c>
    </row>
    <row r="785" spans="1:9" ht="16">
      <c r="A785" s="161">
        <v>41789</v>
      </c>
      <c r="B785" s="94">
        <v>4.51</v>
      </c>
      <c r="E785" s="96"/>
      <c r="F785" s="97"/>
      <c r="G785" s="96">
        <v>41802</v>
      </c>
      <c r="H785" s="97">
        <v>294.23</v>
      </c>
      <c r="I785" s="99">
        <f t="shared" si="12"/>
        <v>-5.1731133351364811E-3</v>
      </c>
    </row>
    <row r="786" spans="1:9" ht="16">
      <c r="A786" s="161">
        <v>41790</v>
      </c>
      <c r="B786" s="94">
        <v>4.54</v>
      </c>
      <c r="E786" s="96"/>
      <c r="F786" s="97"/>
      <c r="G786" s="96">
        <v>41803</v>
      </c>
      <c r="H786" s="97">
        <v>292.61</v>
      </c>
      <c r="I786" s="99">
        <f t="shared" si="12"/>
        <v>-5.5058967474425069E-3</v>
      </c>
    </row>
    <row r="787" spans="1:9" ht="16">
      <c r="A787" s="161">
        <v>41793</v>
      </c>
      <c r="B787" s="94">
        <v>4.5599999999999996</v>
      </c>
      <c r="E787" s="96"/>
      <c r="F787" s="97"/>
      <c r="G787" s="96">
        <v>41804</v>
      </c>
      <c r="H787" s="97">
        <v>290</v>
      </c>
      <c r="I787" s="99">
        <f t="shared" si="12"/>
        <v>-8.9197224975223754E-3</v>
      </c>
    </row>
    <row r="788" spans="1:9" ht="16">
      <c r="A788" s="161">
        <v>41794</v>
      </c>
      <c r="B788" s="94">
        <v>4.5599999999999996</v>
      </c>
      <c r="E788" s="96"/>
      <c r="F788" s="97"/>
      <c r="G788" s="96">
        <v>41807</v>
      </c>
      <c r="H788" s="97">
        <v>288.54000000000002</v>
      </c>
      <c r="I788" s="99">
        <f t="shared" si="12"/>
        <v>-5.0344827586206176E-3</v>
      </c>
    </row>
    <row r="789" spans="1:9" ht="16">
      <c r="A789" s="161">
        <v>41795</v>
      </c>
      <c r="B789" s="94">
        <v>4.59</v>
      </c>
      <c r="E789" s="96"/>
      <c r="F789" s="97"/>
      <c r="G789" s="96">
        <v>41808</v>
      </c>
      <c r="H789" s="97">
        <v>283.18</v>
      </c>
      <c r="I789" s="99">
        <f t="shared" si="12"/>
        <v>-1.857628058501426E-2</v>
      </c>
    </row>
    <row r="790" spans="1:9" ht="16">
      <c r="A790" s="161">
        <v>41796</v>
      </c>
      <c r="B790" s="94">
        <v>4.62</v>
      </c>
      <c r="E790" s="96"/>
      <c r="F790" s="97"/>
      <c r="G790" s="96">
        <v>41809</v>
      </c>
      <c r="H790" s="97">
        <v>284.98</v>
      </c>
      <c r="I790" s="99">
        <f t="shared" si="12"/>
        <v>6.3563811003601867E-3</v>
      </c>
    </row>
    <row r="791" spans="1:9" ht="16">
      <c r="A791" s="161">
        <v>41797</v>
      </c>
      <c r="B791" s="94">
        <v>4.6100000000000003</v>
      </c>
      <c r="E791" s="96"/>
      <c r="F791" s="97"/>
      <c r="G791" s="96">
        <v>41810</v>
      </c>
      <c r="H791" s="97">
        <v>281.92</v>
      </c>
      <c r="I791" s="99">
        <f t="shared" si="12"/>
        <v>-1.0737595620745277E-2</v>
      </c>
    </row>
    <row r="792" spans="1:9" ht="16">
      <c r="A792" s="161">
        <v>41800</v>
      </c>
      <c r="B792" s="94">
        <v>4.6399999999999997</v>
      </c>
      <c r="E792" s="96"/>
      <c r="F792" s="97"/>
      <c r="G792" s="96">
        <v>41811</v>
      </c>
      <c r="H792" s="97">
        <v>283.43</v>
      </c>
      <c r="I792" s="99">
        <f t="shared" si="12"/>
        <v>5.3561293984107916E-3</v>
      </c>
    </row>
    <row r="793" spans="1:9" ht="16">
      <c r="A793" s="161">
        <v>41801</v>
      </c>
      <c r="B793" s="94">
        <v>4.66</v>
      </c>
      <c r="E793" s="96"/>
      <c r="F793" s="97"/>
      <c r="G793" s="96">
        <v>41814</v>
      </c>
      <c r="H793" s="97">
        <v>279.12</v>
      </c>
      <c r="I793" s="99">
        <f t="shared" si="12"/>
        <v>-1.5206576579755104E-2</v>
      </c>
    </row>
    <row r="794" spans="1:9" ht="16">
      <c r="A794" s="161">
        <v>41802</v>
      </c>
      <c r="B794" s="94">
        <v>4.66</v>
      </c>
      <c r="E794" s="96"/>
      <c r="F794" s="97"/>
      <c r="G794" s="96">
        <v>41815</v>
      </c>
      <c r="H794" s="97">
        <v>278.17</v>
      </c>
      <c r="I794" s="99">
        <f t="shared" si="12"/>
        <v>-3.403554026941813E-3</v>
      </c>
    </row>
    <row r="795" spans="1:9" ht="16">
      <c r="A795" s="161">
        <v>41803</v>
      </c>
      <c r="B795" s="94">
        <v>4.66</v>
      </c>
      <c r="E795" s="96"/>
      <c r="F795" s="97"/>
      <c r="G795" s="96">
        <v>41816</v>
      </c>
      <c r="H795" s="97">
        <v>273.79000000000002</v>
      </c>
      <c r="I795" s="99">
        <f t="shared" si="12"/>
        <v>-1.5745766977028453E-2</v>
      </c>
    </row>
    <row r="796" spans="1:9" ht="16">
      <c r="A796" s="161">
        <v>41804</v>
      </c>
      <c r="B796" s="94">
        <v>4.67</v>
      </c>
      <c r="E796" s="96"/>
      <c r="F796" s="97"/>
      <c r="G796" s="96">
        <v>41817</v>
      </c>
      <c r="H796" s="97">
        <v>272.86</v>
      </c>
      <c r="I796" s="99">
        <f t="shared" si="12"/>
        <v>-3.396763943168124E-3</v>
      </c>
    </row>
    <row r="797" spans="1:9" ht="16">
      <c r="A797" s="161">
        <v>41807</v>
      </c>
      <c r="B797" s="94">
        <v>4.68</v>
      </c>
      <c r="E797" s="96"/>
      <c r="F797" s="97"/>
      <c r="G797" s="96">
        <v>41818</v>
      </c>
      <c r="H797" s="97">
        <v>278.66000000000003</v>
      </c>
      <c r="I797" s="99">
        <f t="shared" si="12"/>
        <v>2.1256321923330601E-2</v>
      </c>
    </row>
    <row r="798" spans="1:9" ht="16">
      <c r="A798" s="161">
        <v>41808</v>
      </c>
      <c r="B798" s="94">
        <v>4.6900000000000004</v>
      </c>
      <c r="E798" s="96"/>
      <c r="F798" s="97"/>
      <c r="G798" s="96">
        <v>41821</v>
      </c>
      <c r="H798" s="97">
        <v>276.97000000000003</v>
      </c>
      <c r="I798" s="99">
        <f t="shared" si="12"/>
        <v>-6.0647383908706276E-3</v>
      </c>
    </row>
    <row r="799" spans="1:9" ht="16">
      <c r="A799" s="161">
        <v>41809</v>
      </c>
      <c r="B799" s="94">
        <v>4.68</v>
      </c>
      <c r="E799" s="96"/>
      <c r="F799" s="97"/>
      <c r="G799" s="96">
        <v>41822</v>
      </c>
      <c r="H799" s="97">
        <v>276.33999999999997</v>
      </c>
      <c r="I799" s="99">
        <f t="shared" si="12"/>
        <v>-2.2746145791965322E-3</v>
      </c>
    </row>
    <row r="800" spans="1:9" ht="16">
      <c r="A800" s="161">
        <v>41810</v>
      </c>
      <c r="B800" s="94">
        <v>4.67</v>
      </c>
      <c r="E800" s="96"/>
      <c r="F800" s="97"/>
      <c r="G800" s="96">
        <v>41823</v>
      </c>
      <c r="H800" s="97">
        <v>275.95</v>
      </c>
      <c r="I800" s="99">
        <f t="shared" si="12"/>
        <v>-1.4113049142360223E-3</v>
      </c>
    </row>
    <row r="801" spans="1:9" ht="16">
      <c r="A801" s="161">
        <v>41811</v>
      </c>
      <c r="B801" s="94">
        <v>4.6500000000000004</v>
      </c>
      <c r="E801" s="96"/>
      <c r="F801" s="97"/>
      <c r="G801" s="96">
        <v>41824</v>
      </c>
      <c r="H801" s="97">
        <v>275.42</v>
      </c>
      <c r="I801" s="99">
        <f t="shared" si="12"/>
        <v>-1.9206377967021515E-3</v>
      </c>
    </row>
    <row r="802" spans="1:9" ht="16">
      <c r="A802" s="161">
        <v>41814</v>
      </c>
      <c r="B802" s="94">
        <v>4.6399999999999997</v>
      </c>
      <c r="E802" s="96"/>
      <c r="F802" s="97"/>
      <c r="G802" s="96">
        <v>41825</v>
      </c>
      <c r="H802" s="97">
        <v>276.74</v>
      </c>
      <c r="I802" s="99">
        <f t="shared" si="12"/>
        <v>4.7926802701327986E-3</v>
      </c>
    </row>
    <row r="803" spans="1:9" ht="16">
      <c r="A803" s="161">
        <v>41815</v>
      </c>
      <c r="B803" s="94">
        <v>4.6500000000000004</v>
      </c>
      <c r="E803" s="96"/>
      <c r="F803" s="97"/>
      <c r="G803" s="96">
        <v>41828</v>
      </c>
      <c r="H803" s="97">
        <v>280.77999999999997</v>
      </c>
      <c r="I803" s="99">
        <f t="shared" si="12"/>
        <v>1.4598540145985162E-2</v>
      </c>
    </row>
    <row r="804" spans="1:9" ht="16">
      <c r="A804" s="161">
        <v>41816</v>
      </c>
      <c r="B804" s="94">
        <v>4.6399999999999997</v>
      </c>
      <c r="E804" s="96"/>
      <c r="F804" s="97"/>
      <c r="G804" s="96">
        <v>41829</v>
      </c>
      <c r="H804" s="97">
        <v>280.99</v>
      </c>
      <c r="I804" s="99">
        <f t="shared" si="12"/>
        <v>7.4791651827066374E-4</v>
      </c>
    </row>
    <row r="805" spans="1:9" ht="16">
      <c r="A805" s="161">
        <v>41817</v>
      </c>
      <c r="B805" s="94">
        <v>4.66</v>
      </c>
      <c r="E805" s="96"/>
      <c r="F805" s="97"/>
      <c r="G805" s="96">
        <v>41830</v>
      </c>
      <c r="H805" s="97">
        <v>278.19</v>
      </c>
      <c r="I805" s="99">
        <f t="shared" si="12"/>
        <v>-9.9647674294459643E-3</v>
      </c>
    </row>
    <row r="806" spans="1:9" ht="16">
      <c r="A806" s="161">
        <v>41818</v>
      </c>
      <c r="B806" s="94">
        <v>4.6500000000000004</v>
      </c>
      <c r="E806" s="96"/>
      <c r="F806" s="97"/>
      <c r="G806" s="96">
        <v>41831</v>
      </c>
      <c r="H806" s="97">
        <v>280.20999999999998</v>
      </c>
      <c r="I806" s="99">
        <f t="shared" si="12"/>
        <v>7.2612243430747458E-3</v>
      </c>
    </row>
    <row r="807" spans="1:9" ht="16">
      <c r="A807" s="161">
        <v>41819</v>
      </c>
      <c r="B807" s="94">
        <v>4.6500000000000004</v>
      </c>
      <c r="E807" s="96"/>
      <c r="F807" s="97"/>
      <c r="G807" s="96">
        <v>41832</v>
      </c>
      <c r="H807" s="97">
        <v>280.97000000000003</v>
      </c>
      <c r="I807" s="99">
        <f t="shared" si="12"/>
        <v>2.7122515256416957E-3</v>
      </c>
    </row>
    <row r="808" spans="1:9" ht="16">
      <c r="A808" s="161">
        <v>41821</v>
      </c>
      <c r="B808" s="94">
        <v>4.67</v>
      </c>
      <c r="E808" s="96"/>
      <c r="F808" s="97"/>
      <c r="G808" s="96">
        <v>41835</v>
      </c>
      <c r="H808" s="97">
        <v>279.62</v>
      </c>
      <c r="I808" s="99">
        <f t="shared" si="12"/>
        <v>-4.8047834288359459E-3</v>
      </c>
    </row>
    <row r="809" spans="1:9" ht="16">
      <c r="A809" s="161">
        <v>41822</v>
      </c>
      <c r="B809" s="94">
        <v>4.66</v>
      </c>
      <c r="E809" s="96"/>
      <c r="F809" s="97"/>
      <c r="G809" s="96">
        <v>41836</v>
      </c>
      <c r="H809" s="97">
        <v>279.92</v>
      </c>
      <c r="I809" s="99">
        <f t="shared" si="12"/>
        <v>1.072884629139681E-3</v>
      </c>
    </row>
    <row r="810" spans="1:9" ht="16">
      <c r="A810" s="161">
        <v>41823</v>
      </c>
      <c r="B810" s="94">
        <v>4.66</v>
      </c>
      <c r="E810" s="96"/>
      <c r="F810" s="97"/>
      <c r="G810" s="96">
        <v>41837</v>
      </c>
      <c r="H810" s="97">
        <v>279.49</v>
      </c>
      <c r="I810" s="99">
        <f t="shared" si="12"/>
        <v>-1.5361531866248113E-3</v>
      </c>
    </row>
    <row r="811" spans="1:9" ht="16">
      <c r="A811" s="161">
        <v>41824</v>
      </c>
      <c r="B811" s="94">
        <v>4.6500000000000004</v>
      </c>
      <c r="E811" s="96"/>
      <c r="F811" s="97"/>
      <c r="G811" s="96">
        <v>41838</v>
      </c>
      <c r="H811" s="97">
        <v>277.18</v>
      </c>
      <c r="I811" s="99">
        <f t="shared" si="12"/>
        <v>-8.2650542058749776E-3</v>
      </c>
    </row>
    <row r="812" spans="1:9" ht="16">
      <c r="A812" s="161">
        <v>41825</v>
      </c>
      <c r="B812" s="94">
        <v>4.62</v>
      </c>
      <c r="E812" s="96"/>
      <c r="F812" s="97"/>
      <c r="G812" s="96">
        <v>41839</v>
      </c>
      <c r="H812" s="97">
        <v>279.60000000000002</v>
      </c>
      <c r="I812" s="99">
        <f t="shared" si="12"/>
        <v>8.730788657190347E-3</v>
      </c>
    </row>
    <row r="813" spans="1:9" ht="16">
      <c r="A813" s="161">
        <v>41828</v>
      </c>
      <c r="B813" s="94">
        <v>4.6100000000000003</v>
      </c>
      <c r="E813" s="96"/>
      <c r="F813" s="97"/>
      <c r="G813" s="96">
        <v>41842</v>
      </c>
      <c r="H813" s="97">
        <v>279.77999999999997</v>
      </c>
      <c r="I813" s="99">
        <f t="shared" si="12"/>
        <v>6.4377682403415903E-4</v>
      </c>
    </row>
    <row r="814" spans="1:9" ht="16">
      <c r="A814" s="161">
        <v>41829</v>
      </c>
      <c r="B814" s="94">
        <v>4.6100000000000003</v>
      </c>
      <c r="E814" s="96"/>
      <c r="F814" s="97"/>
      <c r="G814" s="96">
        <v>41843</v>
      </c>
      <c r="H814" s="97">
        <v>283.12</v>
      </c>
      <c r="I814" s="99">
        <f t="shared" si="12"/>
        <v>1.1937951247408707E-2</v>
      </c>
    </row>
    <row r="815" spans="1:9" ht="16">
      <c r="A815" s="161">
        <v>41830</v>
      </c>
      <c r="B815" s="94">
        <v>4.6100000000000003</v>
      </c>
      <c r="E815" s="96"/>
      <c r="F815" s="97"/>
      <c r="G815" s="96">
        <v>41844</v>
      </c>
      <c r="H815" s="97">
        <v>285.36</v>
      </c>
      <c r="I815" s="99">
        <f t="shared" si="12"/>
        <v>7.9118395026844812E-3</v>
      </c>
    </row>
    <row r="816" spans="1:9" ht="16">
      <c r="A816" s="161">
        <v>41831</v>
      </c>
      <c r="B816" s="94">
        <v>4.62</v>
      </c>
      <c r="E816" s="96"/>
      <c r="F816" s="97"/>
      <c r="G816" s="96">
        <v>41845</v>
      </c>
      <c r="H816" s="97">
        <v>284.99</v>
      </c>
      <c r="I816" s="99">
        <f t="shared" si="12"/>
        <v>-1.2966077936641396E-3</v>
      </c>
    </row>
    <row r="817" spans="1:9" ht="16">
      <c r="A817" s="161">
        <v>41832</v>
      </c>
      <c r="B817" s="94">
        <v>4.5999999999999996</v>
      </c>
      <c r="E817" s="96"/>
      <c r="F817" s="97"/>
      <c r="G817" s="96">
        <v>41846</v>
      </c>
      <c r="H817" s="97">
        <v>285.8</v>
      </c>
      <c r="I817" s="99">
        <f t="shared" si="12"/>
        <v>2.8422049896488222E-3</v>
      </c>
    </row>
    <row r="818" spans="1:9" ht="16">
      <c r="A818" s="161">
        <v>41835</v>
      </c>
      <c r="B818" s="94">
        <v>4.59</v>
      </c>
      <c r="E818" s="96"/>
      <c r="F818" s="97"/>
      <c r="G818" s="96">
        <v>41849</v>
      </c>
      <c r="H818" s="97">
        <v>285.23</v>
      </c>
      <c r="I818" s="99">
        <f t="shared" si="12"/>
        <v>-1.9944016794961605E-3</v>
      </c>
    </row>
    <row r="819" spans="1:9" ht="16">
      <c r="A819" s="161">
        <v>41836</v>
      </c>
      <c r="B819" s="94">
        <v>4.5999999999999996</v>
      </c>
      <c r="E819" s="96"/>
      <c r="F819" s="97"/>
      <c r="G819" s="96">
        <v>41850</v>
      </c>
      <c r="H819" s="97">
        <v>284.45</v>
      </c>
      <c r="I819" s="99">
        <f t="shared" si="12"/>
        <v>-2.7346352066753843E-3</v>
      </c>
    </row>
    <row r="820" spans="1:9" ht="16">
      <c r="A820" s="161">
        <v>41837</v>
      </c>
      <c r="B820" s="94">
        <v>4.5999999999999996</v>
      </c>
      <c r="E820" s="96"/>
      <c r="F820" s="97"/>
      <c r="G820" s="96">
        <v>41851</v>
      </c>
      <c r="H820" s="97">
        <v>284.25</v>
      </c>
      <c r="I820" s="99">
        <f t="shared" si="12"/>
        <v>-7.0311126735800311E-4</v>
      </c>
    </row>
    <row r="821" spans="1:9" ht="16">
      <c r="A821" s="161">
        <v>41838</v>
      </c>
      <c r="B821" s="94">
        <v>4.6100000000000003</v>
      </c>
      <c r="E821" s="96"/>
      <c r="F821" s="97"/>
      <c r="G821" s="96">
        <v>41852</v>
      </c>
      <c r="H821" s="97">
        <v>279.7</v>
      </c>
      <c r="I821" s="99">
        <f t="shared" si="12"/>
        <v>-1.6007036059806579E-2</v>
      </c>
    </row>
    <row r="822" spans="1:9" ht="16">
      <c r="A822" s="161">
        <v>41839</v>
      </c>
      <c r="B822" s="94">
        <v>4.59</v>
      </c>
      <c r="E822" s="96"/>
      <c r="F822" s="97"/>
      <c r="G822" s="96">
        <v>41853</v>
      </c>
      <c r="H822" s="97">
        <v>281.25</v>
      </c>
      <c r="I822" s="99">
        <f t="shared" si="12"/>
        <v>5.5416517697532974E-3</v>
      </c>
    </row>
    <row r="823" spans="1:9" ht="16">
      <c r="A823" s="161">
        <v>41842</v>
      </c>
      <c r="B823" s="94">
        <v>4.5999999999999996</v>
      </c>
      <c r="E823" s="96"/>
      <c r="F823" s="97"/>
      <c r="G823" s="96">
        <v>41856</v>
      </c>
      <c r="H823" s="97">
        <v>280.52</v>
      </c>
      <c r="I823" s="99">
        <f t="shared" si="12"/>
        <v>-2.5955555555555732E-3</v>
      </c>
    </row>
    <row r="824" spans="1:9" ht="16">
      <c r="A824" s="161">
        <v>41843</v>
      </c>
      <c r="B824" s="94">
        <v>4.5999999999999996</v>
      </c>
      <c r="E824" s="96"/>
      <c r="F824" s="97"/>
      <c r="G824" s="96">
        <v>41857</v>
      </c>
      <c r="H824" s="97">
        <v>282.64</v>
      </c>
      <c r="I824" s="99">
        <f t="shared" si="12"/>
        <v>7.5573934122343811E-3</v>
      </c>
    </row>
    <row r="825" spans="1:9" ht="16">
      <c r="A825" s="161">
        <v>41844</v>
      </c>
      <c r="B825" s="94">
        <v>4.58</v>
      </c>
      <c r="E825" s="96"/>
      <c r="F825" s="97"/>
      <c r="G825" s="96">
        <v>41858</v>
      </c>
      <c r="H825" s="97">
        <v>282.29000000000002</v>
      </c>
      <c r="I825" s="99">
        <f t="shared" si="12"/>
        <v>-1.2383243702235314E-3</v>
      </c>
    </row>
    <row r="826" spans="1:9" ht="16">
      <c r="A826" s="161">
        <v>41845</v>
      </c>
      <c r="B826" s="94">
        <v>4.57</v>
      </c>
      <c r="E826" s="96"/>
      <c r="F826" s="97"/>
      <c r="G826" s="96">
        <v>41859</v>
      </c>
      <c r="H826" s="97">
        <v>281.86</v>
      </c>
      <c r="I826" s="99">
        <f t="shared" si="12"/>
        <v>-1.5232562258670201E-3</v>
      </c>
    </row>
    <row r="827" spans="1:9" ht="16">
      <c r="A827" s="161">
        <v>41846</v>
      </c>
      <c r="B827" s="94">
        <v>4.5599999999999996</v>
      </c>
      <c r="E827" s="96"/>
      <c r="F827" s="97"/>
      <c r="G827" s="96">
        <v>41860</v>
      </c>
      <c r="H827" s="97">
        <v>278.02</v>
      </c>
      <c r="I827" s="99">
        <f t="shared" si="12"/>
        <v>-1.3623784857730858E-2</v>
      </c>
    </row>
    <row r="828" spans="1:9" ht="16">
      <c r="A828" s="161">
        <v>41849</v>
      </c>
      <c r="B828" s="94">
        <v>4.5599999999999996</v>
      </c>
      <c r="E828" s="96"/>
      <c r="F828" s="97"/>
      <c r="G828" s="96">
        <v>41863</v>
      </c>
      <c r="H828" s="97">
        <v>272.89999999999998</v>
      </c>
      <c r="I828" s="99">
        <f t="shared" si="12"/>
        <v>-1.8415941299187111E-2</v>
      </c>
    </row>
    <row r="829" spans="1:9" ht="16">
      <c r="A829" s="161">
        <v>41850</v>
      </c>
      <c r="B829" s="94">
        <v>4.59</v>
      </c>
      <c r="E829" s="96"/>
      <c r="F829" s="97"/>
      <c r="G829" s="96">
        <v>41864</v>
      </c>
      <c r="H829" s="97">
        <v>272.54000000000002</v>
      </c>
      <c r="I829" s="99">
        <f t="shared" si="12"/>
        <v>-1.3191645291313892E-3</v>
      </c>
    </row>
    <row r="830" spans="1:9" ht="16">
      <c r="A830" s="161">
        <v>41851</v>
      </c>
      <c r="B830" s="94">
        <v>4.62</v>
      </c>
      <c r="E830" s="96"/>
      <c r="F830" s="97"/>
      <c r="G830" s="96">
        <v>41865</v>
      </c>
      <c r="H830" s="97">
        <v>267.17</v>
      </c>
      <c r="I830" s="99">
        <f t="shared" si="12"/>
        <v>-1.970352975709988E-2</v>
      </c>
    </row>
    <row r="831" spans="1:9" ht="16">
      <c r="A831" s="161">
        <v>41852</v>
      </c>
      <c r="B831" s="94">
        <v>4.6500000000000004</v>
      </c>
      <c r="E831" s="96"/>
      <c r="F831" s="97"/>
      <c r="G831" s="96">
        <v>41866</v>
      </c>
      <c r="H831" s="97">
        <v>267.08</v>
      </c>
      <c r="I831" s="99">
        <f t="shared" si="12"/>
        <v>-3.3686416888134563E-4</v>
      </c>
    </row>
    <row r="832" spans="1:9" ht="16">
      <c r="A832" s="161">
        <v>41853</v>
      </c>
      <c r="B832" s="94">
        <v>4.62</v>
      </c>
      <c r="E832" s="96"/>
      <c r="F832" s="97"/>
      <c r="G832" s="96">
        <v>41867</v>
      </c>
      <c r="H832" s="97">
        <v>267.17</v>
      </c>
      <c r="I832" s="99">
        <f t="shared" si="12"/>
        <v>3.3697768458895716E-4</v>
      </c>
    </row>
    <row r="833" spans="1:9" ht="16">
      <c r="A833" s="161">
        <v>41856</v>
      </c>
      <c r="B833" s="94">
        <v>4.6100000000000003</v>
      </c>
      <c r="E833" s="96"/>
      <c r="F833" s="97"/>
      <c r="G833" s="96">
        <v>41870</v>
      </c>
      <c r="H833" s="97">
        <v>270.04000000000002</v>
      </c>
      <c r="I833" s="99">
        <f t="shared" si="12"/>
        <v>1.0742224052101568E-2</v>
      </c>
    </row>
    <row r="834" spans="1:9" ht="16">
      <c r="A834" s="161">
        <v>41857</v>
      </c>
      <c r="B834" s="94">
        <v>4.63</v>
      </c>
      <c r="E834" s="96"/>
      <c r="F834" s="97"/>
      <c r="G834" s="96">
        <v>41871</v>
      </c>
      <c r="H834" s="97">
        <v>272.32</v>
      </c>
      <c r="I834" s="99">
        <f t="shared" si="12"/>
        <v>8.443193600947918E-3</v>
      </c>
    </row>
    <row r="835" spans="1:9" ht="16">
      <c r="A835" s="161">
        <v>41858</v>
      </c>
      <c r="B835" s="94">
        <v>4.67</v>
      </c>
      <c r="E835" s="96"/>
      <c r="F835" s="97"/>
      <c r="G835" s="96">
        <v>41872</v>
      </c>
      <c r="H835" s="97">
        <v>273.72000000000003</v>
      </c>
      <c r="I835" s="99">
        <f t="shared" si="12"/>
        <v>5.1410105757934144E-3</v>
      </c>
    </row>
    <row r="836" spans="1:9" ht="16">
      <c r="A836" s="161">
        <v>41859</v>
      </c>
      <c r="B836" s="94">
        <v>4.7</v>
      </c>
      <c r="E836" s="96"/>
      <c r="F836" s="97"/>
      <c r="G836" s="96">
        <v>41873</v>
      </c>
      <c r="H836" s="97">
        <v>272.95</v>
      </c>
      <c r="I836" s="99">
        <f t="shared" si="12"/>
        <v>-2.8130936723660405E-3</v>
      </c>
    </row>
    <row r="837" spans="1:9" ht="16">
      <c r="A837" s="161">
        <v>41860</v>
      </c>
      <c r="B837" s="94">
        <v>4.7</v>
      </c>
      <c r="E837" s="96"/>
      <c r="F837" s="97"/>
      <c r="G837" s="96">
        <v>41874</v>
      </c>
      <c r="H837" s="97">
        <v>273.19</v>
      </c>
      <c r="I837" s="99">
        <f t="shared" si="12"/>
        <v>8.7928191976560655E-4</v>
      </c>
    </row>
    <row r="838" spans="1:9" ht="16">
      <c r="A838" s="161">
        <v>41863</v>
      </c>
      <c r="B838" s="94">
        <v>4.75</v>
      </c>
      <c r="E838" s="96"/>
      <c r="F838" s="97"/>
      <c r="G838" s="96">
        <v>41877</v>
      </c>
      <c r="H838" s="97">
        <v>278.08999999999997</v>
      </c>
      <c r="I838" s="99">
        <f t="shared" si="12"/>
        <v>1.7936234854862843E-2</v>
      </c>
    </row>
    <row r="839" spans="1:9" ht="16">
      <c r="A839" s="161">
        <v>41864</v>
      </c>
      <c r="B839" s="94">
        <v>4.75</v>
      </c>
      <c r="E839" s="96"/>
      <c r="F839" s="97"/>
      <c r="G839" s="96">
        <v>41878</v>
      </c>
      <c r="H839" s="97">
        <v>278.17</v>
      </c>
      <c r="I839" s="99">
        <f t="shared" si="12"/>
        <v>2.876766514439133E-4</v>
      </c>
    </row>
    <row r="840" spans="1:9" ht="16">
      <c r="A840" s="161">
        <v>41865</v>
      </c>
      <c r="B840" s="94">
        <v>4.76</v>
      </c>
      <c r="E840" s="96"/>
      <c r="F840" s="97"/>
      <c r="G840" s="96">
        <v>41879</v>
      </c>
      <c r="H840" s="97">
        <v>277.8</v>
      </c>
      <c r="I840" s="99">
        <f t="shared" si="12"/>
        <v>-1.3301218679224736E-3</v>
      </c>
    </row>
    <row r="841" spans="1:9" ht="16">
      <c r="A841" s="161">
        <v>41866</v>
      </c>
      <c r="B841" s="94">
        <v>4.72</v>
      </c>
      <c r="E841" s="96"/>
      <c r="F841" s="97"/>
      <c r="G841" s="96">
        <v>41880</v>
      </c>
      <c r="H841" s="97">
        <v>274.10000000000002</v>
      </c>
      <c r="I841" s="99">
        <f t="shared" si="12"/>
        <v>-1.331893448524113E-2</v>
      </c>
    </row>
    <row r="842" spans="1:9" ht="16">
      <c r="A842" s="161">
        <v>41867</v>
      </c>
      <c r="B842" s="94">
        <v>4.72</v>
      </c>
      <c r="E842" s="96"/>
      <c r="F842" s="97"/>
      <c r="G842" s="96">
        <v>41881</v>
      </c>
      <c r="H842" s="97">
        <v>273.7</v>
      </c>
      <c r="I842" s="99">
        <f t="shared" si="12"/>
        <v>-1.4593214155419476E-3</v>
      </c>
    </row>
    <row r="843" spans="1:9" ht="16">
      <c r="A843" s="161">
        <v>41870</v>
      </c>
      <c r="B843" s="94">
        <v>4.72</v>
      </c>
      <c r="E843" s="96"/>
      <c r="F843" s="97"/>
      <c r="G843" s="96">
        <v>41884</v>
      </c>
      <c r="H843" s="97">
        <v>271.41000000000003</v>
      </c>
      <c r="I843" s="99">
        <f t="shared" si="12"/>
        <v>-8.3668249908658288E-3</v>
      </c>
    </row>
    <row r="844" spans="1:9" ht="16">
      <c r="A844" s="161">
        <v>41871</v>
      </c>
      <c r="B844" s="94">
        <v>4.71</v>
      </c>
      <c r="E844" s="96"/>
      <c r="F844" s="97"/>
      <c r="G844" s="96">
        <v>41885</v>
      </c>
      <c r="H844" s="97">
        <v>269.06</v>
      </c>
      <c r="I844" s="99">
        <f t="shared" si="12"/>
        <v>-8.6584871596478985E-3</v>
      </c>
    </row>
    <row r="845" spans="1:9" ht="16">
      <c r="A845" s="161">
        <v>41872</v>
      </c>
      <c r="B845" s="94">
        <v>4.7</v>
      </c>
      <c r="E845" s="96"/>
      <c r="F845" s="97"/>
      <c r="G845" s="96">
        <v>41886</v>
      </c>
      <c r="H845" s="97">
        <v>264.64</v>
      </c>
      <c r="I845" s="99">
        <f t="shared" si="12"/>
        <v>-1.6427562625436765E-2</v>
      </c>
    </row>
    <row r="846" spans="1:9" ht="16">
      <c r="A846" s="161">
        <v>41873</v>
      </c>
      <c r="B846" s="94">
        <v>4.7</v>
      </c>
      <c r="E846" s="96"/>
      <c r="F846" s="97"/>
      <c r="G846" s="96">
        <v>41887</v>
      </c>
      <c r="H846" s="97">
        <v>263.86</v>
      </c>
      <c r="I846" s="99">
        <f t="shared" si="12"/>
        <v>-2.9474002418378165E-3</v>
      </c>
    </row>
    <row r="847" spans="1:9" ht="16">
      <c r="A847" s="161">
        <v>41874</v>
      </c>
      <c r="B847" s="94">
        <v>4.72</v>
      </c>
      <c r="E847" s="96"/>
      <c r="F847" s="97"/>
      <c r="G847" s="96">
        <v>41888</v>
      </c>
      <c r="H847" s="97">
        <v>265.2</v>
      </c>
      <c r="I847" s="99">
        <f t="shared" ref="I847:I910" si="13">H847/H846-1</f>
        <v>5.0784506935495077E-3</v>
      </c>
    </row>
    <row r="848" spans="1:9" ht="16">
      <c r="A848" s="161">
        <v>41877</v>
      </c>
      <c r="B848" s="94">
        <v>4.72</v>
      </c>
      <c r="E848" s="96"/>
      <c r="F848" s="97"/>
      <c r="G848" s="96">
        <v>41891</v>
      </c>
      <c r="H848" s="97">
        <v>261.57</v>
      </c>
      <c r="I848" s="99">
        <f t="shared" si="13"/>
        <v>-1.3687782805429816E-2</v>
      </c>
    </row>
    <row r="849" spans="1:9" ht="16">
      <c r="A849" s="161">
        <v>41878</v>
      </c>
      <c r="B849" s="94">
        <v>4.72</v>
      </c>
      <c r="E849" s="96"/>
      <c r="F849" s="97"/>
      <c r="G849" s="96">
        <v>41892</v>
      </c>
      <c r="H849" s="97">
        <v>259.38</v>
      </c>
      <c r="I849" s="99">
        <f t="shared" si="13"/>
        <v>-8.3725197843789179E-3</v>
      </c>
    </row>
    <row r="850" spans="1:9" ht="16">
      <c r="A850" s="161">
        <v>41879</v>
      </c>
      <c r="B850" s="94">
        <v>4.7300000000000004</v>
      </c>
      <c r="E850" s="96"/>
      <c r="F850" s="97"/>
      <c r="G850" s="96">
        <v>41893</v>
      </c>
      <c r="H850" s="97">
        <v>259.97000000000003</v>
      </c>
      <c r="I850" s="99">
        <f t="shared" si="13"/>
        <v>2.2746549464107702E-3</v>
      </c>
    </row>
    <row r="851" spans="1:9" ht="16">
      <c r="A851" s="161">
        <v>41880</v>
      </c>
      <c r="B851" s="94">
        <v>4.75</v>
      </c>
      <c r="E851" s="96"/>
      <c r="F851" s="97"/>
      <c r="G851" s="96">
        <v>41894</v>
      </c>
      <c r="H851" s="97">
        <v>263.45</v>
      </c>
      <c r="I851" s="99">
        <f t="shared" si="13"/>
        <v>1.3386159941531472E-2</v>
      </c>
    </row>
    <row r="852" spans="1:9" ht="16">
      <c r="A852" s="161">
        <v>41881</v>
      </c>
      <c r="B852" s="94">
        <v>4.78</v>
      </c>
      <c r="E852" s="96"/>
      <c r="F852" s="97"/>
      <c r="G852" s="96">
        <v>41895</v>
      </c>
      <c r="H852" s="97">
        <v>265.69</v>
      </c>
      <c r="I852" s="99">
        <f t="shared" si="13"/>
        <v>8.5025621560068654E-3</v>
      </c>
    </row>
    <row r="853" spans="1:9" ht="16">
      <c r="A853" s="161">
        <v>41884</v>
      </c>
      <c r="B853" s="94">
        <v>4.78</v>
      </c>
      <c r="E853" s="96"/>
      <c r="F853" s="97"/>
      <c r="G853" s="96">
        <v>41898</v>
      </c>
      <c r="H853" s="97">
        <v>263.02</v>
      </c>
      <c r="I853" s="99">
        <f t="shared" si="13"/>
        <v>-1.0049305581693035E-2</v>
      </c>
    </row>
    <row r="854" spans="1:9" ht="16">
      <c r="A854" s="161">
        <v>41885</v>
      </c>
      <c r="B854" s="94">
        <v>4.82</v>
      </c>
      <c r="E854" s="96"/>
      <c r="F854" s="97"/>
      <c r="G854" s="96">
        <v>41899</v>
      </c>
      <c r="H854" s="97">
        <v>263.51</v>
      </c>
      <c r="I854" s="99">
        <f t="shared" si="13"/>
        <v>1.8629761995285765E-3</v>
      </c>
    </row>
    <row r="855" spans="1:9" ht="16">
      <c r="A855" s="161">
        <v>41886</v>
      </c>
      <c r="B855" s="94">
        <v>4.82</v>
      </c>
      <c r="E855" s="96"/>
      <c r="F855" s="97"/>
      <c r="G855" s="96">
        <v>41900</v>
      </c>
      <c r="H855" s="97">
        <v>266.33999999999997</v>
      </c>
      <c r="I855" s="99">
        <f t="shared" si="13"/>
        <v>1.0739630374558828E-2</v>
      </c>
    </row>
    <row r="856" spans="1:9" ht="16">
      <c r="A856" s="161">
        <v>41887</v>
      </c>
      <c r="B856" s="94">
        <v>4.8</v>
      </c>
      <c r="E856" s="96"/>
      <c r="F856" s="97"/>
      <c r="G856" s="96">
        <v>41901</v>
      </c>
      <c r="H856" s="97">
        <v>267.5</v>
      </c>
      <c r="I856" s="99">
        <f t="shared" si="13"/>
        <v>4.3553352857250704E-3</v>
      </c>
    </row>
    <row r="857" spans="1:9" ht="16">
      <c r="A857" s="161">
        <v>41888</v>
      </c>
      <c r="B857" s="94">
        <v>4.8099999999999996</v>
      </c>
      <c r="E857" s="96"/>
      <c r="F857" s="97"/>
      <c r="G857" s="96">
        <v>41902</v>
      </c>
      <c r="H857" s="97">
        <v>271.01</v>
      </c>
      <c r="I857" s="99">
        <f t="shared" si="13"/>
        <v>1.3121495327102828E-2</v>
      </c>
    </row>
    <row r="858" spans="1:9" ht="16">
      <c r="A858" s="161">
        <v>41891</v>
      </c>
      <c r="B858" s="94">
        <v>4.84</v>
      </c>
      <c r="E858" s="96"/>
      <c r="F858" s="97"/>
      <c r="G858" s="96">
        <v>41905</v>
      </c>
      <c r="H858" s="97">
        <v>268.17</v>
      </c>
      <c r="I858" s="99">
        <f t="shared" si="13"/>
        <v>-1.0479318106342839E-2</v>
      </c>
    </row>
    <row r="859" spans="1:9" ht="16">
      <c r="A859" s="161">
        <v>41892</v>
      </c>
      <c r="B859" s="94">
        <v>4.87</v>
      </c>
      <c r="E859" s="96"/>
      <c r="F859" s="97"/>
      <c r="G859" s="96">
        <v>41906</v>
      </c>
      <c r="H859" s="97">
        <v>268.01</v>
      </c>
      <c r="I859" s="99">
        <f t="shared" si="13"/>
        <v>-5.9663646194585418E-4</v>
      </c>
    </row>
    <row r="860" spans="1:9" ht="16">
      <c r="A860" s="161">
        <v>41893</v>
      </c>
      <c r="B860" s="94">
        <v>4.8600000000000003</v>
      </c>
      <c r="E860" s="96"/>
      <c r="F860" s="97"/>
      <c r="G860" s="96">
        <v>41907</v>
      </c>
      <c r="H860" s="97">
        <v>269.22000000000003</v>
      </c>
      <c r="I860" s="99">
        <f t="shared" si="13"/>
        <v>4.5147569120556064E-3</v>
      </c>
    </row>
    <row r="861" spans="1:9" ht="16">
      <c r="A861" s="161">
        <v>41894</v>
      </c>
      <c r="B861" s="94">
        <v>4.83</v>
      </c>
      <c r="E861" s="96"/>
      <c r="F861" s="97"/>
      <c r="G861" s="96">
        <v>41908</v>
      </c>
      <c r="H861" s="97">
        <v>270.14999999999998</v>
      </c>
      <c r="I861" s="99">
        <f t="shared" si="13"/>
        <v>3.4544238912412872E-3</v>
      </c>
    </row>
    <row r="862" spans="1:9" ht="16">
      <c r="A862" s="161">
        <v>41895</v>
      </c>
      <c r="B862" s="94">
        <v>4.83</v>
      </c>
      <c r="E862" s="96"/>
      <c r="F862" s="97"/>
      <c r="G862" s="96">
        <v>41909</v>
      </c>
      <c r="H862" s="97">
        <v>269.33</v>
      </c>
      <c r="I862" s="99">
        <f t="shared" si="13"/>
        <v>-3.0353507310753036E-3</v>
      </c>
    </row>
    <row r="863" spans="1:9" ht="16">
      <c r="A863" s="161">
        <v>41898</v>
      </c>
      <c r="B863" s="94">
        <v>4.82</v>
      </c>
      <c r="E863" s="96"/>
      <c r="F863" s="97"/>
      <c r="G863" s="96">
        <v>41912</v>
      </c>
      <c r="H863" s="97">
        <v>269.01</v>
      </c>
      <c r="I863" s="99">
        <f t="shared" si="13"/>
        <v>-1.1881335165039308E-3</v>
      </c>
    </row>
    <row r="864" spans="1:9" ht="16">
      <c r="A864" s="161">
        <v>41899</v>
      </c>
      <c r="B864" s="94">
        <v>4.83</v>
      </c>
      <c r="E864" s="96"/>
      <c r="F864" s="97"/>
      <c r="G864" s="96">
        <v>41913</v>
      </c>
      <c r="H864" s="97">
        <v>266.45999999999998</v>
      </c>
      <c r="I864" s="99">
        <f t="shared" si="13"/>
        <v>-9.4792015166722532E-3</v>
      </c>
    </row>
    <row r="865" spans="1:9" ht="16">
      <c r="A865" s="161">
        <v>41900</v>
      </c>
      <c r="B865" s="94">
        <v>4.84</v>
      </c>
      <c r="E865" s="96"/>
      <c r="F865" s="97"/>
      <c r="G865" s="96">
        <v>41914</v>
      </c>
      <c r="H865" s="97">
        <v>266.85000000000002</v>
      </c>
      <c r="I865" s="99">
        <f t="shared" si="13"/>
        <v>1.4636343165954635E-3</v>
      </c>
    </row>
    <row r="866" spans="1:9" ht="16">
      <c r="A866" s="161">
        <v>41901</v>
      </c>
      <c r="B866" s="94">
        <v>4.82</v>
      </c>
      <c r="E866" s="96"/>
      <c r="F866" s="97"/>
      <c r="G866" s="96">
        <v>41915</v>
      </c>
      <c r="H866" s="97">
        <v>260.81</v>
      </c>
      <c r="I866" s="99">
        <f t="shared" si="13"/>
        <v>-2.2634438823309067E-2</v>
      </c>
    </row>
    <row r="867" spans="1:9" ht="16">
      <c r="A867" s="161">
        <v>41902</v>
      </c>
      <c r="B867" s="94">
        <v>4.8</v>
      </c>
      <c r="E867" s="96"/>
      <c r="F867" s="97"/>
      <c r="G867" s="96">
        <v>41916</v>
      </c>
      <c r="H867" s="97">
        <v>257.89999999999998</v>
      </c>
      <c r="I867" s="99">
        <f t="shared" si="13"/>
        <v>-1.1157547640044618E-2</v>
      </c>
    </row>
    <row r="868" spans="1:9" ht="16">
      <c r="A868" s="161">
        <v>41905</v>
      </c>
      <c r="B868" s="94">
        <v>4.79</v>
      </c>
      <c r="E868" s="96"/>
      <c r="F868" s="97"/>
      <c r="G868" s="96">
        <v>41919</v>
      </c>
      <c r="H868" s="97">
        <v>256.75</v>
      </c>
      <c r="I868" s="99">
        <f t="shared" si="13"/>
        <v>-4.4590926715780688E-3</v>
      </c>
    </row>
    <row r="869" spans="1:9" ht="16">
      <c r="A869" s="161">
        <v>41906</v>
      </c>
      <c r="B869" s="94">
        <v>4.8</v>
      </c>
      <c r="E869" s="96"/>
      <c r="F869" s="97"/>
      <c r="G869" s="96">
        <v>41920</v>
      </c>
      <c r="H869" s="97">
        <v>256.08999999999997</v>
      </c>
      <c r="I869" s="99">
        <f t="shared" si="13"/>
        <v>-2.5705939629990793E-3</v>
      </c>
    </row>
    <row r="870" spans="1:9" ht="16">
      <c r="A870" s="161">
        <v>41907</v>
      </c>
      <c r="B870" s="94">
        <v>4.78</v>
      </c>
      <c r="E870" s="96"/>
      <c r="F870" s="97"/>
      <c r="G870" s="96">
        <v>41921</v>
      </c>
      <c r="H870" s="97">
        <v>254.23</v>
      </c>
      <c r="I870" s="99">
        <f t="shared" si="13"/>
        <v>-7.2630715763988274E-3</v>
      </c>
    </row>
    <row r="871" spans="1:9" ht="16">
      <c r="A871" s="161">
        <v>41908</v>
      </c>
      <c r="B871" s="94">
        <v>4.7300000000000004</v>
      </c>
      <c r="E871" s="96"/>
      <c r="F871" s="97"/>
      <c r="G871" s="96">
        <v>41922</v>
      </c>
      <c r="H871" s="97">
        <v>247.4</v>
      </c>
      <c r="I871" s="99">
        <f t="shared" si="13"/>
        <v>-2.6865436809188514E-2</v>
      </c>
    </row>
    <row r="872" spans="1:9" ht="16">
      <c r="A872" s="161">
        <v>41909</v>
      </c>
      <c r="B872" s="94">
        <v>4.74</v>
      </c>
      <c r="E872" s="96"/>
      <c r="F872" s="97"/>
      <c r="G872" s="96">
        <v>41923</v>
      </c>
      <c r="H872" s="97">
        <v>253.49</v>
      </c>
      <c r="I872" s="99">
        <f t="shared" si="13"/>
        <v>2.4616006467259588E-2</v>
      </c>
    </row>
    <row r="873" spans="1:9" ht="16">
      <c r="A873" s="161">
        <v>41911</v>
      </c>
      <c r="B873" s="94">
        <v>4.7699999999999996</v>
      </c>
      <c r="E873" s="96"/>
      <c r="F873" s="97"/>
      <c r="G873" s="96">
        <v>41926</v>
      </c>
      <c r="H873" s="97">
        <v>251.9</v>
      </c>
      <c r="I873" s="99">
        <f t="shared" si="13"/>
        <v>-6.2724367825160998E-3</v>
      </c>
    </row>
    <row r="874" spans="1:9" ht="16">
      <c r="A874" s="161">
        <v>41912</v>
      </c>
      <c r="B874" s="94">
        <v>4.7699999999999996</v>
      </c>
      <c r="E874" s="96"/>
      <c r="F874" s="97"/>
      <c r="G874" s="96">
        <v>41927</v>
      </c>
      <c r="H874" s="97">
        <v>255.35</v>
      </c>
      <c r="I874" s="99">
        <f t="shared" si="13"/>
        <v>1.3695911075823686E-2</v>
      </c>
    </row>
    <row r="875" spans="1:9" ht="16">
      <c r="A875" s="161">
        <v>41913</v>
      </c>
      <c r="B875" s="94">
        <v>4.76</v>
      </c>
      <c r="E875" s="96"/>
      <c r="F875" s="97"/>
      <c r="G875" s="96">
        <v>41928</v>
      </c>
      <c r="H875" s="97">
        <v>254.48</v>
      </c>
      <c r="I875" s="99">
        <f t="shared" si="13"/>
        <v>-3.4070883101625649E-3</v>
      </c>
    </row>
    <row r="876" spans="1:9" ht="16">
      <c r="A876" s="161">
        <v>41914</v>
      </c>
      <c r="B876" s="94">
        <v>4.7699999999999996</v>
      </c>
      <c r="E876" s="96"/>
      <c r="F876" s="97"/>
      <c r="G876" s="96">
        <v>41929</v>
      </c>
      <c r="H876" s="97">
        <v>251.58</v>
      </c>
      <c r="I876" s="99">
        <f t="shared" si="13"/>
        <v>-1.1395787488211129E-2</v>
      </c>
    </row>
    <row r="877" spans="1:9" ht="16">
      <c r="A877" s="161">
        <v>41915</v>
      </c>
      <c r="B877" s="94">
        <v>4.8499999999999996</v>
      </c>
      <c r="E877" s="96"/>
      <c r="F877" s="97"/>
      <c r="G877" s="96">
        <v>41930</v>
      </c>
      <c r="H877" s="97">
        <v>251.23</v>
      </c>
      <c r="I877" s="99">
        <f t="shared" si="13"/>
        <v>-1.3912075681692393E-3</v>
      </c>
    </row>
    <row r="878" spans="1:9" ht="16">
      <c r="A878" s="161">
        <v>41916</v>
      </c>
      <c r="B878" s="94">
        <v>4.8600000000000003</v>
      </c>
      <c r="E878" s="96"/>
      <c r="F878" s="97"/>
      <c r="G878" s="96">
        <v>41933</v>
      </c>
      <c r="H878" s="97">
        <v>254</v>
      </c>
      <c r="I878" s="99">
        <f t="shared" si="13"/>
        <v>1.1025753293794516E-2</v>
      </c>
    </row>
    <row r="879" spans="1:9" ht="16">
      <c r="A879" s="161">
        <v>41919</v>
      </c>
      <c r="B879" s="94">
        <v>4.8600000000000003</v>
      </c>
      <c r="E879" s="96"/>
      <c r="F879" s="97"/>
      <c r="G879" s="96">
        <v>41934</v>
      </c>
      <c r="H879" s="97">
        <v>249.04</v>
      </c>
      <c r="I879" s="99">
        <f t="shared" si="13"/>
        <v>-1.952755905511816E-2</v>
      </c>
    </row>
    <row r="880" spans="1:9" ht="16">
      <c r="A880" s="161">
        <v>41920</v>
      </c>
      <c r="B880" s="94">
        <v>4.8600000000000003</v>
      </c>
      <c r="E880" s="96"/>
      <c r="F880" s="97"/>
      <c r="G880" s="96">
        <v>41935</v>
      </c>
      <c r="H880" s="97">
        <v>247.05</v>
      </c>
      <c r="I880" s="99">
        <f t="shared" si="13"/>
        <v>-7.9906842274333201E-3</v>
      </c>
    </row>
    <row r="881" spans="1:9" ht="16">
      <c r="A881" s="161">
        <v>41921</v>
      </c>
      <c r="B881" s="94">
        <v>4.87</v>
      </c>
      <c r="E881" s="96"/>
      <c r="F881" s="97"/>
      <c r="G881" s="96">
        <v>41936</v>
      </c>
      <c r="H881" s="97">
        <v>246.57</v>
      </c>
      <c r="I881" s="99">
        <f t="shared" si="13"/>
        <v>-1.9429265330905832E-3</v>
      </c>
    </row>
    <row r="882" spans="1:9" ht="16">
      <c r="A882" s="161">
        <v>41922</v>
      </c>
      <c r="B882" s="94">
        <v>4.84</v>
      </c>
      <c r="E882" s="96"/>
      <c r="F882" s="97"/>
      <c r="G882" s="96">
        <v>41937</v>
      </c>
      <c r="H882" s="97">
        <v>244.58</v>
      </c>
      <c r="I882" s="99">
        <f t="shared" si="13"/>
        <v>-8.0707304213812892E-3</v>
      </c>
    </row>
    <row r="883" spans="1:9" ht="16">
      <c r="A883" s="161">
        <v>41923</v>
      </c>
      <c r="B883" s="94">
        <v>4.83</v>
      </c>
      <c r="E883" s="96"/>
      <c r="F883" s="97"/>
      <c r="G883" s="96">
        <v>41940</v>
      </c>
      <c r="H883" s="97">
        <v>243.42</v>
      </c>
      <c r="I883" s="99">
        <f t="shared" si="13"/>
        <v>-4.7428244337232028E-3</v>
      </c>
    </row>
    <row r="884" spans="1:9" ht="16">
      <c r="A884" s="161">
        <v>41926</v>
      </c>
      <c r="B884" s="94">
        <v>4.82</v>
      </c>
      <c r="E884" s="96"/>
      <c r="F884" s="97"/>
      <c r="G884" s="96">
        <v>41941</v>
      </c>
      <c r="H884" s="97">
        <v>243.45</v>
      </c>
      <c r="I884" s="99">
        <f t="shared" si="13"/>
        <v>1.2324377618933013E-4</v>
      </c>
    </row>
    <row r="885" spans="1:9" ht="16">
      <c r="A885" s="161">
        <v>41927</v>
      </c>
      <c r="B885" s="94">
        <v>4.8099999999999996</v>
      </c>
      <c r="E885" s="96"/>
      <c r="F885" s="97"/>
      <c r="G885" s="96">
        <v>41942</v>
      </c>
      <c r="H885" s="97">
        <v>248.62</v>
      </c>
      <c r="I885" s="99">
        <f t="shared" si="13"/>
        <v>2.1236393509961093E-2</v>
      </c>
    </row>
    <row r="886" spans="1:9" ht="16">
      <c r="A886" s="161">
        <v>41928</v>
      </c>
      <c r="B886" s="94">
        <v>4.8099999999999996</v>
      </c>
      <c r="E886" s="96"/>
      <c r="F886" s="97"/>
      <c r="G886" s="96">
        <v>41943</v>
      </c>
      <c r="H886" s="97">
        <v>253.36</v>
      </c>
      <c r="I886" s="99">
        <f t="shared" si="13"/>
        <v>1.9065240125492711E-2</v>
      </c>
    </row>
    <row r="887" spans="1:9" ht="16">
      <c r="A887" s="161">
        <v>41929</v>
      </c>
      <c r="B887" s="94">
        <v>4.84</v>
      </c>
      <c r="E887" s="96"/>
      <c r="F887" s="97"/>
      <c r="G887" s="96">
        <v>41944</v>
      </c>
      <c r="H887" s="97">
        <v>258.58999999999997</v>
      </c>
      <c r="I887" s="99">
        <f t="shared" si="13"/>
        <v>2.064256394063757E-2</v>
      </c>
    </row>
    <row r="888" spans="1:9" ht="16">
      <c r="A888" s="161">
        <v>41930</v>
      </c>
      <c r="B888" s="94">
        <v>4.83</v>
      </c>
      <c r="E888" s="96"/>
      <c r="F888" s="97"/>
      <c r="G888" s="96">
        <v>41947</v>
      </c>
      <c r="H888" s="97">
        <v>257.86</v>
      </c>
      <c r="I888" s="99">
        <f t="shared" si="13"/>
        <v>-2.8230016628638666E-3</v>
      </c>
    </row>
    <row r="889" spans="1:9" ht="16">
      <c r="A889" s="161">
        <v>41933</v>
      </c>
      <c r="B889" s="94">
        <v>4.8499999999999996</v>
      </c>
      <c r="E889" s="96"/>
      <c r="F889" s="97"/>
      <c r="G889" s="96">
        <v>41948</v>
      </c>
      <c r="H889" s="97">
        <v>257.55</v>
      </c>
      <c r="I889" s="99">
        <f t="shared" si="13"/>
        <v>-1.202202745675951E-3</v>
      </c>
    </row>
    <row r="890" spans="1:9" ht="16">
      <c r="A890" s="161">
        <v>41934</v>
      </c>
      <c r="B890" s="94">
        <v>4.8499999999999996</v>
      </c>
      <c r="E890" s="96"/>
      <c r="F890" s="97"/>
      <c r="G890" s="96">
        <v>41949</v>
      </c>
      <c r="H890" s="97">
        <v>259.49</v>
      </c>
      <c r="I890" s="99">
        <f t="shared" si="13"/>
        <v>7.5325179576781753E-3</v>
      </c>
    </row>
    <row r="891" spans="1:9" ht="16">
      <c r="A891" s="161">
        <v>41935</v>
      </c>
      <c r="B891" s="94">
        <v>4.84</v>
      </c>
      <c r="E891" s="96"/>
      <c r="F891" s="97"/>
      <c r="G891" s="96">
        <v>41950</v>
      </c>
      <c r="H891" s="97">
        <v>257.87</v>
      </c>
      <c r="I891" s="99">
        <f t="shared" si="13"/>
        <v>-6.2430151450922899E-3</v>
      </c>
    </row>
    <row r="892" spans="1:9" ht="16">
      <c r="A892" s="161">
        <v>41936</v>
      </c>
      <c r="B892" s="94">
        <v>4.8499999999999996</v>
      </c>
      <c r="E892" s="96"/>
      <c r="F892" s="97"/>
      <c r="G892" s="96">
        <v>41951</v>
      </c>
      <c r="H892" s="97">
        <v>253.73</v>
      </c>
      <c r="I892" s="99">
        <f t="shared" si="13"/>
        <v>-1.6054601155621073E-2</v>
      </c>
    </row>
    <row r="893" spans="1:9" ht="16">
      <c r="A893" s="161">
        <v>41937</v>
      </c>
      <c r="B893" s="94">
        <v>4.84</v>
      </c>
      <c r="E893" s="96"/>
      <c r="F893" s="97"/>
      <c r="G893" s="96">
        <v>41954</v>
      </c>
      <c r="H893" s="97">
        <v>251</v>
      </c>
      <c r="I893" s="99">
        <f t="shared" si="13"/>
        <v>-1.0759468726599053E-2</v>
      </c>
    </row>
    <row r="894" spans="1:9" ht="16">
      <c r="A894" s="161">
        <v>41940</v>
      </c>
      <c r="B894" s="94">
        <v>4.8499999999999996</v>
      </c>
      <c r="E894" s="96"/>
      <c r="F894" s="97"/>
      <c r="G894" s="96">
        <v>41955</v>
      </c>
      <c r="H894" s="97">
        <v>251.24</v>
      </c>
      <c r="I894" s="99">
        <f t="shared" si="13"/>
        <v>9.5617529880476226E-4</v>
      </c>
    </row>
    <row r="895" spans="1:9" ht="16">
      <c r="A895" s="161">
        <v>41941</v>
      </c>
      <c r="B895" s="94">
        <v>4.8899999999999997</v>
      </c>
      <c r="E895" s="96"/>
      <c r="F895" s="97"/>
      <c r="G895" s="96">
        <v>41956</v>
      </c>
      <c r="H895" s="97">
        <v>252.22</v>
      </c>
      <c r="I895" s="99">
        <f t="shared" si="13"/>
        <v>3.9006527622988951E-3</v>
      </c>
    </row>
    <row r="896" spans="1:9" ht="16">
      <c r="A896" s="161">
        <v>41942</v>
      </c>
      <c r="B896" s="94">
        <v>4.95</v>
      </c>
      <c r="E896" s="96"/>
      <c r="F896" s="97"/>
      <c r="G896" s="96">
        <v>41957</v>
      </c>
      <c r="H896" s="97">
        <v>255.27</v>
      </c>
      <c r="I896" s="99">
        <f t="shared" si="13"/>
        <v>1.2092617556101803E-2</v>
      </c>
    </row>
    <row r="897" spans="1:9" ht="16">
      <c r="A897" s="161">
        <v>41943</v>
      </c>
      <c r="B897" s="94">
        <v>4.9400000000000004</v>
      </c>
      <c r="E897" s="96"/>
      <c r="F897" s="97"/>
      <c r="G897" s="96">
        <v>41958</v>
      </c>
      <c r="H897" s="97">
        <v>256.94</v>
      </c>
      <c r="I897" s="99">
        <f t="shared" si="13"/>
        <v>6.5420926861754491E-3</v>
      </c>
    </row>
    <row r="898" spans="1:9" ht="16">
      <c r="A898" s="161">
        <v>41944</v>
      </c>
      <c r="B898" s="94">
        <v>4.9400000000000004</v>
      </c>
      <c r="E898" s="96"/>
      <c r="F898" s="97"/>
      <c r="G898" s="96">
        <v>41961</v>
      </c>
      <c r="H898" s="97">
        <v>257.48</v>
      </c>
      <c r="I898" s="99">
        <f t="shared" si="13"/>
        <v>2.1016579746244712E-3</v>
      </c>
    </row>
    <row r="899" spans="1:9" ht="16">
      <c r="A899" s="161">
        <v>41947</v>
      </c>
      <c r="B899" s="94">
        <v>4.93</v>
      </c>
      <c r="E899" s="96"/>
      <c r="F899" s="97"/>
      <c r="G899" s="96">
        <v>41962</v>
      </c>
      <c r="H899" s="97">
        <v>253.56</v>
      </c>
      <c r="I899" s="99">
        <f t="shared" si="13"/>
        <v>-1.5224483455025695E-2</v>
      </c>
    </row>
    <row r="900" spans="1:9" ht="16">
      <c r="A900" s="161">
        <v>41948</v>
      </c>
      <c r="B900" s="94">
        <v>4.93</v>
      </c>
      <c r="E900" s="96"/>
      <c r="F900" s="97"/>
      <c r="G900" s="96">
        <v>41963</v>
      </c>
      <c r="H900" s="97">
        <v>254.73</v>
      </c>
      <c r="I900" s="99">
        <f t="shared" si="13"/>
        <v>4.6142924751537695E-3</v>
      </c>
    </row>
    <row r="901" spans="1:9" ht="16">
      <c r="A901" s="161">
        <v>41949</v>
      </c>
      <c r="B901" s="94">
        <v>4.92</v>
      </c>
      <c r="E901" s="96"/>
      <c r="F901" s="97"/>
      <c r="G901" s="96">
        <v>41964</v>
      </c>
      <c r="H901" s="97">
        <v>254.85</v>
      </c>
      <c r="I901" s="99">
        <f t="shared" si="13"/>
        <v>4.7108703332932045E-4</v>
      </c>
    </row>
    <row r="902" spans="1:9" ht="16">
      <c r="A902" s="161">
        <v>41950</v>
      </c>
      <c r="B902" s="94">
        <v>4.95</v>
      </c>
      <c r="E902" s="96"/>
      <c r="F902" s="97"/>
      <c r="G902" s="96">
        <v>41965</v>
      </c>
      <c r="H902" s="97">
        <v>253.18</v>
      </c>
      <c r="I902" s="99">
        <f t="shared" si="13"/>
        <v>-6.5528742397488182E-3</v>
      </c>
    </row>
    <row r="903" spans="1:9" ht="16">
      <c r="A903" s="161">
        <v>41951</v>
      </c>
      <c r="B903" s="94">
        <v>4.96</v>
      </c>
      <c r="E903" s="96"/>
      <c r="F903" s="97"/>
      <c r="G903" s="96">
        <v>41968</v>
      </c>
      <c r="H903" s="97">
        <v>254.75</v>
      </c>
      <c r="I903" s="99">
        <f t="shared" si="13"/>
        <v>6.2011217315742773E-3</v>
      </c>
    </row>
    <row r="904" spans="1:9" ht="16">
      <c r="A904" s="161">
        <v>41954</v>
      </c>
      <c r="B904" s="94">
        <v>4.96</v>
      </c>
      <c r="E904" s="96"/>
      <c r="F904" s="97"/>
      <c r="G904" s="96">
        <v>41969</v>
      </c>
      <c r="H904" s="97">
        <v>255.45</v>
      </c>
      <c r="I904" s="99">
        <f t="shared" si="13"/>
        <v>2.7477919528948735E-3</v>
      </c>
    </row>
    <row r="905" spans="1:9" ht="16">
      <c r="A905" s="161">
        <v>41955</v>
      </c>
      <c r="B905" s="94">
        <v>4.97</v>
      </c>
      <c r="E905" s="96"/>
      <c r="F905" s="97"/>
      <c r="G905" s="96">
        <v>41970</v>
      </c>
      <c r="H905" s="97">
        <v>258.45</v>
      </c>
      <c r="I905" s="99">
        <f t="shared" si="13"/>
        <v>1.174398120963005E-2</v>
      </c>
    </row>
    <row r="906" spans="1:9" ht="16">
      <c r="A906" s="161">
        <v>41956</v>
      </c>
      <c r="B906" s="94">
        <v>4.97</v>
      </c>
      <c r="E906" s="96"/>
      <c r="F906" s="97"/>
      <c r="G906" s="96">
        <v>41971</v>
      </c>
      <c r="H906" s="97">
        <v>260.19</v>
      </c>
      <c r="I906" s="99">
        <f t="shared" si="13"/>
        <v>6.7324434126523336E-3</v>
      </c>
    </row>
    <row r="907" spans="1:9" ht="16">
      <c r="A907" s="161">
        <v>41957</v>
      </c>
      <c r="B907" s="94">
        <v>4.9800000000000004</v>
      </c>
      <c r="E907" s="96"/>
      <c r="F907" s="97"/>
      <c r="G907" s="96">
        <v>41972</v>
      </c>
      <c r="H907" s="97">
        <v>259.87</v>
      </c>
      <c r="I907" s="99">
        <f t="shared" si="13"/>
        <v>-1.2298704792651494E-3</v>
      </c>
    </row>
    <row r="908" spans="1:9" ht="16">
      <c r="A908" s="161">
        <v>41958</v>
      </c>
      <c r="B908" s="94">
        <v>4.9800000000000004</v>
      </c>
      <c r="E908" s="96"/>
      <c r="F908" s="97"/>
      <c r="G908" s="96">
        <v>41975</v>
      </c>
      <c r="H908" s="97">
        <v>264.88</v>
      </c>
      <c r="I908" s="99">
        <f t="shared" si="13"/>
        <v>1.9278870204332943E-2</v>
      </c>
    </row>
    <row r="909" spans="1:9" ht="16">
      <c r="A909" s="161">
        <v>41961</v>
      </c>
      <c r="B909" s="94">
        <v>4.9800000000000004</v>
      </c>
      <c r="E909" s="96"/>
      <c r="F909" s="97"/>
      <c r="G909" s="96">
        <v>41976</v>
      </c>
      <c r="H909" s="97">
        <v>264.14999999999998</v>
      </c>
      <c r="I909" s="99">
        <f t="shared" si="13"/>
        <v>-2.7559649652673102E-3</v>
      </c>
    </row>
    <row r="910" spans="1:9" ht="16">
      <c r="A910" s="161">
        <v>41962</v>
      </c>
      <c r="B910" s="94">
        <v>5.0199999999999996</v>
      </c>
      <c r="E910" s="96"/>
      <c r="F910" s="97"/>
      <c r="G910" s="96">
        <v>41977</v>
      </c>
      <c r="H910" s="97">
        <v>261.27</v>
      </c>
      <c r="I910" s="99">
        <f t="shared" si="13"/>
        <v>-1.0902896081771751E-2</v>
      </c>
    </row>
    <row r="911" spans="1:9" ht="16">
      <c r="A911" s="161">
        <v>41963</v>
      </c>
      <c r="B911" s="94">
        <v>5.03</v>
      </c>
      <c r="E911" s="96"/>
      <c r="F911" s="97"/>
      <c r="G911" s="96">
        <v>41978</v>
      </c>
      <c r="H911" s="97">
        <v>255.46</v>
      </c>
      <c r="I911" s="99">
        <f t="shared" ref="I911:I974" si="14">H911/H910-1</f>
        <v>-2.223753205496215E-2</v>
      </c>
    </row>
    <row r="912" spans="1:9" ht="16">
      <c r="A912" s="161">
        <v>41964</v>
      </c>
      <c r="B912" s="94">
        <v>5.03</v>
      </c>
      <c r="E912" s="96"/>
      <c r="F912" s="97"/>
      <c r="G912" s="96">
        <v>41979</v>
      </c>
      <c r="H912" s="97">
        <v>256.07</v>
      </c>
      <c r="I912" s="99">
        <f t="shared" si="14"/>
        <v>2.3878493697642167E-3</v>
      </c>
    </row>
    <row r="913" spans="1:9" ht="16">
      <c r="A913" s="161">
        <v>41965</v>
      </c>
      <c r="B913" s="94">
        <v>5.03</v>
      </c>
      <c r="E913" s="96"/>
      <c r="F913" s="97"/>
      <c r="G913" s="96">
        <v>41982</v>
      </c>
      <c r="H913" s="97">
        <v>251.09</v>
      </c>
      <c r="I913" s="99">
        <f t="shared" si="14"/>
        <v>-1.9447807240207671E-2</v>
      </c>
    </row>
    <row r="914" spans="1:9" ht="16">
      <c r="A914" s="161">
        <v>41968</v>
      </c>
      <c r="B914" s="94">
        <v>5.05</v>
      </c>
      <c r="E914" s="96"/>
      <c r="F914" s="97"/>
      <c r="G914" s="96">
        <v>41983</v>
      </c>
      <c r="H914" s="97">
        <v>251.83</v>
      </c>
      <c r="I914" s="99">
        <f t="shared" si="14"/>
        <v>2.947150424150724E-3</v>
      </c>
    </row>
    <row r="915" spans="1:9" ht="16">
      <c r="A915" s="161">
        <v>41969</v>
      </c>
      <c r="B915" s="94">
        <v>5.07</v>
      </c>
      <c r="E915" s="96"/>
      <c r="F915" s="97"/>
      <c r="G915" s="96">
        <v>41984</v>
      </c>
      <c r="H915" s="97">
        <v>255.38</v>
      </c>
      <c r="I915" s="99">
        <f t="shared" si="14"/>
        <v>1.4096811340983839E-2</v>
      </c>
    </row>
    <row r="916" spans="1:9" ht="16">
      <c r="A916" s="161">
        <v>41970</v>
      </c>
      <c r="B916" s="94">
        <v>5.07</v>
      </c>
      <c r="E916" s="96"/>
      <c r="F916" s="97"/>
      <c r="G916" s="96">
        <v>41985</v>
      </c>
      <c r="H916" s="97">
        <v>256.95999999999998</v>
      </c>
      <c r="I916" s="99">
        <f t="shared" si="14"/>
        <v>6.1868587986528834E-3</v>
      </c>
    </row>
    <row r="917" spans="1:9" ht="16">
      <c r="A917" s="161">
        <v>41971</v>
      </c>
      <c r="B917" s="94">
        <v>5.0199999999999996</v>
      </c>
      <c r="E917" s="96"/>
      <c r="F917" s="97"/>
      <c r="G917" s="96">
        <v>41986</v>
      </c>
      <c r="H917" s="97">
        <v>254.06</v>
      </c>
      <c r="I917" s="99">
        <f t="shared" si="14"/>
        <v>-1.1285803237857994E-2</v>
      </c>
    </row>
    <row r="918" spans="1:9" ht="16">
      <c r="A918" s="161">
        <v>41972</v>
      </c>
      <c r="B918" s="94">
        <v>5.07</v>
      </c>
      <c r="E918" s="96"/>
      <c r="F918" s="97"/>
      <c r="G918" s="96">
        <v>41989</v>
      </c>
      <c r="H918" s="97">
        <v>252.85</v>
      </c>
      <c r="I918" s="99">
        <f t="shared" si="14"/>
        <v>-4.7626544910651658E-3</v>
      </c>
    </row>
    <row r="919" spans="1:9" ht="16">
      <c r="A919" s="161">
        <v>41975</v>
      </c>
      <c r="B919" s="94">
        <v>5.0199999999999996</v>
      </c>
      <c r="E919" s="96"/>
      <c r="F919" s="97"/>
      <c r="G919" s="96">
        <v>41990</v>
      </c>
      <c r="H919" s="97">
        <v>251.73</v>
      </c>
      <c r="I919" s="99">
        <f t="shared" si="14"/>
        <v>-4.4295036582954195E-3</v>
      </c>
    </row>
    <row r="920" spans="1:9" ht="16">
      <c r="A920" s="161">
        <v>41976</v>
      </c>
      <c r="B920" s="94">
        <v>5</v>
      </c>
      <c r="E920" s="96"/>
      <c r="F920" s="97"/>
      <c r="G920" s="96">
        <v>41991</v>
      </c>
      <c r="H920" s="97">
        <v>252.69</v>
      </c>
      <c r="I920" s="99">
        <f t="shared" si="14"/>
        <v>3.813609820045416E-3</v>
      </c>
    </row>
    <row r="921" spans="1:9" ht="16">
      <c r="A921" s="161">
        <v>41977</v>
      </c>
      <c r="B921" s="94">
        <v>5.01</v>
      </c>
      <c r="E921" s="96"/>
      <c r="F921" s="97"/>
      <c r="G921" s="96">
        <v>41992</v>
      </c>
      <c r="H921" s="97">
        <v>251.11</v>
      </c>
      <c r="I921" s="99">
        <f t="shared" si="14"/>
        <v>-6.2527207249989392E-3</v>
      </c>
    </row>
    <row r="922" spans="1:9" ht="16">
      <c r="A922" s="161">
        <v>41978</v>
      </c>
      <c r="B922" s="94">
        <v>5.01</v>
      </c>
      <c r="E922" s="96"/>
      <c r="F922" s="97"/>
      <c r="G922" s="96">
        <v>41993</v>
      </c>
      <c r="H922" s="97">
        <v>249.83</v>
      </c>
      <c r="I922" s="99">
        <f t="shared" si="14"/>
        <v>-5.0973676874676022E-3</v>
      </c>
    </row>
    <row r="923" spans="1:9" ht="16">
      <c r="A923" s="161">
        <v>41979</v>
      </c>
      <c r="B923" s="94">
        <v>4.99</v>
      </c>
      <c r="E923" s="96"/>
      <c r="F923" s="97"/>
      <c r="G923" s="96">
        <v>41996</v>
      </c>
      <c r="H923" s="97">
        <v>248.75</v>
      </c>
      <c r="I923" s="99">
        <f t="shared" si="14"/>
        <v>-4.3229395989272668E-3</v>
      </c>
    </row>
    <row r="924" spans="1:9" ht="16">
      <c r="A924" s="161">
        <v>41982</v>
      </c>
      <c r="B924" s="94">
        <v>4.99</v>
      </c>
      <c r="E924" s="96"/>
      <c r="F924" s="97"/>
      <c r="G924" s="96">
        <v>41997</v>
      </c>
      <c r="H924" s="97">
        <v>247.97</v>
      </c>
      <c r="I924" s="99">
        <f t="shared" si="14"/>
        <v>-3.1356783919598286E-3</v>
      </c>
    </row>
    <row r="925" spans="1:9" ht="16">
      <c r="A925" s="161">
        <v>41983</v>
      </c>
      <c r="B925" s="94">
        <v>4.99</v>
      </c>
      <c r="E925" s="96"/>
      <c r="F925" s="97"/>
      <c r="G925" s="96">
        <v>41998</v>
      </c>
      <c r="H925" s="97">
        <v>248.35</v>
      </c>
      <c r="I925" s="99">
        <f t="shared" si="14"/>
        <v>1.5324434407388843E-3</v>
      </c>
    </row>
    <row r="926" spans="1:9" ht="16">
      <c r="A926" s="161">
        <v>41984</v>
      </c>
      <c r="B926" s="94">
        <v>4.9800000000000004</v>
      </c>
      <c r="E926" s="96"/>
      <c r="F926" s="97"/>
      <c r="G926" s="96">
        <v>41999</v>
      </c>
      <c r="H926" s="97">
        <v>248.88</v>
      </c>
      <c r="I926" s="99">
        <f t="shared" si="14"/>
        <v>2.1340849607409673E-3</v>
      </c>
    </row>
    <row r="927" spans="1:9" ht="16">
      <c r="A927" s="161">
        <v>41985</v>
      </c>
      <c r="B927" s="94">
        <v>4.97</v>
      </c>
      <c r="E927" s="96"/>
      <c r="F927" s="97"/>
      <c r="G927" s="96">
        <v>42000</v>
      </c>
      <c r="H927" s="97">
        <v>251.56</v>
      </c>
      <c r="I927" s="99">
        <f t="shared" si="14"/>
        <v>1.0768241722918681E-2</v>
      </c>
    </row>
    <row r="928" spans="1:9" ht="16">
      <c r="A928" s="161">
        <v>41986</v>
      </c>
      <c r="B928" s="94">
        <v>4.96</v>
      </c>
      <c r="E928" s="96"/>
      <c r="F928" s="97"/>
      <c r="G928" s="96">
        <v>42003</v>
      </c>
      <c r="H928" s="97">
        <v>252.6</v>
      </c>
      <c r="I928" s="99">
        <f t="shared" si="14"/>
        <v>4.1342025759261158E-3</v>
      </c>
    </row>
    <row r="929" spans="1:9" ht="16">
      <c r="A929" s="161">
        <v>41989</v>
      </c>
      <c r="B929" s="94">
        <v>4.93</v>
      </c>
      <c r="E929" s="96"/>
      <c r="F929" s="97"/>
      <c r="G929" s="96">
        <v>42004</v>
      </c>
      <c r="H929" s="97">
        <v>252.74</v>
      </c>
      <c r="I929" s="99">
        <f t="shared" si="14"/>
        <v>5.5423594615988669E-4</v>
      </c>
    </row>
    <row r="930" spans="1:9" ht="16">
      <c r="A930" s="161">
        <v>41990</v>
      </c>
      <c r="B930" s="94">
        <v>4.92</v>
      </c>
      <c r="E930" s="96"/>
      <c r="F930" s="97"/>
      <c r="G930" s="96">
        <v>42005</v>
      </c>
      <c r="H930" s="97">
        <v>250.55</v>
      </c>
      <c r="I930" s="99">
        <f t="shared" si="14"/>
        <v>-8.6650312574186872E-3</v>
      </c>
    </row>
    <row r="931" spans="1:9" ht="16">
      <c r="A931" s="161">
        <v>41991</v>
      </c>
      <c r="B931" s="94">
        <v>4.92</v>
      </c>
      <c r="E931" s="96"/>
      <c r="F931" s="97"/>
      <c r="G931" s="96">
        <v>42006</v>
      </c>
      <c r="H931" s="97">
        <v>249.51</v>
      </c>
      <c r="I931" s="99">
        <f t="shared" si="14"/>
        <v>-4.1508680902015982E-3</v>
      </c>
    </row>
    <row r="932" spans="1:9" ht="16">
      <c r="A932" s="161">
        <v>41992</v>
      </c>
      <c r="B932" s="94">
        <v>4.92</v>
      </c>
      <c r="E932" s="96"/>
      <c r="F932" s="97"/>
      <c r="G932" s="96">
        <v>42007</v>
      </c>
      <c r="H932" s="97">
        <v>253.63</v>
      </c>
      <c r="I932" s="99">
        <f t="shared" si="14"/>
        <v>1.6512364233898458E-2</v>
      </c>
    </row>
    <row r="933" spans="1:9" ht="16">
      <c r="A933" s="161">
        <v>41993</v>
      </c>
      <c r="B933" s="94">
        <v>4.95</v>
      </c>
      <c r="E933" s="96"/>
      <c r="F933" s="97"/>
      <c r="G933" s="96">
        <v>42010</v>
      </c>
      <c r="H933" s="97">
        <v>256.58999999999997</v>
      </c>
      <c r="I933" s="99">
        <f t="shared" si="14"/>
        <v>1.167054370539744E-2</v>
      </c>
    </row>
    <row r="934" spans="1:9" ht="16">
      <c r="A934" s="161">
        <v>41996</v>
      </c>
      <c r="B934" s="94">
        <v>4.9400000000000004</v>
      </c>
      <c r="E934" s="96"/>
      <c r="F934" s="97"/>
      <c r="G934" s="96">
        <v>42011</v>
      </c>
      <c r="H934" s="97">
        <v>256.27</v>
      </c>
      <c r="I934" s="99">
        <f t="shared" si="14"/>
        <v>-1.2471257648388745E-3</v>
      </c>
    </row>
    <row r="935" spans="1:9" ht="16">
      <c r="A935" s="161">
        <v>41997</v>
      </c>
      <c r="B935" s="195">
        <v>4.9400000000000004</v>
      </c>
      <c r="E935" s="96"/>
      <c r="F935" s="97"/>
      <c r="G935" s="96">
        <v>42012</v>
      </c>
      <c r="H935" s="97">
        <v>260.38</v>
      </c>
      <c r="I935" s="99">
        <f t="shared" si="14"/>
        <v>1.6037772661646077E-2</v>
      </c>
    </row>
    <row r="936" spans="1:9" ht="16">
      <c r="A936" s="161">
        <v>41998</v>
      </c>
      <c r="B936" s="94">
        <v>4.93</v>
      </c>
      <c r="E936" s="96"/>
      <c r="F936" s="97"/>
      <c r="G936" s="96">
        <v>42013</v>
      </c>
      <c r="H936" s="97">
        <v>261.42</v>
      </c>
      <c r="I936" s="99">
        <f t="shared" si="14"/>
        <v>3.9941623780628266E-3</v>
      </c>
    </row>
    <row r="937" spans="1:9" ht="16">
      <c r="A937" s="161">
        <v>41999</v>
      </c>
      <c r="B937" s="94">
        <v>4.93</v>
      </c>
      <c r="E937" s="96"/>
      <c r="F937" s="97"/>
      <c r="G937" s="96">
        <v>42014</v>
      </c>
      <c r="H937" s="97">
        <v>261.73</v>
      </c>
      <c r="I937" s="99">
        <f t="shared" si="14"/>
        <v>1.1858312294392714E-3</v>
      </c>
    </row>
    <row r="938" spans="1:9" ht="16">
      <c r="A938" s="161">
        <v>42000</v>
      </c>
      <c r="B938" s="94">
        <v>4.92</v>
      </c>
      <c r="E938" s="96"/>
      <c r="F938" s="97"/>
      <c r="G938" s="96">
        <v>42017</v>
      </c>
      <c r="H938" s="97">
        <v>259.89</v>
      </c>
      <c r="I938" s="99">
        <f t="shared" si="14"/>
        <v>-7.0301455698621451E-3</v>
      </c>
    </row>
    <row r="939" spans="1:9" ht="16">
      <c r="A939" s="161">
        <v>42003</v>
      </c>
      <c r="B939" s="94">
        <v>4.92</v>
      </c>
      <c r="E939" s="96"/>
      <c r="F939" s="97"/>
      <c r="G939" s="96">
        <v>42018</v>
      </c>
      <c r="H939" s="97">
        <v>262.45999999999998</v>
      </c>
      <c r="I939" s="99">
        <f t="shared" si="14"/>
        <v>9.8887991073146608E-3</v>
      </c>
    </row>
    <row r="940" spans="1:9" ht="16">
      <c r="A940" s="161">
        <v>42004</v>
      </c>
      <c r="B940" s="195">
        <v>4.92</v>
      </c>
      <c r="E940" s="96"/>
      <c r="F940" s="97"/>
      <c r="G940" s="96">
        <v>42019</v>
      </c>
      <c r="H940" s="97">
        <v>263.41000000000003</v>
      </c>
      <c r="I940" s="99">
        <f t="shared" si="14"/>
        <v>3.6195991770175961E-3</v>
      </c>
    </row>
    <row r="941" spans="1:9" ht="16">
      <c r="A941" s="161">
        <v>42005</v>
      </c>
      <c r="B941" s="94">
        <v>4.9000000000000004</v>
      </c>
      <c r="E941" s="96"/>
      <c r="F941" s="97"/>
      <c r="G941" s="96">
        <v>42020</v>
      </c>
      <c r="H941" s="97">
        <v>263.2</v>
      </c>
      <c r="I941" s="99">
        <f t="shared" si="14"/>
        <v>-7.9723624767491508E-4</v>
      </c>
    </row>
    <row r="942" spans="1:9" ht="16">
      <c r="A942" s="161">
        <v>42006</v>
      </c>
      <c r="B942" s="94">
        <v>4.8499999999999996</v>
      </c>
      <c r="E942" s="96"/>
      <c r="F942" s="97"/>
      <c r="G942" s="96">
        <v>42021</v>
      </c>
      <c r="H942" s="97">
        <v>265.39</v>
      </c>
      <c r="I942" s="99">
        <f t="shared" si="14"/>
        <v>8.3206686930090701E-3</v>
      </c>
    </row>
    <row r="943" spans="1:9" ht="16">
      <c r="A943" s="161">
        <v>42007</v>
      </c>
      <c r="B943" s="94">
        <v>4.82</v>
      </c>
      <c r="E943" s="96"/>
      <c r="F943" s="97"/>
      <c r="G943" s="96">
        <v>42024</v>
      </c>
      <c r="H943" s="97">
        <v>265.61</v>
      </c>
      <c r="I943" s="99">
        <f t="shared" si="14"/>
        <v>8.2896868759196884E-4</v>
      </c>
    </row>
    <row r="944" spans="1:9" ht="16">
      <c r="A944" s="161">
        <v>42010</v>
      </c>
      <c r="B944" s="94">
        <v>4.8</v>
      </c>
      <c r="E944" s="96"/>
      <c r="F944" s="97"/>
      <c r="G944" s="96">
        <v>42025</v>
      </c>
      <c r="H944" s="97">
        <v>263.61</v>
      </c>
      <c r="I944" s="99">
        <f t="shared" si="14"/>
        <v>-7.5298369790294251E-3</v>
      </c>
    </row>
    <row r="945" spans="1:9" ht="16">
      <c r="A945" s="161">
        <v>42011</v>
      </c>
      <c r="B945" s="94">
        <v>4.8099999999999996</v>
      </c>
      <c r="E945" s="96"/>
      <c r="F945" s="97"/>
      <c r="G945" s="96">
        <v>42026</v>
      </c>
      <c r="H945" s="97">
        <v>263.86</v>
      </c>
      <c r="I945" s="99">
        <f t="shared" si="14"/>
        <v>9.4837069913888961E-4</v>
      </c>
    </row>
    <row r="946" spans="1:9" ht="16">
      <c r="A946" s="161">
        <v>42012</v>
      </c>
      <c r="B946" s="94">
        <v>4.79</v>
      </c>
      <c r="E946" s="96"/>
      <c r="F946" s="97"/>
      <c r="G946" s="96">
        <v>42027</v>
      </c>
      <c r="H946" s="97">
        <v>265.69</v>
      </c>
      <c r="I946" s="99">
        <f t="shared" si="14"/>
        <v>6.9354960964147505E-3</v>
      </c>
    </row>
    <row r="947" spans="1:9" ht="16">
      <c r="A947" s="161">
        <v>42013</v>
      </c>
      <c r="B947" s="94">
        <v>4.78</v>
      </c>
      <c r="E947" s="96"/>
      <c r="F947" s="97"/>
      <c r="G947" s="96">
        <v>42028</v>
      </c>
      <c r="H947" s="97">
        <v>268.05</v>
      </c>
      <c r="I947" s="99">
        <f t="shared" si="14"/>
        <v>8.8825322744552349E-3</v>
      </c>
    </row>
    <row r="948" spans="1:9" ht="16">
      <c r="A948" s="161">
        <v>42014</v>
      </c>
      <c r="B948" s="94">
        <v>4.78</v>
      </c>
      <c r="E948" s="96"/>
      <c r="F948" s="97"/>
      <c r="G948" s="96">
        <v>42031</v>
      </c>
      <c r="H948" s="97">
        <v>266.67</v>
      </c>
      <c r="I948" s="99">
        <f t="shared" si="14"/>
        <v>-5.1482932288752226E-3</v>
      </c>
    </row>
    <row r="949" spans="1:9" ht="16">
      <c r="A949" s="161">
        <v>42017</v>
      </c>
      <c r="B949" s="94">
        <v>4.7699999999999996</v>
      </c>
      <c r="E949" s="96"/>
      <c r="F949" s="97"/>
      <c r="G949" s="96">
        <v>42032</v>
      </c>
      <c r="H949" s="97">
        <v>266.91000000000003</v>
      </c>
      <c r="I949" s="99">
        <f t="shared" si="14"/>
        <v>8.9998875014063451E-4</v>
      </c>
    </row>
    <row r="950" spans="1:9" ht="16">
      <c r="A950" s="161">
        <v>42018</v>
      </c>
      <c r="B950" s="94">
        <v>4.75</v>
      </c>
      <c r="E950" s="96"/>
      <c r="F950" s="97"/>
      <c r="G950" s="96">
        <v>42033</v>
      </c>
      <c r="H950" s="97">
        <v>268.29000000000002</v>
      </c>
      <c r="I950" s="99">
        <f t="shared" si="14"/>
        <v>5.1702821175676483E-3</v>
      </c>
    </row>
    <row r="951" spans="1:9" ht="16">
      <c r="A951" s="161">
        <v>42019</v>
      </c>
      <c r="B951" s="94">
        <v>4.7300000000000004</v>
      </c>
      <c r="E951" s="96"/>
      <c r="F951" s="97"/>
      <c r="G951" s="96">
        <v>42034</v>
      </c>
      <c r="H951" s="97">
        <v>272.08999999999997</v>
      </c>
      <c r="I951" s="99">
        <f t="shared" si="14"/>
        <v>1.4163778001416105E-2</v>
      </c>
    </row>
    <row r="952" spans="1:9" ht="16">
      <c r="A952" s="161">
        <v>42020</v>
      </c>
      <c r="B952" s="94">
        <v>4.7</v>
      </c>
      <c r="E952" s="96"/>
      <c r="F952" s="97"/>
      <c r="G952" s="96">
        <v>42035</v>
      </c>
      <c r="H952" s="97">
        <v>272.5</v>
      </c>
      <c r="I952" s="99">
        <f t="shared" si="14"/>
        <v>1.5068543496639109E-3</v>
      </c>
    </row>
    <row r="953" spans="1:9" ht="16">
      <c r="A953" s="161">
        <v>42021</v>
      </c>
      <c r="B953" s="94">
        <v>4.6900000000000004</v>
      </c>
      <c r="E953" s="96"/>
      <c r="F953" s="97"/>
      <c r="G953" s="96">
        <v>42038</v>
      </c>
      <c r="H953" s="97">
        <v>271.94</v>
      </c>
      <c r="I953" s="99">
        <f t="shared" si="14"/>
        <v>-2.0550458715596909E-3</v>
      </c>
    </row>
    <row r="954" spans="1:9" ht="16">
      <c r="A954" s="161">
        <v>42024</v>
      </c>
      <c r="B954" s="94">
        <v>4.6900000000000004</v>
      </c>
      <c r="E954" s="96"/>
      <c r="F954" s="97"/>
      <c r="G954" s="96">
        <v>42039</v>
      </c>
      <c r="H954" s="97">
        <v>272.94</v>
      </c>
      <c r="I954" s="99">
        <f t="shared" si="14"/>
        <v>3.6772817533279323E-3</v>
      </c>
    </row>
    <row r="955" spans="1:9" ht="16">
      <c r="A955" s="161">
        <v>42025</v>
      </c>
      <c r="B955" s="94">
        <v>4.67</v>
      </c>
      <c r="E955" s="96"/>
      <c r="F955" s="97"/>
      <c r="G955" s="96">
        <v>42040</v>
      </c>
      <c r="H955" s="97">
        <v>272.06</v>
      </c>
      <c r="I955" s="99">
        <f t="shared" si="14"/>
        <v>-3.2241518282406512E-3</v>
      </c>
    </row>
    <row r="956" spans="1:9" ht="16">
      <c r="A956" s="161">
        <v>42026</v>
      </c>
      <c r="B956" s="94">
        <v>4.6500000000000004</v>
      </c>
      <c r="E956" s="96"/>
      <c r="F956" s="97"/>
      <c r="G956" s="96">
        <v>42041</v>
      </c>
      <c r="H956" s="97">
        <v>270.48</v>
      </c>
      <c r="I956" s="99">
        <f t="shared" si="14"/>
        <v>-5.8075424538703846E-3</v>
      </c>
    </row>
    <row r="957" spans="1:9" ht="16">
      <c r="A957" s="161">
        <v>42027</v>
      </c>
      <c r="B957" s="94">
        <v>4.62</v>
      </c>
      <c r="E957" s="96"/>
      <c r="F957" s="97"/>
      <c r="G957" s="96">
        <v>42042</v>
      </c>
      <c r="H957" s="97">
        <v>269.61</v>
      </c>
      <c r="I957" s="99">
        <f t="shared" si="14"/>
        <v>-3.2165039929015204E-3</v>
      </c>
    </row>
    <row r="958" spans="1:9" ht="16">
      <c r="A958" s="161">
        <v>42028</v>
      </c>
      <c r="B958" s="94">
        <v>4.62</v>
      </c>
      <c r="E958" s="96"/>
      <c r="F958" s="97"/>
      <c r="G958" s="96">
        <v>42045</v>
      </c>
      <c r="H958" s="97">
        <v>269.19</v>
      </c>
      <c r="I958" s="99">
        <f t="shared" si="14"/>
        <v>-1.5578057193724737E-3</v>
      </c>
    </row>
    <row r="959" spans="1:9" ht="16">
      <c r="A959" s="161">
        <v>42031</v>
      </c>
      <c r="B959" s="94">
        <v>4.5999999999999996</v>
      </c>
      <c r="E959" s="96"/>
      <c r="F959" s="97"/>
      <c r="G959" s="96">
        <v>42046</v>
      </c>
      <c r="H959" s="97">
        <v>270.82</v>
      </c>
      <c r="I959" s="99">
        <f t="shared" si="14"/>
        <v>6.0552026449718355E-3</v>
      </c>
    </row>
    <row r="960" spans="1:9" ht="16">
      <c r="A960" s="161">
        <v>42032</v>
      </c>
      <c r="B960" s="94">
        <v>4.6100000000000003</v>
      </c>
      <c r="E960" s="96"/>
      <c r="F960" s="97"/>
      <c r="G960" s="96">
        <v>42047</v>
      </c>
      <c r="H960" s="97">
        <v>270.64</v>
      </c>
      <c r="I960" s="99">
        <f t="shared" si="14"/>
        <v>-6.6464810575295186E-4</v>
      </c>
    </row>
    <row r="961" spans="1:9" ht="16">
      <c r="A961" s="161">
        <v>42033</v>
      </c>
      <c r="B961" s="94">
        <v>4.62</v>
      </c>
      <c r="E961" s="96"/>
      <c r="F961" s="97"/>
      <c r="G961" s="96">
        <v>42048</v>
      </c>
      <c r="H961" s="97">
        <v>269.57</v>
      </c>
      <c r="I961" s="99">
        <f t="shared" si="14"/>
        <v>-3.953591486845931E-3</v>
      </c>
    </row>
    <row r="962" spans="1:9" ht="16">
      <c r="A962" s="161">
        <v>42034</v>
      </c>
      <c r="B962" s="94">
        <v>4.58</v>
      </c>
      <c r="E962" s="96"/>
      <c r="F962" s="97"/>
      <c r="G962" s="96">
        <v>42049</v>
      </c>
      <c r="H962" s="97">
        <v>267.95999999999998</v>
      </c>
      <c r="I962" s="99">
        <f t="shared" si="14"/>
        <v>-5.9724746819008745E-3</v>
      </c>
    </row>
    <row r="963" spans="1:9" ht="16">
      <c r="A963" s="161">
        <v>42035</v>
      </c>
      <c r="B963" s="94">
        <v>4.55</v>
      </c>
      <c r="E963" s="96"/>
      <c r="F963" s="97"/>
      <c r="G963" s="96">
        <v>42052</v>
      </c>
      <c r="H963" s="97">
        <v>269.2</v>
      </c>
      <c r="I963" s="99">
        <f t="shared" si="14"/>
        <v>4.6275563516942064E-3</v>
      </c>
    </row>
    <row r="964" spans="1:9" ht="16">
      <c r="A964" s="161">
        <v>42038</v>
      </c>
      <c r="B964" s="94">
        <v>4.5599999999999996</v>
      </c>
      <c r="E964" s="96"/>
      <c r="F964" s="97"/>
      <c r="G964" s="96">
        <v>42053</v>
      </c>
      <c r="H964" s="97">
        <v>269.64999999999998</v>
      </c>
      <c r="I964" s="99">
        <f t="shared" si="14"/>
        <v>1.6716196136701278E-3</v>
      </c>
    </row>
    <row r="965" spans="1:9" ht="16">
      <c r="A965" s="161">
        <v>42039</v>
      </c>
      <c r="B965" s="94">
        <v>4.53</v>
      </c>
      <c r="E965" s="96"/>
      <c r="F965" s="97"/>
      <c r="G965" s="96">
        <v>42054</v>
      </c>
      <c r="H965" s="97">
        <v>272.33999999999997</v>
      </c>
      <c r="I965" s="99">
        <f t="shared" si="14"/>
        <v>9.9758946782866342E-3</v>
      </c>
    </row>
    <row r="966" spans="1:9" ht="16">
      <c r="A966" s="161">
        <v>42040</v>
      </c>
      <c r="B966" s="94">
        <v>4.5199999999999996</v>
      </c>
      <c r="E966" s="96"/>
      <c r="F966" s="97"/>
      <c r="G966" s="96">
        <v>42055</v>
      </c>
      <c r="H966" s="97">
        <v>272.91000000000003</v>
      </c>
      <c r="I966" s="99">
        <f t="shared" si="14"/>
        <v>2.0929720202689239E-3</v>
      </c>
    </row>
    <row r="967" spans="1:9" ht="16">
      <c r="A967" s="161">
        <v>42041</v>
      </c>
      <c r="B967" s="94">
        <v>4.53</v>
      </c>
      <c r="E967" s="96"/>
      <c r="F967" s="97"/>
      <c r="G967" s="96">
        <v>42056</v>
      </c>
      <c r="H967" s="97">
        <v>275.04000000000002</v>
      </c>
      <c r="I967" s="99">
        <f t="shared" si="14"/>
        <v>7.804770803561567E-3</v>
      </c>
    </row>
    <row r="968" spans="1:9" ht="16">
      <c r="A968" s="161">
        <v>42042</v>
      </c>
      <c r="B968" s="94">
        <v>4.5199999999999996</v>
      </c>
      <c r="E968" s="96"/>
      <c r="F968" s="97"/>
      <c r="G968" s="96">
        <v>42059</v>
      </c>
      <c r="H968" s="97">
        <v>277.45999999999998</v>
      </c>
      <c r="I968" s="99">
        <f t="shared" si="14"/>
        <v>8.7987201861545739E-3</v>
      </c>
    </row>
    <row r="969" spans="1:9" ht="16">
      <c r="A969" s="161">
        <v>42045</v>
      </c>
      <c r="B969" s="94">
        <v>4.5199999999999996</v>
      </c>
      <c r="E969" s="96"/>
      <c r="F969" s="97"/>
      <c r="G969" s="96">
        <v>42060</v>
      </c>
      <c r="H969" s="97">
        <v>276.58999999999997</v>
      </c>
      <c r="I969" s="99">
        <f t="shared" si="14"/>
        <v>-3.1355871116557354E-3</v>
      </c>
    </row>
    <row r="970" spans="1:9" ht="16">
      <c r="A970" s="161">
        <v>42046</v>
      </c>
      <c r="B970" s="94">
        <v>4.5199999999999996</v>
      </c>
      <c r="E970" s="96"/>
      <c r="F970" s="97"/>
      <c r="G970" s="96">
        <v>42061</v>
      </c>
      <c r="H970" s="97">
        <v>275.52999999999997</v>
      </c>
      <c r="I970" s="99">
        <f t="shared" si="14"/>
        <v>-3.8323872880436927E-3</v>
      </c>
    </row>
    <row r="971" spans="1:9" ht="16">
      <c r="A971" s="161">
        <v>42047</v>
      </c>
      <c r="B971" s="94">
        <v>4.53</v>
      </c>
      <c r="E971" s="96"/>
      <c r="F971" s="97"/>
      <c r="G971" s="96">
        <v>42062</v>
      </c>
      <c r="H971" s="97">
        <v>273.74</v>
      </c>
      <c r="I971" s="99">
        <f t="shared" si="14"/>
        <v>-6.4965702464340191E-3</v>
      </c>
    </row>
    <row r="972" spans="1:9" ht="16">
      <c r="A972" s="161">
        <v>42048</v>
      </c>
      <c r="B972" s="94">
        <v>4.5199999999999996</v>
      </c>
      <c r="E972" s="96"/>
      <c r="F972" s="97"/>
      <c r="G972" s="96">
        <v>42063</v>
      </c>
      <c r="H972" s="97">
        <v>274.06</v>
      </c>
      <c r="I972" s="99">
        <f t="shared" si="14"/>
        <v>1.168992474610997E-3</v>
      </c>
    </row>
    <row r="973" spans="1:9" ht="16">
      <c r="A973" s="161">
        <v>42049</v>
      </c>
      <c r="B973" s="94">
        <v>4.5</v>
      </c>
      <c r="E973" s="96"/>
      <c r="F973" s="97"/>
      <c r="G973" s="96">
        <v>42066</v>
      </c>
      <c r="H973" s="97">
        <v>274.85000000000002</v>
      </c>
      <c r="I973" s="99">
        <f t="shared" si="14"/>
        <v>2.8825804568344271E-3</v>
      </c>
    </row>
    <row r="974" spans="1:9" ht="16">
      <c r="A974" s="161">
        <v>42052</v>
      </c>
      <c r="B974" s="94">
        <v>4.5</v>
      </c>
      <c r="E974" s="96"/>
      <c r="F974" s="97"/>
      <c r="G974" s="96">
        <v>42067</v>
      </c>
      <c r="H974" s="97">
        <v>275.89</v>
      </c>
      <c r="I974" s="99">
        <f t="shared" si="14"/>
        <v>3.7838821175184556E-3</v>
      </c>
    </row>
    <row r="975" spans="1:9" ht="16">
      <c r="A975" s="161">
        <v>42053</v>
      </c>
      <c r="B975" s="94">
        <v>4.49</v>
      </c>
      <c r="E975" s="96"/>
      <c r="F975" s="97"/>
      <c r="G975" s="96">
        <v>42068</v>
      </c>
      <c r="H975" s="97">
        <v>276.20999999999998</v>
      </c>
      <c r="I975" s="99">
        <f t="shared" ref="I975:I1038" si="15">H975/H974-1</f>
        <v>1.1598825618905906E-3</v>
      </c>
    </row>
    <row r="976" spans="1:9" ht="16">
      <c r="A976" s="161">
        <v>42054</v>
      </c>
      <c r="B976" s="94">
        <v>4.47</v>
      </c>
      <c r="E976" s="96"/>
      <c r="F976" s="97"/>
      <c r="G976" s="96">
        <v>42069</v>
      </c>
      <c r="H976" s="97">
        <v>272.92</v>
      </c>
      <c r="I976" s="99">
        <f t="shared" si="15"/>
        <v>-1.1911226964990251E-2</v>
      </c>
    </row>
    <row r="977" spans="1:9" ht="16">
      <c r="A977" s="161">
        <v>42055</v>
      </c>
      <c r="B977" s="94">
        <v>4.5</v>
      </c>
      <c r="E977" s="96"/>
      <c r="F977" s="97"/>
      <c r="G977" s="96">
        <v>42070</v>
      </c>
      <c r="H977" s="97">
        <v>270.14999999999998</v>
      </c>
      <c r="I977" s="99">
        <f t="shared" si="15"/>
        <v>-1.0149494357320932E-2</v>
      </c>
    </row>
    <row r="978" spans="1:9" ht="16">
      <c r="A978" s="161">
        <v>42056</v>
      </c>
      <c r="B978" s="94">
        <v>4.4800000000000004</v>
      </c>
      <c r="E978" s="96"/>
      <c r="F978" s="97"/>
      <c r="G978" s="96">
        <v>42073</v>
      </c>
      <c r="H978" s="97">
        <v>273.23</v>
      </c>
      <c r="I978" s="99">
        <f t="shared" si="15"/>
        <v>1.1401073477697699E-2</v>
      </c>
    </row>
    <row r="979" spans="1:9" ht="16">
      <c r="A979" s="161">
        <v>42059</v>
      </c>
      <c r="B979" s="94">
        <v>4.47</v>
      </c>
      <c r="E979" s="96"/>
      <c r="F979" s="97"/>
      <c r="G979" s="96">
        <v>42074</v>
      </c>
      <c r="H979" s="97">
        <v>275.61</v>
      </c>
      <c r="I979" s="99">
        <f t="shared" si="15"/>
        <v>8.7106101086995569E-3</v>
      </c>
    </row>
    <row r="980" spans="1:9" ht="16">
      <c r="A980" s="161">
        <v>42060</v>
      </c>
      <c r="B980" s="94">
        <v>4.46</v>
      </c>
      <c r="E980" s="96"/>
      <c r="F980" s="97"/>
      <c r="G980" s="96">
        <v>42075</v>
      </c>
      <c r="H980" s="97">
        <v>275.86</v>
      </c>
      <c r="I980" s="99">
        <f t="shared" si="15"/>
        <v>9.0707884329299659E-4</v>
      </c>
    </row>
    <row r="981" spans="1:9" ht="16">
      <c r="A981" s="161">
        <v>42061</v>
      </c>
      <c r="B981" s="94">
        <v>4.45</v>
      </c>
      <c r="E981" s="96"/>
      <c r="F981" s="97"/>
      <c r="G981" s="96">
        <v>42076</v>
      </c>
      <c r="H981" s="97">
        <v>275.32</v>
      </c>
      <c r="I981" s="99">
        <f t="shared" si="15"/>
        <v>-1.957514681360184E-3</v>
      </c>
    </row>
    <row r="982" spans="1:9" ht="16">
      <c r="A982" s="161">
        <v>42062</v>
      </c>
      <c r="B982" s="94">
        <v>4.47</v>
      </c>
      <c r="E982" s="96"/>
      <c r="F982" s="97"/>
      <c r="G982" s="96">
        <v>42077</v>
      </c>
      <c r="H982" s="97">
        <v>277.61</v>
      </c>
      <c r="I982" s="99">
        <f t="shared" si="15"/>
        <v>8.3175940723523301E-3</v>
      </c>
    </row>
    <row r="983" spans="1:9" ht="16">
      <c r="A983" s="161">
        <v>42063</v>
      </c>
      <c r="B983" s="94">
        <v>4.5</v>
      </c>
      <c r="E983" s="96"/>
      <c r="F983" s="97"/>
      <c r="G983" s="96">
        <v>42080</v>
      </c>
      <c r="H983" s="97">
        <v>280.8</v>
      </c>
      <c r="I983" s="99">
        <f t="shared" si="15"/>
        <v>1.1490940528078974E-2</v>
      </c>
    </row>
    <row r="984" spans="1:9" ht="16">
      <c r="A984" s="161">
        <v>42066</v>
      </c>
      <c r="B984" s="94">
        <v>4.5</v>
      </c>
      <c r="E984" s="96"/>
      <c r="F984" s="97"/>
      <c r="G984" s="96">
        <v>42081</v>
      </c>
      <c r="H984" s="97">
        <v>281.22000000000003</v>
      </c>
      <c r="I984" s="99">
        <f t="shared" si="15"/>
        <v>1.4957264957264904E-3</v>
      </c>
    </row>
    <row r="985" spans="1:9" ht="16">
      <c r="A985" s="161">
        <v>42067</v>
      </c>
      <c r="B985" s="94">
        <v>4.5</v>
      </c>
      <c r="E985" s="96"/>
      <c r="F985" s="97"/>
      <c r="G985" s="96">
        <v>42082</v>
      </c>
      <c r="H985" s="97">
        <v>280.43</v>
      </c>
      <c r="I985" s="99">
        <f t="shared" si="15"/>
        <v>-2.8091885356661406E-3</v>
      </c>
    </row>
    <row r="986" spans="1:9" ht="16">
      <c r="A986" s="161">
        <v>42068</v>
      </c>
      <c r="B986" s="94">
        <v>4.4800000000000004</v>
      </c>
      <c r="E986" s="96"/>
      <c r="F986" s="97"/>
      <c r="G986" s="96">
        <v>42083</v>
      </c>
      <c r="H986" s="97">
        <v>280.19</v>
      </c>
      <c r="I986" s="99">
        <f t="shared" si="15"/>
        <v>-8.5582854901400385E-4</v>
      </c>
    </row>
    <row r="987" spans="1:9" ht="16">
      <c r="A987" s="161">
        <v>42069</v>
      </c>
      <c r="B987" s="94">
        <v>4.47</v>
      </c>
      <c r="E987" s="96"/>
      <c r="F987" s="97"/>
      <c r="G987" s="96">
        <v>42084</v>
      </c>
      <c r="H987" s="97">
        <v>277.12</v>
      </c>
      <c r="I987" s="99">
        <f t="shared" si="15"/>
        <v>-1.0956850708447763E-2</v>
      </c>
    </row>
    <row r="988" spans="1:9" ht="16">
      <c r="A988" s="161">
        <v>42070</v>
      </c>
      <c r="B988" s="94">
        <v>4.46</v>
      </c>
      <c r="E988" s="96"/>
      <c r="F988" s="97"/>
      <c r="G988" s="96">
        <v>42087</v>
      </c>
      <c r="H988" s="97">
        <v>274.82</v>
      </c>
      <c r="I988" s="99">
        <f t="shared" si="15"/>
        <v>-8.299653579676769E-3</v>
      </c>
    </row>
    <row r="989" spans="1:9" ht="16">
      <c r="A989" s="161">
        <v>42073</v>
      </c>
      <c r="B989" s="94">
        <v>4.4400000000000004</v>
      </c>
      <c r="E989" s="96"/>
      <c r="F989" s="97"/>
      <c r="G989" s="96">
        <v>42088</v>
      </c>
      <c r="H989" s="97">
        <v>275.76</v>
      </c>
      <c r="I989" s="99">
        <f t="shared" si="15"/>
        <v>3.4204206389636393E-3</v>
      </c>
    </row>
    <row r="990" spans="1:9" ht="16">
      <c r="A990" s="161">
        <v>42074</v>
      </c>
      <c r="B990" s="94">
        <v>4.42</v>
      </c>
      <c r="E990" s="96"/>
      <c r="F990" s="97"/>
      <c r="G990" s="96">
        <v>42089</v>
      </c>
      <c r="H990" s="97">
        <v>274.20999999999998</v>
      </c>
      <c r="I990" s="99">
        <f t="shared" si="15"/>
        <v>-5.6208297069916258E-3</v>
      </c>
    </row>
    <row r="991" spans="1:9" ht="16">
      <c r="A991" s="161">
        <v>42075</v>
      </c>
      <c r="B991" s="94">
        <v>4.4000000000000004</v>
      </c>
      <c r="E991" s="96"/>
      <c r="F991" s="97"/>
      <c r="G991" s="96">
        <v>42090</v>
      </c>
      <c r="H991" s="97">
        <v>274.86</v>
      </c>
      <c r="I991" s="99">
        <f t="shared" si="15"/>
        <v>2.3704460085336443E-3</v>
      </c>
    </row>
    <row r="992" spans="1:9" ht="16">
      <c r="A992" s="161">
        <v>42076</v>
      </c>
      <c r="B992" s="94">
        <v>4.3899999999999997</v>
      </c>
      <c r="E992" s="96"/>
      <c r="F992" s="97"/>
      <c r="G992" s="96">
        <v>42091</v>
      </c>
      <c r="H992" s="97">
        <v>278</v>
      </c>
      <c r="I992" s="99">
        <f t="shared" si="15"/>
        <v>1.1423997671541786E-2</v>
      </c>
    </row>
    <row r="993" spans="1:9" ht="16">
      <c r="A993" s="161">
        <v>42077</v>
      </c>
      <c r="B993" s="94">
        <v>4.37</v>
      </c>
      <c r="E993" s="96"/>
      <c r="F993" s="97"/>
      <c r="G993" s="96">
        <v>42094</v>
      </c>
      <c r="H993" s="97">
        <v>280.93</v>
      </c>
      <c r="I993" s="99">
        <f t="shared" si="15"/>
        <v>1.0539568345323769E-2</v>
      </c>
    </row>
    <row r="994" spans="1:9" ht="16">
      <c r="A994" s="161">
        <v>42080</v>
      </c>
      <c r="B994" s="94">
        <v>4.34</v>
      </c>
      <c r="E994" s="96"/>
      <c r="F994" s="97"/>
      <c r="G994" s="96">
        <v>42095</v>
      </c>
      <c r="H994" s="97">
        <v>281.16000000000003</v>
      </c>
      <c r="I994" s="99">
        <f t="shared" si="15"/>
        <v>8.1870928701111012E-4</v>
      </c>
    </row>
    <row r="995" spans="1:9" ht="16">
      <c r="A995" s="161">
        <v>42081</v>
      </c>
      <c r="B995" s="94">
        <v>4.33</v>
      </c>
      <c r="E995" s="96"/>
      <c r="F995" s="97"/>
      <c r="G995" s="96">
        <v>42096</v>
      </c>
      <c r="H995" s="97">
        <v>282.95999999999998</v>
      </c>
      <c r="I995" s="99">
        <f t="shared" si="15"/>
        <v>6.4020486555695921E-3</v>
      </c>
    </row>
    <row r="996" spans="1:9" ht="16">
      <c r="A996" s="161">
        <v>42082</v>
      </c>
      <c r="B996" s="94">
        <v>4.32</v>
      </c>
      <c r="E996" s="96"/>
      <c r="F996" s="97"/>
      <c r="G996" s="96">
        <v>42097</v>
      </c>
      <c r="H996" s="97">
        <v>283.08</v>
      </c>
      <c r="I996" s="99">
        <f t="shared" si="15"/>
        <v>4.2408821034767286E-4</v>
      </c>
    </row>
    <row r="997" spans="1:9" ht="16">
      <c r="A997" s="161">
        <v>42083</v>
      </c>
      <c r="B997" s="94">
        <v>4.26</v>
      </c>
      <c r="E997" s="96"/>
      <c r="F997" s="97"/>
      <c r="G997" s="96">
        <v>42098</v>
      </c>
      <c r="H997" s="97">
        <v>284.27999999999997</v>
      </c>
      <c r="I997" s="99">
        <f t="shared" si="15"/>
        <v>4.2390843577786441E-3</v>
      </c>
    </row>
    <row r="998" spans="1:9" ht="16">
      <c r="A998" s="161">
        <v>42084</v>
      </c>
      <c r="B998" s="94">
        <v>4.25</v>
      </c>
      <c r="E998" s="96"/>
      <c r="F998" s="97"/>
      <c r="G998" s="96">
        <v>42101</v>
      </c>
      <c r="H998" s="97">
        <v>285.17</v>
      </c>
      <c r="I998" s="99">
        <f t="shared" si="15"/>
        <v>3.1307161953004758E-3</v>
      </c>
    </row>
    <row r="999" spans="1:9" ht="16">
      <c r="A999" s="161">
        <v>42087</v>
      </c>
      <c r="B999" s="94">
        <v>4.2300000000000004</v>
      </c>
      <c r="E999" s="96"/>
      <c r="F999" s="97"/>
      <c r="G999" s="96">
        <v>42102</v>
      </c>
      <c r="H999" s="97">
        <v>286.48</v>
      </c>
      <c r="I999" s="99">
        <f t="shared" si="15"/>
        <v>4.5937510958375949E-3</v>
      </c>
    </row>
    <row r="1000" spans="1:9" ht="16">
      <c r="A1000" s="161">
        <v>42088</v>
      </c>
      <c r="B1000" s="94">
        <v>4.21</v>
      </c>
      <c r="E1000" s="96"/>
      <c r="F1000" s="97"/>
      <c r="G1000" s="96">
        <v>42103</v>
      </c>
      <c r="H1000" s="97">
        <v>286.99</v>
      </c>
      <c r="I1000" s="99">
        <f t="shared" si="15"/>
        <v>1.7802289863166898E-3</v>
      </c>
    </row>
    <row r="1001" spans="1:9" ht="16">
      <c r="A1001" s="161">
        <v>42089</v>
      </c>
      <c r="B1001" s="94">
        <v>4.1900000000000004</v>
      </c>
      <c r="E1001" s="96"/>
      <c r="F1001" s="97"/>
      <c r="G1001" s="96">
        <v>42104</v>
      </c>
      <c r="H1001" s="97">
        <v>284.81</v>
      </c>
      <c r="I1001" s="99">
        <f t="shared" si="15"/>
        <v>-7.5960834872295102E-3</v>
      </c>
    </row>
    <row r="1002" spans="1:9" ht="16">
      <c r="A1002" s="161">
        <v>42090</v>
      </c>
      <c r="B1002" s="94">
        <v>4.2</v>
      </c>
      <c r="E1002" s="96"/>
      <c r="F1002" s="97"/>
      <c r="G1002" s="96">
        <v>42105</v>
      </c>
      <c r="H1002" s="97">
        <v>285.02</v>
      </c>
      <c r="I1002" s="99">
        <f t="shared" si="15"/>
        <v>7.3733366103700959E-4</v>
      </c>
    </row>
    <row r="1003" spans="1:9" ht="16">
      <c r="A1003" s="161">
        <v>42091</v>
      </c>
      <c r="B1003" s="94">
        <v>4.21</v>
      </c>
      <c r="E1003" s="96"/>
      <c r="F1003" s="97"/>
      <c r="G1003" s="96">
        <v>42108</v>
      </c>
      <c r="H1003" s="97">
        <v>284.02</v>
      </c>
      <c r="I1003" s="99">
        <f t="shared" si="15"/>
        <v>-3.5085257174934936E-3</v>
      </c>
    </row>
    <row r="1004" spans="1:9" ht="16">
      <c r="A1004" s="161">
        <v>42093</v>
      </c>
      <c r="B1004" s="94">
        <v>4.24</v>
      </c>
      <c r="E1004" s="96"/>
      <c r="F1004" s="97"/>
      <c r="G1004" s="96">
        <v>42109</v>
      </c>
      <c r="H1004" s="97">
        <v>285.97000000000003</v>
      </c>
      <c r="I1004" s="99">
        <f t="shared" si="15"/>
        <v>6.8657136821352882E-3</v>
      </c>
    </row>
    <row r="1005" spans="1:9" ht="16">
      <c r="A1005" s="161">
        <v>42094</v>
      </c>
      <c r="B1005" s="94">
        <v>4.26</v>
      </c>
      <c r="E1005" s="96"/>
      <c r="F1005" s="97"/>
      <c r="G1005" s="96">
        <v>42110</v>
      </c>
      <c r="H1005" s="97">
        <v>286.76</v>
      </c>
      <c r="I1005" s="99">
        <f t="shared" si="15"/>
        <v>2.7625275378535541E-3</v>
      </c>
    </row>
    <row r="1006" spans="1:9" ht="16">
      <c r="A1006" s="161">
        <v>42095</v>
      </c>
      <c r="B1006" s="94">
        <v>4.26</v>
      </c>
      <c r="E1006" s="96"/>
      <c r="F1006" s="97"/>
      <c r="G1006" s="96">
        <v>42111</v>
      </c>
      <c r="H1006" s="97">
        <v>286.14</v>
      </c>
      <c r="I1006" s="99">
        <f t="shared" si="15"/>
        <v>-2.1620867624494444E-3</v>
      </c>
    </row>
    <row r="1007" spans="1:9" ht="16">
      <c r="A1007" s="161">
        <v>42096</v>
      </c>
      <c r="B1007" s="94">
        <v>4.2699999999999996</v>
      </c>
      <c r="E1007" s="96"/>
      <c r="F1007" s="97"/>
      <c r="G1007" s="96">
        <v>42112</v>
      </c>
      <c r="H1007" s="97">
        <v>286.22000000000003</v>
      </c>
      <c r="I1007" s="99">
        <f t="shared" si="15"/>
        <v>2.7958342070322217E-4</v>
      </c>
    </row>
    <row r="1008" spans="1:9" ht="16">
      <c r="A1008" s="161">
        <v>42097</v>
      </c>
      <c r="B1008" s="94">
        <v>4.26</v>
      </c>
      <c r="E1008" s="96"/>
      <c r="F1008" s="97"/>
      <c r="G1008" s="96">
        <v>42115</v>
      </c>
      <c r="H1008" s="97">
        <v>285.32</v>
      </c>
      <c r="I1008" s="99">
        <f t="shared" si="15"/>
        <v>-3.1444343511984885E-3</v>
      </c>
    </row>
    <row r="1009" spans="1:9" ht="16">
      <c r="A1009" s="161">
        <v>42098</v>
      </c>
      <c r="B1009" s="94">
        <v>4.26</v>
      </c>
      <c r="E1009" s="96"/>
      <c r="F1009" s="97"/>
      <c r="G1009" s="96">
        <v>42116</v>
      </c>
      <c r="H1009" s="97">
        <v>285.35000000000002</v>
      </c>
      <c r="I1009" s="99">
        <f t="shared" si="15"/>
        <v>1.0514510023851287E-4</v>
      </c>
    </row>
    <row r="1010" spans="1:9" ht="16">
      <c r="A1010" s="161">
        <v>42101</v>
      </c>
      <c r="B1010" s="94">
        <v>4.26</v>
      </c>
      <c r="E1010" s="96"/>
      <c r="F1010" s="97"/>
      <c r="G1010" s="96">
        <v>42117</v>
      </c>
      <c r="H1010" s="97">
        <v>284.64999999999998</v>
      </c>
      <c r="I1010" s="99">
        <f t="shared" si="15"/>
        <v>-2.4531277378659899E-3</v>
      </c>
    </row>
    <row r="1011" spans="1:9" ht="16">
      <c r="A1011" s="161">
        <v>42102</v>
      </c>
      <c r="B1011" s="94">
        <v>4.25</v>
      </c>
      <c r="E1011" s="96"/>
      <c r="F1011" s="97"/>
      <c r="G1011" s="96">
        <v>42118</v>
      </c>
      <c r="H1011" s="97">
        <v>282.86</v>
      </c>
      <c r="I1011" s="99">
        <f t="shared" si="15"/>
        <v>-6.288424380818447E-3</v>
      </c>
    </row>
    <row r="1012" spans="1:9" ht="16">
      <c r="A1012" s="161">
        <v>42103</v>
      </c>
      <c r="B1012" s="94">
        <v>4.24</v>
      </c>
      <c r="E1012" s="96"/>
      <c r="F1012" s="97"/>
      <c r="G1012" s="96">
        <v>42119</v>
      </c>
      <c r="H1012" s="97">
        <v>283.43</v>
      </c>
      <c r="I1012" s="99">
        <f t="shared" si="15"/>
        <v>2.0151311602913946E-3</v>
      </c>
    </row>
    <row r="1013" spans="1:9" ht="16">
      <c r="A1013" s="161">
        <v>42104</v>
      </c>
      <c r="B1013" s="94">
        <v>4.25</v>
      </c>
      <c r="E1013" s="96"/>
      <c r="F1013" s="97"/>
      <c r="G1013" s="96">
        <v>42122</v>
      </c>
      <c r="H1013" s="97">
        <v>283.82</v>
      </c>
      <c r="I1013" s="99">
        <f t="shared" si="15"/>
        <v>1.3760011290264718E-3</v>
      </c>
    </row>
    <row r="1014" spans="1:9" ht="16">
      <c r="A1014" s="161">
        <v>42105</v>
      </c>
      <c r="B1014" s="94">
        <v>4.2699999999999996</v>
      </c>
      <c r="E1014" s="96"/>
      <c r="F1014" s="97"/>
      <c r="G1014" s="96">
        <v>42123</v>
      </c>
      <c r="H1014" s="97">
        <v>283.5</v>
      </c>
      <c r="I1014" s="99">
        <f t="shared" si="15"/>
        <v>-1.127475160312863E-3</v>
      </c>
    </row>
    <row r="1015" spans="1:9" ht="16">
      <c r="A1015" s="161">
        <v>42108</v>
      </c>
      <c r="B1015" s="94">
        <v>4.28</v>
      </c>
      <c r="E1015" s="96"/>
      <c r="F1015" s="97"/>
      <c r="G1015" s="96">
        <v>42124</v>
      </c>
      <c r="H1015" s="97">
        <v>283.86</v>
      </c>
      <c r="I1015" s="99">
        <f t="shared" si="15"/>
        <v>1.2698412698413097E-3</v>
      </c>
    </row>
    <row r="1016" spans="1:9" ht="16">
      <c r="A1016" s="161">
        <v>42109</v>
      </c>
      <c r="B1016" s="94">
        <v>4.29</v>
      </c>
      <c r="E1016" s="96"/>
      <c r="F1016" s="97"/>
      <c r="G1016" s="96">
        <v>42125</v>
      </c>
      <c r="H1016" s="97">
        <v>283.27</v>
      </c>
      <c r="I1016" s="99">
        <f t="shared" si="15"/>
        <v>-2.0784893961813822E-3</v>
      </c>
    </row>
    <row r="1017" spans="1:9" ht="16">
      <c r="A1017" s="161">
        <v>42110</v>
      </c>
      <c r="B1017" s="94">
        <v>4.29</v>
      </c>
      <c r="E1017" s="96"/>
      <c r="F1017" s="97"/>
      <c r="G1017" s="96">
        <v>42126</v>
      </c>
      <c r="H1017" s="97">
        <v>284.83999999999997</v>
      </c>
      <c r="I1017" s="99">
        <f t="shared" si="15"/>
        <v>5.5424153634342499E-3</v>
      </c>
    </row>
    <row r="1018" spans="1:9" ht="16">
      <c r="A1018" s="161">
        <v>42111</v>
      </c>
      <c r="B1018" s="94">
        <v>4.2699999999999996</v>
      </c>
      <c r="E1018" s="96"/>
      <c r="F1018" s="97"/>
      <c r="G1018" s="96">
        <v>42129</v>
      </c>
      <c r="H1018" s="97">
        <v>278.99</v>
      </c>
      <c r="I1018" s="99">
        <f t="shared" si="15"/>
        <v>-2.0537845808172861E-2</v>
      </c>
    </row>
    <row r="1019" spans="1:9" ht="16">
      <c r="A1019" s="161">
        <v>42112</v>
      </c>
      <c r="B1019" s="195">
        <v>4.2699999999999996</v>
      </c>
      <c r="E1019" s="96"/>
      <c r="F1019" s="97"/>
      <c r="G1019" s="96">
        <v>42130</v>
      </c>
      <c r="H1019" s="97">
        <v>277.66000000000003</v>
      </c>
      <c r="I1019" s="99">
        <f t="shared" si="15"/>
        <v>-4.7671959568442723E-3</v>
      </c>
    </row>
    <row r="1020" spans="1:9" ht="16">
      <c r="A1020" s="161">
        <v>42115</v>
      </c>
      <c r="B1020" s="94">
        <v>4.2699999999999996</v>
      </c>
      <c r="E1020" s="96"/>
      <c r="F1020" s="97"/>
      <c r="G1020" s="96">
        <v>42131</v>
      </c>
      <c r="H1020" s="97">
        <v>276.14999999999998</v>
      </c>
      <c r="I1020" s="99">
        <f t="shared" si="15"/>
        <v>-5.438305841677038E-3</v>
      </c>
    </row>
    <row r="1021" spans="1:9" ht="16">
      <c r="A1021" s="161">
        <v>42116</v>
      </c>
      <c r="B1021" s="94">
        <v>4.26</v>
      </c>
      <c r="E1021" s="96"/>
      <c r="F1021" s="97"/>
      <c r="G1021" s="96">
        <v>42132</v>
      </c>
      <c r="H1021" s="97">
        <v>271.39999999999998</v>
      </c>
      <c r="I1021" s="99">
        <f t="shared" si="15"/>
        <v>-1.7200796668477292E-2</v>
      </c>
    </row>
    <row r="1022" spans="1:9" ht="16">
      <c r="A1022" s="161">
        <v>42117</v>
      </c>
      <c r="B1022" s="94">
        <v>4.24</v>
      </c>
      <c r="E1022" s="96"/>
      <c r="F1022" s="97"/>
      <c r="G1022" s="96">
        <v>42133</v>
      </c>
      <c r="H1022" s="97">
        <v>272.58999999999997</v>
      </c>
      <c r="I1022" s="99">
        <f t="shared" si="15"/>
        <v>4.3846720707443332E-3</v>
      </c>
    </row>
    <row r="1023" spans="1:9" ht="16">
      <c r="A1023" s="161">
        <v>42118</v>
      </c>
      <c r="B1023" s="94">
        <v>4.26</v>
      </c>
      <c r="E1023" s="96"/>
      <c r="F1023" s="97"/>
      <c r="G1023" s="96">
        <v>42136</v>
      </c>
      <c r="H1023" s="97">
        <v>268.06</v>
      </c>
      <c r="I1023" s="99">
        <f t="shared" si="15"/>
        <v>-1.6618364576836964E-2</v>
      </c>
    </row>
    <row r="1024" spans="1:9" ht="16">
      <c r="A1024" s="161">
        <v>42119</v>
      </c>
      <c r="B1024" s="94">
        <v>4.24</v>
      </c>
      <c r="E1024" s="96"/>
      <c r="F1024" s="97"/>
      <c r="G1024" s="96">
        <v>42137</v>
      </c>
      <c r="H1024" s="97">
        <v>267.70999999999998</v>
      </c>
      <c r="I1024" s="99">
        <f t="shared" si="15"/>
        <v>-1.3056778333210284E-3</v>
      </c>
    </row>
    <row r="1025" spans="1:9" ht="16">
      <c r="A1025" s="161">
        <v>42122</v>
      </c>
      <c r="B1025" s="94">
        <v>4.2300000000000004</v>
      </c>
      <c r="E1025" s="96"/>
      <c r="F1025" s="97"/>
      <c r="G1025" s="96">
        <v>42138</v>
      </c>
      <c r="H1025" s="97">
        <v>268.06</v>
      </c>
      <c r="I1025" s="99">
        <f t="shared" si="15"/>
        <v>1.3073848567479729E-3</v>
      </c>
    </row>
    <row r="1026" spans="1:9" ht="16">
      <c r="A1026" s="161">
        <v>42123</v>
      </c>
      <c r="B1026" s="94">
        <v>4.22</v>
      </c>
      <c r="E1026" s="96"/>
      <c r="F1026" s="97"/>
      <c r="G1026" s="96">
        <v>42139</v>
      </c>
      <c r="H1026" s="97">
        <v>267.48</v>
      </c>
      <c r="I1026" s="99">
        <f t="shared" si="15"/>
        <v>-2.1636946952173775E-3</v>
      </c>
    </row>
    <row r="1027" spans="1:9" ht="16">
      <c r="A1027" s="161">
        <v>42124</v>
      </c>
      <c r="B1027" s="94">
        <v>4.22</v>
      </c>
      <c r="E1027" s="96"/>
      <c r="F1027" s="97"/>
      <c r="G1027" s="96">
        <v>42140</v>
      </c>
      <c r="H1027" s="97">
        <v>263.87</v>
      </c>
      <c r="I1027" s="99">
        <f t="shared" si="15"/>
        <v>-1.3496336174667278E-2</v>
      </c>
    </row>
    <row r="1028" spans="1:9" ht="16">
      <c r="A1028" s="161">
        <v>42125</v>
      </c>
      <c r="B1028" s="94">
        <v>4.25</v>
      </c>
      <c r="E1028" s="96"/>
      <c r="F1028" s="97"/>
      <c r="G1028" s="96">
        <v>42143</v>
      </c>
      <c r="H1028" s="97">
        <v>263.5</v>
      </c>
      <c r="I1028" s="99">
        <f t="shared" si="15"/>
        <v>-1.4022056315610154E-3</v>
      </c>
    </row>
    <row r="1029" spans="1:9" ht="16">
      <c r="A1029" s="161">
        <v>42126</v>
      </c>
      <c r="B1029" s="94">
        <v>4.24</v>
      </c>
      <c r="E1029" s="96"/>
      <c r="F1029" s="97"/>
      <c r="G1029" s="96">
        <v>42144</v>
      </c>
      <c r="H1029" s="97">
        <v>264.77999999999997</v>
      </c>
      <c r="I1029" s="99">
        <f t="shared" si="15"/>
        <v>4.8576850094874668E-3</v>
      </c>
    </row>
    <row r="1030" spans="1:9" ht="16">
      <c r="A1030" s="161">
        <v>42129</v>
      </c>
      <c r="B1030" s="94">
        <v>4.2300000000000004</v>
      </c>
      <c r="E1030" s="96"/>
      <c r="F1030" s="97"/>
      <c r="G1030" s="96">
        <v>42145</v>
      </c>
      <c r="H1030" s="97">
        <v>264.58</v>
      </c>
      <c r="I1030" s="99">
        <f t="shared" si="15"/>
        <v>-7.553440592189542E-4</v>
      </c>
    </row>
    <row r="1031" spans="1:9" ht="16">
      <c r="A1031" s="161">
        <v>42130</v>
      </c>
      <c r="B1031" s="94">
        <v>4.22</v>
      </c>
      <c r="E1031" s="96"/>
      <c r="F1031" s="97"/>
      <c r="G1031" s="96">
        <v>42146</v>
      </c>
      <c r="H1031" s="97">
        <v>260.69</v>
      </c>
      <c r="I1031" s="99">
        <f t="shared" si="15"/>
        <v>-1.4702547433668389E-2</v>
      </c>
    </row>
    <row r="1032" spans="1:9" ht="16">
      <c r="A1032" s="161">
        <v>42131</v>
      </c>
      <c r="B1032" s="94">
        <v>4.21</v>
      </c>
      <c r="E1032" s="96"/>
      <c r="F1032" s="97"/>
      <c r="G1032" s="96">
        <v>42147</v>
      </c>
      <c r="H1032" s="97">
        <v>261.87</v>
      </c>
      <c r="I1032" s="99">
        <f t="shared" si="15"/>
        <v>4.5264490390886092E-3</v>
      </c>
    </row>
    <row r="1033" spans="1:9" ht="16">
      <c r="A1033" s="161">
        <v>42132</v>
      </c>
      <c r="B1033" s="94">
        <v>4.2</v>
      </c>
      <c r="E1033" s="96"/>
      <c r="F1033" s="97"/>
      <c r="G1033" s="96">
        <v>42150</v>
      </c>
      <c r="H1033" s="97">
        <v>262.64</v>
      </c>
      <c r="I1033" s="99">
        <f t="shared" si="15"/>
        <v>2.9403902699811635E-3</v>
      </c>
    </row>
    <row r="1034" spans="1:9" ht="16">
      <c r="A1034" s="161">
        <v>42133</v>
      </c>
      <c r="B1034" s="94">
        <v>4.2</v>
      </c>
      <c r="E1034" s="96"/>
      <c r="F1034" s="97"/>
      <c r="G1034" s="96">
        <v>42151</v>
      </c>
      <c r="H1034" s="97">
        <v>262.7</v>
      </c>
      <c r="I1034" s="99">
        <f t="shared" si="15"/>
        <v>2.2844958879075783E-4</v>
      </c>
    </row>
    <row r="1035" spans="1:9" ht="16">
      <c r="A1035" s="161">
        <v>42136</v>
      </c>
      <c r="B1035" s="94">
        <v>4.18</v>
      </c>
      <c r="E1035" s="96"/>
      <c r="F1035" s="97"/>
      <c r="G1035" s="96">
        <v>42152</v>
      </c>
      <c r="H1035" s="97">
        <v>262.56</v>
      </c>
      <c r="I1035" s="99">
        <f t="shared" si="15"/>
        <v>-5.3292729349063706E-4</v>
      </c>
    </row>
    <row r="1036" spans="1:9" ht="16">
      <c r="A1036" s="161">
        <v>42137</v>
      </c>
      <c r="B1036" s="94">
        <v>4.18</v>
      </c>
      <c r="E1036" s="96"/>
      <c r="F1036" s="97"/>
      <c r="G1036" s="96">
        <v>42153</v>
      </c>
      <c r="H1036" s="97">
        <v>264.83999999999997</v>
      </c>
      <c r="I1036" s="99">
        <f t="shared" si="15"/>
        <v>8.6837294332722248E-3</v>
      </c>
    </row>
    <row r="1037" spans="1:9" ht="16">
      <c r="A1037" s="161">
        <v>42138</v>
      </c>
      <c r="B1037" s="94">
        <v>4.17</v>
      </c>
      <c r="E1037" s="96"/>
      <c r="F1037" s="97"/>
      <c r="G1037" s="96">
        <v>42154</v>
      </c>
      <c r="H1037" s="97">
        <v>265.76</v>
      </c>
      <c r="I1037" s="99">
        <f t="shared" si="15"/>
        <v>3.4737954991692632E-3</v>
      </c>
    </row>
    <row r="1038" spans="1:9" ht="16">
      <c r="A1038" s="161">
        <v>42139</v>
      </c>
      <c r="B1038" s="94">
        <v>4.16</v>
      </c>
      <c r="E1038" s="96"/>
      <c r="F1038" s="97"/>
      <c r="G1038" s="96">
        <v>42157</v>
      </c>
      <c r="H1038" s="97">
        <v>267.73</v>
      </c>
      <c r="I1038" s="99">
        <f t="shared" si="15"/>
        <v>7.4127031908490792E-3</v>
      </c>
    </row>
    <row r="1039" spans="1:9" ht="16">
      <c r="A1039" s="161">
        <v>42140</v>
      </c>
      <c r="B1039" s="94">
        <v>4.17</v>
      </c>
      <c r="E1039" s="96"/>
      <c r="F1039" s="97"/>
      <c r="G1039" s="96">
        <v>42158</v>
      </c>
      <c r="H1039" s="97">
        <v>267.11</v>
      </c>
      <c r="I1039" s="99">
        <f t="shared" ref="I1039:I1102" si="16">H1039/H1038-1</f>
        <v>-2.3157658835394335E-3</v>
      </c>
    </row>
    <row r="1040" spans="1:9" ht="16">
      <c r="A1040" s="161">
        <v>42143</v>
      </c>
      <c r="B1040" s="94">
        <v>4.18</v>
      </c>
      <c r="E1040" s="96"/>
      <c r="F1040" s="97"/>
      <c r="G1040" s="96">
        <v>42159</v>
      </c>
      <c r="H1040" s="97">
        <v>266.89999999999998</v>
      </c>
      <c r="I1040" s="99">
        <f t="shared" si="16"/>
        <v>-7.8619295421378244E-4</v>
      </c>
    </row>
    <row r="1041" spans="1:9" ht="16">
      <c r="A1041" s="161">
        <v>42144</v>
      </c>
      <c r="B1041" s="94">
        <v>4.17</v>
      </c>
      <c r="E1041" s="96"/>
      <c r="F1041" s="97"/>
      <c r="G1041" s="96">
        <v>42160</v>
      </c>
      <c r="H1041" s="97">
        <v>266.24</v>
      </c>
      <c r="I1041" s="99">
        <f t="shared" si="16"/>
        <v>-2.4728362682651106E-3</v>
      </c>
    </row>
    <row r="1042" spans="1:9" ht="16">
      <c r="A1042" s="161">
        <v>42145</v>
      </c>
      <c r="B1042" s="94">
        <v>4.16</v>
      </c>
      <c r="E1042" s="96"/>
      <c r="F1042" s="97"/>
      <c r="G1042" s="96">
        <v>42161</v>
      </c>
      <c r="H1042" s="97">
        <v>267.62</v>
      </c>
      <c r="I1042" s="99">
        <f t="shared" si="16"/>
        <v>5.1832932692308376E-3</v>
      </c>
    </row>
    <row r="1043" spans="1:9" ht="16">
      <c r="A1043" s="161">
        <v>42146</v>
      </c>
      <c r="B1043" s="94">
        <v>4.1399999999999997</v>
      </c>
      <c r="E1043" s="96"/>
      <c r="F1043" s="97"/>
      <c r="G1043" s="96">
        <v>42164</v>
      </c>
      <c r="H1043" s="97">
        <v>271.12</v>
      </c>
      <c r="I1043" s="99">
        <f t="shared" si="16"/>
        <v>1.3078245273148603E-2</v>
      </c>
    </row>
    <row r="1044" spans="1:9" ht="16">
      <c r="A1044" s="161">
        <v>42147</v>
      </c>
      <c r="B1044" s="94">
        <v>4.12</v>
      </c>
      <c r="E1044" s="96"/>
      <c r="F1044" s="97"/>
      <c r="G1044" s="96">
        <v>42165</v>
      </c>
      <c r="H1044" s="97">
        <v>273.54000000000002</v>
      </c>
      <c r="I1044" s="99">
        <f t="shared" si="16"/>
        <v>8.9259368545293594E-3</v>
      </c>
    </row>
    <row r="1045" spans="1:9" ht="16">
      <c r="A1045" s="161">
        <v>42150</v>
      </c>
      <c r="B1045" s="94">
        <v>4.12</v>
      </c>
      <c r="E1045" s="96"/>
      <c r="F1045" s="97"/>
      <c r="G1045" s="96">
        <v>42166</v>
      </c>
      <c r="H1045" s="97">
        <v>272.01</v>
      </c>
      <c r="I1045" s="99">
        <f t="shared" si="16"/>
        <v>-5.5933318710245095E-3</v>
      </c>
    </row>
    <row r="1046" spans="1:9" ht="16">
      <c r="A1046" s="161">
        <v>42151</v>
      </c>
      <c r="B1046" s="94">
        <v>4.0999999999999996</v>
      </c>
      <c r="E1046" s="96"/>
      <c r="F1046" s="97"/>
      <c r="G1046" s="96">
        <v>42167</v>
      </c>
      <c r="H1046" s="97">
        <v>271.24</v>
      </c>
      <c r="I1046" s="99">
        <f t="shared" si="16"/>
        <v>-2.8307782802101666E-3</v>
      </c>
    </row>
    <row r="1047" spans="1:9" ht="16">
      <c r="A1047" s="161">
        <v>42152</v>
      </c>
      <c r="B1047" s="94">
        <v>4.09</v>
      </c>
      <c r="E1047" s="96"/>
      <c r="F1047" s="97"/>
      <c r="G1047" s="96">
        <v>42168</v>
      </c>
      <c r="H1047" s="97">
        <v>269.27999999999997</v>
      </c>
      <c r="I1047" s="99">
        <f t="shared" si="16"/>
        <v>-7.2260728506121641E-3</v>
      </c>
    </row>
    <row r="1048" spans="1:9" ht="16">
      <c r="A1048" s="161">
        <v>42153</v>
      </c>
      <c r="B1048" s="94">
        <v>4.09</v>
      </c>
      <c r="E1048" s="96"/>
      <c r="F1048" s="97"/>
      <c r="G1048" s="96">
        <v>42171</v>
      </c>
      <c r="H1048" s="97">
        <v>268.17</v>
      </c>
      <c r="I1048" s="99">
        <f t="shared" si="16"/>
        <v>-4.1221033868090728E-3</v>
      </c>
    </row>
    <row r="1049" spans="1:9" ht="16">
      <c r="A1049" s="161">
        <v>42154</v>
      </c>
      <c r="B1049" s="94">
        <v>4.08</v>
      </c>
      <c r="E1049" s="96"/>
      <c r="F1049" s="97"/>
      <c r="G1049" s="96">
        <v>42172</v>
      </c>
      <c r="H1049" s="97">
        <v>271.48</v>
      </c>
      <c r="I1049" s="99">
        <f t="shared" si="16"/>
        <v>1.2342916806503235E-2</v>
      </c>
    </row>
    <row r="1050" spans="1:9" ht="16">
      <c r="A1050" s="161">
        <v>42157</v>
      </c>
      <c r="B1050" s="94">
        <v>4.03</v>
      </c>
      <c r="E1050" s="96"/>
      <c r="F1050" s="97"/>
      <c r="G1050" s="96">
        <v>42173</v>
      </c>
      <c r="H1050" s="97">
        <v>274.57</v>
      </c>
      <c r="I1050" s="99">
        <f t="shared" si="16"/>
        <v>1.138205392662428E-2</v>
      </c>
    </row>
    <row r="1051" spans="1:9" ht="16">
      <c r="A1051" s="161">
        <v>42158</v>
      </c>
      <c r="B1051" s="94">
        <v>4.03</v>
      </c>
      <c r="E1051" s="96"/>
      <c r="F1051" s="97"/>
      <c r="G1051" s="96">
        <v>42174</v>
      </c>
      <c r="H1051" s="97">
        <v>278.45999999999998</v>
      </c>
      <c r="I1051" s="99">
        <f t="shared" si="16"/>
        <v>1.4167607531776927E-2</v>
      </c>
    </row>
    <row r="1052" spans="1:9" ht="16">
      <c r="A1052" s="161">
        <v>42159</v>
      </c>
      <c r="B1052" s="94">
        <v>4.01</v>
      </c>
      <c r="E1052" s="96"/>
      <c r="F1052" s="97"/>
      <c r="G1052" s="96">
        <v>42175</v>
      </c>
      <c r="H1052" s="97">
        <v>278.42</v>
      </c>
      <c r="I1052" s="99">
        <f t="shared" si="16"/>
        <v>-1.4364720247062035E-4</v>
      </c>
    </row>
    <row r="1053" spans="1:9" ht="16">
      <c r="A1053" s="161">
        <v>42160</v>
      </c>
      <c r="B1053" s="94">
        <v>4.01</v>
      </c>
      <c r="E1053" s="96"/>
      <c r="F1053" s="97"/>
      <c r="G1053" s="96">
        <v>42178</v>
      </c>
      <c r="H1053" s="97">
        <v>278.24</v>
      </c>
      <c r="I1053" s="99">
        <f t="shared" si="16"/>
        <v>-6.4650527979315253E-4</v>
      </c>
    </row>
    <row r="1054" spans="1:9" ht="16">
      <c r="A1054" s="161">
        <v>42161</v>
      </c>
      <c r="B1054" s="94">
        <v>4.0199999999999996</v>
      </c>
      <c r="E1054" s="96"/>
      <c r="F1054" s="97"/>
      <c r="G1054" s="96">
        <v>42179</v>
      </c>
      <c r="H1054" s="97">
        <v>276.14999999999998</v>
      </c>
      <c r="I1054" s="99">
        <f t="shared" si="16"/>
        <v>-7.5115008625648017E-3</v>
      </c>
    </row>
    <row r="1055" spans="1:9" ht="16">
      <c r="A1055" s="161">
        <v>42164</v>
      </c>
      <c r="B1055" s="94">
        <v>4</v>
      </c>
      <c r="E1055" s="96"/>
      <c r="F1055" s="97"/>
      <c r="G1055" s="96">
        <v>42180</v>
      </c>
      <c r="H1055" s="97">
        <v>277.05</v>
      </c>
      <c r="I1055" s="99">
        <f t="shared" si="16"/>
        <v>3.2590983161326914E-3</v>
      </c>
    </row>
    <row r="1056" spans="1:9" ht="16">
      <c r="A1056" s="161">
        <v>42165</v>
      </c>
      <c r="B1056" s="94">
        <v>3.99</v>
      </c>
      <c r="E1056" s="96"/>
      <c r="F1056" s="97"/>
      <c r="G1056" s="96">
        <v>42181</v>
      </c>
      <c r="H1056" s="97">
        <v>278.94</v>
      </c>
      <c r="I1056" s="99">
        <f t="shared" si="16"/>
        <v>6.8218733080671612E-3</v>
      </c>
    </row>
    <row r="1057" spans="1:9" ht="16">
      <c r="A1057" s="161">
        <v>42166</v>
      </c>
      <c r="B1057" s="94">
        <v>3.97</v>
      </c>
      <c r="E1057" s="96"/>
      <c r="F1057" s="97"/>
      <c r="G1057" s="96">
        <v>42182</v>
      </c>
      <c r="H1057" s="97">
        <v>278.97000000000003</v>
      </c>
      <c r="I1057" s="99">
        <f t="shared" si="16"/>
        <v>1.075500107550198E-4</v>
      </c>
    </row>
    <row r="1058" spans="1:9" ht="16">
      <c r="A1058" s="161">
        <v>42167</v>
      </c>
      <c r="B1058" s="94">
        <v>3.96</v>
      </c>
      <c r="E1058" s="96"/>
      <c r="F1058" s="97"/>
      <c r="G1058" s="96">
        <v>42185</v>
      </c>
      <c r="H1058" s="97">
        <v>281.63</v>
      </c>
      <c r="I1058" s="99">
        <f t="shared" si="16"/>
        <v>9.5350754561420725E-3</v>
      </c>
    </row>
    <row r="1059" spans="1:9" ht="16">
      <c r="A1059" s="161">
        <v>42168</v>
      </c>
      <c r="B1059" s="94">
        <v>3.95</v>
      </c>
      <c r="E1059" s="96"/>
      <c r="F1059" s="97"/>
      <c r="G1059" s="96">
        <v>42186</v>
      </c>
      <c r="H1059" s="97">
        <v>281.95</v>
      </c>
      <c r="I1059" s="99">
        <f t="shared" si="16"/>
        <v>1.1362425877925464E-3</v>
      </c>
    </row>
    <row r="1060" spans="1:9" ht="16">
      <c r="A1060" s="161">
        <v>42171</v>
      </c>
      <c r="B1060" s="94">
        <v>3.97</v>
      </c>
      <c r="E1060" s="96"/>
      <c r="F1060" s="97"/>
      <c r="G1060" s="96">
        <v>42187</v>
      </c>
      <c r="H1060" s="97">
        <v>281.64</v>
      </c>
      <c r="I1060" s="99">
        <f t="shared" si="16"/>
        <v>-1.0994857244192024E-3</v>
      </c>
    </row>
    <row r="1061" spans="1:9" ht="16">
      <c r="A1061" s="161">
        <v>42172</v>
      </c>
      <c r="B1061" s="94">
        <v>3.92</v>
      </c>
      <c r="E1061" s="96"/>
      <c r="F1061" s="97"/>
      <c r="G1061" s="96">
        <v>42188</v>
      </c>
      <c r="H1061" s="97">
        <v>282.85000000000002</v>
      </c>
      <c r="I1061" s="99">
        <f t="shared" si="16"/>
        <v>4.2962647351230121E-3</v>
      </c>
    </row>
    <row r="1062" spans="1:9" ht="16">
      <c r="A1062" s="161">
        <v>42173</v>
      </c>
      <c r="B1062" s="94">
        <v>3.91</v>
      </c>
      <c r="E1062" s="96"/>
      <c r="F1062" s="97"/>
      <c r="G1062" s="96">
        <v>42189</v>
      </c>
      <c r="H1062" s="97">
        <v>281.57</v>
      </c>
      <c r="I1062" s="99">
        <f t="shared" si="16"/>
        <v>-4.5253668021920657E-3</v>
      </c>
    </row>
    <row r="1063" spans="1:9" ht="16">
      <c r="A1063" s="161">
        <v>42174</v>
      </c>
      <c r="B1063" s="94">
        <v>3.82</v>
      </c>
      <c r="E1063" s="96"/>
      <c r="F1063" s="97"/>
      <c r="G1063" s="96">
        <v>42192</v>
      </c>
      <c r="H1063" s="97">
        <v>278.7</v>
      </c>
      <c r="I1063" s="99">
        <f t="shared" si="16"/>
        <v>-1.0192847249351877E-2</v>
      </c>
    </row>
    <row r="1064" spans="1:9" ht="16">
      <c r="A1064" s="161">
        <v>42175</v>
      </c>
      <c r="B1064" s="94">
        <v>3.85</v>
      </c>
      <c r="E1064" s="96"/>
      <c r="F1064" s="97"/>
      <c r="G1064" s="96">
        <v>42193</v>
      </c>
      <c r="H1064" s="97">
        <v>277.64</v>
      </c>
      <c r="I1064" s="99">
        <f t="shared" si="16"/>
        <v>-3.8033728022963675E-3</v>
      </c>
    </row>
    <row r="1065" spans="1:9" ht="16">
      <c r="A1065" s="161">
        <v>42178</v>
      </c>
      <c r="B1065" s="94">
        <v>3.84</v>
      </c>
      <c r="E1065" s="96"/>
      <c r="F1065" s="97"/>
      <c r="G1065" s="96">
        <v>42194</v>
      </c>
      <c r="H1065" s="97">
        <v>279.33</v>
      </c>
      <c r="I1065" s="99">
        <f t="shared" si="16"/>
        <v>6.0870191615041147E-3</v>
      </c>
    </row>
    <row r="1066" spans="1:9" ht="16">
      <c r="A1066" s="161">
        <v>42179</v>
      </c>
      <c r="B1066" s="94">
        <v>3.84</v>
      </c>
      <c r="E1066" s="96"/>
      <c r="F1066" s="97"/>
      <c r="G1066" s="96">
        <v>42195</v>
      </c>
      <c r="H1066" s="97">
        <v>280.61</v>
      </c>
      <c r="I1066" s="99">
        <f t="shared" si="16"/>
        <v>4.5823935846491803E-3</v>
      </c>
    </row>
    <row r="1067" spans="1:9" ht="16">
      <c r="A1067" s="161">
        <v>42180</v>
      </c>
      <c r="B1067" s="94">
        <v>3.85</v>
      </c>
      <c r="E1067" s="96"/>
      <c r="F1067" s="97"/>
      <c r="G1067" s="96">
        <v>42196</v>
      </c>
      <c r="H1067" s="97">
        <v>279.48</v>
      </c>
      <c r="I1067" s="99">
        <f t="shared" si="16"/>
        <v>-4.0269413064395465E-3</v>
      </c>
    </row>
    <row r="1068" spans="1:9" ht="16">
      <c r="A1068" s="161">
        <v>42181</v>
      </c>
      <c r="B1068" s="94">
        <v>3.85</v>
      </c>
      <c r="E1068" s="96"/>
      <c r="F1068" s="97"/>
      <c r="G1068" s="96">
        <v>42199</v>
      </c>
      <c r="H1068" s="97">
        <v>281.27</v>
      </c>
      <c r="I1068" s="99">
        <f t="shared" si="16"/>
        <v>6.4047516816945205E-3</v>
      </c>
    </row>
    <row r="1069" spans="1:9" ht="16">
      <c r="A1069" s="161">
        <v>42182</v>
      </c>
      <c r="B1069" s="94">
        <v>3.82</v>
      </c>
      <c r="E1069" s="96"/>
      <c r="F1069" s="97"/>
      <c r="G1069" s="96">
        <v>42200</v>
      </c>
      <c r="H1069" s="97">
        <v>281.73</v>
      </c>
      <c r="I1069" s="99">
        <f t="shared" si="16"/>
        <v>1.6354392576529708E-3</v>
      </c>
    </row>
    <row r="1070" spans="1:9" ht="16">
      <c r="A1070" s="161">
        <v>42184</v>
      </c>
      <c r="B1070" s="94">
        <v>3.83</v>
      </c>
      <c r="E1070" s="96"/>
      <c r="F1070" s="97"/>
      <c r="G1070" s="96">
        <v>42201</v>
      </c>
      <c r="H1070" s="97">
        <v>280.62</v>
      </c>
      <c r="I1070" s="99">
        <f t="shared" si="16"/>
        <v>-3.9399424981365616E-3</v>
      </c>
    </row>
    <row r="1071" spans="1:9" ht="16">
      <c r="A1071" s="161">
        <v>42185</v>
      </c>
      <c r="B1071" s="94">
        <v>3.81</v>
      </c>
      <c r="E1071" s="96"/>
      <c r="F1071" s="97"/>
      <c r="G1071" s="96">
        <v>42202</v>
      </c>
      <c r="H1071" s="97">
        <v>279.81</v>
      </c>
      <c r="I1071" s="99">
        <f t="shared" si="16"/>
        <v>-2.8864656831302238E-3</v>
      </c>
    </row>
    <row r="1072" spans="1:9" ht="16">
      <c r="A1072" s="161">
        <v>42186</v>
      </c>
      <c r="B1072" s="94">
        <v>3.79</v>
      </c>
      <c r="E1072" s="96"/>
      <c r="F1072" s="97"/>
      <c r="G1072" s="96">
        <v>42203</v>
      </c>
      <c r="H1072" s="97">
        <v>280.60000000000002</v>
      </c>
      <c r="I1072" s="99">
        <f t="shared" si="16"/>
        <v>2.8233444122798268E-3</v>
      </c>
    </row>
    <row r="1073" spans="1:9" ht="16">
      <c r="A1073" s="161">
        <v>42187</v>
      </c>
      <c r="B1073" s="195">
        <v>3.79</v>
      </c>
      <c r="E1073" s="96"/>
      <c r="F1073" s="97"/>
      <c r="G1073" s="96">
        <v>42206</v>
      </c>
      <c r="H1073" s="97">
        <v>279.47000000000003</v>
      </c>
      <c r="I1073" s="99">
        <f t="shared" si="16"/>
        <v>-4.0270848182466512E-3</v>
      </c>
    </row>
    <row r="1074" spans="1:9" ht="16">
      <c r="A1074" s="161">
        <v>42188</v>
      </c>
      <c r="B1074" s="94">
        <v>3.76</v>
      </c>
      <c r="E1074" s="96"/>
      <c r="F1074" s="97"/>
      <c r="G1074" s="96">
        <v>42207</v>
      </c>
      <c r="H1074" s="97">
        <v>279.62</v>
      </c>
      <c r="I1074" s="99">
        <f t="shared" si="16"/>
        <v>5.3673023938149989E-4</v>
      </c>
    </row>
    <row r="1075" spans="1:9" ht="16">
      <c r="A1075" s="161">
        <v>42189</v>
      </c>
      <c r="B1075" s="94">
        <v>3.77</v>
      </c>
      <c r="E1075" s="96"/>
      <c r="F1075" s="97"/>
      <c r="G1075" s="96">
        <v>42208</v>
      </c>
      <c r="H1075" s="97">
        <v>279.79000000000002</v>
      </c>
      <c r="I1075" s="99">
        <f t="shared" si="16"/>
        <v>6.0796795651252289E-4</v>
      </c>
    </row>
    <row r="1076" spans="1:9" ht="16">
      <c r="A1076" s="161">
        <v>42192</v>
      </c>
      <c r="B1076" s="94">
        <v>3.78</v>
      </c>
      <c r="E1076" s="96"/>
      <c r="F1076" s="97"/>
      <c r="G1076" s="96">
        <v>42209</v>
      </c>
      <c r="H1076" s="97">
        <v>279.55</v>
      </c>
      <c r="I1076" s="99">
        <f t="shared" si="16"/>
        <v>-8.5778619679044432E-4</v>
      </c>
    </row>
    <row r="1077" spans="1:9" ht="16">
      <c r="A1077" s="161">
        <v>42193</v>
      </c>
      <c r="B1077" s="94">
        <v>3.81</v>
      </c>
      <c r="E1077" s="96"/>
      <c r="F1077" s="97"/>
      <c r="G1077" s="96">
        <v>42210</v>
      </c>
      <c r="H1077" s="97">
        <v>278.27999999999997</v>
      </c>
      <c r="I1077" s="99">
        <f t="shared" si="16"/>
        <v>-4.5430155607226741E-3</v>
      </c>
    </row>
    <row r="1078" spans="1:9" ht="16">
      <c r="A1078" s="161">
        <v>42194</v>
      </c>
      <c r="B1078" s="94">
        <v>3.82</v>
      </c>
      <c r="E1078" s="96"/>
      <c r="F1078" s="97"/>
      <c r="G1078" s="96">
        <v>42213</v>
      </c>
      <c r="H1078" s="97">
        <v>277.91000000000003</v>
      </c>
      <c r="I1078" s="99">
        <f t="shared" si="16"/>
        <v>-1.3295960902686144E-3</v>
      </c>
    </row>
    <row r="1079" spans="1:9" ht="16">
      <c r="A1079" s="161">
        <v>42195</v>
      </c>
      <c r="B1079" s="94">
        <v>3.79</v>
      </c>
      <c r="E1079" s="96"/>
      <c r="F1079" s="97"/>
      <c r="G1079" s="96">
        <v>42214</v>
      </c>
      <c r="H1079" s="97">
        <v>276.75</v>
      </c>
      <c r="I1079" s="99">
        <f t="shared" si="16"/>
        <v>-4.1740131697313165E-3</v>
      </c>
    </row>
    <row r="1080" spans="1:9" ht="16">
      <c r="A1080" s="161">
        <v>42196</v>
      </c>
      <c r="B1080" s="94">
        <v>3.8</v>
      </c>
      <c r="E1080" s="96"/>
      <c r="F1080" s="97"/>
      <c r="G1080" s="96">
        <v>42215</v>
      </c>
      <c r="H1080" s="97">
        <v>275.61</v>
      </c>
      <c r="I1080" s="99">
        <f t="shared" si="16"/>
        <v>-4.1192411924119154E-3</v>
      </c>
    </row>
    <row r="1081" spans="1:9" ht="16">
      <c r="A1081" s="161">
        <v>42199</v>
      </c>
      <c r="B1081" s="94">
        <v>3.79</v>
      </c>
      <c r="E1081" s="96"/>
      <c r="F1081" s="97"/>
      <c r="G1081" s="96">
        <v>42216</v>
      </c>
      <c r="H1081" s="97">
        <v>272.25</v>
      </c>
      <c r="I1081" s="99">
        <f t="shared" si="16"/>
        <v>-1.2191139653858762E-2</v>
      </c>
    </row>
    <row r="1082" spans="1:9" ht="16">
      <c r="A1082" s="161">
        <v>42200</v>
      </c>
      <c r="B1082" s="94">
        <v>3.78</v>
      </c>
      <c r="E1082" s="96"/>
      <c r="F1082" s="97"/>
      <c r="G1082" s="96">
        <v>42217</v>
      </c>
      <c r="H1082" s="97">
        <v>266.95999999999998</v>
      </c>
      <c r="I1082" s="99">
        <f t="shared" si="16"/>
        <v>-1.9430670339761313E-2</v>
      </c>
    </row>
    <row r="1083" spans="1:9" ht="16">
      <c r="A1083" s="161">
        <v>42201</v>
      </c>
      <c r="B1083" s="94">
        <v>3.78</v>
      </c>
      <c r="E1083" s="96"/>
      <c r="F1083" s="97"/>
      <c r="G1083" s="96">
        <v>42220</v>
      </c>
      <c r="H1083" s="97">
        <v>259.26</v>
      </c>
      <c r="I1083" s="99">
        <f t="shared" si="16"/>
        <v>-2.8843272400359554E-2</v>
      </c>
    </row>
    <row r="1084" spans="1:9" ht="16">
      <c r="A1084" s="161">
        <v>42202</v>
      </c>
      <c r="B1084" s="94">
        <v>3.77</v>
      </c>
      <c r="E1084" s="96"/>
      <c r="F1084" s="97"/>
      <c r="G1084" s="96">
        <v>42221</v>
      </c>
      <c r="H1084" s="97">
        <v>259.7</v>
      </c>
      <c r="I1084" s="99">
        <f t="shared" si="16"/>
        <v>1.6971380081771681E-3</v>
      </c>
    </row>
    <row r="1085" spans="1:9" ht="16">
      <c r="A1085" s="161">
        <v>42203</v>
      </c>
      <c r="B1085" s="94">
        <v>3.76</v>
      </c>
      <c r="E1085" s="96"/>
      <c r="F1085" s="97"/>
      <c r="G1085" s="96">
        <v>42222</v>
      </c>
      <c r="H1085" s="97">
        <v>259.92</v>
      </c>
      <c r="I1085" s="99">
        <f t="shared" si="16"/>
        <v>8.4713130535241099E-4</v>
      </c>
    </row>
    <row r="1086" spans="1:9" ht="16">
      <c r="A1086" s="161">
        <v>42206</v>
      </c>
      <c r="B1086" s="94">
        <v>3.76</v>
      </c>
      <c r="E1086" s="96"/>
      <c r="F1086" s="97"/>
      <c r="G1086" s="96">
        <v>42223</v>
      </c>
      <c r="H1086" s="97">
        <v>263.26</v>
      </c>
      <c r="I1086" s="99">
        <f t="shared" si="16"/>
        <v>1.2850107725453919E-2</v>
      </c>
    </row>
    <row r="1087" spans="1:9" ht="16">
      <c r="A1087" s="161">
        <v>42207</v>
      </c>
      <c r="B1087" s="94">
        <v>3.77</v>
      </c>
      <c r="E1087" s="96"/>
      <c r="F1087" s="97"/>
      <c r="G1087" s="96">
        <v>42224</v>
      </c>
      <c r="H1087" s="97">
        <v>262.2</v>
      </c>
      <c r="I1087" s="99">
        <f t="shared" si="16"/>
        <v>-4.0264377421560527E-3</v>
      </c>
    </row>
    <row r="1088" spans="1:9" ht="16">
      <c r="A1088" s="161">
        <v>42208</v>
      </c>
      <c r="B1088" s="94">
        <v>3.75</v>
      </c>
      <c r="E1088" s="96"/>
      <c r="F1088" s="97"/>
      <c r="G1088" s="96">
        <v>42227</v>
      </c>
      <c r="H1088" s="97">
        <v>260.67</v>
      </c>
      <c r="I1088" s="99">
        <f t="shared" si="16"/>
        <v>-5.8352402745994736E-3</v>
      </c>
    </row>
    <row r="1089" spans="1:9" ht="16">
      <c r="A1089" s="161">
        <v>42209</v>
      </c>
      <c r="B1089" s="94">
        <v>3.74</v>
      </c>
      <c r="E1089" s="96"/>
      <c r="F1089" s="97"/>
      <c r="G1089" s="96">
        <v>42228</v>
      </c>
      <c r="H1089" s="97">
        <v>259.14</v>
      </c>
      <c r="I1089" s="99">
        <f t="shared" si="16"/>
        <v>-5.8694901599725124E-3</v>
      </c>
    </row>
    <row r="1090" spans="1:9" ht="16">
      <c r="A1090" s="161">
        <v>42210</v>
      </c>
      <c r="B1090" s="94">
        <v>3.76</v>
      </c>
      <c r="E1090" s="96"/>
      <c r="F1090" s="97"/>
      <c r="G1090" s="96">
        <v>42229</v>
      </c>
      <c r="H1090" s="97">
        <v>257.42</v>
      </c>
      <c r="I1090" s="99">
        <f t="shared" si="16"/>
        <v>-6.6373388901750374E-3</v>
      </c>
    </row>
    <row r="1091" spans="1:9" ht="16">
      <c r="A1091" s="161">
        <v>42213</v>
      </c>
      <c r="B1091" s="94">
        <v>3.74</v>
      </c>
      <c r="E1091" s="96"/>
      <c r="F1091" s="97"/>
      <c r="G1091" s="96">
        <v>42230</v>
      </c>
      <c r="H1091" s="97">
        <v>256.93</v>
      </c>
      <c r="I1091" s="99">
        <f t="shared" si="16"/>
        <v>-1.9035040012431725E-3</v>
      </c>
    </row>
    <row r="1092" spans="1:9" ht="16">
      <c r="A1092" s="161">
        <v>42214</v>
      </c>
      <c r="B1092" s="94">
        <v>3.73</v>
      </c>
      <c r="E1092" s="96"/>
      <c r="F1092" s="97"/>
      <c r="G1092" s="96">
        <v>42231</v>
      </c>
      <c r="H1092" s="97">
        <v>258.93</v>
      </c>
      <c r="I1092" s="99">
        <f t="shared" si="16"/>
        <v>7.7842213832561846E-3</v>
      </c>
    </row>
    <row r="1093" spans="1:9" ht="16">
      <c r="A1093" s="161">
        <v>42215</v>
      </c>
      <c r="B1093" s="94">
        <v>3.75</v>
      </c>
      <c r="E1093" s="96"/>
      <c r="F1093" s="97"/>
      <c r="G1093" s="96">
        <v>42234</v>
      </c>
      <c r="H1093" s="97">
        <v>260.91000000000003</v>
      </c>
      <c r="I1093" s="99">
        <f t="shared" si="16"/>
        <v>7.64685436218282E-3</v>
      </c>
    </row>
    <row r="1094" spans="1:9" ht="16">
      <c r="A1094" s="161">
        <v>42216</v>
      </c>
      <c r="B1094" s="94">
        <v>3.75</v>
      </c>
      <c r="E1094" s="96"/>
      <c r="F1094" s="97"/>
      <c r="G1094" s="96">
        <v>42235</v>
      </c>
      <c r="H1094" s="97">
        <v>260.98</v>
      </c>
      <c r="I1094" s="99">
        <f t="shared" si="16"/>
        <v>2.6829174811227041E-4</v>
      </c>
    </row>
    <row r="1095" spans="1:9" ht="16">
      <c r="A1095" s="161">
        <v>42217</v>
      </c>
      <c r="B1095" s="94">
        <v>3.72</v>
      </c>
      <c r="E1095" s="96"/>
      <c r="F1095" s="97"/>
      <c r="G1095" s="96">
        <v>42236</v>
      </c>
      <c r="H1095" s="97">
        <v>261.77</v>
      </c>
      <c r="I1095" s="99">
        <f t="shared" si="16"/>
        <v>3.0270518813699798E-3</v>
      </c>
    </row>
    <row r="1096" spans="1:9" ht="16">
      <c r="A1096" s="161">
        <v>42220</v>
      </c>
      <c r="B1096" s="94">
        <v>3.68</v>
      </c>
      <c r="E1096" s="96"/>
      <c r="F1096" s="97"/>
      <c r="G1096" s="96">
        <v>42237</v>
      </c>
      <c r="H1096" s="97">
        <v>259.97000000000003</v>
      </c>
      <c r="I1096" s="99">
        <f t="shared" si="16"/>
        <v>-6.8762654238452292E-3</v>
      </c>
    </row>
    <row r="1097" spans="1:9" ht="16">
      <c r="A1097" s="161">
        <v>42221</v>
      </c>
      <c r="B1097" s="94">
        <v>3.69</v>
      </c>
      <c r="E1097" s="96"/>
      <c r="F1097" s="97"/>
      <c r="G1097" s="96">
        <v>42238</v>
      </c>
      <c r="H1097" s="97">
        <v>259.38</v>
      </c>
      <c r="I1097" s="99">
        <f t="shared" si="16"/>
        <v>-2.2694926337655241E-3</v>
      </c>
    </row>
    <row r="1098" spans="1:9" ht="16">
      <c r="A1098" s="161">
        <v>42222</v>
      </c>
      <c r="B1098" s="94">
        <v>3.64</v>
      </c>
      <c r="E1098" s="96"/>
      <c r="F1098" s="97"/>
      <c r="G1098" s="96">
        <v>42241</v>
      </c>
      <c r="H1098" s="97">
        <v>256.7</v>
      </c>
      <c r="I1098" s="99">
        <f t="shared" si="16"/>
        <v>-1.0332330943017998E-2</v>
      </c>
    </row>
    <row r="1099" spans="1:9" ht="16">
      <c r="A1099" s="161">
        <v>42223</v>
      </c>
      <c r="B1099" s="94">
        <v>3.64</v>
      </c>
      <c r="E1099" s="96"/>
      <c r="F1099" s="97"/>
      <c r="G1099" s="96">
        <v>42242</v>
      </c>
      <c r="H1099" s="97">
        <v>257.5</v>
      </c>
      <c r="I1099" s="99">
        <f t="shared" si="16"/>
        <v>3.1164783794312978E-3</v>
      </c>
    </row>
    <row r="1100" spans="1:9" ht="16">
      <c r="A1100" s="161">
        <v>42224</v>
      </c>
      <c r="B1100" s="94">
        <v>3.63</v>
      </c>
      <c r="E1100" s="96"/>
      <c r="F1100" s="97"/>
      <c r="G1100" s="96">
        <v>42243</v>
      </c>
      <c r="H1100" s="97">
        <v>257.56</v>
      </c>
      <c r="I1100" s="99">
        <f t="shared" si="16"/>
        <v>2.3300970873796345E-4</v>
      </c>
    </row>
    <row r="1101" spans="1:9" ht="16">
      <c r="A1101" s="161">
        <v>42227</v>
      </c>
      <c r="B1101" s="94">
        <v>3.73</v>
      </c>
      <c r="E1101" s="96"/>
      <c r="F1101" s="97"/>
      <c r="G1101" s="96">
        <v>42244</v>
      </c>
      <c r="H1101" s="97">
        <v>259.07</v>
      </c>
      <c r="I1101" s="99">
        <f t="shared" si="16"/>
        <v>5.8627116011802372E-3</v>
      </c>
    </row>
    <row r="1102" spans="1:9" ht="16">
      <c r="A1102" s="161">
        <v>42228</v>
      </c>
      <c r="B1102" s="94">
        <v>3.76</v>
      </c>
      <c r="E1102" s="96"/>
      <c r="F1102" s="97"/>
      <c r="G1102" s="96">
        <v>42245</v>
      </c>
      <c r="H1102" s="97">
        <v>262.45999999999998</v>
      </c>
      <c r="I1102" s="99">
        <f t="shared" si="16"/>
        <v>1.3085266530281414E-2</v>
      </c>
    </row>
    <row r="1103" spans="1:9" ht="16">
      <c r="A1103" s="161">
        <v>42229</v>
      </c>
      <c r="B1103" s="94">
        <v>3.78</v>
      </c>
      <c r="E1103" s="96"/>
      <c r="F1103" s="97"/>
      <c r="G1103" s="96">
        <v>42248</v>
      </c>
      <c r="H1103" s="97">
        <v>262.45999999999998</v>
      </c>
      <c r="I1103" s="99">
        <f t="shared" ref="I1103:I1166" si="17">H1103/H1102-1</f>
        <v>0</v>
      </c>
    </row>
    <row r="1104" spans="1:9" ht="16">
      <c r="A1104" s="161">
        <v>42230</v>
      </c>
      <c r="B1104" s="94">
        <v>3.74</v>
      </c>
      <c r="E1104" s="96"/>
      <c r="F1104" s="97"/>
      <c r="G1104" s="96">
        <v>42249</v>
      </c>
      <c r="H1104" s="97">
        <v>259.61</v>
      </c>
      <c r="I1104" s="99">
        <f t="shared" si="17"/>
        <v>-1.0858797531052233E-2</v>
      </c>
    </row>
    <row r="1105" spans="1:9" ht="16">
      <c r="A1105" s="161">
        <v>42231</v>
      </c>
      <c r="B1105" s="94">
        <v>3.71</v>
      </c>
      <c r="E1105" s="96"/>
      <c r="F1105" s="97"/>
      <c r="G1105" s="96">
        <v>42250</v>
      </c>
      <c r="H1105" s="97">
        <v>263.95999999999998</v>
      </c>
      <c r="I1105" s="99">
        <f t="shared" si="17"/>
        <v>1.6755903085397206E-2</v>
      </c>
    </row>
    <row r="1106" spans="1:9" ht="16">
      <c r="A1106" s="161">
        <v>42234</v>
      </c>
      <c r="B1106" s="94">
        <v>3.74</v>
      </c>
      <c r="E1106" s="96"/>
      <c r="F1106" s="97"/>
      <c r="G1106" s="96">
        <v>42251</v>
      </c>
      <c r="H1106" s="97">
        <v>266.69</v>
      </c>
      <c r="I1106" s="99">
        <f t="shared" si="17"/>
        <v>1.0342476132747525E-2</v>
      </c>
    </row>
    <row r="1107" spans="1:9" ht="16">
      <c r="A1107" s="161">
        <v>42235</v>
      </c>
      <c r="B1107" s="94">
        <v>3.72</v>
      </c>
      <c r="E1107" s="96"/>
      <c r="F1107" s="97"/>
      <c r="G1107" s="96">
        <v>42252</v>
      </c>
      <c r="H1107" s="97">
        <v>267.89999999999998</v>
      </c>
      <c r="I1107" s="99">
        <f t="shared" si="17"/>
        <v>4.5371030034870863E-3</v>
      </c>
    </row>
    <row r="1108" spans="1:9" ht="16">
      <c r="A1108" s="161">
        <v>42236</v>
      </c>
      <c r="B1108" s="94">
        <v>3.72</v>
      </c>
      <c r="E1108" s="96"/>
      <c r="F1108" s="97"/>
      <c r="G1108" s="96">
        <v>42255</v>
      </c>
      <c r="H1108" s="97">
        <v>268.11</v>
      </c>
      <c r="I1108" s="99">
        <f t="shared" si="17"/>
        <v>7.8387458006723421E-4</v>
      </c>
    </row>
    <row r="1109" spans="1:9" ht="16">
      <c r="A1109" s="161">
        <v>42237</v>
      </c>
      <c r="B1109" s="94">
        <v>3.72</v>
      </c>
      <c r="E1109" s="96"/>
      <c r="F1109" s="97"/>
      <c r="G1109" s="96">
        <v>42256</v>
      </c>
      <c r="H1109" s="97">
        <v>267.36</v>
      </c>
      <c r="I1109" s="99">
        <f t="shared" si="17"/>
        <v>-2.7973592928275393E-3</v>
      </c>
    </row>
    <row r="1110" spans="1:9" ht="16">
      <c r="A1110" s="161">
        <v>42238</v>
      </c>
      <c r="B1110" s="94">
        <v>3.74</v>
      </c>
      <c r="E1110" s="96"/>
      <c r="F1110" s="97"/>
      <c r="G1110" s="96">
        <v>42257</v>
      </c>
      <c r="H1110" s="97">
        <v>269.79000000000002</v>
      </c>
      <c r="I1110" s="99">
        <f t="shared" si="17"/>
        <v>9.0888689407540024E-3</v>
      </c>
    </row>
    <row r="1111" spans="1:9" ht="16">
      <c r="A1111" s="161">
        <v>42241</v>
      </c>
      <c r="B1111" s="94">
        <v>3.69</v>
      </c>
      <c r="E1111" s="96"/>
      <c r="F1111" s="97"/>
      <c r="G1111" s="96">
        <v>42258</v>
      </c>
      <c r="H1111" s="97">
        <v>271.57</v>
      </c>
      <c r="I1111" s="99">
        <f t="shared" si="17"/>
        <v>6.5977241558248245E-3</v>
      </c>
    </row>
    <row r="1112" spans="1:9" ht="16">
      <c r="A1112" s="161">
        <v>42242</v>
      </c>
      <c r="B1112" s="94">
        <v>3.7</v>
      </c>
      <c r="E1112" s="96"/>
      <c r="F1112" s="97"/>
      <c r="G1112" s="96">
        <v>42259</v>
      </c>
      <c r="H1112" s="97">
        <v>272.89</v>
      </c>
      <c r="I1112" s="99">
        <f t="shared" si="17"/>
        <v>4.8606252531575578E-3</v>
      </c>
    </row>
    <row r="1113" spans="1:9" ht="16">
      <c r="A1113" s="161">
        <v>42243</v>
      </c>
      <c r="B1113" s="94">
        <v>3.7</v>
      </c>
      <c r="E1113" s="96"/>
      <c r="F1113" s="97"/>
      <c r="G1113" s="96">
        <v>42262</v>
      </c>
      <c r="H1113" s="97">
        <v>272.42</v>
      </c>
      <c r="I1113" s="99">
        <f t="shared" si="17"/>
        <v>-1.7223056909376755E-3</v>
      </c>
    </row>
    <row r="1114" spans="1:9" ht="16">
      <c r="A1114" s="161">
        <v>42244</v>
      </c>
      <c r="B1114" s="94">
        <v>3.71</v>
      </c>
      <c r="E1114" s="96"/>
      <c r="F1114" s="97"/>
      <c r="G1114" s="96">
        <v>42263</v>
      </c>
      <c r="H1114" s="97">
        <v>270.17</v>
      </c>
      <c r="I1114" s="99">
        <f t="shared" si="17"/>
        <v>-8.2593054841788582E-3</v>
      </c>
    </row>
    <row r="1115" spans="1:9" ht="16">
      <c r="A1115" s="161">
        <v>42245</v>
      </c>
      <c r="B1115" s="94">
        <v>3.69</v>
      </c>
      <c r="E1115" s="96"/>
      <c r="F1115" s="97"/>
      <c r="G1115" s="96">
        <v>42264</v>
      </c>
      <c r="H1115" s="97">
        <v>270.77999999999997</v>
      </c>
      <c r="I1115" s="99">
        <f t="shared" si="17"/>
        <v>2.2578376577708781E-3</v>
      </c>
    </row>
    <row r="1116" spans="1:9" ht="16">
      <c r="A1116" s="161">
        <v>42246</v>
      </c>
      <c r="B1116" s="94">
        <v>3.7</v>
      </c>
      <c r="E1116" s="96"/>
      <c r="F1116" s="97"/>
      <c r="G1116" s="96">
        <v>42265</v>
      </c>
      <c r="H1116" s="97">
        <v>269.13</v>
      </c>
      <c r="I1116" s="99">
        <f t="shared" si="17"/>
        <v>-6.0935076445822745E-3</v>
      </c>
    </row>
    <row r="1117" spans="1:9" ht="16">
      <c r="A1117" s="161">
        <v>42248</v>
      </c>
      <c r="B1117" s="94">
        <v>3.7</v>
      </c>
      <c r="E1117" s="96"/>
      <c r="F1117" s="97"/>
      <c r="G1117" s="96">
        <v>42266</v>
      </c>
      <c r="H1117" s="97">
        <v>270.74</v>
      </c>
      <c r="I1117" s="99">
        <f t="shared" si="17"/>
        <v>5.9822390666222081E-3</v>
      </c>
    </row>
    <row r="1118" spans="1:9" ht="16">
      <c r="A1118" s="161">
        <v>42249</v>
      </c>
      <c r="B1118" s="94">
        <v>3.67</v>
      </c>
      <c r="E1118" s="96"/>
      <c r="F1118" s="97"/>
      <c r="G1118" s="96">
        <v>42269</v>
      </c>
      <c r="H1118" s="97">
        <v>269.63</v>
      </c>
      <c r="I1118" s="99">
        <f t="shared" si="17"/>
        <v>-4.0998744182610958E-3</v>
      </c>
    </row>
    <row r="1119" spans="1:9" ht="16">
      <c r="A1119" s="161">
        <v>42250</v>
      </c>
      <c r="B1119" s="94">
        <v>3.64</v>
      </c>
      <c r="E1119" s="96"/>
      <c r="F1119" s="97"/>
      <c r="G1119" s="96">
        <v>42270</v>
      </c>
      <c r="H1119" s="97">
        <v>268.47000000000003</v>
      </c>
      <c r="I1119" s="99">
        <f t="shared" si="17"/>
        <v>-4.3021918925933988E-3</v>
      </c>
    </row>
    <row r="1120" spans="1:9" ht="16">
      <c r="A1120" s="161">
        <v>42251</v>
      </c>
      <c r="B1120" s="94">
        <v>3.65</v>
      </c>
      <c r="E1120" s="96"/>
      <c r="F1120" s="97"/>
      <c r="G1120" s="96">
        <v>42271</v>
      </c>
      <c r="H1120" s="97">
        <v>267.12</v>
      </c>
      <c r="I1120" s="99">
        <f t="shared" si="17"/>
        <v>-5.0284948038887833E-3</v>
      </c>
    </row>
    <row r="1121" spans="1:9" ht="16">
      <c r="A1121" s="161">
        <v>42252</v>
      </c>
      <c r="B1121" s="94">
        <v>3.67</v>
      </c>
      <c r="E1121" s="96"/>
      <c r="F1121" s="97"/>
      <c r="G1121" s="96">
        <v>42272</v>
      </c>
      <c r="H1121" s="97">
        <v>267.94</v>
      </c>
      <c r="I1121" s="99">
        <f t="shared" si="17"/>
        <v>3.0697813716682454E-3</v>
      </c>
    </row>
    <row r="1122" spans="1:9" ht="16">
      <c r="A1122" s="161">
        <v>42255</v>
      </c>
      <c r="B1122" s="94">
        <v>3.68</v>
      </c>
      <c r="E1122" s="96"/>
      <c r="F1122" s="97"/>
      <c r="G1122" s="96">
        <v>42273</v>
      </c>
      <c r="H1122" s="97">
        <v>266.29000000000002</v>
      </c>
      <c r="I1122" s="99">
        <f t="shared" si="17"/>
        <v>-6.1580950959169156E-3</v>
      </c>
    </row>
    <row r="1123" spans="1:9" ht="16">
      <c r="A1123" s="161">
        <v>42256</v>
      </c>
      <c r="B1123" s="94">
        <v>3.71</v>
      </c>
      <c r="E1123" s="96"/>
      <c r="F1123" s="97"/>
      <c r="G1123" s="96">
        <v>42276</v>
      </c>
      <c r="H1123" s="97">
        <v>265.49</v>
      </c>
      <c r="I1123" s="99">
        <f t="shared" si="17"/>
        <v>-3.0042434939352436E-3</v>
      </c>
    </row>
    <row r="1124" spans="1:9" ht="16">
      <c r="A1124" s="161">
        <v>42257</v>
      </c>
      <c r="B1124" s="94">
        <v>3.74</v>
      </c>
      <c r="E1124" s="96"/>
      <c r="F1124" s="97"/>
      <c r="G1124" s="96">
        <v>42277</v>
      </c>
      <c r="H1124" s="97">
        <v>264.60000000000002</v>
      </c>
      <c r="I1124" s="99">
        <f t="shared" si="17"/>
        <v>-3.3522919883987035E-3</v>
      </c>
    </row>
    <row r="1125" spans="1:9" ht="16">
      <c r="A1125" s="161">
        <v>42258</v>
      </c>
      <c r="B1125" s="94">
        <v>3.73</v>
      </c>
      <c r="E1125" s="96"/>
      <c r="F1125" s="97"/>
      <c r="G1125" s="96">
        <v>42278</v>
      </c>
      <c r="H1125" s="97">
        <v>263.05</v>
      </c>
      <c r="I1125" s="99">
        <f t="shared" si="17"/>
        <v>-5.8578987150416095E-3</v>
      </c>
    </row>
    <row r="1126" spans="1:9" ht="16">
      <c r="A1126" s="161">
        <v>42259</v>
      </c>
      <c r="B1126" s="94">
        <v>3.77</v>
      </c>
      <c r="E1126" s="96"/>
      <c r="F1126" s="97"/>
      <c r="G1126" s="96">
        <v>42279</v>
      </c>
      <c r="H1126" s="97">
        <v>263.95</v>
      </c>
      <c r="I1126" s="99">
        <f t="shared" si="17"/>
        <v>3.4214027751378051E-3</v>
      </c>
    </row>
    <row r="1127" spans="1:9" ht="16">
      <c r="A1127" s="161">
        <v>42262</v>
      </c>
      <c r="B1127" s="94">
        <v>3.77</v>
      </c>
      <c r="E1127" s="96"/>
      <c r="F1127" s="97"/>
      <c r="G1127" s="96">
        <v>42280</v>
      </c>
      <c r="H1127" s="97">
        <v>264.87</v>
      </c>
      <c r="I1127" s="99">
        <f t="shared" si="17"/>
        <v>3.4855086190566098E-3</v>
      </c>
    </row>
    <row r="1128" spans="1:9" ht="16">
      <c r="A1128" s="161">
        <v>42263</v>
      </c>
      <c r="B1128" s="94">
        <v>3.76</v>
      </c>
      <c r="E1128" s="96"/>
      <c r="F1128" s="97"/>
      <c r="G1128" s="96">
        <v>42283</v>
      </c>
      <c r="H1128" s="97">
        <v>264.13</v>
      </c>
      <c r="I1128" s="99">
        <f t="shared" si="17"/>
        <v>-2.7938233850568484E-3</v>
      </c>
    </row>
    <row r="1129" spans="1:9" ht="16">
      <c r="A1129" s="161">
        <v>42264</v>
      </c>
      <c r="B1129" s="94">
        <v>3.74</v>
      </c>
      <c r="E1129" s="96"/>
      <c r="F1129" s="97"/>
      <c r="G1129" s="96">
        <v>42284</v>
      </c>
      <c r="H1129" s="97">
        <v>263.49</v>
      </c>
      <c r="I1129" s="99">
        <f t="shared" si="17"/>
        <v>-2.4230492560480821E-3</v>
      </c>
    </row>
    <row r="1130" spans="1:9" ht="16">
      <c r="A1130" s="161">
        <v>42265</v>
      </c>
      <c r="B1130" s="94">
        <v>3.73</v>
      </c>
      <c r="E1130" s="96"/>
      <c r="F1130" s="97"/>
      <c r="G1130" s="96">
        <v>42285</v>
      </c>
      <c r="H1130" s="97">
        <v>263.48</v>
      </c>
      <c r="I1130" s="99">
        <f t="shared" si="17"/>
        <v>-3.7952104444127777E-5</v>
      </c>
    </row>
    <row r="1131" spans="1:9" ht="16">
      <c r="A1131" s="161">
        <v>42266</v>
      </c>
      <c r="B1131" s="94">
        <v>3.71</v>
      </c>
      <c r="E1131" s="96"/>
      <c r="F1131" s="97"/>
      <c r="G1131" s="96">
        <v>42286</v>
      </c>
      <c r="H1131" s="97">
        <v>264.77999999999997</v>
      </c>
      <c r="I1131" s="99">
        <f t="shared" si="17"/>
        <v>4.9339608319414197E-3</v>
      </c>
    </row>
    <row r="1132" spans="1:9" ht="16">
      <c r="A1132" s="161">
        <v>42269</v>
      </c>
      <c r="B1132" s="94">
        <v>3.67</v>
      </c>
      <c r="E1132" s="96"/>
      <c r="F1132" s="97"/>
      <c r="G1132" s="96">
        <v>42287</v>
      </c>
      <c r="H1132" s="97">
        <v>268.27</v>
      </c>
      <c r="I1132" s="99">
        <f t="shared" si="17"/>
        <v>1.3180753833371028E-2</v>
      </c>
    </row>
    <row r="1133" spans="1:9" ht="16">
      <c r="A1133" s="161">
        <v>42270</v>
      </c>
      <c r="B1133" s="94">
        <v>3.68</v>
      </c>
      <c r="E1133" s="96"/>
      <c r="F1133" s="97"/>
      <c r="G1133" s="96">
        <v>42290</v>
      </c>
      <c r="H1133" s="97">
        <v>269.52</v>
      </c>
      <c r="I1133" s="99">
        <f t="shared" si="17"/>
        <v>4.6594848473553441E-3</v>
      </c>
    </row>
    <row r="1134" spans="1:9" ht="16">
      <c r="A1134" s="161">
        <v>42271</v>
      </c>
      <c r="B1134" s="94">
        <v>3.69</v>
      </c>
      <c r="E1134" s="96"/>
      <c r="F1134" s="97"/>
      <c r="G1134" s="96">
        <v>42291</v>
      </c>
      <c r="H1134" s="97">
        <v>269.86</v>
      </c>
      <c r="I1134" s="99">
        <f t="shared" si="17"/>
        <v>1.2615019293560348E-3</v>
      </c>
    </row>
    <row r="1135" spans="1:9" ht="16">
      <c r="A1135" s="161">
        <v>42272</v>
      </c>
      <c r="B1135" s="94">
        <v>3.69</v>
      </c>
      <c r="E1135" s="96"/>
      <c r="F1135" s="97"/>
      <c r="G1135" s="96">
        <v>42292</v>
      </c>
      <c r="H1135" s="97">
        <v>270.82</v>
      </c>
      <c r="I1135" s="99">
        <f t="shared" si="17"/>
        <v>3.5574001334024441E-3</v>
      </c>
    </row>
    <row r="1136" spans="1:9" ht="16">
      <c r="A1136" s="161">
        <v>42273</v>
      </c>
      <c r="B1136" s="94">
        <v>3.69</v>
      </c>
      <c r="E1136" s="96"/>
      <c r="F1136" s="97"/>
      <c r="G1136" s="96">
        <v>42293</v>
      </c>
      <c r="H1136" s="97">
        <v>272.41000000000003</v>
      </c>
      <c r="I1136" s="99">
        <f t="shared" si="17"/>
        <v>5.8710582674841305E-3</v>
      </c>
    </row>
    <row r="1137" spans="1:9" ht="16">
      <c r="A1137" s="161">
        <v>42276</v>
      </c>
      <c r="B1137" s="94">
        <v>3.73</v>
      </c>
      <c r="E1137" s="96"/>
      <c r="F1137" s="97"/>
      <c r="G1137" s="96">
        <v>42294</v>
      </c>
      <c r="H1137" s="97">
        <v>271.68</v>
      </c>
      <c r="I1137" s="99">
        <f t="shared" si="17"/>
        <v>-2.6797841488932495E-3</v>
      </c>
    </row>
    <row r="1138" spans="1:9" ht="16">
      <c r="A1138" s="161">
        <v>42277</v>
      </c>
      <c r="B1138" s="94">
        <v>3.73</v>
      </c>
      <c r="E1138" s="96"/>
      <c r="F1138" s="97"/>
      <c r="G1138" s="96">
        <v>42297</v>
      </c>
      <c r="H1138" s="97">
        <v>272.54000000000002</v>
      </c>
      <c r="I1138" s="99">
        <f t="shared" si="17"/>
        <v>3.1654888103651579E-3</v>
      </c>
    </row>
    <row r="1139" spans="1:9" ht="16">
      <c r="A1139" s="161">
        <v>42278</v>
      </c>
      <c r="B1139" s="94">
        <v>3.7</v>
      </c>
      <c r="E1139" s="96"/>
      <c r="F1139" s="97"/>
      <c r="G1139" s="96">
        <v>42298</v>
      </c>
      <c r="H1139" s="97">
        <v>273.52999999999997</v>
      </c>
      <c r="I1139" s="99">
        <f t="shared" si="17"/>
        <v>3.6324943127612475E-3</v>
      </c>
    </row>
    <row r="1140" spans="1:9" ht="16">
      <c r="A1140" s="161">
        <v>42279</v>
      </c>
      <c r="B1140" s="94">
        <v>3.67</v>
      </c>
      <c r="E1140" s="96"/>
      <c r="F1140" s="97"/>
      <c r="G1140" s="96">
        <v>42299</v>
      </c>
      <c r="H1140" s="97">
        <v>272.89</v>
      </c>
      <c r="I1140" s="99">
        <f t="shared" si="17"/>
        <v>-2.3397799144517784E-3</v>
      </c>
    </row>
    <row r="1141" spans="1:9" ht="16">
      <c r="A1141" s="161">
        <v>42280</v>
      </c>
      <c r="B1141" s="94">
        <v>3.62</v>
      </c>
      <c r="E1141" s="96"/>
      <c r="F1141" s="97"/>
      <c r="G1141" s="96">
        <v>42300</v>
      </c>
      <c r="H1141" s="97">
        <v>274.54000000000002</v>
      </c>
      <c r="I1141" s="99">
        <f t="shared" si="17"/>
        <v>6.0463923192497493E-3</v>
      </c>
    </row>
    <row r="1142" spans="1:9" ht="16">
      <c r="A1142" s="161">
        <v>42283</v>
      </c>
      <c r="B1142" s="94">
        <v>3.62</v>
      </c>
      <c r="E1142" s="96"/>
      <c r="F1142" s="97"/>
      <c r="G1142" s="96">
        <v>42301</v>
      </c>
      <c r="H1142" s="97">
        <v>274.25</v>
      </c>
      <c r="I1142" s="99">
        <f t="shared" si="17"/>
        <v>-1.056312377067159E-3</v>
      </c>
    </row>
    <row r="1143" spans="1:9" ht="16">
      <c r="A1143" s="161">
        <v>42284</v>
      </c>
      <c r="B1143" s="94">
        <v>3.64</v>
      </c>
      <c r="E1143" s="96"/>
      <c r="F1143" s="97"/>
      <c r="G1143" s="96">
        <v>42304</v>
      </c>
      <c r="H1143" s="97">
        <v>276.13</v>
      </c>
      <c r="I1143" s="99">
        <f t="shared" si="17"/>
        <v>6.8550592525067344E-3</v>
      </c>
    </row>
    <row r="1144" spans="1:9" ht="16">
      <c r="A1144" s="161">
        <v>42285</v>
      </c>
      <c r="B1144" s="94">
        <v>3.64</v>
      </c>
      <c r="E1144" s="96"/>
      <c r="F1144" s="97"/>
      <c r="G1144" s="96">
        <v>42305</v>
      </c>
      <c r="H1144" s="97">
        <v>276.02999999999997</v>
      </c>
      <c r="I1144" s="99">
        <f t="shared" si="17"/>
        <v>-3.6214826349911799E-4</v>
      </c>
    </row>
    <row r="1145" spans="1:9" ht="16">
      <c r="A1145" s="161">
        <v>42286</v>
      </c>
      <c r="B1145" s="94">
        <v>3.66</v>
      </c>
      <c r="E1145" s="96"/>
      <c r="F1145" s="97"/>
      <c r="G1145" s="96">
        <v>42306</v>
      </c>
      <c r="H1145" s="97">
        <v>275.8</v>
      </c>
      <c r="I1145" s="99">
        <f t="shared" si="17"/>
        <v>-8.3324276346763426E-4</v>
      </c>
    </row>
    <row r="1146" spans="1:9" ht="16">
      <c r="A1146" s="161">
        <v>42287</v>
      </c>
      <c r="B1146" s="94">
        <v>3.69</v>
      </c>
      <c r="E1146" s="96"/>
      <c r="F1146" s="97"/>
      <c r="G1146" s="96">
        <v>42307</v>
      </c>
      <c r="H1146" s="97">
        <v>275.7</v>
      </c>
      <c r="I1146" s="99">
        <f t="shared" si="17"/>
        <v>-3.6258158085578085E-4</v>
      </c>
    </row>
    <row r="1147" spans="1:9" ht="16">
      <c r="A1147" s="161">
        <v>42290</v>
      </c>
      <c r="B1147" s="94">
        <v>3.69</v>
      </c>
      <c r="E1147" s="96"/>
      <c r="F1147" s="97"/>
      <c r="G1147" s="96">
        <v>42308</v>
      </c>
      <c r="H1147" s="97">
        <v>277.63</v>
      </c>
      <c r="I1147" s="99">
        <f t="shared" si="17"/>
        <v>7.0003627130938995E-3</v>
      </c>
    </row>
    <row r="1148" spans="1:9" ht="16">
      <c r="A1148" s="161">
        <v>42291</v>
      </c>
      <c r="B1148" s="94">
        <v>3.7</v>
      </c>
      <c r="E1148" s="96"/>
      <c r="F1148" s="97"/>
      <c r="G1148" s="96">
        <v>42311</v>
      </c>
      <c r="H1148" s="97">
        <v>280.93</v>
      </c>
      <c r="I1148" s="99">
        <f t="shared" si="17"/>
        <v>1.1886323524114895E-2</v>
      </c>
    </row>
    <row r="1149" spans="1:9" ht="16">
      <c r="A1149" s="161">
        <v>42292</v>
      </c>
      <c r="B1149" s="94">
        <v>3.71</v>
      </c>
      <c r="E1149" s="96"/>
      <c r="F1149" s="97"/>
      <c r="G1149" s="96">
        <v>42312</v>
      </c>
      <c r="H1149" s="97">
        <v>282.23</v>
      </c>
      <c r="I1149" s="99">
        <f t="shared" si="17"/>
        <v>4.6274872744100914E-3</v>
      </c>
    </row>
    <row r="1150" spans="1:9" ht="16">
      <c r="A1150" s="161">
        <v>42293</v>
      </c>
      <c r="B1150" s="94">
        <v>3.71</v>
      </c>
      <c r="E1150" s="96"/>
      <c r="F1150" s="97"/>
      <c r="G1150" s="96">
        <v>42313</v>
      </c>
      <c r="H1150" s="97">
        <v>281.51</v>
      </c>
      <c r="I1150" s="99">
        <f t="shared" si="17"/>
        <v>-2.5511107961592172E-3</v>
      </c>
    </row>
    <row r="1151" spans="1:9" ht="16">
      <c r="A1151" s="161">
        <v>42294</v>
      </c>
      <c r="B1151" s="94">
        <v>3.7</v>
      </c>
      <c r="E1151" s="96"/>
      <c r="F1151" s="97"/>
      <c r="G1151" s="96">
        <v>42314</v>
      </c>
      <c r="H1151" s="97">
        <v>282.97000000000003</v>
      </c>
      <c r="I1151" s="99">
        <f t="shared" si="17"/>
        <v>5.1863166494974244E-3</v>
      </c>
    </row>
    <row r="1152" spans="1:9" ht="16">
      <c r="A1152" s="161">
        <v>42297</v>
      </c>
      <c r="B1152" s="94">
        <v>3.71</v>
      </c>
      <c r="E1152" s="96"/>
      <c r="F1152" s="97"/>
      <c r="G1152" s="96">
        <v>42315</v>
      </c>
      <c r="H1152" s="97">
        <v>280.77999999999997</v>
      </c>
      <c r="I1152" s="99">
        <f t="shared" si="17"/>
        <v>-7.7393363254056879E-3</v>
      </c>
    </row>
    <row r="1153" spans="1:9" ht="16">
      <c r="A1153" s="161">
        <v>42298</v>
      </c>
      <c r="B1153" s="94">
        <v>3.69</v>
      </c>
      <c r="E1153" s="96"/>
      <c r="F1153" s="97"/>
      <c r="G1153" s="96">
        <v>42318</v>
      </c>
      <c r="H1153" s="97">
        <v>277.89</v>
      </c>
      <c r="I1153" s="99">
        <f t="shared" si="17"/>
        <v>-1.0292755894294459E-2</v>
      </c>
    </row>
    <row r="1154" spans="1:9" ht="16">
      <c r="A1154" s="161">
        <v>42299</v>
      </c>
      <c r="B1154" s="94">
        <v>3.68</v>
      </c>
      <c r="E1154" s="96"/>
      <c r="F1154" s="97"/>
      <c r="G1154" s="96">
        <v>42319</v>
      </c>
      <c r="H1154" s="97">
        <v>278.20999999999998</v>
      </c>
      <c r="I1154" s="99">
        <f t="shared" si="17"/>
        <v>1.1515347799488929E-3</v>
      </c>
    </row>
    <row r="1155" spans="1:9" ht="16">
      <c r="A1155" s="161">
        <v>42300</v>
      </c>
      <c r="B1155" s="94">
        <v>3.68</v>
      </c>
      <c r="E1155" s="96"/>
      <c r="F1155" s="97"/>
      <c r="G1155" s="96">
        <v>42320</v>
      </c>
      <c r="H1155" s="97">
        <v>275.39999999999998</v>
      </c>
      <c r="I1155" s="99">
        <f t="shared" si="17"/>
        <v>-1.0100283958161094E-2</v>
      </c>
    </row>
    <row r="1156" spans="1:9" ht="16">
      <c r="A1156" s="161">
        <v>42301</v>
      </c>
      <c r="B1156" s="94">
        <v>3.68</v>
      </c>
      <c r="E1156" s="96"/>
      <c r="F1156" s="97"/>
      <c r="G1156" s="96">
        <v>42321</v>
      </c>
      <c r="H1156" s="97">
        <v>274.89</v>
      </c>
      <c r="I1156" s="99">
        <f t="shared" si="17"/>
        <v>-1.8518518518517713E-3</v>
      </c>
    </row>
    <row r="1157" spans="1:9" ht="16">
      <c r="A1157" s="161">
        <v>42304</v>
      </c>
      <c r="B1157" s="94">
        <v>3.7</v>
      </c>
      <c r="E1157" s="96"/>
      <c r="F1157" s="97"/>
      <c r="G1157" s="96">
        <v>42322</v>
      </c>
      <c r="H1157" s="97">
        <v>276.23</v>
      </c>
      <c r="I1157" s="99">
        <f t="shared" si="17"/>
        <v>4.8746771435848046E-3</v>
      </c>
    </row>
    <row r="1158" spans="1:9" ht="16">
      <c r="A1158" s="161">
        <v>42305</v>
      </c>
      <c r="B1158" s="94">
        <v>3.69</v>
      </c>
      <c r="E1158" s="96"/>
      <c r="F1158" s="97"/>
      <c r="G1158" s="96">
        <v>42325</v>
      </c>
      <c r="H1158" s="97">
        <v>277.08999999999997</v>
      </c>
      <c r="I1158" s="99">
        <f t="shared" si="17"/>
        <v>3.113347572674785E-3</v>
      </c>
    </row>
    <row r="1159" spans="1:9" ht="16">
      <c r="A1159" s="161">
        <v>42306</v>
      </c>
      <c r="B1159" s="94">
        <v>3.7</v>
      </c>
      <c r="E1159" s="96"/>
      <c r="F1159" s="97"/>
      <c r="G1159" s="96">
        <v>42326</v>
      </c>
      <c r="H1159" s="97">
        <v>278.66000000000003</v>
      </c>
      <c r="I1159" s="99">
        <f t="shared" si="17"/>
        <v>5.666029088022162E-3</v>
      </c>
    </row>
    <row r="1160" spans="1:9" ht="16">
      <c r="A1160" s="161">
        <v>42307</v>
      </c>
      <c r="B1160" s="94">
        <v>3.69</v>
      </c>
      <c r="E1160" s="96"/>
      <c r="F1160" s="97"/>
      <c r="G1160" s="96">
        <v>42327</v>
      </c>
      <c r="H1160" s="97">
        <v>277.68</v>
      </c>
      <c r="I1160" s="99">
        <f t="shared" si="17"/>
        <v>-3.5168305461853455E-3</v>
      </c>
    </row>
    <row r="1161" spans="1:9" ht="16">
      <c r="A1161" s="161">
        <v>42308</v>
      </c>
      <c r="B1161" s="94">
        <v>3.66</v>
      </c>
      <c r="E1161" s="96"/>
      <c r="F1161" s="97"/>
      <c r="G1161" s="96">
        <v>42328</v>
      </c>
      <c r="H1161" s="97">
        <v>276.3</v>
      </c>
      <c r="I1161" s="99">
        <f t="shared" si="17"/>
        <v>-4.9697493517718572E-3</v>
      </c>
    </row>
    <row r="1162" spans="1:9" ht="16">
      <c r="A1162" s="161">
        <v>42311</v>
      </c>
      <c r="B1162" s="94">
        <v>3.68</v>
      </c>
      <c r="E1162" s="96"/>
      <c r="F1162" s="97"/>
      <c r="G1162" s="96">
        <v>42329</v>
      </c>
      <c r="H1162" s="97">
        <v>277.19</v>
      </c>
      <c r="I1162" s="99">
        <f t="shared" si="17"/>
        <v>3.2211364458920588E-3</v>
      </c>
    </row>
    <row r="1163" spans="1:9" ht="16">
      <c r="A1163" s="161">
        <v>42312</v>
      </c>
      <c r="B1163" s="94">
        <v>3.71</v>
      </c>
      <c r="E1163" s="96"/>
      <c r="F1163" s="97"/>
      <c r="G1163" s="96">
        <v>42332</v>
      </c>
      <c r="H1163" s="97">
        <v>278.32</v>
      </c>
      <c r="I1163" s="99">
        <f t="shared" si="17"/>
        <v>4.0766261409141968E-3</v>
      </c>
    </row>
    <row r="1164" spans="1:9" ht="16">
      <c r="A1164" s="161">
        <v>42313</v>
      </c>
      <c r="B1164" s="94">
        <v>3.71</v>
      </c>
      <c r="E1164" s="96"/>
      <c r="F1164" s="97"/>
      <c r="G1164" s="96">
        <v>42333</v>
      </c>
      <c r="H1164" s="97">
        <v>277.04000000000002</v>
      </c>
      <c r="I1164" s="99">
        <f t="shared" si="17"/>
        <v>-4.5990227076745382E-3</v>
      </c>
    </row>
    <row r="1165" spans="1:9" ht="16">
      <c r="A1165" s="161">
        <v>42314</v>
      </c>
      <c r="B1165" s="94">
        <v>3.73</v>
      </c>
      <c r="E1165" s="96"/>
      <c r="F1165" s="97"/>
      <c r="G1165" s="96">
        <v>42334</v>
      </c>
      <c r="H1165" s="97">
        <v>278.33</v>
      </c>
      <c r="I1165" s="99">
        <f t="shared" si="17"/>
        <v>4.656367311579368E-3</v>
      </c>
    </row>
    <row r="1166" spans="1:9" ht="16">
      <c r="A1166" s="161">
        <v>42315</v>
      </c>
      <c r="B1166" s="94">
        <v>3.76</v>
      </c>
      <c r="E1166" s="96"/>
      <c r="F1166" s="97"/>
      <c r="G1166" s="96">
        <v>42335</v>
      </c>
      <c r="H1166" s="97">
        <v>277.95</v>
      </c>
      <c r="I1166" s="99">
        <f t="shared" si="17"/>
        <v>-1.3652858118060607E-3</v>
      </c>
    </row>
    <row r="1167" spans="1:9" ht="16">
      <c r="A1167" s="161">
        <v>42318</v>
      </c>
      <c r="B1167" s="94">
        <v>3.75</v>
      </c>
      <c r="E1167" s="96"/>
      <c r="F1167" s="97"/>
      <c r="G1167" s="96">
        <v>42336</v>
      </c>
      <c r="H1167" s="97">
        <v>275.92</v>
      </c>
      <c r="I1167" s="99">
        <f t="shared" ref="I1167:I1230" si="18">H1167/H1166-1</f>
        <v>-7.3034718474545013E-3</v>
      </c>
    </row>
    <row r="1168" spans="1:9" ht="16">
      <c r="A1168" s="161">
        <v>42319</v>
      </c>
      <c r="B1168" s="94">
        <v>3.76</v>
      </c>
      <c r="E1168" s="96"/>
      <c r="F1168" s="97"/>
      <c r="G1168" s="96">
        <v>42339</v>
      </c>
      <c r="H1168" s="97">
        <v>275.92</v>
      </c>
      <c r="I1168" s="99">
        <f t="shared" si="18"/>
        <v>0</v>
      </c>
    </row>
    <row r="1169" spans="1:9" ht="16">
      <c r="A1169" s="161">
        <v>42320</v>
      </c>
      <c r="B1169" s="94">
        <v>3.75</v>
      </c>
      <c r="E1169" s="96"/>
      <c r="F1169" s="97"/>
      <c r="G1169" s="96">
        <v>42340</v>
      </c>
      <c r="H1169" s="97">
        <v>275.33</v>
      </c>
      <c r="I1169" s="99">
        <f t="shared" si="18"/>
        <v>-2.1383009567992328E-3</v>
      </c>
    </row>
    <row r="1170" spans="1:9" ht="16">
      <c r="A1170" s="161">
        <v>42321</v>
      </c>
      <c r="B1170" s="94">
        <v>3.72</v>
      </c>
      <c r="E1170" s="96"/>
      <c r="F1170" s="97"/>
      <c r="G1170" s="96">
        <v>42341</v>
      </c>
      <c r="H1170" s="97">
        <v>275.61</v>
      </c>
      <c r="I1170" s="99">
        <f t="shared" si="18"/>
        <v>1.0169614644246483E-3</v>
      </c>
    </row>
    <row r="1171" spans="1:9" ht="16">
      <c r="A1171" s="161">
        <v>42322</v>
      </c>
      <c r="B1171" s="94">
        <v>3.71</v>
      </c>
      <c r="E1171" s="96"/>
      <c r="F1171" s="97"/>
      <c r="G1171" s="96">
        <v>42342</v>
      </c>
      <c r="H1171" s="97">
        <v>277.2</v>
      </c>
      <c r="I1171" s="99">
        <f t="shared" si="18"/>
        <v>5.7690214433436804E-3</v>
      </c>
    </row>
    <row r="1172" spans="1:9" ht="16">
      <c r="A1172" s="161">
        <v>42325</v>
      </c>
      <c r="B1172" s="94">
        <v>3.72</v>
      </c>
      <c r="E1172" s="96"/>
      <c r="F1172" s="97"/>
      <c r="G1172" s="96">
        <v>42343</v>
      </c>
      <c r="H1172" s="97">
        <v>278.57</v>
      </c>
      <c r="I1172" s="99">
        <f t="shared" si="18"/>
        <v>4.9422799422800257E-3</v>
      </c>
    </row>
    <row r="1173" spans="1:9" ht="16">
      <c r="A1173" s="161">
        <v>42326</v>
      </c>
      <c r="B1173" s="94">
        <v>3.72</v>
      </c>
      <c r="E1173" s="96"/>
      <c r="F1173" s="97"/>
      <c r="G1173" s="96">
        <v>42346</v>
      </c>
      <c r="H1173" s="97">
        <v>278.99</v>
      </c>
      <c r="I1173" s="99">
        <f t="shared" si="18"/>
        <v>1.507700039487414E-3</v>
      </c>
    </row>
    <row r="1174" spans="1:9" ht="16">
      <c r="A1174" s="161">
        <v>42327</v>
      </c>
      <c r="B1174" s="94">
        <v>3.69</v>
      </c>
      <c r="E1174" s="96"/>
      <c r="F1174" s="97"/>
      <c r="G1174" s="96">
        <v>42347</v>
      </c>
      <c r="H1174" s="97">
        <v>278.39999999999998</v>
      </c>
      <c r="I1174" s="99">
        <f t="shared" si="18"/>
        <v>-2.1147711387505819E-3</v>
      </c>
    </row>
    <row r="1175" spans="1:9" ht="16">
      <c r="A1175" s="161">
        <v>42328</v>
      </c>
      <c r="B1175" s="94">
        <v>3.69</v>
      </c>
      <c r="E1175" s="96"/>
      <c r="F1175" s="97"/>
      <c r="G1175" s="96">
        <v>42348</v>
      </c>
      <c r="H1175" s="97">
        <v>280.7</v>
      </c>
      <c r="I1175" s="99">
        <f t="shared" si="18"/>
        <v>8.2614942528735913E-3</v>
      </c>
    </row>
    <row r="1176" spans="1:9" ht="16">
      <c r="A1176" s="161">
        <v>42329</v>
      </c>
      <c r="B1176" s="94">
        <v>3.7</v>
      </c>
      <c r="E1176" s="96"/>
      <c r="F1176" s="97"/>
      <c r="G1176" s="96">
        <v>42349</v>
      </c>
      <c r="H1176" s="97">
        <v>283.26</v>
      </c>
      <c r="I1176" s="99">
        <f t="shared" si="18"/>
        <v>9.1200570003562298E-3</v>
      </c>
    </row>
    <row r="1177" spans="1:9" ht="16">
      <c r="A1177" s="161">
        <v>42332</v>
      </c>
      <c r="B1177" s="94">
        <v>3.69</v>
      </c>
      <c r="E1177" s="96"/>
      <c r="F1177" s="97"/>
      <c r="G1177" s="96">
        <v>42350</v>
      </c>
      <c r="H1177" s="97">
        <v>286.54000000000002</v>
      </c>
      <c r="I1177" s="99">
        <f t="shared" si="18"/>
        <v>1.1579467626915196E-2</v>
      </c>
    </row>
    <row r="1178" spans="1:9" ht="16">
      <c r="A1178" s="161">
        <v>42333</v>
      </c>
      <c r="B1178" s="94">
        <v>3.68</v>
      </c>
      <c r="E1178" s="96"/>
      <c r="F1178" s="97"/>
      <c r="G1178" s="96">
        <v>42353</v>
      </c>
      <c r="H1178" s="97">
        <v>287.16000000000003</v>
      </c>
      <c r="I1178" s="99">
        <f t="shared" si="18"/>
        <v>2.1637467718294001E-3</v>
      </c>
    </row>
    <row r="1179" spans="1:9" ht="16">
      <c r="A1179" s="161">
        <v>42334</v>
      </c>
      <c r="B1179" s="94">
        <v>3.69</v>
      </c>
      <c r="E1179" s="96"/>
      <c r="F1179" s="97"/>
      <c r="G1179" s="96">
        <v>42354</v>
      </c>
      <c r="H1179" s="97">
        <v>290.24</v>
      </c>
      <c r="I1179" s="99">
        <f t="shared" si="18"/>
        <v>1.072572781724479E-2</v>
      </c>
    </row>
    <row r="1180" spans="1:9" ht="16">
      <c r="A1180" s="161">
        <v>42335</v>
      </c>
      <c r="B1180" s="195">
        <v>3.69</v>
      </c>
      <c r="E1180" s="96"/>
      <c r="F1180" s="97"/>
      <c r="G1180" s="96">
        <v>42355</v>
      </c>
      <c r="H1180" s="97">
        <v>292.02</v>
      </c>
      <c r="I1180" s="99">
        <f t="shared" si="18"/>
        <v>6.1328555678059615E-3</v>
      </c>
    </row>
    <row r="1181" spans="1:9" ht="16">
      <c r="A1181" s="161">
        <v>42336</v>
      </c>
      <c r="B1181" s="94">
        <v>3.69</v>
      </c>
      <c r="E1181" s="96"/>
      <c r="F1181" s="97"/>
      <c r="G1181" s="96">
        <v>42356</v>
      </c>
      <c r="H1181" s="97">
        <v>291.45999999999998</v>
      </c>
      <c r="I1181" s="99">
        <f t="shared" si="18"/>
        <v>-1.9176768714471715E-3</v>
      </c>
    </row>
    <row r="1182" spans="1:9" ht="16">
      <c r="A1182" s="161">
        <v>42337</v>
      </c>
      <c r="B1182" s="94">
        <v>3.72</v>
      </c>
      <c r="E1182" s="96"/>
      <c r="F1182" s="97"/>
      <c r="G1182" s="96">
        <v>42357</v>
      </c>
      <c r="H1182" s="97">
        <v>291.39999999999998</v>
      </c>
      <c r="I1182" s="99">
        <f t="shared" si="18"/>
        <v>-2.0586015233647892E-4</v>
      </c>
    </row>
    <row r="1183" spans="1:9" ht="16">
      <c r="A1183" s="161">
        <v>42339</v>
      </c>
      <c r="B1183" s="94">
        <v>3.75</v>
      </c>
      <c r="E1183" s="96"/>
      <c r="F1183" s="97"/>
      <c r="G1183" s="96">
        <v>42360</v>
      </c>
      <c r="H1183" s="97">
        <v>292.49</v>
      </c>
      <c r="I1183" s="99">
        <f t="shared" si="18"/>
        <v>3.7405628002746827E-3</v>
      </c>
    </row>
    <row r="1184" spans="1:9" ht="16">
      <c r="A1184" s="161">
        <v>42340</v>
      </c>
      <c r="B1184" s="94">
        <v>3.73</v>
      </c>
      <c r="E1184" s="96"/>
      <c r="F1184" s="97"/>
      <c r="G1184" s="96">
        <v>42361</v>
      </c>
      <c r="H1184" s="97">
        <v>292.07</v>
      </c>
      <c r="I1184" s="99">
        <f t="shared" si="18"/>
        <v>-1.4359465280864292E-3</v>
      </c>
    </row>
    <row r="1185" spans="1:9" ht="16">
      <c r="A1185" s="161">
        <v>42341</v>
      </c>
      <c r="B1185" s="94">
        <v>3.7</v>
      </c>
      <c r="E1185" s="96"/>
      <c r="F1185" s="97"/>
      <c r="G1185" s="96">
        <v>42362</v>
      </c>
      <c r="H1185" s="97">
        <v>292.12</v>
      </c>
      <c r="I1185" s="99">
        <f t="shared" si="18"/>
        <v>1.7119183757330347E-4</v>
      </c>
    </row>
    <row r="1186" spans="1:9" ht="16">
      <c r="A1186" s="161">
        <v>42342</v>
      </c>
      <c r="B1186" s="94">
        <v>3.72</v>
      </c>
      <c r="E1186" s="96"/>
      <c r="F1186" s="97"/>
      <c r="G1186" s="96">
        <v>42363</v>
      </c>
      <c r="H1186" s="97">
        <v>292.58999999999997</v>
      </c>
      <c r="I1186" s="99">
        <f t="shared" si="18"/>
        <v>1.6089278378748073E-3</v>
      </c>
    </row>
    <row r="1187" spans="1:9" ht="16">
      <c r="A1187" s="161">
        <v>42343</v>
      </c>
      <c r="B1187" s="94">
        <v>3.73</v>
      </c>
      <c r="E1187" s="96"/>
      <c r="F1187" s="97"/>
      <c r="G1187" s="96">
        <v>42364</v>
      </c>
      <c r="H1187" s="97">
        <v>294.52</v>
      </c>
      <c r="I1187" s="99">
        <f t="shared" si="18"/>
        <v>6.5962609795275906E-3</v>
      </c>
    </row>
    <row r="1188" spans="1:9" ht="16">
      <c r="A1188" s="161">
        <v>42346</v>
      </c>
      <c r="B1188" s="94">
        <v>3.73</v>
      </c>
      <c r="E1188" s="96"/>
      <c r="F1188" s="97"/>
      <c r="G1188" s="96">
        <v>42367</v>
      </c>
      <c r="H1188" s="97">
        <v>294.86</v>
      </c>
      <c r="I1188" s="99">
        <f t="shared" si="18"/>
        <v>1.1544207524107897E-3</v>
      </c>
    </row>
    <row r="1189" spans="1:9" ht="16">
      <c r="A1189" s="161">
        <v>42347</v>
      </c>
      <c r="B1189" s="94">
        <v>3.73</v>
      </c>
      <c r="E1189" s="96"/>
      <c r="F1189" s="97"/>
      <c r="G1189" s="96">
        <v>42368</v>
      </c>
      <c r="H1189" s="97">
        <v>294.06</v>
      </c>
      <c r="I1189" s="99">
        <f t="shared" si="18"/>
        <v>-2.7131520043410795E-3</v>
      </c>
    </row>
    <row r="1190" spans="1:9" ht="16">
      <c r="A1190" s="161">
        <v>42348</v>
      </c>
      <c r="B1190" s="94">
        <v>3.72</v>
      </c>
      <c r="E1190" s="96"/>
      <c r="F1190" s="97"/>
      <c r="G1190" s="96">
        <v>42369</v>
      </c>
      <c r="H1190" s="97">
        <v>294.10000000000002</v>
      </c>
      <c r="I1190" s="99">
        <f t="shared" si="18"/>
        <v>1.360266612255856E-4</v>
      </c>
    </row>
    <row r="1191" spans="1:9" ht="16">
      <c r="A1191" s="161">
        <v>42349</v>
      </c>
      <c r="B1191" s="94">
        <v>3.71</v>
      </c>
      <c r="E1191" s="96"/>
      <c r="F1191" s="97"/>
      <c r="G1191" s="96">
        <v>42370</v>
      </c>
      <c r="H1191" s="97">
        <v>298.23</v>
      </c>
      <c r="I1191" s="99">
        <f t="shared" si="18"/>
        <v>1.4042842570554326E-2</v>
      </c>
    </row>
    <row r="1192" spans="1:9" ht="16">
      <c r="A1192" s="161">
        <v>42350</v>
      </c>
      <c r="B1192" s="94">
        <v>3.7</v>
      </c>
      <c r="E1192" s="96"/>
      <c r="F1192" s="97"/>
      <c r="G1192" s="96">
        <v>42371</v>
      </c>
      <c r="H1192" s="97">
        <v>297.17</v>
      </c>
      <c r="I1192" s="99">
        <f t="shared" si="18"/>
        <v>-3.5543037253127352E-3</v>
      </c>
    </row>
    <row r="1193" spans="1:9" ht="16">
      <c r="A1193" s="161">
        <v>42353</v>
      </c>
      <c r="B1193" s="94">
        <v>3.67</v>
      </c>
      <c r="E1193" s="96"/>
      <c r="F1193" s="97"/>
      <c r="G1193" s="96">
        <v>42374</v>
      </c>
      <c r="H1193" s="97">
        <v>294.22000000000003</v>
      </c>
      <c r="I1193" s="99">
        <f t="shared" si="18"/>
        <v>-9.9269778241409812E-3</v>
      </c>
    </row>
    <row r="1194" spans="1:9" ht="16">
      <c r="A1194" s="161">
        <v>42354</v>
      </c>
      <c r="B1194" s="94">
        <v>3.66</v>
      </c>
      <c r="E1194" s="96"/>
      <c r="F1194" s="97"/>
      <c r="G1194" s="96">
        <v>42375</v>
      </c>
      <c r="H1194" s="97">
        <v>294.75</v>
      </c>
      <c r="I1194" s="99">
        <f t="shared" si="18"/>
        <v>1.801373122153338E-3</v>
      </c>
    </row>
    <row r="1195" spans="1:9" ht="16">
      <c r="A1195" s="161">
        <v>42355</v>
      </c>
      <c r="B1195" s="94">
        <v>3.65</v>
      </c>
      <c r="E1195" s="96"/>
      <c r="F1195" s="97"/>
      <c r="G1195" s="96">
        <v>42376</v>
      </c>
      <c r="H1195" s="97">
        <v>293.61</v>
      </c>
      <c r="I1195" s="99">
        <f t="shared" si="18"/>
        <v>-3.8676844783714914E-3</v>
      </c>
    </row>
    <row r="1196" spans="1:9" ht="16">
      <c r="A1196" s="161">
        <v>42356</v>
      </c>
      <c r="B1196" s="94">
        <v>3.67</v>
      </c>
      <c r="E1196" s="96"/>
      <c r="F1196" s="97"/>
      <c r="G1196" s="96">
        <v>42377</v>
      </c>
      <c r="H1196" s="97">
        <v>297.82</v>
      </c>
      <c r="I1196" s="99">
        <f t="shared" si="18"/>
        <v>1.4338748680222002E-2</v>
      </c>
    </row>
    <row r="1197" spans="1:9" ht="16">
      <c r="A1197" s="161">
        <v>42357</v>
      </c>
      <c r="B1197" s="94">
        <v>3.67</v>
      </c>
      <c r="E1197" s="96"/>
      <c r="F1197" s="97"/>
      <c r="G1197" s="96">
        <v>42378</v>
      </c>
      <c r="H1197" s="97">
        <v>298.82</v>
      </c>
      <c r="I1197" s="99">
        <f t="shared" si="18"/>
        <v>3.357732858773721E-3</v>
      </c>
    </row>
    <row r="1198" spans="1:9" ht="16">
      <c r="A1198" s="161">
        <v>42360</v>
      </c>
      <c r="B1198" s="94">
        <v>3.66</v>
      </c>
      <c r="E1198" s="96"/>
      <c r="F1198" s="97"/>
      <c r="G1198" s="96">
        <v>42381</v>
      </c>
      <c r="H1198" s="97">
        <v>301.32</v>
      </c>
      <c r="I1198" s="99">
        <f t="shared" si="18"/>
        <v>8.366240546148207E-3</v>
      </c>
    </row>
    <row r="1199" spans="1:9" ht="16">
      <c r="A1199" s="161">
        <v>42361</v>
      </c>
      <c r="B1199" s="94">
        <v>3.66</v>
      </c>
      <c r="E1199" s="96"/>
      <c r="F1199" s="97"/>
      <c r="G1199" s="96">
        <v>42382</v>
      </c>
      <c r="H1199" s="97">
        <v>301.23</v>
      </c>
      <c r="I1199" s="99">
        <f t="shared" si="18"/>
        <v>-2.9868578255665135E-4</v>
      </c>
    </row>
    <row r="1200" spans="1:9" ht="16">
      <c r="A1200" s="161">
        <v>42362</v>
      </c>
      <c r="B1200" s="195">
        <v>3.66</v>
      </c>
      <c r="E1200" s="96"/>
      <c r="F1200" s="97"/>
      <c r="G1200" s="96">
        <v>42383</v>
      </c>
      <c r="H1200" s="97">
        <v>300.07</v>
      </c>
      <c r="I1200" s="99">
        <f t="shared" si="18"/>
        <v>-3.850878066593677E-3</v>
      </c>
    </row>
    <row r="1201" spans="1:9" ht="16">
      <c r="A1201" s="161">
        <v>42363</v>
      </c>
      <c r="B1201" s="94">
        <v>3.65</v>
      </c>
      <c r="E1201" s="96"/>
      <c r="F1201" s="97"/>
      <c r="G1201" s="96">
        <v>42384</v>
      </c>
      <c r="H1201" s="97">
        <v>300.60000000000002</v>
      </c>
      <c r="I1201" s="99">
        <f t="shared" si="18"/>
        <v>1.7662545406071928E-3</v>
      </c>
    </row>
    <row r="1202" spans="1:9" ht="16">
      <c r="A1202" s="161">
        <v>42364</v>
      </c>
      <c r="B1202" s="94">
        <v>3.64</v>
      </c>
      <c r="E1202" s="96"/>
      <c r="F1202" s="97"/>
      <c r="G1202" s="96">
        <v>42385</v>
      </c>
      <c r="H1202" s="97">
        <v>302.11</v>
      </c>
      <c r="I1202" s="99">
        <f t="shared" si="18"/>
        <v>5.0232867598136721E-3</v>
      </c>
    </row>
    <row r="1203" spans="1:9" ht="16">
      <c r="A1203" s="161">
        <v>42367</v>
      </c>
      <c r="B1203" s="94">
        <v>3.64</v>
      </c>
      <c r="E1203" s="96"/>
      <c r="F1203" s="97"/>
      <c r="G1203" s="96">
        <v>42388</v>
      </c>
      <c r="H1203" s="97">
        <v>301.43</v>
      </c>
      <c r="I1203" s="99">
        <f t="shared" si="18"/>
        <v>-2.2508357882891072E-3</v>
      </c>
    </row>
    <row r="1204" spans="1:9" ht="16">
      <c r="A1204" s="161">
        <v>42368</v>
      </c>
      <c r="B1204" s="94">
        <v>3.65</v>
      </c>
      <c r="E1204" s="96"/>
      <c r="F1204" s="97"/>
      <c r="G1204" s="96">
        <v>42389</v>
      </c>
      <c r="H1204" s="97">
        <v>296.95</v>
      </c>
      <c r="I1204" s="99">
        <f t="shared" si="18"/>
        <v>-1.486248880337071E-2</v>
      </c>
    </row>
    <row r="1205" spans="1:9" ht="16">
      <c r="A1205" s="161">
        <v>42369</v>
      </c>
      <c r="B1205" s="195">
        <v>3.65</v>
      </c>
      <c r="E1205" s="96"/>
      <c r="F1205" s="97"/>
      <c r="G1205" s="96">
        <v>42390</v>
      </c>
      <c r="H1205" s="97">
        <v>298.18</v>
      </c>
      <c r="I1205" s="99">
        <f t="shared" si="18"/>
        <v>4.1421114665769476E-3</v>
      </c>
    </row>
    <row r="1206" spans="1:9" ht="16">
      <c r="A1206" s="161">
        <v>42370</v>
      </c>
      <c r="B1206" s="94">
        <v>3.66</v>
      </c>
      <c r="E1206" s="96"/>
      <c r="F1206" s="97"/>
      <c r="G1206" s="96">
        <v>42391</v>
      </c>
      <c r="H1206" s="97">
        <v>295.55</v>
      </c>
      <c r="I1206" s="99">
        <f t="shared" si="18"/>
        <v>-8.8201757327788233E-3</v>
      </c>
    </row>
    <row r="1207" spans="1:9" ht="16">
      <c r="A1207" s="161">
        <v>42371</v>
      </c>
      <c r="B1207" s="94">
        <v>3.62</v>
      </c>
      <c r="E1207" s="96"/>
      <c r="F1207" s="97"/>
      <c r="G1207" s="96">
        <v>42392</v>
      </c>
      <c r="H1207" s="97">
        <v>294.83999999999997</v>
      </c>
      <c r="I1207" s="99">
        <f t="shared" si="18"/>
        <v>-2.4023007951278208E-3</v>
      </c>
    </row>
    <row r="1208" spans="1:9" ht="16">
      <c r="A1208" s="161">
        <v>42374</v>
      </c>
      <c r="B1208" s="94">
        <v>3.6</v>
      </c>
      <c r="E1208" s="96"/>
      <c r="F1208" s="97"/>
      <c r="G1208" s="96">
        <v>42395</v>
      </c>
      <c r="H1208" s="97">
        <v>290.14</v>
      </c>
      <c r="I1208" s="99">
        <f t="shared" si="18"/>
        <v>-1.59408492741826E-2</v>
      </c>
    </row>
    <row r="1209" spans="1:9" ht="16">
      <c r="A1209" s="161">
        <v>42375</v>
      </c>
      <c r="B1209" s="94">
        <v>3.61</v>
      </c>
      <c r="E1209" s="96"/>
      <c r="F1209" s="97"/>
      <c r="G1209" s="96">
        <v>42396</v>
      </c>
      <c r="H1209" s="97">
        <v>291.14999999999998</v>
      </c>
      <c r="I1209" s="99">
        <f t="shared" si="18"/>
        <v>3.4810781002274638E-3</v>
      </c>
    </row>
    <row r="1210" spans="1:9" ht="16">
      <c r="A1210" s="161">
        <v>42376</v>
      </c>
      <c r="B1210" s="94">
        <v>3.61</v>
      </c>
      <c r="E1210" s="96"/>
      <c r="F1210" s="97"/>
      <c r="G1210" s="96">
        <v>42397</v>
      </c>
      <c r="H1210" s="97">
        <v>289.81</v>
      </c>
      <c r="I1210" s="99">
        <f t="shared" si="18"/>
        <v>-4.6024386055296684E-3</v>
      </c>
    </row>
    <row r="1211" spans="1:9" ht="16">
      <c r="A1211" s="161">
        <v>42377</v>
      </c>
      <c r="B1211" s="94">
        <v>3.61</v>
      </c>
      <c r="E1211" s="96"/>
      <c r="F1211" s="97"/>
      <c r="G1211" s="96">
        <v>42398</v>
      </c>
      <c r="H1211" s="97">
        <v>283.39999999999998</v>
      </c>
      <c r="I1211" s="99">
        <f t="shared" si="18"/>
        <v>-2.2117939339567405E-2</v>
      </c>
    </row>
    <row r="1212" spans="1:9" ht="16">
      <c r="A1212" s="161">
        <v>42378</v>
      </c>
      <c r="B1212" s="94">
        <v>3.6</v>
      </c>
      <c r="E1212" s="96"/>
      <c r="F1212" s="97"/>
      <c r="G1212" s="96">
        <v>42399</v>
      </c>
      <c r="H1212" s="97">
        <v>281.29000000000002</v>
      </c>
      <c r="I1212" s="99">
        <f t="shared" si="18"/>
        <v>-7.4453069865912935E-3</v>
      </c>
    </row>
    <row r="1213" spans="1:9" ht="16">
      <c r="A1213" s="161">
        <v>42381</v>
      </c>
      <c r="B1213" s="94">
        <v>3.59</v>
      </c>
      <c r="E1213" s="96"/>
      <c r="F1213" s="97"/>
      <c r="G1213" s="96">
        <v>42402</v>
      </c>
      <c r="H1213" s="97">
        <v>279.89999999999998</v>
      </c>
      <c r="I1213" s="99">
        <f t="shared" si="18"/>
        <v>-4.9415194283480846E-3</v>
      </c>
    </row>
    <row r="1214" spans="1:9" ht="16">
      <c r="A1214" s="161">
        <v>42382</v>
      </c>
      <c r="B1214" s="94">
        <v>3.58</v>
      </c>
      <c r="E1214" s="96"/>
      <c r="F1214" s="97"/>
      <c r="G1214" s="96">
        <v>42403</v>
      </c>
      <c r="H1214" s="97">
        <v>285.89</v>
      </c>
      <c r="I1214" s="99">
        <f t="shared" si="18"/>
        <v>2.1400500178635262E-2</v>
      </c>
    </row>
    <row r="1215" spans="1:9" ht="16">
      <c r="A1215" s="161">
        <v>42383</v>
      </c>
      <c r="B1215" s="94">
        <v>3.55</v>
      </c>
      <c r="E1215" s="96"/>
      <c r="F1215" s="97"/>
      <c r="G1215" s="96">
        <v>42404</v>
      </c>
      <c r="H1215" s="97">
        <v>287.12</v>
      </c>
      <c r="I1215" s="99">
        <f t="shared" si="18"/>
        <v>4.302354052257984E-3</v>
      </c>
    </row>
    <row r="1216" spans="1:9" ht="16">
      <c r="A1216" s="161">
        <v>42384</v>
      </c>
      <c r="B1216" s="94">
        <v>3.54</v>
      </c>
      <c r="E1216" s="96"/>
      <c r="F1216" s="97"/>
      <c r="G1216" s="96">
        <v>42405</v>
      </c>
      <c r="H1216" s="97">
        <v>289.37</v>
      </c>
      <c r="I1216" s="99">
        <f t="shared" si="18"/>
        <v>7.8364446921148634E-3</v>
      </c>
    </row>
    <row r="1217" spans="1:9" ht="16">
      <c r="A1217" s="161">
        <v>42385</v>
      </c>
      <c r="B1217" s="94">
        <v>3.54</v>
      </c>
      <c r="E1217" s="96"/>
      <c r="F1217" s="97"/>
      <c r="G1217" s="96">
        <v>42406</v>
      </c>
      <c r="H1217" s="97">
        <v>286.83999999999997</v>
      </c>
      <c r="I1217" s="99">
        <f t="shared" si="18"/>
        <v>-8.7431316307842177E-3</v>
      </c>
    </row>
    <row r="1218" spans="1:9" ht="16">
      <c r="A1218" s="161">
        <v>42388</v>
      </c>
      <c r="B1218" s="94">
        <v>3.53</v>
      </c>
      <c r="E1218" s="96"/>
      <c r="F1218" s="97"/>
      <c r="G1218" s="96">
        <v>42409</v>
      </c>
      <c r="H1218" s="97">
        <v>285.51</v>
      </c>
      <c r="I1218" s="99">
        <f t="shared" si="18"/>
        <v>-4.6367312787616299E-3</v>
      </c>
    </row>
    <row r="1219" spans="1:9" ht="16">
      <c r="A1219" s="161">
        <v>42389</v>
      </c>
      <c r="B1219" s="94">
        <v>3.51</v>
      </c>
      <c r="E1219" s="96"/>
      <c r="F1219" s="97"/>
      <c r="G1219" s="96">
        <v>42410</v>
      </c>
      <c r="H1219" s="97">
        <v>288.64</v>
      </c>
      <c r="I1219" s="99">
        <f t="shared" si="18"/>
        <v>1.0962838429477095E-2</v>
      </c>
    </row>
    <row r="1220" spans="1:9" ht="16">
      <c r="A1220" s="161">
        <v>42390</v>
      </c>
      <c r="B1220" s="94">
        <v>3.49</v>
      </c>
      <c r="E1220" s="96"/>
      <c r="F1220" s="97"/>
      <c r="G1220" s="96">
        <v>42411</v>
      </c>
      <c r="H1220" s="97">
        <v>291.18</v>
      </c>
      <c r="I1220" s="99">
        <f t="shared" si="18"/>
        <v>8.7998891352549791E-3</v>
      </c>
    </row>
    <row r="1221" spans="1:9" ht="16">
      <c r="A1221" s="161">
        <v>42391</v>
      </c>
      <c r="B1221" s="94">
        <v>3.48</v>
      </c>
      <c r="E1221" s="96"/>
      <c r="F1221" s="97"/>
      <c r="G1221" s="96">
        <v>42412</v>
      </c>
      <c r="H1221" s="97">
        <v>290.33</v>
      </c>
      <c r="I1221" s="99">
        <f t="shared" si="18"/>
        <v>-2.9191565354763638E-3</v>
      </c>
    </row>
    <row r="1222" spans="1:9" ht="16">
      <c r="A1222" s="161">
        <v>42392</v>
      </c>
      <c r="B1222" s="94">
        <v>3.48</v>
      </c>
      <c r="E1222" s="96"/>
      <c r="F1222" s="97"/>
      <c r="G1222" s="96">
        <v>42413</v>
      </c>
      <c r="H1222" s="97">
        <v>290.05</v>
      </c>
      <c r="I1222" s="99">
        <f t="shared" si="18"/>
        <v>-9.6441979816064283E-4</v>
      </c>
    </row>
    <row r="1223" spans="1:9" ht="16">
      <c r="A1223" s="161">
        <v>42395</v>
      </c>
      <c r="B1223" s="94">
        <v>3.45</v>
      </c>
      <c r="E1223" s="96"/>
      <c r="F1223" s="97"/>
      <c r="G1223" s="96">
        <v>42416</v>
      </c>
      <c r="H1223" s="97">
        <v>290.75</v>
      </c>
      <c r="I1223" s="99">
        <f t="shared" si="18"/>
        <v>2.4133770039647118E-3</v>
      </c>
    </row>
    <row r="1224" spans="1:9" ht="16">
      <c r="A1224" s="161">
        <v>42396</v>
      </c>
      <c r="B1224" s="94">
        <v>3.43</v>
      </c>
      <c r="E1224" s="96"/>
      <c r="F1224" s="97"/>
      <c r="G1224" s="96">
        <v>42417</v>
      </c>
      <c r="H1224" s="97">
        <v>288.17</v>
      </c>
      <c r="I1224" s="99">
        <f t="shared" si="18"/>
        <v>-8.8736027515047278E-3</v>
      </c>
    </row>
    <row r="1225" spans="1:9" ht="16">
      <c r="A1225" s="161">
        <v>42397</v>
      </c>
      <c r="B1225" s="94">
        <v>3.42</v>
      </c>
      <c r="E1225" s="96"/>
      <c r="F1225" s="97"/>
      <c r="G1225" s="96">
        <v>42418</v>
      </c>
      <c r="H1225" s="97">
        <v>290.33</v>
      </c>
      <c r="I1225" s="99">
        <f t="shared" si="18"/>
        <v>7.4955755283339087E-3</v>
      </c>
    </row>
    <row r="1226" spans="1:9" ht="16">
      <c r="A1226" s="161">
        <v>42398</v>
      </c>
      <c r="B1226" s="94">
        <v>3.4</v>
      </c>
      <c r="E1226" s="96"/>
      <c r="F1226" s="97"/>
      <c r="G1226" s="96">
        <v>42419</v>
      </c>
      <c r="H1226" s="97">
        <v>288.73</v>
      </c>
      <c r="I1226" s="99">
        <f t="shared" si="18"/>
        <v>-5.5109702752039746E-3</v>
      </c>
    </row>
    <row r="1227" spans="1:9" ht="16">
      <c r="A1227" s="161">
        <v>42399</v>
      </c>
      <c r="B1227" s="94">
        <v>3.43</v>
      </c>
      <c r="E1227" s="96"/>
      <c r="F1227" s="97"/>
      <c r="G1227" s="96">
        <v>42420</v>
      </c>
      <c r="H1227" s="97">
        <v>286.58999999999997</v>
      </c>
      <c r="I1227" s="99">
        <f t="shared" si="18"/>
        <v>-7.4117687805217436E-3</v>
      </c>
    </row>
    <row r="1228" spans="1:9" ht="16">
      <c r="A1228" s="161">
        <v>42402</v>
      </c>
      <c r="B1228" s="94">
        <v>3.41</v>
      </c>
      <c r="E1228" s="96"/>
      <c r="F1228" s="97"/>
      <c r="G1228" s="96">
        <v>42423</v>
      </c>
      <c r="H1228" s="97">
        <v>280.14</v>
      </c>
      <c r="I1228" s="99">
        <f t="shared" si="18"/>
        <v>-2.2506019051606763E-2</v>
      </c>
    </row>
    <row r="1229" spans="1:9" ht="16">
      <c r="A1229" s="161">
        <v>42403</v>
      </c>
      <c r="B1229" s="94">
        <v>3.44</v>
      </c>
      <c r="E1229" s="96"/>
      <c r="F1229" s="97"/>
      <c r="G1229" s="96">
        <v>42424</v>
      </c>
      <c r="H1229" s="97">
        <v>279.68</v>
      </c>
      <c r="I1229" s="99">
        <f t="shared" si="18"/>
        <v>-1.6420361247946325E-3</v>
      </c>
    </row>
    <row r="1230" spans="1:9" ht="16">
      <c r="A1230" s="161">
        <v>42404</v>
      </c>
      <c r="B1230" s="94">
        <v>3.44</v>
      </c>
      <c r="E1230" s="96"/>
      <c r="F1230" s="97"/>
      <c r="G1230" s="96">
        <v>42425</v>
      </c>
      <c r="H1230" s="97">
        <v>276.60000000000002</v>
      </c>
      <c r="I1230" s="99">
        <f t="shared" si="18"/>
        <v>-1.1012585812356868E-2</v>
      </c>
    </row>
    <row r="1231" spans="1:9" ht="16">
      <c r="A1231" s="161">
        <v>42405</v>
      </c>
      <c r="B1231" s="94">
        <v>3.44</v>
      </c>
      <c r="E1231" s="96"/>
      <c r="F1231" s="97"/>
      <c r="G1231" s="96">
        <v>42426</v>
      </c>
      <c r="H1231" s="97">
        <v>273.07</v>
      </c>
      <c r="I1231" s="99">
        <f t="shared" ref="I1231:I1294" si="19">H1231/H1230-1</f>
        <v>-1.2762111352133121E-2</v>
      </c>
    </row>
    <row r="1232" spans="1:9" ht="16">
      <c r="A1232" s="161">
        <v>42406</v>
      </c>
      <c r="B1232" s="94">
        <v>3.42</v>
      </c>
      <c r="E1232" s="96"/>
      <c r="F1232" s="97"/>
      <c r="G1232" s="96">
        <v>42427</v>
      </c>
      <c r="H1232" s="97">
        <v>266.58999999999997</v>
      </c>
      <c r="I1232" s="99">
        <f t="shared" si="19"/>
        <v>-2.3730179074962554E-2</v>
      </c>
    </row>
    <row r="1233" spans="1:9" ht="16">
      <c r="A1233" s="161">
        <v>42409</v>
      </c>
      <c r="B1233" s="94">
        <v>3.4</v>
      </c>
      <c r="E1233" s="96"/>
      <c r="F1233" s="97"/>
      <c r="G1233" s="96">
        <v>42430</v>
      </c>
      <c r="H1233" s="97">
        <v>268.94</v>
      </c>
      <c r="I1233" s="99">
        <f t="shared" si="19"/>
        <v>8.815034322367854E-3</v>
      </c>
    </row>
    <row r="1234" spans="1:9" ht="16">
      <c r="A1234" s="161">
        <v>42410</v>
      </c>
      <c r="B1234" s="94">
        <v>3.4</v>
      </c>
      <c r="E1234" s="96"/>
      <c r="F1234" s="97"/>
      <c r="G1234" s="96">
        <v>42431</v>
      </c>
      <c r="H1234" s="97">
        <v>272.01</v>
      </c>
      <c r="I1234" s="99">
        <f t="shared" si="19"/>
        <v>1.1415185543243833E-2</v>
      </c>
    </row>
    <row r="1235" spans="1:9" ht="16">
      <c r="A1235" s="161">
        <v>42411</v>
      </c>
      <c r="B1235" s="94">
        <v>3.4</v>
      </c>
      <c r="E1235" s="96"/>
      <c r="F1235" s="97"/>
      <c r="G1235" s="96">
        <v>42432</v>
      </c>
      <c r="H1235" s="97">
        <v>273.49</v>
      </c>
      <c r="I1235" s="99">
        <f t="shared" si="19"/>
        <v>5.4409764346898815E-3</v>
      </c>
    </row>
    <row r="1236" spans="1:9" ht="16">
      <c r="A1236" s="161">
        <v>42412</v>
      </c>
      <c r="B1236" s="94">
        <v>3.39</v>
      </c>
      <c r="E1236" s="96"/>
      <c r="F1236" s="97"/>
      <c r="G1236" s="96">
        <v>42433</v>
      </c>
      <c r="H1236" s="97">
        <v>273.31</v>
      </c>
      <c r="I1236" s="99">
        <f t="shared" si="19"/>
        <v>-6.5815934769097861E-4</v>
      </c>
    </row>
    <row r="1237" spans="1:9" ht="16">
      <c r="A1237" s="161">
        <v>42413</v>
      </c>
      <c r="B1237" s="94">
        <v>3.38</v>
      </c>
      <c r="E1237" s="96"/>
      <c r="F1237" s="97"/>
      <c r="G1237" s="96">
        <v>42434</v>
      </c>
      <c r="H1237" s="97">
        <v>266.81</v>
      </c>
      <c r="I1237" s="99">
        <f t="shared" si="19"/>
        <v>-2.3782518019831E-2</v>
      </c>
    </row>
    <row r="1238" spans="1:9" ht="16">
      <c r="A1238" s="161">
        <v>42416</v>
      </c>
      <c r="B1238" s="94">
        <v>3.38</v>
      </c>
      <c r="E1238" s="96"/>
      <c r="F1238" s="97"/>
      <c r="G1238" s="96">
        <v>42437</v>
      </c>
      <c r="H1238" s="97">
        <v>249.58</v>
      </c>
      <c r="I1238" s="99">
        <f t="shared" si="19"/>
        <v>-6.4577789438176936E-2</v>
      </c>
    </row>
    <row r="1239" spans="1:9" ht="16">
      <c r="A1239" s="161">
        <v>42417</v>
      </c>
      <c r="B1239" s="94">
        <v>3.36</v>
      </c>
      <c r="E1239" s="96"/>
      <c r="F1239" s="97"/>
      <c r="G1239" s="96">
        <v>42438</v>
      </c>
      <c r="H1239" s="97">
        <v>253.81</v>
      </c>
      <c r="I1239" s="99">
        <f t="shared" si="19"/>
        <v>1.6948473435371314E-2</v>
      </c>
    </row>
    <row r="1240" spans="1:9" ht="16">
      <c r="A1240" s="161">
        <v>42418</v>
      </c>
      <c r="B1240" s="94">
        <v>3.36</v>
      </c>
      <c r="E1240" s="96"/>
      <c r="F1240" s="97"/>
      <c r="G1240" s="96">
        <v>42439</v>
      </c>
      <c r="H1240" s="97">
        <v>249.68</v>
      </c>
      <c r="I1240" s="99">
        <f t="shared" si="19"/>
        <v>-1.6272014499034704E-2</v>
      </c>
    </row>
    <row r="1241" spans="1:9" ht="16">
      <c r="A1241" s="161">
        <v>42419</v>
      </c>
      <c r="B1241" s="94">
        <v>3.34</v>
      </c>
      <c r="E1241" s="96"/>
      <c r="F1241" s="97"/>
      <c r="G1241" s="96">
        <v>42440</v>
      </c>
      <c r="H1241" s="97">
        <v>232.06</v>
      </c>
      <c r="I1241" s="99">
        <f t="shared" si="19"/>
        <v>-7.057033002242874E-2</v>
      </c>
    </row>
    <row r="1242" spans="1:9" ht="16">
      <c r="A1242" s="161">
        <v>42420</v>
      </c>
      <c r="B1242" s="94">
        <v>3.32</v>
      </c>
      <c r="E1242" s="96"/>
      <c r="F1242" s="97"/>
      <c r="G1242" s="96">
        <v>42441</v>
      </c>
      <c r="H1242" s="97">
        <v>234.96</v>
      </c>
      <c r="I1242" s="99">
        <f t="shared" si="19"/>
        <v>1.2496768077221443E-2</v>
      </c>
    </row>
    <row r="1243" spans="1:9" ht="16">
      <c r="A1243" s="161">
        <v>42423</v>
      </c>
      <c r="B1243" s="94">
        <v>3.29</v>
      </c>
      <c r="E1243" s="96"/>
      <c r="F1243" s="97"/>
      <c r="G1243" s="96">
        <v>42444</v>
      </c>
      <c r="H1243" s="97">
        <v>218.98</v>
      </c>
      <c r="I1243" s="99">
        <f t="shared" si="19"/>
        <v>-6.8011576438542831E-2</v>
      </c>
    </row>
    <row r="1244" spans="1:9" ht="16">
      <c r="A1244" s="161">
        <v>42424</v>
      </c>
      <c r="B1244" s="94">
        <v>3.3</v>
      </c>
      <c r="E1244" s="96"/>
      <c r="F1244" s="97"/>
      <c r="G1244" s="96">
        <v>42445</v>
      </c>
      <c r="H1244" s="97">
        <v>217.76</v>
      </c>
      <c r="I1244" s="99">
        <f t="shared" si="19"/>
        <v>-5.5712850488629506E-3</v>
      </c>
    </row>
    <row r="1245" spans="1:9" ht="16">
      <c r="A1245" s="161">
        <v>42425</v>
      </c>
      <c r="B1245" s="94">
        <v>3.31</v>
      </c>
      <c r="E1245" s="96"/>
      <c r="F1245" s="97"/>
      <c r="G1245" s="96">
        <v>42446</v>
      </c>
      <c r="H1245" s="97">
        <v>207.3</v>
      </c>
      <c r="I1245" s="99">
        <f t="shared" si="19"/>
        <v>-4.8034533431300375E-2</v>
      </c>
    </row>
    <row r="1246" spans="1:9" ht="16">
      <c r="A1246" s="161">
        <v>42426</v>
      </c>
      <c r="B1246" s="94">
        <v>3.35</v>
      </c>
      <c r="E1246" s="96"/>
      <c r="F1246" s="97"/>
      <c r="G1246" s="96">
        <v>42447</v>
      </c>
      <c r="H1246" s="97">
        <v>203.35</v>
      </c>
      <c r="I1246" s="99">
        <f t="shared" si="19"/>
        <v>-1.9054510371442457E-2</v>
      </c>
    </row>
    <row r="1247" spans="1:9" ht="16">
      <c r="A1247" s="161">
        <v>42427</v>
      </c>
      <c r="B1247" s="94">
        <v>3.37</v>
      </c>
      <c r="E1247" s="96"/>
      <c r="F1247" s="97"/>
      <c r="G1247" s="96">
        <v>42448</v>
      </c>
      <c r="H1247" s="97">
        <v>211.43</v>
      </c>
      <c r="I1247" s="99">
        <f t="shared" si="19"/>
        <v>3.9734447996065958E-2</v>
      </c>
    </row>
    <row r="1248" spans="1:9" ht="16">
      <c r="A1248" s="161">
        <v>42428</v>
      </c>
      <c r="B1248" s="94">
        <v>3.35</v>
      </c>
      <c r="E1248" s="96"/>
      <c r="F1248" s="97"/>
      <c r="G1248" s="96">
        <v>42451</v>
      </c>
      <c r="H1248" s="97">
        <v>199.71</v>
      </c>
      <c r="I1248" s="99">
        <f t="shared" si="19"/>
        <v>-5.5432057891500741E-2</v>
      </c>
    </row>
    <row r="1249" spans="1:9" ht="16">
      <c r="A1249" s="161">
        <v>42430</v>
      </c>
      <c r="B1249" s="94">
        <v>3.3</v>
      </c>
      <c r="E1249" s="96"/>
      <c r="F1249" s="97"/>
      <c r="G1249" s="96">
        <v>42452</v>
      </c>
      <c r="H1249" s="97">
        <v>209.4</v>
      </c>
      <c r="I1249" s="99">
        <f t="shared" si="19"/>
        <v>4.852035451404535E-2</v>
      </c>
    </row>
    <row r="1250" spans="1:9" ht="16">
      <c r="A1250" s="161">
        <v>42431</v>
      </c>
      <c r="B1250" s="94">
        <v>3.26</v>
      </c>
      <c r="E1250" s="96"/>
      <c r="F1250" s="97"/>
      <c r="G1250" s="96">
        <v>42453</v>
      </c>
      <c r="H1250" s="97">
        <v>217.72</v>
      </c>
      <c r="I1250" s="99">
        <f t="shared" si="19"/>
        <v>3.973256924546309E-2</v>
      </c>
    </row>
    <row r="1251" spans="1:9" ht="16">
      <c r="A1251" s="161">
        <v>42432</v>
      </c>
      <c r="B1251" s="94">
        <v>3.15</v>
      </c>
      <c r="E1251" s="96"/>
      <c r="F1251" s="97"/>
      <c r="G1251" s="96">
        <v>42454</v>
      </c>
      <c r="H1251" s="97">
        <v>222.85</v>
      </c>
      <c r="I1251" s="99">
        <f t="shared" si="19"/>
        <v>2.3562373690979133E-2</v>
      </c>
    </row>
    <row r="1252" spans="1:9" ht="16">
      <c r="A1252" s="161">
        <v>42433</v>
      </c>
      <c r="B1252" s="94">
        <v>3.18</v>
      </c>
      <c r="E1252" s="96"/>
      <c r="F1252" s="97"/>
      <c r="G1252" s="96">
        <v>42455</v>
      </c>
      <c r="H1252" s="97">
        <v>219.58</v>
      </c>
      <c r="I1252" s="99">
        <f t="shared" si="19"/>
        <v>-1.4673547229077766E-2</v>
      </c>
    </row>
    <row r="1253" spans="1:9" ht="16">
      <c r="A1253" s="161">
        <v>42434</v>
      </c>
      <c r="B1253" s="94">
        <v>3.15</v>
      </c>
      <c r="E1253" s="96"/>
      <c r="F1253" s="97"/>
      <c r="G1253" s="96">
        <v>42458</v>
      </c>
      <c r="H1253" s="97">
        <v>216.78</v>
      </c>
      <c r="I1253" s="99">
        <f t="shared" si="19"/>
        <v>-1.2751616722834536E-2</v>
      </c>
    </row>
    <row r="1254" spans="1:9" ht="16">
      <c r="A1254" s="161">
        <v>42437</v>
      </c>
      <c r="B1254" s="94">
        <v>3.39</v>
      </c>
      <c r="E1254" s="96"/>
      <c r="F1254" s="97"/>
      <c r="G1254" s="96">
        <v>42459</v>
      </c>
      <c r="H1254" s="97">
        <v>220.78</v>
      </c>
      <c r="I1254" s="99">
        <f t="shared" si="19"/>
        <v>1.8451886705415532E-2</v>
      </c>
    </row>
    <row r="1255" spans="1:9" ht="16">
      <c r="A1255" s="161">
        <v>42438</v>
      </c>
      <c r="B1255" s="94">
        <v>3.53</v>
      </c>
      <c r="E1255" s="96"/>
      <c r="F1255" s="97"/>
      <c r="G1255" s="96">
        <v>42460</v>
      </c>
      <c r="H1255" s="97">
        <v>216.35</v>
      </c>
      <c r="I1255" s="99">
        <f t="shared" si="19"/>
        <v>-2.0065223299211898E-2</v>
      </c>
    </row>
    <row r="1256" spans="1:9" ht="16">
      <c r="A1256" s="161">
        <v>42439</v>
      </c>
      <c r="B1256" s="94">
        <v>3.64</v>
      </c>
      <c r="E1256" s="96"/>
      <c r="F1256" s="97"/>
      <c r="G1256" s="96">
        <v>42461</v>
      </c>
      <c r="H1256" s="97">
        <v>218.73</v>
      </c>
      <c r="I1256" s="99">
        <f t="shared" si="19"/>
        <v>1.1000693321007615E-2</v>
      </c>
    </row>
    <row r="1257" spans="1:9" ht="16">
      <c r="A1257" s="161">
        <v>42440</v>
      </c>
      <c r="B1257" s="94">
        <v>3.9</v>
      </c>
      <c r="E1257" s="96"/>
      <c r="F1257" s="97"/>
      <c r="G1257" s="96">
        <v>42462</v>
      </c>
      <c r="H1257" s="97">
        <v>216.77</v>
      </c>
      <c r="I1257" s="99">
        <f t="shared" si="19"/>
        <v>-8.9608192749049964E-3</v>
      </c>
    </row>
    <row r="1258" spans="1:9" ht="16">
      <c r="A1258" s="161">
        <v>42441</v>
      </c>
      <c r="B1258" s="94">
        <v>4.03</v>
      </c>
      <c r="E1258" s="96"/>
      <c r="F1258" s="97"/>
      <c r="G1258" s="96">
        <v>42465</v>
      </c>
      <c r="H1258" s="97">
        <v>221.78</v>
      </c>
      <c r="I1258" s="99">
        <f t="shared" si="19"/>
        <v>2.3112054251049452E-2</v>
      </c>
    </row>
    <row r="1259" spans="1:9" ht="16">
      <c r="A1259" s="161">
        <v>42444</v>
      </c>
      <c r="B1259" s="94">
        <v>4.1900000000000004</v>
      </c>
      <c r="E1259" s="96"/>
      <c r="F1259" s="97"/>
      <c r="G1259" s="96">
        <v>42466</v>
      </c>
      <c r="H1259" s="97">
        <v>228.48</v>
      </c>
      <c r="I1259" s="99">
        <f t="shared" si="19"/>
        <v>3.021011813508867E-2</v>
      </c>
    </row>
    <row r="1260" spans="1:9" ht="16">
      <c r="A1260" s="161">
        <v>42445</v>
      </c>
      <c r="B1260" s="94">
        <v>4.3499999999999996</v>
      </c>
      <c r="E1260" s="96"/>
      <c r="F1260" s="97"/>
      <c r="G1260" s="96">
        <v>42467</v>
      </c>
      <c r="H1260" s="97">
        <v>227.95</v>
      </c>
      <c r="I1260" s="99">
        <f t="shared" si="19"/>
        <v>-2.3196778711485067E-3</v>
      </c>
    </row>
    <row r="1261" spans="1:9" ht="16">
      <c r="A1261" s="161">
        <v>42446</v>
      </c>
      <c r="B1261" s="94">
        <v>4.84</v>
      </c>
      <c r="E1261" s="96"/>
      <c r="F1261" s="97"/>
      <c r="G1261" s="96">
        <v>42468</v>
      </c>
      <c r="H1261" s="97">
        <v>231.52</v>
      </c>
      <c r="I1261" s="99">
        <f t="shared" si="19"/>
        <v>1.5661329238868316E-2</v>
      </c>
    </row>
    <row r="1262" spans="1:9" ht="16">
      <c r="A1262" s="161">
        <v>42447</v>
      </c>
      <c r="B1262" s="94">
        <v>5.09</v>
      </c>
      <c r="E1262" s="96"/>
      <c r="F1262" s="97"/>
      <c r="G1262" s="96">
        <v>42469</v>
      </c>
      <c r="H1262" s="97">
        <v>231.6</v>
      </c>
      <c r="I1262" s="99">
        <f t="shared" si="19"/>
        <v>3.4554250172758039E-4</v>
      </c>
    </row>
    <row r="1263" spans="1:9" ht="16">
      <c r="A1263" s="161">
        <v>42448</v>
      </c>
      <c r="B1263" s="94">
        <v>5.09</v>
      </c>
      <c r="E1263" s="96"/>
      <c r="F1263" s="97"/>
      <c r="G1263" s="96">
        <v>42472</v>
      </c>
      <c r="H1263" s="97">
        <v>230.69</v>
      </c>
      <c r="I1263" s="99">
        <f t="shared" si="19"/>
        <v>-3.9291882556130586E-3</v>
      </c>
    </row>
    <row r="1264" spans="1:9" ht="16">
      <c r="A1264" s="161">
        <v>42451</v>
      </c>
      <c r="B1264" s="94">
        <v>5.2</v>
      </c>
      <c r="E1264" s="96"/>
      <c r="F1264" s="97"/>
      <c r="G1264" s="96">
        <v>42473</v>
      </c>
      <c r="H1264" s="97">
        <v>233.98</v>
      </c>
      <c r="I1264" s="99">
        <f t="shared" si="19"/>
        <v>1.4261563136676925E-2</v>
      </c>
    </row>
    <row r="1265" spans="1:9" ht="16">
      <c r="A1265" s="161">
        <v>42452</v>
      </c>
      <c r="B1265" s="94">
        <v>5.23</v>
      </c>
      <c r="E1265" s="96"/>
      <c r="F1265" s="97"/>
      <c r="G1265" s="96">
        <v>42474</v>
      </c>
      <c r="H1265" s="97">
        <v>231.54</v>
      </c>
      <c r="I1265" s="99">
        <f t="shared" si="19"/>
        <v>-1.0428241730062404E-2</v>
      </c>
    </row>
    <row r="1266" spans="1:9" ht="16">
      <c r="A1266" s="161">
        <v>42453</v>
      </c>
      <c r="B1266" s="94">
        <v>5.16</v>
      </c>
      <c r="E1266" s="96"/>
      <c r="F1266" s="97"/>
      <c r="G1266" s="96">
        <v>42475</v>
      </c>
      <c r="H1266" s="97">
        <v>230.99</v>
      </c>
      <c r="I1266" s="99">
        <f t="shared" si="19"/>
        <v>-2.3753994990065586E-3</v>
      </c>
    </row>
    <row r="1267" spans="1:9" ht="16">
      <c r="A1267" s="161">
        <v>42454</v>
      </c>
      <c r="B1267" s="94">
        <v>4.93</v>
      </c>
      <c r="E1267" s="96"/>
      <c r="F1267" s="97"/>
      <c r="G1267" s="96">
        <v>42476</v>
      </c>
      <c r="H1267" s="97">
        <v>234.23</v>
      </c>
      <c r="I1267" s="99">
        <f t="shared" si="19"/>
        <v>1.4026581237282842E-2</v>
      </c>
    </row>
    <row r="1268" spans="1:9" ht="16">
      <c r="A1268" s="161">
        <v>42455</v>
      </c>
      <c r="B1268" s="94">
        <v>4.92</v>
      </c>
      <c r="E1268" s="96"/>
      <c r="F1268" s="97"/>
      <c r="G1268" s="96">
        <v>42479</v>
      </c>
      <c r="H1268" s="97">
        <v>234.47</v>
      </c>
      <c r="I1268" s="99">
        <f t="shared" si="19"/>
        <v>1.0246339068438193E-3</v>
      </c>
    </row>
    <row r="1269" spans="1:9" ht="16">
      <c r="A1269" s="161">
        <v>42458</v>
      </c>
      <c r="B1269" s="94">
        <v>4.93</v>
      </c>
      <c r="E1269" s="96"/>
      <c r="F1269" s="97"/>
      <c r="G1269" s="96">
        <v>42480</v>
      </c>
      <c r="H1269" s="97">
        <v>228.79</v>
      </c>
      <c r="I1269" s="99">
        <f t="shared" si="19"/>
        <v>-2.4224847528468541E-2</v>
      </c>
    </row>
    <row r="1270" spans="1:9" ht="16">
      <c r="A1270" s="161">
        <v>42459</v>
      </c>
      <c r="B1270" s="94">
        <v>4.93</v>
      </c>
      <c r="E1270" s="96"/>
      <c r="F1270" s="97"/>
      <c r="G1270" s="96">
        <v>42481</v>
      </c>
      <c r="H1270" s="97">
        <v>231.59</v>
      </c>
      <c r="I1270" s="99">
        <f t="shared" si="19"/>
        <v>1.223829712837099E-2</v>
      </c>
    </row>
    <row r="1271" spans="1:9" ht="16">
      <c r="A1271" s="161">
        <v>42460</v>
      </c>
      <c r="B1271" s="94">
        <v>4.97</v>
      </c>
      <c r="E1271" s="96"/>
      <c r="F1271" s="97"/>
      <c r="G1271" s="96">
        <v>42482</v>
      </c>
      <c r="H1271" s="97">
        <v>232.52</v>
      </c>
      <c r="I1271" s="99">
        <f t="shared" si="19"/>
        <v>4.0157174316679534E-3</v>
      </c>
    </row>
    <row r="1272" spans="1:9" ht="16">
      <c r="A1272" s="161">
        <v>42461</v>
      </c>
      <c r="B1272" s="94">
        <v>4.96</v>
      </c>
      <c r="E1272" s="96"/>
      <c r="F1272" s="97"/>
      <c r="G1272" s="96">
        <v>42483</v>
      </c>
      <c r="H1272" s="97">
        <v>229.45</v>
      </c>
      <c r="I1272" s="99">
        <f t="shared" si="19"/>
        <v>-1.3203165319112475E-2</v>
      </c>
    </row>
    <row r="1273" spans="1:9" ht="16">
      <c r="A1273" s="161">
        <v>42462</v>
      </c>
      <c r="B1273" s="94">
        <v>4.92</v>
      </c>
      <c r="E1273" s="96"/>
      <c r="F1273" s="97"/>
      <c r="G1273" s="96">
        <v>42486</v>
      </c>
      <c r="H1273" s="97">
        <v>233.3</v>
      </c>
      <c r="I1273" s="99">
        <f t="shared" si="19"/>
        <v>1.6779254739594851E-2</v>
      </c>
    </row>
    <row r="1274" spans="1:9" ht="16">
      <c r="A1274" s="161">
        <v>42465</v>
      </c>
      <c r="B1274" s="94">
        <v>4.97</v>
      </c>
      <c r="E1274" s="96"/>
      <c r="F1274" s="97"/>
      <c r="G1274" s="96">
        <v>42487</v>
      </c>
      <c r="H1274" s="97">
        <v>235.31</v>
      </c>
      <c r="I1274" s="99">
        <f t="shared" si="19"/>
        <v>8.6155165023573677E-3</v>
      </c>
    </row>
    <row r="1275" spans="1:9" ht="16">
      <c r="A1275" s="161">
        <v>42466</v>
      </c>
      <c r="B1275" s="94">
        <v>4.96</v>
      </c>
      <c r="E1275" s="96"/>
      <c r="F1275" s="97"/>
      <c r="G1275" s="96">
        <v>42488</v>
      </c>
      <c r="H1275" s="97">
        <v>239.9</v>
      </c>
      <c r="I1275" s="99">
        <f t="shared" si="19"/>
        <v>1.9506183332625104E-2</v>
      </c>
    </row>
    <row r="1276" spans="1:9" ht="16">
      <c r="A1276" s="161">
        <v>42467</v>
      </c>
      <c r="B1276" s="94">
        <v>4.9400000000000004</v>
      </c>
      <c r="E1276" s="96"/>
      <c r="F1276" s="97"/>
      <c r="G1276" s="96">
        <v>42489</v>
      </c>
      <c r="H1276" s="97">
        <v>241.39</v>
      </c>
      <c r="I1276" s="99">
        <f t="shared" si="19"/>
        <v>6.2109212171737038E-3</v>
      </c>
    </row>
    <row r="1277" spans="1:9" ht="16">
      <c r="A1277" s="161">
        <v>42468</v>
      </c>
      <c r="B1277" s="94">
        <v>4.84</v>
      </c>
      <c r="E1277" s="96"/>
      <c r="F1277" s="97"/>
      <c r="G1277" s="96">
        <v>42490</v>
      </c>
      <c r="H1277" s="97">
        <v>239.2</v>
      </c>
      <c r="I1277" s="99">
        <f t="shared" si="19"/>
        <v>-9.0724553626910787E-3</v>
      </c>
    </row>
    <row r="1278" spans="1:9" ht="16">
      <c r="A1278" s="161">
        <v>42469</v>
      </c>
      <c r="B1278" s="195">
        <v>4.84</v>
      </c>
      <c r="E1278" s="96"/>
      <c r="F1278" s="97"/>
      <c r="G1278" s="96">
        <v>42493</v>
      </c>
      <c r="H1278" s="97">
        <v>232.15</v>
      </c>
      <c r="I1278" s="99">
        <f t="shared" si="19"/>
        <v>-2.9473244147157129E-2</v>
      </c>
    </row>
    <row r="1279" spans="1:9" ht="16">
      <c r="A1279" s="161">
        <v>42472</v>
      </c>
      <c r="B1279" s="94">
        <v>4.78</v>
      </c>
      <c r="E1279" s="96"/>
      <c r="F1279" s="97"/>
      <c r="G1279" s="96">
        <v>42494</v>
      </c>
      <c r="H1279" s="97">
        <v>234.39</v>
      </c>
      <c r="I1279" s="99">
        <f t="shared" si="19"/>
        <v>9.6489338789573775E-3</v>
      </c>
    </row>
    <row r="1280" spans="1:9" ht="16">
      <c r="A1280" s="161">
        <v>42473</v>
      </c>
      <c r="B1280" s="94">
        <v>4.7</v>
      </c>
      <c r="E1280" s="96"/>
      <c r="F1280" s="97"/>
      <c r="G1280" s="96">
        <v>42495</v>
      </c>
      <c r="H1280" s="97">
        <v>234.83</v>
      </c>
      <c r="I1280" s="99">
        <f t="shared" si="19"/>
        <v>1.8772131916890977E-3</v>
      </c>
    </row>
    <row r="1281" spans="1:9" ht="16">
      <c r="A1281" s="161">
        <v>42474</v>
      </c>
      <c r="B1281" s="94">
        <v>4.6900000000000004</v>
      </c>
      <c r="E1281" s="96"/>
      <c r="F1281" s="97"/>
      <c r="G1281" s="96">
        <v>42496</v>
      </c>
      <c r="H1281" s="97">
        <v>234.54</v>
      </c>
      <c r="I1281" s="99">
        <f t="shared" si="19"/>
        <v>-1.2349359110847002E-3</v>
      </c>
    </row>
    <row r="1282" spans="1:9" ht="16">
      <c r="A1282" s="161">
        <v>42475</v>
      </c>
      <c r="B1282" s="94">
        <v>4.67</v>
      </c>
      <c r="E1282" s="96"/>
      <c r="F1282" s="97"/>
      <c r="G1282" s="96">
        <v>42497</v>
      </c>
      <c r="H1282" s="97">
        <v>238.3</v>
      </c>
      <c r="I1282" s="99">
        <f t="shared" si="19"/>
        <v>1.6031380574742071E-2</v>
      </c>
    </row>
    <row r="1283" spans="1:9" ht="16">
      <c r="A1283" s="161">
        <v>42476</v>
      </c>
      <c r="B1283" s="94">
        <v>4.63</v>
      </c>
      <c r="E1283" s="96"/>
      <c r="F1283" s="97"/>
      <c r="G1283" s="96">
        <v>42500</v>
      </c>
      <c r="H1283" s="97">
        <v>239.36</v>
      </c>
      <c r="I1283" s="99">
        <f t="shared" si="19"/>
        <v>4.4481745698699005E-3</v>
      </c>
    </row>
    <row r="1284" spans="1:9" ht="16">
      <c r="A1284" s="161">
        <v>42479</v>
      </c>
      <c r="B1284" s="94">
        <v>4.6500000000000004</v>
      </c>
      <c r="E1284" s="96"/>
      <c r="F1284" s="97"/>
      <c r="G1284" s="96">
        <v>42501</v>
      </c>
      <c r="H1284" s="97">
        <v>237.97</v>
      </c>
      <c r="I1284" s="99">
        <f t="shared" si="19"/>
        <v>-5.8071524064171598E-3</v>
      </c>
    </row>
    <row r="1285" spans="1:9" ht="16">
      <c r="A1285" s="161">
        <v>42480</v>
      </c>
      <c r="B1285" s="94">
        <v>4.68</v>
      </c>
      <c r="E1285" s="96"/>
      <c r="F1285" s="97"/>
      <c r="G1285" s="96">
        <v>42502</v>
      </c>
      <c r="H1285" s="97">
        <v>237.79</v>
      </c>
      <c r="I1285" s="99">
        <f t="shared" si="19"/>
        <v>-7.5639786527714747E-4</v>
      </c>
    </row>
    <row r="1286" spans="1:9" ht="16">
      <c r="A1286" s="161">
        <v>42481</v>
      </c>
      <c r="B1286" s="94">
        <v>4.6900000000000004</v>
      </c>
      <c r="E1286" s="96"/>
      <c r="F1286" s="97"/>
      <c r="G1286" s="96">
        <v>42503</v>
      </c>
      <c r="H1286" s="97">
        <v>235.7</v>
      </c>
      <c r="I1286" s="99">
        <f t="shared" si="19"/>
        <v>-8.7892678413726832E-3</v>
      </c>
    </row>
    <row r="1287" spans="1:9" ht="16">
      <c r="A1287" s="161">
        <v>42482</v>
      </c>
      <c r="B1287" s="94">
        <v>4.6900000000000004</v>
      </c>
      <c r="E1287" s="96"/>
      <c r="F1287" s="97"/>
      <c r="G1287" s="96">
        <v>42504</v>
      </c>
      <c r="H1287" s="97">
        <v>235.82</v>
      </c>
      <c r="I1287" s="99">
        <f t="shared" si="19"/>
        <v>5.0912176495554462E-4</v>
      </c>
    </row>
    <row r="1288" spans="1:9" ht="16">
      <c r="A1288" s="161">
        <v>42483</v>
      </c>
      <c r="B1288" s="94">
        <v>4.7</v>
      </c>
      <c r="E1288" s="96"/>
      <c r="F1288" s="97"/>
      <c r="G1288" s="96">
        <v>42507</v>
      </c>
      <c r="H1288" s="97">
        <v>238.72</v>
      </c>
      <c r="I1288" s="99">
        <f t="shared" si="19"/>
        <v>1.229751505385468E-2</v>
      </c>
    </row>
    <row r="1289" spans="1:9" ht="16">
      <c r="A1289" s="161">
        <v>42486</v>
      </c>
      <c r="B1289" s="94">
        <v>4.72</v>
      </c>
      <c r="E1289" s="96"/>
      <c r="F1289" s="97"/>
      <c r="G1289" s="96">
        <v>42508</v>
      </c>
      <c r="H1289" s="97">
        <v>241.44</v>
      </c>
      <c r="I1289" s="99">
        <f t="shared" si="19"/>
        <v>1.1394101876675666E-2</v>
      </c>
    </row>
    <row r="1290" spans="1:9" ht="16">
      <c r="A1290" s="161">
        <v>42487</v>
      </c>
      <c r="B1290" s="94">
        <v>4.6900000000000004</v>
      </c>
      <c r="E1290" s="96"/>
      <c r="F1290" s="97"/>
      <c r="G1290" s="96">
        <v>42509</v>
      </c>
      <c r="H1290" s="97">
        <v>243.25</v>
      </c>
      <c r="I1290" s="99">
        <f t="shared" si="19"/>
        <v>7.4966865473824473E-3</v>
      </c>
    </row>
    <row r="1291" spans="1:9" ht="16">
      <c r="A1291" s="161">
        <v>42488</v>
      </c>
      <c r="B1291" s="94">
        <v>4.6100000000000003</v>
      </c>
      <c r="E1291" s="96"/>
      <c r="F1291" s="97"/>
      <c r="G1291" s="96">
        <v>42510</v>
      </c>
      <c r="H1291" s="97">
        <v>242.92</v>
      </c>
      <c r="I1291" s="99">
        <f t="shared" si="19"/>
        <v>-1.3566289825283073E-3</v>
      </c>
    </row>
    <row r="1292" spans="1:9" ht="16">
      <c r="A1292" s="161">
        <v>42489</v>
      </c>
      <c r="B1292" s="94">
        <v>4.51</v>
      </c>
      <c r="E1292" s="96"/>
      <c r="F1292" s="97"/>
      <c r="G1292" s="96">
        <v>42511</v>
      </c>
      <c r="H1292" s="97">
        <v>236.81</v>
      </c>
      <c r="I1292" s="99">
        <f t="shared" si="19"/>
        <v>-2.515231351885383E-2</v>
      </c>
    </row>
    <row r="1293" spans="1:9" ht="16">
      <c r="A1293" s="161">
        <v>42490</v>
      </c>
      <c r="B1293" s="94">
        <v>4.5</v>
      </c>
      <c r="E1293" s="96"/>
      <c r="F1293" s="97"/>
      <c r="G1293" s="96">
        <v>42514</v>
      </c>
      <c r="H1293" s="97">
        <v>238.6</v>
      </c>
      <c r="I1293" s="99">
        <f t="shared" si="19"/>
        <v>7.5588024154384925E-3</v>
      </c>
    </row>
    <row r="1294" spans="1:9" ht="16">
      <c r="A1294" s="161">
        <v>42493</v>
      </c>
      <c r="B1294" s="94">
        <v>4.5</v>
      </c>
      <c r="E1294" s="96"/>
      <c r="F1294" s="97"/>
      <c r="G1294" s="96">
        <v>42515</v>
      </c>
      <c r="H1294" s="97">
        <v>242.35</v>
      </c>
      <c r="I1294" s="99">
        <f t="shared" si="19"/>
        <v>1.5716680637049452E-2</v>
      </c>
    </row>
    <row r="1295" spans="1:9" ht="16">
      <c r="A1295" s="161">
        <v>42494</v>
      </c>
      <c r="B1295" s="94">
        <v>4.47</v>
      </c>
      <c r="E1295" s="96"/>
      <c r="F1295" s="97"/>
      <c r="G1295" s="96">
        <v>42516</v>
      </c>
      <c r="H1295" s="97">
        <v>242.7</v>
      </c>
      <c r="I1295" s="99">
        <f t="shared" ref="I1295:I1320" si="20">H1295/H1294-1</f>
        <v>1.4441922838868138E-3</v>
      </c>
    </row>
    <row r="1296" spans="1:9" ht="16">
      <c r="A1296" s="161">
        <v>42495</v>
      </c>
      <c r="B1296" s="94">
        <v>4.4800000000000004</v>
      </c>
      <c r="E1296" s="96"/>
      <c r="F1296" s="97"/>
      <c r="G1296" s="96">
        <v>42517</v>
      </c>
      <c r="H1296" s="97">
        <v>242.42</v>
      </c>
      <c r="I1296" s="99">
        <f t="shared" si="20"/>
        <v>-1.1536876802636931E-3</v>
      </c>
    </row>
    <row r="1297" spans="1:9" ht="16">
      <c r="A1297" s="161">
        <v>42496</v>
      </c>
      <c r="B1297" s="94">
        <v>4.45</v>
      </c>
      <c r="E1297" s="96"/>
      <c r="F1297" s="97"/>
      <c r="G1297" s="96">
        <v>42518</v>
      </c>
      <c r="H1297" s="97">
        <v>243.9</v>
      </c>
      <c r="I1297" s="99">
        <f t="shared" si="20"/>
        <v>6.1051068393698227E-3</v>
      </c>
    </row>
    <row r="1298" spans="1:9" ht="16">
      <c r="A1298" s="161">
        <v>42497</v>
      </c>
      <c r="B1298" s="94">
        <v>4.4000000000000004</v>
      </c>
      <c r="E1298" s="96"/>
      <c r="F1298" s="97"/>
      <c r="G1298" s="96">
        <v>42521</v>
      </c>
      <c r="H1298" s="97">
        <v>249.33</v>
      </c>
      <c r="I1298" s="99">
        <f t="shared" si="20"/>
        <v>2.2263222632226354E-2</v>
      </c>
    </row>
    <row r="1299" spans="1:9" ht="16">
      <c r="A1299" s="161">
        <v>42500</v>
      </c>
      <c r="B1299" s="94">
        <v>4.3899999999999997</v>
      </c>
      <c r="E1299" s="96"/>
      <c r="F1299" s="97"/>
      <c r="G1299" s="96">
        <v>42522</v>
      </c>
      <c r="H1299" s="97">
        <v>253.66</v>
      </c>
      <c r="I1299" s="99">
        <f t="shared" si="20"/>
        <v>1.7366542333453694E-2</v>
      </c>
    </row>
    <row r="1300" spans="1:9" ht="16">
      <c r="A1300" s="161">
        <v>42501</v>
      </c>
      <c r="B1300" s="94">
        <v>4.3499999999999996</v>
      </c>
      <c r="E1300" s="96"/>
      <c r="F1300" s="97"/>
      <c r="G1300" s="96">
        <v>42523</v>
      </c>
      <c r="H1300" s="97">
        <v>258.20999999999998</v>
      </c>
      <c r="I1300" s="99">
        <f t="shared" si="20"/>
        <v>1.7937396515020021E-2</v>
      </c>
    </row>
    <row r="1301" spans="1:9" ht="16">
      <c r="A1301" s="161">
        <v>42502</v>
      </c>
      <c r="B1301" s="94">
        <v>4.3499999999999996</v>
      </c>
      <c r="E1301" s="96"/>
      <c r="F1301" s="97"/>
      <c r="G1301" s="96">
        <v>42524</v>
      </c>
      <c r="H1301" s="97">
        <v>258.38</v>
      </c>
      <c r="I1301" s="99">
        <f t="shared" si="20"/>
        <v>6.5837883892960747E-4</v>
      </c>
    </row>
    <row r="1302" spans="1:9" ht="16">
      <c r="A1302" s="161">
        <v>42503</v>
      </c>
      <c r="B1302" s="94">
        <v>4.3600000000000003</v>
      </c>
      <c r="E1302" s="96"/>
      <c r="F1302" s="97"/>
      <c r="G1302" s="96">
        <v>42525</v>
      </c>
      <c r="H1302" s="97">
        <v>261.85000000000002</v>
      </c>
      <c r="I1302" s="99">
        <f t="shared" si="20"/>
        <v>1.3429832030342981E-2</v>
      </c>
    </row>
    <row r="1303" spans="1:9" ht="16">
      <c r="A1303" s="161">
        <v>42504</v>
      </c>
      <c r="B1303" s="94">
        <v>4.3099999999999996</v>
      </c>
      <c r="E1303" s="96"/>
      <c r="F1303" s="97"/>
      <c r="G1303" s="96">
        <v>42528</v>
      </c>
      <c r="H1303" s="97">
        <v>263.39</v>
      </c>
      <c r="I1303" s="99">
        <f t="shared" si="20"/>
        <v>5.8812297116668244E-3</v>
      </c>
    </row>
    <row r="1304" spans="1:9" ht="16">
      <c r="A1304" s="161">
        <v>42507</v>
      </c>
      <c r="B1304" s="94">
        <v>4.25</v>
      </c>
      <c r="E1304" s="96"/>
      <c r="F1304" s="97"/>
      <c r="G1304" s="96">
        <v>42529</v>
      </c>
      <c r="H1304" s="97">
        <v>263.62</v>
      </c>
      <c r="I1304" s="99">
        <f t="shared" si="20"/>
        <v>8.7322981130655286E-4</v>
      </c>
    </row>
    <row r="1305" spans="1:9" ht="16">
      <c r="A1305" s="161">
        <v>42508</v>
      </c>
      <c r="B1305" s="94">
        <v>4.22</v>
      </c>
      <c r="E1305" s="96"/>
      <c r="F1305" s="97"/>
      <c r="G1305" s="96">
        <v>42530</v>
      </c>
      <c r="H1305" s="97">
        <v>264.12</v>
      </c>
      <c r="I1305" s="99">
        <f t="shared" si="20"/>
        <v>1.8966694484485735E-3</v>
      </c>
    </row>
    <row r="1306" spans="1:9" ht="16">
      <c r="A1306" s="161">
        <v>42509</v>
      </c>
      <c r="B1306" s="94">
        <v>4.1399999999999997</v>
      </c>
      <c r="E1306" s="96"/>
      <c r="F1306" s="97"/>
      <c r="G1306" s="96">
        <v>42531</v>
      </c>
      <c r="H1306" s="97">
        <v>259.01</v>
      </c>
      <c r="I1306" s="99">
        <f t="shared" si="20"/>
        <v>-1.9347266394063367E-2</v>
      </c>
    </row>
    <row r="1307" spans="1:9" ht="16">
      <c r="A1307" s="161">
        <v>42510</v>
      </c>
      <c r="B1307" s="94">
        <v>4.05</v>
      </c>
      <c r="E1307" s="96"/>
      <c r="F1307" s="97"/>
      <c r="G1307" s="96">
        <v>42532</v>
      </c>
      <c r="H1307" s="97">
        <v>258.13</v>
      </c>
      <c r="I1307" s="99">
        <f t="shared" si="20"/>
        <v>-3.3975522180610396E-3</v>
      </c>
    </row>
    <row r="1308" spans="1:9" ht="16">
      <c r="A1308" s="161">
        <v>42511</v>
      </c>
      <c r="B1308" s="94">
        <v>4.0599999999999996</v>
      </c>
      <c r="E1308" s="96"/>
      <c r="F1308" s="97"/>
      <c r="G1308" s="96">
        <v>42535</v>
      </c>
      <c r="H1308" s="97">
        <v>254.1</v>
      </c>
      <c r="I1308" s="99">
        <f t="shared" si="20"/>
        <v>-1.5612288381823158E-2</v>
      </c>
    </row>
    <row r="1309" spans="1:9" ht="16">
      <c r="A1309" s="161">
        <v>42514</v>
      </c>
      <c r="B1309" s="94">
        <v>4.05</v>
      </c>
      <c r="E1309" s="96"/>
      <c r="F1309" s="97"/>
      <c r="G1309" s="96">
        <v>42536</v>
      </c>
      <c r="H1309" s="97">
        <v>259.01</v>
      </c>
      <c r="I1309" s="99">
        <f t="shared" si="20"/>
        <v>1.9323101141282883E-2</v>
      </c>
    </row>
    <row r="1310" spans="1:9" ht="16">
      <c r="A1310" s="161">
        <v>42515</v>
      </c>
      <c r="B1310" s="94">
        <v>4.01</v>
      </c>
      <c r="E1310" s="96"/>
      <c r="F1310" s="97"/>
      <c r="G1310" s="96">
        <v>42537</v>
      </c>
      <c r="H1310" s="97">
        <v>260.51</v>
      </c>
      <c r="I1310" s="99">
        <f t="shared" si="20"/>
        <v>5.7912821898769007E-3</v>
      </c>
    </row>
    <row r="1311" spans="1:9" ht="16">
      <c r="A1311" s="161">
        <v>42516</v>
      </c>
      <c r="B1311" s="94">
        <v>3.99</v>
      </c>
      <c r="E1311" s="96"/>
      <c r="F1311" s="97"/>
      <c r="G1311" s="96">
        <v>42538</v>
      </c>
      <c r="H1311" s="97">
        <v>260.85000000000002</v>
      </c>
      <c r="I1311" s="99">
        <f t="shared" si="20"/>
        <v>1.3051322406050225E-3</v>
      </c>
    </row>
    <row r="1312" spans="1:9" ht="16">
      <c r="A1312" s="161">
        <v>42517</v>
      </c>
      <c r="B1312" s="94">
        <v>3.98</v>
      </c>
      <c r="E1312" s="96"/>
      <c r="F1312" s="97"/>
      <c r="G1312" s="96">
        <v>42539</v>
      </c>
      <c r="H1312" s="97">
        <v>262.5</v>
      </c>
      <c r="I1312" s="99">
        <f t="shared" si="20"/>
        <v>6.3254744105807337E-3</v>
      </c>
    </row>
    <row r="1313" spans="1:9" ht="16">
      <c r="A1313" s="161">
        <v>42518</v>
      </c>
      <c r="B1313" s="94">
        <v>3.98</v>
      </c>
      <c r="E1313" s="96"/>
      <c r="F1313" s="97"/>
      <c r="G1313" s="96">
        <v>42542</v>
      </c>
      <c r="H1313" s="97">
        <v>262.77</v>
      </c>
      <c r="I1313" s="99">
        <f t="shared" si="20"/>
        <v>1.0285714285713787E-3</v>
      </c>
    </row>
    <row r="1314" spans="1:9" ht="16">
      <c r="A1314" s="161">
        <v>42520</v>
      </c>
      <c r="B1314" s="94">
        <v>3.99</v>
      </c>
      <c r="E1314" s="96"/>
      <c r="F1314" s="97"/>
      <c r="G1314" s="96">
        <v>42543</v>
      </c>
      <c r="H1314" s="97">
        <v>266.39999999999998</v>
      </c>
      <c r="I1314" s="99">
        <f t="shared" si="20"/>
        <v>1.381436237013367E-2</v>
      </c>
    </row>
    <row r="1315" spans="1:9" ht="16">
      <c r="A1315" s="161">
        <v>42521</v>
      </c>
      <c r="B1315" s="94">
        <v>3.96</v>
      </c>
      <c r="E1315" s="96"/>
      <c r="F1315" s="97"/>
      <c r="G1315" s="96">
        <v>42544</v>
      </c>
      <c r="H1315" s="97">
        <v>264.45999999999998</v>
      </c>
      <c r="I1315" s="99">
        <f t="shared" si="20"/>
        <v>-7.2822822822822264E-3</v>
      </c>
    </row>
    <row r="1316" spans="1:9" ht="16">
      <c r="A1316" s="161">
        <v>42522</v>
      </c>
      <c r="B1316" s="94">
        <v>3.93</v>
      </c>
      <c r="E1316" s="96"/>
      <c r="F1316" s="97"/>
      <c r="G1316" s="96">
        <v>42545</v>
      </c>
      <c r="H1316" s="97">
        <v>263.75</v>
      </c>
      <c r="I1316" s="99">
        <f t="shared" si="20"/>
        <v>-2.6847160251076696E-3</v>
      </c>
    </row>
    <row r="1317" spans="1:9" ht="16">
      <c r="A1317" s="161">
        <v>42523</v>
      </c>
      <c r="B1317" s="94">
        <v>3.88</v>
      </c>
      <c r="E1317" s="96"/>
      <c r="F1317" s="97"/>
      <c r="G1317" s="96">
        <v>42546</v>
      </c>
      <c r="H1317" s="97">
        <v>261.81</v>
      </c>
      <c r="I1317" s="99">
        <f t="shared" si="20"/>
        <v>-7.3554502369668207E-3</v>
      </c>
    </row>
    <row r="1318" spans="1:9" ht="16">
      <c r="A1318" s="161">
        <v>42524</v>
      </c>
      <c r="B1318" s="94">
        <v>3.87</v>
      </c>
      <c r="E1318" s="96"/>
      <c r="F1318" s="97"/>
      <c r="G1318" s="96">
        <v>42549</v>
      </c>
      <c r="H1318" s="97">
        <v>261.11</v>
      </c>
      <c r="I1318" s="99">
        <f t="shared" si="20"/>
        <v>-2.6736946640693038E-3</v>
      </c>
    </row>
    <row r="1319" spans="1:9" ht="16">
      <c r="A1319" s="161">
        <v>42525</v>
      </c>
      <c r="B1319" s="94">
        <v>3.82</v>
      </c>
      <c r="G1319" s="96">
        <v>42550</v>
      </c>
      <c r="H1319" s="97">
        <v>261.23</v>
      </c>
      <c r="I1319" s="99">
        <f t="shared" si="20"/>
        <v>4.5957642372940199E-4</v>
      </c>
    </row>
    <row r="1320" spans="1:9" ht="16">
      <c r="A1320" s="161">
        <v>42528</v>
      </c>
      <c r="B1320" s="94">
        <v>3.76</v>
      </c>
      <c r="G1320" s="96">
        <v>42551</v>
      </c>
      <c r="H1320" s="97">
        <v>262.85000000000002</v>
      </c>
      <c r="I1320" s="99">
        <f t="shared" si="20"/>
        <v>6.2014316885503629E-3</v>
      </c>
    </row>
    <row r="1321" spans="1:9">
      <c r="A1321" s="161">
        <v>42529</v>
      </c>
      <c r="B1321" s="94">
        <v>3.74</v>
      </c>
    </row>
    <row r="1322" spans="1:9">
      <c r="A1322" s="161">
        <v>42530</v>
      </c>
      <c r="B1322" s="94">
        <v>3.73</v>
      </c>
    </row>
    <row r="1323" spans="1:9">
      <c r="A1323" s="161">
        <v>42531</v>
      </c>
      <c r="B1323" s="94">
        <v>3.75</v>
      </c>
    </row>
    <row r="1324" spans="1:9">
      <c r="A1324" s="161">
        <v>42532</v>
      </c>
      <c r="B1324" s="94">
        <v>3.76</v>
      </c>
    </row>
    <row r="1325" spans="1:9">
      <c r="A1325" s="161">
        <v>42535</v>
      </c>
      <c r="B1325" s="94">
        <v>3.79</v>
      </c>
    </row>
    <row r="1326" spans="1:9">
      <c r="A1326" s="161">
        <v>42536</v>
      </c>
      <c r="B1326" s="94">
        <v>3.74</v>
      </c>
    </row>
    <row r="1327" spans="1:9">
      <c r="A1327" s="161">
        <v>42537</v>
      </c>
      <c r="B1327" s="94">
        <v>3.75</v>
      </c>
    </row>
    <row r="1328" spans="1:9">
      <c r="A1328" s="161">
        <v>42538</v>
      </c>
      <c r="B1328" s="94">
        <v>3.74</v>
      </c>
    </row>
    <row r="1329" spans="1:2">
      <c r="A1329" s="161">
        <v>42539</v>
      </c>
      <c r="B1329" s="94">
        <v>3.72</v>
      </c>
    </row>
    <row r="1330" spans="1:2">
      <c r="A1330" s="161">
        <v>42542</v>
      </c>
      <c r="B1330" s="94">
        <v>3.72</v>
      </c>
    </row>
    <row r="1331" spans="1:2">
      <c r="A1331" s="161">
        <v>42543</v>
      </c>
      <c r="B1331" s="94">
        <v>3.71</v>
      </c>
    </row>
    <row r="1332" spans="1:2">
      <c r="A1332" s="161">
        <v>42544</v>
      </c>
      <c r="B1332" s="94">
        <v>3.72</v>
      </c>
    </row>
    <row r="1333" spans="1:2">
      <c r="A1333" s="161">
        <v>42545</v>
      </c>
      <c r="B1333" s="94">
        <v>3.72</v>
      </c>
    </row>
    <row r="1334" spans="1:2">
      <c r="A1334" s="161">
        <v>42546</v>
      </c>
      <c r="B1334" s="94">
        <v>3.71</v>
      </c>
    </row>
    <row r="1335" spans="1:2">
      <c r="A1335" s="161">
        <v>42549</v>
      </c>
      <c r="B1335" s="94">
        <v>3.71</v>
      </c>
    </row>
    <row r="1336" spans="1:2">
      <c r="A1336" s="161">
        <v>42550</v>
      </c>
      <c r="B1336" s="94">
        <v>3.62</v>
      </c>
    </row>
    <row r="1337" spans="1:2">
      <c r="A1337" s="161">
        <v>42551</v>
      </c>
      <c r="B1337" s="94">
        <v>3.62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topLeftCell="A3" workbookViewId="0">
      <selection activeCell="E17" sqref="E17"/>
    </sheetView>
  </sheetViews>
  <sheetFormatPr baseColWidth="10" defaultRowHeight="12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551</v>
      </c>
      <c r="E4" t="s">
        <v>553</v>
      </c>
    </row>
    <row r="5" spans="1:5">
      <c r="A5" s="22" t="s">
        <v>128</v>
      </c>
      <c r="B5" s="26">
        <v>6.3753854492697062E-2</v>
      </c>
      <c r="C5" s="26">
        <v>7.9823736579987092E-2</v>
      </c>
      <c r="D5" s="26">
        <v>0.13212373657998708</v>
      </c>
      <c r="E5" s="26">
        <v>0.28261428571428565</v>
      </c>
    </row>
    <row r="6" spans="1:5">
      <c r="A6" s="22" t="s">
        <v>129</v>
      </c>
      <c r="B6" s="26">
        <v>3.3188572922297363E-2</v>
      </c>
      <c r="C6" s="26">
        <v>4.1554129134554897E-2</v>
      </c>
      <c r="D6" s="26">
        <v>9.3854129134554889E-2</v>
      </c>
      <c r="E6" s="26">
        <v>0.24282608695652175</v>
      </c>
    </row>
    <row r="7" spans="1:5">
      <c r="A7" s="22" t="s">
        <v>53</v>
      </c>
      <c r="B7" s="26">
        <v>1.7610043986556027E-2</v>
      </c>
      <c r="C7" s="26">
        <v>2.2048855297146855E-2</v>
      </c>
      <c r="D7" s="26">
        <v>7.4348855297146854E-2</v>
      </c>
      <c r="E7" s="26">
        <v>0.28810000000000002</v>
      </c>
    </row>
    <row r="8" spans="1:5">
      <c r="A8" s="22" t="s">
        <v>54</v>
      </c>
      <c r="B8" s="26">
        <v>4.0707787051086929E-2</v>
      </c>
      <c r="C8" s="26">
        <v>5.0968646463444692E-2</v>
      </c>
      <c r="D8" s="26">
        <v>0.10326864646344468</v>
      </c>
      <c r="E8" s="26">
        <v>0.17784285714285714</v>
      </c>
    </row>
    <row r="9" spans="1:5">
      <c r="A9" s="22" t="s">
        <v>51</v>
      </c>
      <c r="B9" s="26">
        <v>5.2430171040801749E-2</v>
      </c>
      <c r="C9" s="26">
        <v>6.5645790286829361E-2</v>
      </c>
      <c r="D9" s="26">
        <v>0.11794579028682935</v>
      </c>
      <c r="E9" s="26">
        <v>0.27881111111111107</v>
      </c>
    </row>
    <row r="10" spans="1:5">
      <c r="A10" s="22" t="s">
        <v>125</v>
      </c>
      <c r="B10" s="26">
        <v>3.8706021864015713E-2</v>
      </c>
      <c r="C10" s="26">
        <v>4.8462313658013061E-2</v>
      </c>
      <c r="D10" s="26">
        <v>0.10076231365801307</v>
      </c>
      <c r="E10" s="26">
        <v>0.16136666666666666</v>
      </c>
    </row>
    <row r="11" spans="1:5">
      <c r="A11" s="22" t="s">
        <v>127</v>
      </c>
      <c r="B11" s="26">
        <v>3.5524130662567009E-2</v>
      </c>
      <c r="C11" s="26">
        <v>4.4478390691916718E-2</v>
      </c>
      <c r="D11" s="26">
        <v>9.677839069191671E-2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5.2299999999999999E-2</v>
      </c>
      <c r="E12" s="26">
        <v>0.25750000000000001</v>
      </c>
    </row>
    <row r="13" spans="1:5">
      <c r="A13" s="22" t="s">
        <v>126</v>
      </c>
      <c r="B13" s="26">
        <v>1.1983896898204345E-2</v>
      </c>
      <c r="C13" s="26">
        <v>1.5004574026399693E-2</v>
      </c>
      <c r="D13" s="26">
        <v>6.7304574026399694E-2</v>
      </c>
      <c r="E13" s="26">
        <v>0.19650384615384622</v>
      </c>
    </row>
    <row r="14" spans="1:5">
      <c r="A14" s="22" t="s">
        <v>172</v>
      </c>
      <c r="B14" s="26">
        <v>3.8528473640992142E-2</v>
      </c>
      <c r="C14" s="26">
        <v>4.8240012391718504E-2</v>
      </c>
      <c r="D14" s="26">
        <v>0.1005400123917187</v>
      </c>
      <c r="E14" s="26">
        <v>0.22273961038961038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abSelected="1" topLeftCell="A165" zoomScaleNormal="100" workbookViewId="0">
      <selection activeCell="A141" sqref="A141:H166"/>
    </sheetView>
  </sheetViews>
  <sheetFormatPr baseColWidth="10" defaultRowHeight="12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3" customFormat="1" ht="16">
      <c r="A1" s="63" t="s">
        <v>75</v>
      </c>
      <c r="B1" s="148" t="s">
        <v>567</v>
      </c>
      <c r="C1" s="11" t="s">
        <v>271</v>
      </c>
      <c r="D1" s="63" t="s">
        <v>36</v>
      </c>
      <c r="E1" s="63" t="s">
        <v>540</v>
      </c>
      <c r="F1" s="65" t="s">
        <v>37</v>
      </c>
      <c r="G1" s="65" t="s">
        <v>359</v>
      </c>
      <c r="H1" s="63" t="s">
        <v>52</v>
      </c>
      <c r="I1" s="73" t="s">
        <v>296</v>
      </c>
      <c r="J1" s="73" t="s">
        <v>302</v>
      </c>
      <c r="K1" s="73" t="s">
        <v>297</v>
      </c>
      <c r="L1" s="73" t="s">
        <v>298</v>
      </c>
      <c r="M1" s="73" t="s">
        <v>360</v>
      </c>
    </row>
    <row r="2" spans="1:13" s="47" customFormat="1" ht="16">
      <c r="A2" s="10" t="s">
        <v>131</v>
      </c>
      <c r="B2" s="148">
        <v>105.75098761862991</v>
      </c>
      <c r="C2" s="11" t="s">
        <v>78</v>
      </c>
      <c r="D2" s="24">
        <v>7.6333717721283945E-2</v>
      </c>
      <c r="E2" s="12">
        <v>0.14787449700947625</v>
      </c>
      <c r="F2" s="16">
        <v>9.5574497009476247E-2</v>
      </c>
      <c r="G2" s="16">
        <v>0.3</v>
      </c>
      <c r="H2" s="17" t="s">
        <v>128</v>
      </c>
      <c r="I2" s="74">
        <f t="shared" ref="I2:I28" si="0">B2/$B$31</f>
        <v>5.4752906663583636E-2</v>
      </c>
      <c r="J2" s="74">
        <f t="shared" ref="J2:J28" si="1">I2*D2</f>
        <v>4.1794929216778E-3</v>
      </c>
      <c r="K2" s="74">
        <f t="shared" ref="K2:K28" si="2">I2*E2</f>
        <v>8.0965585326842303E-3</v>
      </c>
      <c r="L2" s="74">
        <f t="shared" ref="L2:L28" si="3">I2*F2</f>
        <v>5.2329815141788066E-3</v>
      </c>
      <c r="M2" s="74">
        <f>I2*G2</f>
        <v>1.6425871999075092E-2</v>
      </c>
    </row>
    <row r="3" spans="1:13" s="47" customFormat="1" ht="16">
      <c r="A3" s="10" t="s">
        <v>208</v>
      </c>
      <c r="B3" s="148">
        <v>10.354274634910833</v>
      </c>
      <c r="C3" s="11" t="s">
        <v>49</v>
      </c>
      <c r="D3" s="24">
        <v>6.4581924840476007E-2</v>
      </c>
      <c r="E3" s="12">
        <v>0.13316053145045842</v>
      </c>
      <c r="F3" s="16">
        <v>8.0860531450458406E-2</v>
      </c>
      <c r="G3" s="16">
        <v>0.3</v>
      </c>
      <c r="H3" s="17" t="s">
        <v>128</v>
      </c>
      <c r="I3" s="74">
        <f t="shared" ref="I3" si="4">B3/$B$31</f>
        <v>5.3609582796417324E-3</v>
      </c>
      <c r="J3" s="74">
        <f t="shared" ref="J3" si="5">I3*D3</f>
        <v>3.4622100468874989E-4</v>
      </c>
      <c r="K3" s="74">
        <f t="shared" ref="K3" si="6">I3*E3</f>
        <v>7.1386805360082841E-4</v>
      </c>
      <c r="L3" s="74">
        <f t="shared" ref="L3" si="7">I3*F3</f>
        <v>4.3348993557556571E-4</v>
      </c>
      <c r="M3" s="74">
        <f>I3*G3</f>
        <v>1.6082874838925197E-3</v>
      </c>
    </row>
    <row r="4" spans="1:13" s="47" customFormat="1" ht="16">
      <c r="A4" s="10" t="s">
        <v>123</v>
      </c>
      <c r="B4" s="148">
        <v>18.616018903443408</v>
      </c>
      <c r="C4" s="11" t="s">
        <v>42</v>
      </c>
      <c r="D4" s="24">
        <v>9.9519687459094178E-3</v>
      </c>
      <c r="E4" s="12">
        <v>6.4760475338267356E-2</v>
      </c>
      <c r="F4" s="16">
        <v>1.2460475338267361E-2</v>
      </c>
      <c r="G4" s="16">
        <v>0.22</v>
      </c>
      <c r="H4" s="17" t="s">
        <v>128</v>
      </c>
      <c r="I4" s="74">
        <f t="shared" si="0"/>
        <v>9.6385023763899211E-3</v>
      </c>
      <c r="J4" s="74">
        <f t="shared" si="1"/>
        <v>9.5922074407206153E-5</v>
      </c>
      <c r="K4" s="74">
        <f t="shared" si="2"/>
        <v>6.241939954440308E-4</v>
      </c>
      <c r="L4" s="74">
        <f t="shared" si="3"/>
        <v>1.2010032115883796E-4</v>
      </c>
      <c r="M4" s="74">
        <f t="shared" ref="M4:M76" si="8">I4*G4</f>
        <v>2.1204705228057828E-3</v>
      </c>
    </row>
    <row r="5" spans="1:13" s="47" customFormat="1" ht="16">
      <c r="A5" s="10" t="s">
        <v>211</v>
      </c>
      <c r="B5" s="148">
        <v>14.124775068568976</v>
      </c>
      <c r="C5" s="11" t="s">
        <v>49</v>
      </c>
      <c r="D5" s="24">
        <v>6.4581924840476007E-2</v>
      </c>
      <c r="E5" s="12">
        <v>0.13316053145045842</v>
      </c>
      <c r="F5" s="16">
        <v>8.0860531450458406E-2</v>
      </c>
      <c r="G5" s="16">
        <v>0.28000000000000003</v>
      </c>
      <c r="H5" s="17" t="s">
        <v>128</v>
      </c>
      <c r="I5" s="74">
        <f t="shared" si="0"/>
        <v>7.313146745848707E-3</v>
      </c>
      <c r="J5" s="74">
        <f t="shared" si="1"/>
        <v>4.7229709348777291E-4</v>
      </c>
      <c r="K5" s="74">
        <f t="shared" si="2"/>
        <v>9.7382250725240442E-4</v>
      </c>
      <c r="L5" s="74">
        <f t="shared" si="3"/>
        <v>5.9134493244451694E-4</v>
      </c>
      <c r="M5" s="74">
        <f t="shared" si="8"/>
        <v>2.0476810888376382E-3</v>
      </c>
    </row>
    <row r="6" spans="1:13" s="47" customFormat="1" ht="16">
      <c r="A6" s="10" t="s">
        <v>212</v>
      </c>
      <c r="B6" s="148">
        <v>38.675205293046218</v>
      </c>
      <c r="C6" s="11" t="s">
        <v>49</v>
      </c>
      <c r="D6" s="24">
        <v>6.4581924840476007E-2</v>
      </c>
      <c r="E6" s="12">
        <v>0.13316053145045842</v>
      </c>
      <c r="F6" s="16">
        <v>8.0860531450458406E-2</v>
      </c>
      <c r="G6" s="16">
        <v>0.33</v>
      </c>
      <c r="H6" s="17" t="s">
        <v>128</v>
      </c>
      <c r="I6" s="74">
        <f t="shared" si="0"/>
        <v>2.0024209260737402E-2</v>
      </c>
      <c r="J6" s="74">
        <f t="shared" si="1"/>
        <v>1.2932019774669066E-3</v>
      </c>
      <c r="K6" s="74">
        <f t="shared" si="2"/>
        <v>2.6664343470349833E-3</v>
      </c>
      <c r="L6" s="74">
        <f t="shared" si="3"/>
        <v>1.6191682026984171E-3</v>
      </c>
      <c r="M6" s="74">
        <f t="shared" si="8"/>
        <v>6.6079890560433426E-3</v>
      </c>
    </row>
    <row r="7" spans="1:13" s="47" customFormat="1" ht="16">
      <c r="A7" s="10" t="s">
        <v>213</v>
      </c>
      <c r="B7" s="148">
        <v>1.9</v>
      </c>
      <c r="C7" s="11" t="s">
        <v>49</v>
      </c>
      <c r="D7" s="24">
        <v>6.4581924840476007E-2</v>
      </c>
      <c r="E7" s="12">
        <v>0.13316053145045842</v>
      </c>
      <c r="F7" s="16">
        <v>8.0860531450458406E-2</v>
      </c>
      <c r="G7" s="16">
        <v>0</v>
      </c>
      <c r="H7" s="17" t="s">
        <v>128</v>
      </c>
      <c r="I7" s="74">
        <f t="shared" si="0"/>
        <v>9.8373097976138502E-4</v>
      </c>
      <c r="J7" s="74">
        <f t="shared" si="1"/>
        <v>6.3531240198197594E-5</v>
      </c>
      <c r="K7" s="74">
        <f t="shared" si="2"/>
        <v>1.309941400693062E-4</v>
      </c>
      <c r="L7" s="74">
        <f t="shared" si="3"/>
        <v>7.9545009827785732E-5</v>
      </c>
      <c r="M7" s="74">
        <f t="shared" si="8"/>
        <v>0</v>
      </c>
    </row>
    <row r="8" spans="1:13" s="47" customFormat="1" ht="16">
      <c r="A8" s="10" t="s">
        <v>288</v>
      </c>
      <c r="B8" s="148">
        <v>47.227535290921828</v>
      </c>
      <c r="C8" s="11" t="s">
        <v>100</v>
      </c>
      <c r="D8" s="24">
        <v>8.7979638594156681E-2</v>
      </c>
      <c r="E8" s="12">
        <v>0.16245590432021467</v>
      </c>
      <c r="F8" s="16">
        <v>0.11015590432021467</v>
      </c>
      <c r="G8" s="16">
        <v>0.35</v>
      </c>
      <c r="H8" s="17" t="s">
        <v>128</v>
      </c>
      <c r="I8" s="74">
        <f t="shared" si="0"/>
        <v>2.44522050333968E-2</v>
      </c>
      <c r="J8" s="74">
        <f t="shared" si="1"/>
        <v>2.1512961616684694E-3</v>
      </c>
      <c r="K8" s="74">
        <f t="shared" si="2"/>
        <v>3.9724050813237819E-3</v>
      </c>
      <c r="L8" s="74">
        <f t="shared" si="3"/>
        <v>2.6935547580771296E-3</v>
      </c>
      <c r="M8" s="74">
        <f t="shared" si="8"/>
        <v>8.5582717616888796E-3</v>
      </c>
    </row>
    <row r="9" spans="1:13" s="47" customFormat="1" ht="16">
      <c r="A9" s="10" t="s">
        <v>289</v>
      </c>
      <c r="B9" s="148">
        <v>11.263682694039259</v>
      </c>
      <c r="C9" s="11" t="s">
        <v>58</v>
      </c>
      <c r="D9" s="24">
        <v>0.10566026391933617</v>
      </c>
      <c r="E9" s="12">
        <v>0.18459313178288111</v>
      </c>
      <c r="F9" s="16">
        <v>0.13229313178288113</v>
      </c>
      <c r="G9" s="16">
        <v>0.3236</v>
      </c>
      <c r="H9" s="17" t="s">
        <v>128</v>
      </c>
      <c r="I9" s="74">
        <f t="shared" si="0"/>
        <v>5.8318071643834726E-3</v>
      </c>
      <c r="J9" s="74">
        <f t="shared" si="1"/>
        <v>6.1619028411543319E-4</v>
      </c>
      <c r="K9" s="74">
        <f t="shared" si="2"/>
        <v>1.0765115484273886E-3</v>
      </c>
      <c r="L9" s="74">
        <f t="shared" si="3"/>
        <v>7.7150803373013301E-4</v>
      </c>
      <c r="M9" s="74">
        <f t="shared" si="8"/>
        <v>1.8871727983944917E-3</v>
      </c>
    </row>
    <row r="10" spans="1:13" s="47" customFormat="1" ht="16">
      <c r="A10" s="10" t="s">
        <v>284</v>
      </c>
      <c r="B10" s="148">
        <v>43.007047821754135</v>
      </c>
      <c r="C10" s="11" t="s">
        <v>81</v>
      </c>
      <c r="D10" s="24">
        <v>4.2242931166147427E-2</v>
      </c>
      <c r="E10" s="12">
        <v>0.10519074106349657</v>
      </c>
      <c r="F10" s="16">
        <v>5.2890741063496567E-2</v>
      </c>
      <c r="G10" s="16">
        <v>0.25</v>
      </c>
      <c r="H10" s="17" t="s">
        <v>128</v>
      </c>
      <c r="I10" s="74">
        <f t="shared" si="0"/>
        <v>2.2267034363336283E-2</v>
      </c>
      <c r="J10" s="74">
        <f t="shared" si="1"/>
        <v>9.4062479988465399E-4</v>
      </c>
      <c r="K10" s="74">
        <f t="shared" si="2"/>
        <v>2.3422858459656872E-3</v>
      </c>
      <c r="L10" s="74">
        <f t="shared" si="3"/>
        <v>1.1777199487631995E-3</v>
      </c>
      <c r="M10" s="74">
        <f t="shared" si="8"/>
        <v>5.5667585908340707E-3</v>
      </c>
    </row>
    <row r="11" spans="1:13" s="47" customFormat="1" ht="16">
      <c r="A11" s="10" t="s">
        <v>105</v>
      </c>
      <c r="B11" s="148">
        <v>250.89476035123232</v>
      </c>
      <c r="C11" s="11" t="s">
        <v>49</v>
      </c>
      <c r="D11" s="24">
        <v>6.4581924840476007E-2</v>
      </c>
      <c r="E11" s="12">
        <v>0.13316053145045842</v>
      </c>
      <c r="F11" s="16">
        <v>8.0860531450458406E-2</v>
      </c>
      <c r="G11" s="16">
        <v>0.22500000000000001</v>
      </c>
      <c r="H11" s="17" t="s">
        <v>128</v>
      </c>
      <c r="I11" s="74">
        <f t="shared" si="0"/>
        <v>0.1299015517985872</v>
      </c>
      <c r="J11" s="74">
        <f t="shared" si="1"/>
        <v>8.3892922549175589E-3</v>
      </c>
      <c r="K11" s="74">
        <f t="shared" si="2"/>
        <v>1.7297759673739123E-2</v>
      </c>
      <c r="L11" s="74">
        <f t="shared" si="3"/>
        <v>1.0503908514673012E-2</v>
      </c>
      <c r="M11" s="74">
        <f t="shared" si="8"/>
        <v>2.9227849154682121E-2</v>
      </c>
    </row>
    <row r="12" spans="1:13" s="47" customFormat="1" ht="16">
      <c r="A12" s="10" t="s">
        <v>285</v>
      </c>
      <c r="B12" s="148">
        <v>84.355604752529857</v>
      </c>
      <c r="C12" s="11" t="s">
        <v>49</v>
      </c>
      <c r="D12" s="24">
        <v>6.4581924840476007E-2</v>
      </c>
      <c r="E12" s="12">
        <v>0.13316053145045842</v>
      </c>
      <c r="F12" s="16">
        <v>8.0860531450458406E-2</v>
      </c>
      <c r="G12" s="16">
        <v>0.3</v>
      </c>
      <c r="H12" s="17" t="s">
        <v>128</v>
      </c>
      <c r="I12" s="74">
        <f t="shared" si="0"/>
        <v>4.3675379848194917E-2</v>
      </c>
      <c r="J12" s="74">
        <f t="shared" si="1"/>
        <v>2.8206400987353646E-3</v>
      </c>
      <c r="K12" s="74">
        <f t="shared" si="2"/>
        <v>5.8158367918862775E-3</v>
      </c>
      <c r="L12" s="74">
        <f t="shared" si="3"/>
        <v>3.5316144258256822E-3</v>
      </c>
      <c r="M12" s="74">
        <f t="shared" si="8"/>
        <v>1.3102613954458475E-2</v>
      </c>
    </row>
    <row r="13" spans="1:13" s="47" customFormat="1" ht="16">
      <c r="A13" s="10" t="s">
        <v>220</v>
      </c>
      <c r="B13" s="148">
        <v>16.853589311413938</v>
      </c>
      <c r="C13" s="11" t="s">
        <v>100</v>
      </c>
      <c r="D13" s="24">
        <v>8.7979638594156681E-2</v>
      </c>
      <c r="E13" s="12">
        <v>0.16245590432021467</v>
      </c>
      <c r="F13" s="16">
        <v>0.11015590432021467</v>
      </c>
      <c r="G13" s="16">
        <v>0.3</v>
      </c>
      <c r="H13" s="17" t="s">
        <v>128</v>
      </c>
      <c r="I13" s="74">
        <f t="shared" si="0"/>
        <v>8.7259989083227577E-3</v>
      </c>
      <c r="J13" s="74">
        <f t="shared" si="1"/>
        <v>7.6771023032724199E-4</v>
      </c>
      <c r="K13" s="74">
        <f t="shared" si="2"/>
        <v>1.4175900437487796E-3</v>
      </c>
      <c r="L13" s="74">
        <f t="shared" si="3"/>
        <v>9.6122030084349935E-4</v>
      </c>
      <c r="M13" s="74">
        <f t="shared" si="8"/>
        <v>2.6177996724968274E-3</v>
      </c>
    </row>
    <row r="14" spans="1:13" s="47" customFormat="1" ht="16">
      <c r="A14" s="10" t="s">
        <v>221</v>
      </c>
      <c r="B14" s="148">
        <v>65.55646404815387</v>
      </c>
      <c r="C14" s="11" t="s">
        <v>78</v>
      </c>
      <c r="D14" s="24">
        <v>7.6333717721283945E-2</v>
      </c>
      <c r="E14" s="12">
        <v>0.14787449700947625</v>
      </c>
      <c r="F14" s="16">
        <v>9.5574497009476247E-2</v>
      </c>
      <c r="G14" s="16">
        <v>0.25</v>
      </c>
      <c r="H14" s="17" t="s">
        <v>128</v>
      </c>
      <c r="I14" s="74">
        <f t="shared" si="0"/>
        <v>3.3942065583043385E-2</v>
      </c>
      <c r="J14" s="74">
        <f t="shared" si="1"/>
        <v>2.5909240530933406E-3</v>
      </c>
      <c r="K14" s="74">
        <f t="shared" si="2"/>
        <v>5.019165875555196E-3</v>
      </c>
      <c r="L14" s="74">
        <f t="shared" si="3"/>
        <v>3.2439958455620266E-3</v>
      </c>
      <c r="M14" s="74">
        <f t="shared" si="8"/>
        <v>8.4855163957608462E-3</v>
      </c>
    </row>
    <row r="15" spans="1:13" s="47" customFormat="1" ht="16">
      <c r="A15" s="10" t="s">
        <v>184</v>
      </c>
      <c r="B15" s="148">
        <v>87.908262519916363</v>
      </c>
      <c r="C15" s="11" t="s">
        <v>49</v>
      </c>
      <c r="D15" s="24">
        <v>6.4581924840476007E-2</v>
      </c>
      <c r="E15" s="12">
        <v>0.13316053145045842</v>
      </c>
      <c r="F15" s="16">
        <v>8.0860531450458406E-2</v>
      </c>
      <c r="G15" s="16">
        <v>0.3</v>
      </c>
      <c r="H15" s="17" t="s">
        <v>128</v>
      </c>
      <c r="I15" s="74">
        <f t="shared" si="0"/>
        <v>4.5514779588335982E-2</v>
      </c>
      <c r="J15" s="74">
        <f t="shared" si="1"/>
        <v>2.9394320745047458E-3</v>
      </c>
      <c r="K15" s="74">
        <f t="shared" si="2"/>
        <v>6.0607722388332968E-3</v>
      </c>
      <c r="L15" s="74">
        <f t="shared" si="3"/>
        <v>3.6803492663633241E-3</v>
      </c>
      <c r="M15" s="74">
        <f t="shared" si="8"/>
        <v>1.3654433876500794E-2</v>
      </c>
    </row>
    <row r="16" spans="1:13" s="47" customFormat="1" ht="16">
      <c r="A16" s="10" t="s">
        <v>326</v>
      </c>
      <c r="B16" s="148">
        <v>17.163432832095715</v>
      </c>
      <c r="C16" s="11" t="s">
        <v>78</v>
      </c>
      <c r="D16" s="24">
        <v>7.6333717721283945E-2</v>
      </c>
      <c r="E16" s="12">
        <v>0.14787449700947625</v>
      </c>
      <c r="F16" s="16">
        <v>9.5574497009476247E-2</v>
      </c>
      <c r="G16" s="16">
        <v>0.28239999999999998</v>
      </c>
      <c r="H16" s="17" t="s">
        <v>128</v>
      </c>
      <c r="I16" s="74">
        <f t="shared" si="0"/>
        <v>8.886421366308548E-3</v>
      </c>
      <c r="J16" s="74">
        <f t="shared" si="1"/>
        <v>6.7833358012818305E-4</v>
      </c>
      <c r="K16" s="74">
        <f t="shared" si="2"/>
        <v>1.3140750897571393E-3</v>
      </c>
      <c r="L16" s="74">
        <f t="shared" si="3"/>
        <v>8.4931525229920216E-4</v>
      </c>
      <c r="M16" s="74">
        <f t="shared" si="8"/>
        <v>2.5095253938455337E-3</v>
      </c>
    </row>
    <row r="17" spans="1:13" s="47" customFormat="1" ht="16">
      <c r="A17" s="10" t="s">
        <v>18</v>
      </c>
      <c r="B17" s="148">
        <v>117.92139440236093</v>
      </c>
      <c r="C17" s="11" t="s">
        <v>79</v>
      </c>
      <c r="D17" s="24">
        <v>2.9326546198052226E-2</v>
      </c>
      <c r="E17" s="12">
        <v>8.9018634773404881E-2</v>
      </c>
      <c r="F17" s="16">
        <v>3.6718634773404889E-2</v>
      </c>
      <c r="G17" s="16">
        <v>0.31</v>
      </c>
      <c r="H17" s="17" t="s">
        <v>128</v>
      </c>
      <c r="I17" s="74">
        <f t="shared" si="0"/>
        <v>6.1054173079085915E-2</v>
      </c>
      <c r="J17" s="74">
        <f t="shared" si="1"/>
        <v>1.7905080273876897E-3</v>
      </c>
      <c r="K17" s="74">
        <f t="shared" si="2"/>
        <v>5.4349591347193976E-3</v>
      </c>
      <c r="L17" s="74">
        <f t="shared" si="3"/>
        <v>2.2418258826832045E-3</v>
      </c>
      <c r="M17" s="74">
        <f t="shared" si="8"/>
        <v>1.8926793654516633E-2</v>
      </c>
    </row>
    <row r="18" spans="1:13" s="47" customFormat="1" ht="16">
      <c r="A18" s="10" t="s">
        <v>226</v>
      </c>
      <c r="B18" s="148">
        <v>14.717223206900039</v>
      </c>
      <c r="C18" s="11" t="s">
        <v>58</v>
      </c>
      <c r="D18" s="24">
        <v>0.10566026391933617</v>
      </c>
      <c r="E18" s="12">
        <v>0.18459313178288111</v>
      </c>
      <c r="F18" s="16">
        <v>0.13229313178288113</v>
      </c>
      <c r="G18" s="16">
        <v>0.32</v>
      </c>
      <c r="H18" s="17" t="s">
        <v>128</v>
      </c>
      <c r="I18" s="74">
        <f t="shared" si="0"/>
        <v>7.6198886340477735E-3</v>
      </c>
      <c r="J18" s="74">
        <f t="shared" si="1"/>
        <v>8.0511944410943768E-4</v>
      </c>
      <c r="K18" s="74">
        <f t="shared" si="2"/>
        <v>1.4065791067956587E-3</v>
      </c>
      <c r="L18" s="74">
        <f t="shared" si="3"/>
        <v>1.0080589312349603E-3</v>
      </c>
      <c r="M18" s="74">
        <f t="shared" si="8"/>
        <v>2.4383643628952878E-3</v>
      </c>
    </row>
    <row r="19" spans="1:13" s="47" customFormat="1" ht="16">
      <c r="A19" s="10" t="s">
        <v>136</v>
      </c>
      <c r="B19" s="148">
        <v>14.521711633953341</v>
      </c>
      <c r="C19" s="11" t="s">
        <v>80</v>
      </c>
      <c r="D19" s="24">
        <v>3.5255378642423785E-2</v>
      </c>
      <c r="E19" s="12">
        <v>9.6441896677053524E-2</v>
      </c>
      <c r="F19" s="16">
        <v>4.4141896677053517E-2</v>
      </c>
      <c r="G19" s="16">
        <v>0.32</v>
      </c>
      <c r="H19" s="17" t="s">
        <v>128</v>
      </c>
      <c r="I19" s="74">
        <f t="shared" si="0"/>
        <v>7.5186619018322237E-3</v>
      </c>
      <c r="J19" s="74">
        <f t="shared" si="1"/>
        <v>2.650732722334612E-4</v>
      </c>
      <c r="K19" s="74">
        <f t="shared" si="2"/>
        <v>7.2511401428620211E-4</v>
      </c>
      <c r="L19" s="74">
        <f t="shared" si="3"/>
        <v>3.3188799682037673E-4</v>
      </c>
      <c r="M19" s="74">
        <f t="shared" si="8"/>
        <v>2.4059718085863119E-3</v>
      </c>
    </row>
    <row r="20" spans="1:13" s="47" customFormat="1" ht="16">
      <c r="A20" s="10" t="s">
        <v>322</v>
      </c>
      <c r="B20" s="148">
        <v>9.2909384572883038</v>
      </c>
      <c r="C20" s="11" t="s">
        <v>78</v>
      </c>
      <c r="D20" s="24">
        <v>7.6333717721283945E-2</v>
      </c>
      <c r="E20" s="12">
        <v>0.14787449700947625</v>
      </c>
      <c r="F20" s="16">
        <v>9.5574497009476247E-2</v>
      </c>
      <c r="G20" s="16">
        <v>0.3236</v>
      </c>
      <c r="H20" s="17" t="s">
        <v>128</v>
      </c>
      <c r="I20" s="74">
        <f t="shared" ref="I20" si="9">B20/$B$31</f>
        <v>4.8104126271005026E-3</v>
      </c>
      <c r="J20" s="74">
        <f t="shared" ref="J20" si="10">I20*D20</f>
        <v>3.671966795999897E-4</v>
      </c>
      <c r="K20" s="74">
        <f t="shared" ref="K20" si="11">I20*E20</f>
        <v>7.1133734764052003E-4</v>
      </c>
      <c r="L20" s="74">
        <f t="shared" ref="L20" si="12">I20*F20</f>
        <v>4.5975276724316376E-4</v>
      </c>
      <c r="M20" s="74">
        <f t="shared" ref="M20" si="13">I20*G20</f>
        <v>1.5566495261297227E-3</v>
      </c>
    </row>
    <row r="21" spans="1:13" s="47" customFormat="1" ht="16">
      <c r="A21" s="10" t="s">
        <v>188</v>
      </c>
      <c r="B21" s="148">
        <v>397.26961608090772</v>
      </c>
      <c r="C21" s="11" t="s">
        <v>49</v>
      </c>
      <c r="D21" s="24">
        <v>6.4581924840476007E-2</v>
      </c>
      <c r="E21" s="12">
        <v>0.13316053145045842</v>
      </c>
      <c r="F21" s="16">
        <v>8.0860531450458406E-2</v>
      </c>
      <c r="G21" s="16">
        <v>0.3</v>
      </c>
      <c r="H21" s="17" t="s">
        <v>128</v>
      </c>
      <c r="I21" s="74">
        <f t="shared" si="0"/>
        <v>0.20568759402984246</v>
      </c>
      <c r="J21" s="74">
        <f t="shared" si="1"/>
        <v>1.3283700738253627E-2</v>
      </c>
      <c r="K21" s="74">
        <f t="shared" si="2"/>
        <v>2.7389469333779962E-2</v>
      </c>
      <c r="L21" s="74">
        <f t="shared" si="3"/>
        <v>1.6632008166019199E-2</v>
      </c>
      <c r="M21" s="74">
        <f t="shared" si="8"/>
        <v>6.1706278208952733E-2</v>
      </c>
    </row>
    <row r="22" spans="1:13" s="47" customFormat="1" ht="16">
      <c r="A22" s="10" t="s">
        <v>227</v>
      </c>
      <c r="B22" s="148">
        <v>9.5087155964368009</v>
      </c>
      <c r="C22" s="11" t="s">
        <v>49</v>
      </c>
      <c r="D22" s="24">
        <v>6.4581924840476007E-2</v>
      </c>
      <c r="E22" s="12">
        <v>0.13316053145045842</v>
      </c>
      <c r="F22" s="16">
        <v>8.0860531450458406E-2</v>
      </c>
      <c r="G22" s="16">
        <v>0.3</v>
      </c>
      <c r="H22" s="17" t="s">
        <v>128</v>
      </c>
      <c r="I22" s="74">
        <f t="shared" si="0"/>
        <v>4.9231674262921778E-3</v>
      </c>
      <c r="J22" s="74">
        <f t="shared" si="1"/>
        <v>3.1794762870188115E-4</v>
      </c>
      <c r="K22" s="74">
        <f t="shared" si="2"/>
        <v>6.5557159090465201E-4</v>
      </c>
      <c r="L22" s="74">
        <f t="shared" si="3"/>
        <v>3.9808993450957098E-4</v>
      </c>
      <c r="M22" s="74">
        <f t="shared" si="8"/>
        <v>1.4769502278876533E-3</v>
      </c>
    </row>
    <row r="23" spans="1:13" s="47" customFormat="1" ht="16">
      <c r="A23" s="10" t="s">
        <v>135</v>
      </c>
      <c r="B23" s="148">
        <v>24.129599551786896</v>
      </c>
      <c r="C23" s="11" t="s">
        <v>81</v>
      </c>
      <c r="D23" s="24">
        <v>4.2242931166147427E-2</v>
      </c>
      <c r="E23" s="12">
        <v>0.10519074106349657</v>
      </c>
      <c r="F23" s="16">
        <v>5.2890741063496567E-2</v>
      </c>
      <c r="G23" s="16">
        <v>0.3</v>
      </c>
      <c r="H23" s="17" t="s">
        <v>128</v>
      </c>
      <c r="I23" s="74">
        <f t="shared" si="0"/>
        <v>1.2493176109646948E-2</v>
      </c>
      <c r="J23" s="74">
        <f t="shared" si="1"/>
        <v>5.277483784463735E-4</v>
      </c>
      <c r="K23" s="74">
        <f t="shared" si="2"/>
        <v>1.3141664532105336E-3</v>
      </c>
      <c r="L23" s="74">
        <f t="shared" si="3"/>
        <v>6.6077334267599806E-4</v>
      </c>
      <c r="M23" s="74">
        <f t="shared" si="8"/>
        <v>3.7479528328940841E-3</v>
      </c>
    </row>
    <row r="24" spans="1:13" s="47" customFormat="1" ht="16">
      <c r="A24" s="10" t="s">
        <v>76</v>
      </c>
      <c r="B24" s="148">
        <v>368.28893976832228</v>
      </c>
      <c r="C24" s="11" t="s">
        <v>79</v>
      </c>
      <c r="D24" s="24">
        <v>2.9326546198052226E-2</v>
      </c>
      <c r="E24" s="12">
        <v>8.9018634773404881E-2</v>
      </c>
      <c r="F24" s="16">
        <v>3.6718634773404889E-2</v>
      </c>
      <c r="G24" s="16">
        <v>0.28000000000000003</v>
      </c>
      <c r="H24" s="17" t="s">
        <v>128</v>
      </c>
      <c r="I24" s="74">
        <f t="shared" si="0"/>
        <v>0.19068275765977549</v>
      </c>
      <c r="J24" s="74">
        <f t="shared" si="1"/>
        <v>5.5920667016814028E-3</v>
      </c>
      <c r="K24" s="74">
        <f t="shared" si="2"/>
        <v>1.6974318761701225E-2</v>
      </c>
      <c r="L24" s="74">
        <f t="shared" si="3"/>
        <v>7.0016105360949698E-3</v>
      </c>
      <c r="M24" s="74">
        <f t="shared" si="8"/>
        <v>5.339117214473714E-2</v>
      </c>
    </row>
    <row r="25" spans="1:13" ht="16">
      <c r="A25" s="10" t="s">
        <v>418</v>
      </c>
      <c r="B25" s="148">
        <v>4.71</v>
      </c>
      <c r="C25" s="11" t="s">
        <v>49</v>
      </c>
      <c r="D25" s="24">
        <v>6.4581924840476007E-2</v>
      </c>
      <c r="E25" s="12">
        <v>0.13316053145045842</v>
      </c>
      <c r="F25" s="16">
        <v>8.0860531450458406E-2</v>
      </c>
      <c r="G25" s="16">
        <v>0.27500000000000002</v>
      </c>
      <c r="H25" s="17" t="s">
        <v>128</v>
      </c>
      <c r="I25" s="74">
        <f t="shared" ref="I25" si="14">B25/$B$31</f>
        <v>2.4386173235137493E-3</v>
      </c>
      <c r="J25" s="74">
        <f t="shared" ref="J25" si="15">I25*D25</f>
        <v>1.5749060070184773E-4</v>
      </c>
      <c r="K25" s="74">
        <f t="shared" ref="K25" si="16">I25*E25</f>
        <v>3.2472757880338534E-4</v>
      </c>
      <c r="L25" s="74">
        <f t="shared" ref="L25" si="17">I25*F25</f>
        <v>1.9718789278361622E-4</v>
      </c>
      <c r="M25" s="74">
        <f t="shared" ref="M25" si="18">I25*G25</f>
        <v>6.7061976396628109E-4</v>
      </c>
    </row>
    <row r="26" spans="1:13" s="47" customFormat="1" ht="16">
      <c r="A26" s="10" t="s">
        <v>333</v>
      </c>
      <c r="B26" s="148">
        <v>58.001200572396456</v>
      </c>
      <c r="C26" s="11" t="s">
        <v>48</v>
      </c>
      <c r="D26" s="24">
        <v>5.2830131959668084E-2</v>
      </c>
      <c r="E26" s="12">
        <v>0.11844656589144056</v>
      </c>
      <c r="F26" s="16">
        <v>6.6146565891440565E-2</v>
      </c>
      <c r="G26" s="16">
        <v>0.3</v>
      </c>
      <c r="H26" s="17" t="s">
        <v>128</v>
      </c>
      <c r="I26" s="74">
        <f t="shared" si="0"/>
        <v>3.0030304140221144E-2</v>
      </c>
      <c r="J26" s="74">
        <f t="shared" si="1"/>
        <v>1.5865049305168499E-3</v>
      </c>
      <c r="K26" s="74">
        <f t="shared" si="2"/>
        <v>3.5569863980847044E-3</v>
      </c>
      <c r="L26" s="74">
        <f t="shared" si="3"/>
        <v>1.9864014915511384E-3</v>
      </c>
      <c r="M26" s="74">
        <f t="shared" si="8"/>
        <v>9.009091242066343E-3</v>
      </c>
    </row>
    <row r="27" spans="1:13" s="47" customFormat="1" ht="16">
      <c r="A27" s="10" t="s">
        <v>325</v>
      </c>
      <c r="B27" s="148">
        <v>5.3587229827089331</v>
      </c>
      <c r="C27" s="11" t="s">
        <v>78</v>
      </c>
      <c r="D27" s="24">
        <v>7.6333717721283945E-2</v>
      </c>
      <c r="E27" s="12">
        <v>0.14787449700947625</v>
      </c>
      <c r="F27" s="16">
        <v>9.5574497009476247E-2</v>
      </c>
      <c r="G27" s="16">
        <v>0.3236</v>
      </c>
      <c r="H27" s="17" t="s">
        <v>128</v>
      </c>
      <c r="I27" s="74">
        <f>B27/$B$31</f>
        <v>2.7744956895000583E-3</v>
      </c>
      <c r="J27" s="74">
        <f>I27*D27</f>
        <v>2.1178757078121652E-4</v>
      </c>
      <c r="K27" s="74">
        <f>I27*E27</f>
        <v>4.1027715453978111E-4</v>
      </c>
      <c r="L27" s="74">
        <f>I27*F27</f>
        <v>2.6517102997892806E-4</v>
      </c>
      <c r="M27" s="74">
        <f>I27*G27</f>
        <v>8.978268051222189E-4</v>
      </c>
    </row>
    <row r="28" spans="1:13" s="47" customFormat="1" ht="16">
      <c r="A28" s="10" t="s">
        <v>77</v>
      </c>
      <c r="B28" s="148">
        <v>39.871132267936076</v>
      </c>
      <c r="C28" s="11" t="s">
        <v>49</v>
      </c>
      <c r="D28" s="24">
        <v>6.4581924840476007E-2</v>
      </c>
      <c r="E28" s="12">
        <v>0.13316053145045842</v>
      </c>
      <c r="F28" s="16">
        <v>8.0860531450458406E-2</v>
      </c>
      <c r="G28" s="16">
        <v>0.25</v>
      </c>
      <c r="H28" s="17" t="s">
        <v>128</v>
      </c>
      <c r="I28" s="74">
        <f t="shared" si="0"/>
        <v>2.0643404215859227E-2</v>
      </c>
      <c r="J28" s="74">
        <f t="shared" si="1"/>
        <v>1.3331907795201862E-3</v>
      </c>
      <c r="K28" s="74">
        <f t="shared" si="2"/>
        <v>2.7488866763304485E-3</v>
      </c>
      <c r="L28" s="74">
        <f t="shared" si="3"/>
        <v>1.6692366358410106E-3</v>
      </c>
      <c r="M28" s="74">
        <f t="shared" si="8"/>
        <v>5.1608510539648067E-3</v>
      </c>
    </row>
    <row r="29" spans="1:13" s="47" customFormat="1" ht="16">
      <c r="A29" s="10" t="s">
        <v>228</v>
      </c>
      <c r="B29" s="148">
        <v>27.461440192354868</v>
      </c>
      <c r="C29" s="11" t="s">
        <v>49</v>
      </c>
      <c r="D29" s="24">
        <v>6.4581924840476007E-2</v>
      </c>
      <c r="E29" s="12">
        <v>0.13316053145045842</v>
      </c>
      <c r="F29" s="16">
        <v>8.0860531450458406E-2</v>
      </c>
      <c r="G29" s="16">
        <v>0.3</v>
      </c>
      <c r="H29" s="17" t="s">
        <v>128</v>
      </c>
      <c r="I29" s="74">
        <f t="shared" ref="I29:I30" si="19">B29/$B$31</f>
        <v>1.4218247087412596E-2</v>
      </c>
      <c r="J29" s="74">
        <f t="shared" ref="J29:J30" si="20">I29*D29</f>
        <v>9.182417647625972E-4</v>
      </c>
      <c r="K29" s="74">
        <f t="shared" ref="K29:K30" si="21">I29*E29</f>
        <v>1.8933093384537938E-3</v>
      </c>
      <c r="L29" s="74">
        <f t="shared" ref="L29:L30" si="22">I29*F29</f>
        <v>1.1496950157821148E-3</v>
      </c>
      <c r="M29" s="74">
        <f t="shared" ref="M29:M30" si="23">I29*G29</f>
        <v>4.2654741262237788E-3</v>
      </c>
    </row>
    <row r="30" spans="1:13" s="47" customFormat="1" ht="16">
      <c r="A30" s="10" t="s">
        <v>192</v>
      </c>
      <c r="B30" s="148">
        <v>26.720073435901359</v>
      </c>
      <c r="C30" s="11" t="s">
        <v>347</v>
      </c>
      <c r="D30" s="24">
        <v>0.14080977055382476</v>
      </c>
      <c r="E30" s="12">
        <v>0.22860247021165525</v>
      </c>
      <c r="F30" s="16">
        <v>0.17630247021165524</v>
      </c>
      <c r="G30" s="16">
        <v>0.35</v>
      </c>
      <c r="H30" s="17" t="s">
        <v>128</v>
      </c>
      <c r="I30" s="74">
        <f t="shared" si="19"/>
        <v>1.383440211599758E-2</v>
      </c>
      <c r="J30" s="74">
        <f t="shared" si="20"/>
        <v>1.9480189877029671E-3</v>
      </c>
      <c r="K30" s="74">
        <f t="shared" si="21"/>
        <v>3.1625784976183971E-3</v>
      </c>
      <c r="L30" s="74">
        <f t="shared" si="22"/>
        <v>2.4390392669517238E-3</v>
      </c>
      <c r="M30" s="74">
        <f t="shared" si="23"/>
        <v>4.8420407405991529E-3</v>
      </c>
    </row>
    <row r="31" spans="1:13" s="36" customFormat="1" ht="16">
      <c r="A31" s="72" t="s">
        <v>128</v>
      </c>
      <c r="B31" s="194">
        <f>SUM(B2:B30)</f>
        <v>1931.4223492899107</v>
      </c>
      <c r="C31" s="67"/>
      <c r="D31" s="68">
        <f>SUM(J2:J30)</f>
        <v>5.7449705353701148E-2</v>
      </c>
      <c r="E31" s="68">
        <f>SUM(K2:K30)</f>
        <v>0.12423055515219109</v>
      </c>
      <c r="F31" s="68">
        <f>SUM(L2:L30)</f>
        <v>7.1930555152191114E-2</v>
      </c>
      <c r="G31" s="68">
        <f>SUM(M2:M30)</f>
        <v>0.28491627824785853</v>
      </c>
      <c r="H31" s="72"/>
      <c r="I31" s="75">
        <f>SUM(I2:I30)</f>
        <v>1</v>
      </c>
    </row>
    <row r="32" spans="1:13" s="47" customFormat="1" ht="16">
      <c r="A32" s="10" t="s">
        <v>132</v>
      </c>
      <c r="B32" s="148">
        <v>274.02495896589176</v>
      </c>
      <c r="C32" s="11" t="s">
        <v>81</v>
      </c>
      <c r="D32" s="24">
        <v>4.2242931166147427E-2</v>
      </c>
      <c r="E32" s="12">
        <v>0.10519074106349657</v>
      </c>
      <c r="F32" s="16">
        <v>5.2890741063496567E-2</v>
      </c>
      <c r="G32" s="16">
        <v>0.25</v>
      </c>
      <c r="H32" s="17" t="s">
        <v>129</v>
      </c>
      <c r="I32" s="74">
        <f t="shared" ref="I32:I55" si="24">B32/$B$56</f>
        <v>9.9246732420671304E-3</v>
      </c>
      <c r="J32" s="74">
        <f t="shared" ref="J32:J55" si="25">I32*D32</f>
        <v>4.19247288611147E-4</v>
      </c>
      <c r="K32" s="74">
        <f t="shared" ref="K32:K55" si="26">I32*E32</f>
        <v>1.0439837331460966E-3</v>
      </c>
      <c r="L32" s="74">
        <f t="shared" ref="L32:L55" si="27">I32*F32</f>
        <v>5.2492332258598554E-4</v>
      </c>
      <c r="M32" s="74">
        <f t="shared" si="8"/>
        <v>2.4811683105167826E-3</v>
      </c>
    </row>
    <row r="33" spans="1:13" s="47" customFormat="1" ht="16">
      <c r="A33" s="10" t="s">
        <v>6</v>
      </c>
      <c r="B33" s="148">
        <v>24.542474061242604</v>
      </c>
      <c r="C33" s="11" t="s">
        <v>49</v>
      </c>
      <c r="D33" s="24">
        <v>6.4581924840476007E-2</v>
      </c>
      <c r="E33" s="12">
        <v>0.13316053145045842</v>
      </c>
      <c r="F33" s="16">
        <v>8.0860531450458406E-2</v>
      </c>
      <c r="G33" s="16">
        <v>0.2</v>
      </c>
      <c r="H33" s="17" t="s">
        <v>129</v>
      </c>
      <c r="I33" s="74">
        <f t="shared" si="24"/>
        <v>8.8888266429796019E-4</v>
      </c>
      <c r="J33" s="74">
        <f t="shared" si="25"/>
        <v>5.7405753417692929E-5</v>
      </c>
      <c r="K33" s="74">
        <f t="shared" si="26"/>
        <v>1.183640879750158E-4</v>
      </c>
      <c r="L33" s="74">
        <f t="shared" si="27"/>
        <v>7.1875524632232472E-5</v>
      </c>
      <c r="M33" s="74">
        <f t="shared" si="8"/>
        <v>1.7777653285959205E-4</v>
      </c>
    </row>
    <row r="34" spans="1:13" s="47" customFormat="1" ht="16">
      <c r="A34" s="10" t="s">
        <v>97</v>
      </c>
      <c r="B34" s="148">
        <v>13608.151864637854</v>
      </c>
      <c r="C34" s="11" t="s">
        <v>41</v>
      </c>
      <c r="D34" s="24">
        <v>8.2580166189461131E-3</v>
      </c>
      <c r="E34" s="12">
        <v>6.2639543365796316E-2</v>
      </c>
      <c r="F34" s="16">
        <v>1.0339543365796322E-2</v>
      </c>
      <c r="G34" s="16">
        <v>0.25</v>
      </c>
      <c r="H34" s="17" t="s">
        <v>129</v>
      </c>
      <c r="I34" s="74">
        <f t="shared" si="24"/>
        <v>0.49286189548072473</v>
      </c>
      <c r="J34" s="74">
        <f t="shared" si="25"/>
        <v>4.0700617237251074E-3</v>
      </c>
      <c r="K34" s="74">
        <f t="shared" si="26"/>
        <v>3.0872644075313427E-2</v>
      </c>
      <c r="L34" s="74">
        <f t="shared" si="27"/>
        <v>5.0959669416715276E-3</v>
      </c>
      <c r="M34" s="74">
        <f t="shared" si="8"/>
        <v>0.12321547387018118</v>
      </c>
    </row>
    <row r="35" spans="1:13" s="47" customFormat="1" ht="16">
      <c r="A35" s="10" t="s">
        <v>219</v>
      </c>
      <c r="B35" s="148">
        <v>5.5367596588701247</v>
      </c>
      <c r="C35" s="11" t="s">
        <v>81</v>
      </c>
      <c r="D35" s="24">
        <v>4.2242931166147427E-2</v>
      </c>
      <c r="E35" s="12">
        <v>0.10519074106349657</v>
      </c>
      <c r="F35" s="16">
        <v>5.2890741063496567E-2</v>
      </c>
      <c r="G35" s="16">
        <v>0.2</v>
      </c>
      <c r="H35" s="17" t="s">
        <v>129</v>
      </c>
      <c r="I35" s="74">
        <f t="shared" si="24"/>
        <v>2.0053111454341945E-4</v>
      </c>
      <c r="J35" s="74">
        <f t="shared" si="25"/>
        <v>8.4710220683284937E-6</v>
      </c>
      <c r="K35" s="74">
        <f t="shared" si="26"/>
        <v>2.1094016545111206E-5</v>
      </c>
      <c r="L35" s="74">
        <f t="shared" si="27"/>
        <v>1.0606239254490368E-5</v>
      </c>
      <c r="M35" s="74">
        <f t="shared" si="8"/>
        <v>4.0106222908683894E-5</v>
      </c>
    </row>
    <row r="36" spans="1:13" s="47" customFormat="1" ht="16">
      <c r="A36" s="10" t="s">
        <v>59</v>
      </c>
      <c r="B36" s="148">
        <v>362.68201824328639</v>
      </c>
      <c r="C36" s="11" t="s">
        <v>46</v>
      </c>
      <c r="D36" s="24">
        <v>7.0934245316588403E-3</v>
      </c>
      <c r="E36" s="12">
        <v>6.1181402634722479E-2</v>
      </c>
      <c r="F36" s="16">
        <v>8.8814026347224795E-3</v>
      </c>
      <c r="G36" s="16">
        <v>0.16500000000000001</v>
      </c>
      <c r="H36" s="17" t="s">
        <v>129</v>
      </c>
      <c r="I36" s="74">
        <f t="shared" si="24"/>
        <v>1.3135666675844961E-2</v>
      </c>
      <c r="J36" s="74">
        <f t="shared" si="25"/>
        <v>9.3176860238132169E-5</v>
      </c>
      <c r="K36" s="74">
        <f t="shared" si="26"/>
        <v>8.0365851177037712E-4</v>
      </c>
      <c r="L36" s="74">
        <f t="shared" si="27"/>
        <v>1.1666314462368571E-4</v>
      </c>
      <c r="M36" s="74">
        <f t="shared" si="8"/>
        <v>2.1673850015144188E-3</v>
      </c>
    </row>
    <row r="37" spans="1:13" s="47" customFormat="1" ht="16">
      <c r="A37" s="10" t="s">
        <v>111</v>
      </c>
      <c r="B37" s="148">
        <v>2718.7322312575707</v>
      </c>
      <c r="C37" s="11" t="s">
        <v>124</v>
      </c>
      <c r="D37" s="24">
        <v>2.5832769936190408E-2</v>
      </c>
      <c r="E37" s="12">
        <v>8.464421258018337E-2</v>
      </c>
      <c r="F37" s="16">
        <v>3.2344212580183364E-2</v>
      </c>
      <c r="G37" s="16">
        <v>0.3</v>
      </c>
      <c r="H37" s="17" t="s">
        <v>129</v>
      </c>
      <c r="I37" s="74">
        <f t="shared" si="24"/>
        <v>9.8467413806878901E-2</v>
      </c>
      <c r="J37" s="74">
        <f t="shared" si="25"/>
        <v>2.5436860470847617E-3</v>
      </c>
      <c r="K37" s="74">
        <f t="shared" si="26"/>
        <v>8.334696706490341E-3</v>
      </c>
      <c r="L37" s="74">
        <f t="shared" si="27"/>
        <v>3.1848509643905734E-3</v>
      </c>
      <c r="M37" s="74">
        <f t="shared" si="8"/>
        <v>2.954022414206367E-2</v>
      </c>
    </row>
    <row r="38" spans="1:13" s="47" customFormat="1" ht="16">
      <c r="A38" s="10" t="s">
        <v>112</v>
      </c>
      <c r="B38" s="148">
        <v>1042.1733006255529</v>
      </c>
      <c r="C38" s="11" t="s">
        <v>83</v>
      </c>
      <c r="D38" s="24">
        <v>2.2338993674328587E-2</v>
      </c>
      <c r="E38" s="12">
        <v>8.0269790386961845E-2</v>
      </c>
      <c r="F38" s="16">
        <v>2.7969790386961842E-2</v>
      </c>
      <c r="G38" s="16">
        <v>0.25</v>
      </c>
      <c r="H38" s="17" t="s">
        <v>129</v>
      </c>
      <c r="I38" s="74">
        <f t="shared" si="24"/>
        <v>3.7745574378874894E-2</v>
      </c>
      <c r="J38" s="74">
        <f t="shared" si="25"/>
        <v>8.4319814728358547E-4</v>
      </c>
      <c r="K38" s="74">
        <f t="shared" si="26"/>
        <v>3.0298293434277653E-3</v>
      </c>
      <c r="L38" s="74">
        <f t="shared" si="27"/>
        <v>1.0557358034126083E-3</v>
      </c>
      <c r="M38" s="74">
        <f t="shared" si="8"/>
        <v>9.4363935947187234E-3</v>
      </c>
    </row>
    <row r="39" spans="1:13" s="47" customFormat="1" ht="16">
      <c r="A39" s="10" t="s">
        <v>116</v>
      </c>
      <c r="B39" s="148">
        <v>4971.3230797718697</v>
      </c>
      <c r="C39" s="11" t="s">
        <v>41</v>
      </c>
      <c r="D39" s="24">
        <v>8.2580166189461131E-3</v>
      </c>
      <c r="E39" s="12">
        <v>6.2639543365796316E-2</v>
      </c>
      <c r="F39" s="16">
        <v>1.0339543365796322E-2</v>
      </c>
      <c r="G39" s="16">
        <v>0.30620000000000003</v>
      </c>
      <c r="H39" s="17" t="s">
        <v>129</v>
      </c>
      <c r="I39" s="74">
        <f t="shared" si="24"/>
        <v>0.18005205559988383</v>
      </c>
      <c r="J39" s="74">
        <f t="shared" si="25"/>
        <v>1.4868728674192501E-3</v>
      </c>
      <c r="K39" s="74">
        <f t="shared" si="26"/>
        <v>1.1278378544849692E-2</v>
      </c>
      <c r="L39" s="74">
        <f t="shared" si="27"/>
        <v>1.8616560369757692E-3</v>
      </c>
      <c r="M39" s="74">
        <f t="shared" si="8"/>
        <v>5.5131939424684431E-2</v>
      </c>
    </row>
    <row r="40" spans="1:13" s="47" customFormat="1" ht="16">
      <c r="A40" s="10" t="s">
        <v>119</v>
      </c>
      <c r="B40" s="148">
        <v>1619.42</v>
      </c>
      <c r="C40" s="11" t="s">
        <v>45</v>
      </c>
      <c r="D40" s="24">
        <v>5.8229604364363613E-3</v>
      </c>
      <c r="E40" s="12">
        <v>5.9590703655369198E-2</v>
      </c>
      <c r="F40" s="16">
        <v>7.2907036553691998E-3</v>
      </c>
      <c r="G40" s="16">
        <v>0.25</v>
      </c>
      <c r="H40" s="17" t="s">
        <v>129</v>
      </c>
      <c r="I40" s="74">
        <f t="shared" si="24"/>
        <v>5.865237386521744E-2</v>
      </c>
      <c r="J40" s="74">
        <f t="shared" si="25"/>
        <v>3.415304525202352E-4</v>
      </c>
      <c r="K40" s="74">
        <f t="shared" si="26"/>
        <v>3.4951362296860937E-3</v>
      </c>
      <c r="L40" s="74">
        <f t="shared" si="27"/>
        <v>4.2761707653522172E-4</v>
      </c>
      <c r="M40" s="74">
        <f t="shared" si="8"/>
        <v>1.466309346630436E-2</v>
      </c>
    </row>
    <row r="41" spans="1:13" s="47" customFormat="1" ht="16">
      <c r="A41" s="10" t="s">
        <v>344</v>
      </c>
      <c r="B41" s="148">
        <v>17.953786416143096</v>
      </c>
      <c r="C41" s="11" t="s">
        <v>78</v>
      </c>
      <c r="D41" s="24">
        <v>1.4080977055382476E-2</v>
      </c>
      <c r="E41" s="12">
        <v>6.9930247021165515E-2</v>
      </c>
      <c r="F41" s="16">
        <v>1.7630247021165522E-2</v>
      </c>
      <c r="G41" s="16">
        <v>0.3019</v>
      </c>
      <c r="H41" s="17" t="s">
        <v>129</v>
      </c>
      <c r="I41" s="74">
        <f t="shared" si="24"/>
        <v>6.5025267884544289E-4</v>
      </c>
      <c r="J41" s="74">
        <f t="shared" ref="J41" si="28">I41*D41</f>
        <v>9.156193051023672E-6</v>
      </c>
      <c r="K41" s="74">
        <f t="shared" ref="K41" si="29">I41*E41</f>
        <v>4.547233045783643E-5</v>
      </c>
      <c r="L41" s="74">
        <f t="shared" ref="L41" si="30">I41*F41</f>
        <v>1.146411535421977E-5</v>
      </c>
      <c r="M41" s="74">
        <f t="shared" ref="M41" si="31">I41*G41</f>
        <v>1.9631128374343921E-4</v>
      </c>
    </row>
    <row r="42" spans="1:13" s="47" customFormat="1" ht="16">
      <c r="A42" s="10" t="s">
        <v>32</v>
      </c>
      <c r="B42" s="148">
        <v>55.084050789718177</v>
      </c>
      <c r="C42" s="11" t="s">
        <v>46</v>
      </c>
      <c r="D42" s="24">
        <v>7.0934245316588403E-3</v>
      </c>
      <c r="E42" s="12">
        <v>6.1181402634722479E-2</v>
      </c>
      <c r="F42" s="16">
        <v>8.8814026347224795E-3</v>
      </c>
      <c r="G42" s="16">
        <v>0.12</v>
      </c>
      <c r="H42" s="17" t="s">
        <v>129</v>
      </c>
      <c r="I42" s="74">
        <f t="shared" si="24"/>
        <v>1.9950416451131742E-3</v>
      </c>
      <c r="J42" s="74">
        <f t="shared" si="25"/>
        <v>1.41516773471268E-5</v>
      </c>
      <c r="K42" s="74">
        <f t="shared" si="26"/>
        <v>1.2205944616270822E-4</v>
      </c>
      <c r="L42" s="74">
        <f t="shared" si="27"/>
        <v>1.7718768123289216E-5</v>
      </c>
      <c r="M42" s="74">
        <f t="shared" si="8"/>
        <v>2.394049974135809E-4</v>
      </c>
    </row>
    <row r="43" spans="1:13" s="47" customFormat="1" ht="16">
      <c r="A43" s="10" t="s">
        <v>14</v>
      </c>
      <c r="B43" s="148">
        <v>358.58194344625912</v>
      </c>
      <c r="C43" s="11" t="s">
        <v>43</v>
      </c>
      <c r="D43" s="24">
        <v>1.4080977055382476E-2</v>
      </c>
      <c r="E43" s="12">
        <v>6.9930247021165515E-2</v>
      </c>
      <c r="F43" s="16">
        <v>1.7630247021165522E-2</v>
      </c>
      <c r="G43" s="16">
        <v>0.24</v>
      </c>
      <c r="H43" s="17" t="s">
        <v>129</v>
      </c>
      <c r="I43" s="74">
        <f t="shared" si="24"/>
        <v>1.298716960907377E-2</v>
      </c>
      <c r="J43" s="74">
        <f t="shared" si="25"/>
        <v>1.8287203727972837E-4</v>
      </c>
      <c r="K43" s="74">
        <f t="shared" si="26"/>
        <v>9.0819597886830237E-4</v>
      </c>
      <c r="L43" s="74">
        <f t="shared" si="27"/>
        <v>2.2896700831374423E-4</v>
      </c>
      <c r="M43" s="74">
        <f t="shared" si="8"/>
        <v>3.1169207061777049E-3</v>
      </c>
    </row>
    <row r="44" spans="1:13" s="47" customFormat="1" ht="16">
      <c r="A44" s="10" t="s">
        <v>419</v>
      </c>
      <c r="B44" s="148">
        <v>5.3274571497258103</v>
      </c>
      <c r="C44" s="11" t="s">
        <v>78</v>
      </c>
      <c r="D44" s="24">
        <v>7.6333717721283945E-2</v>
      </c>
      <c r="E44" s="12">
        <v>0.14787449700947625</v>
      </c>
      <c r="F44" s="16">
        <v>9.5574497009476247E-2</v>
      </c>
      <c r="G44" s="16">
        <v>0.3019</v>
      </c>
      <c r="H44" s="17" t="s">
        <v>129</v>
      </c>
      <c r="I44" s="74">
        <f t="shared" ref="I44" si="32">B44/$B$56</f>
        <v>1.9295056779380514E-4</v>
      </c>
      <c r="J44" s="74">
        <f t="shared" ref="J44" si="33">I44*D44</f>
        <v>1.4728634176133782E-5</v>
      </c>
      <c r="K44" s="74">
        <f t="shared" ref="K44" si="34">I44*E44</f>
        <v>2.8532468160201782E-5</v>
      </c>
      <c r="L44" s="74">
        <f t="shared" ref="L44" si="35">I44*F44</f>
        <v>1.8441153464585774E-5</v>
      </c>
      <c r="M44" s="74">
        <f t="shared" ref="M44" si="36">I44*G44</f>
        <v>5.8251776416949771E-5</v>
      </c>
    </row>
    <row r="45" spans="1:13" s="47" customFormat="1" ht="16">
      <c r="A45" s="10" t="s">
        <v>15</v>
      </c>
      <c r="B45" s="148">
        <v>14.220348672733275</v>
      </c>
      <c r="C45" s="11" t="s">
        <v>82</v>
      </c>
      <c r="D45" s="24">
        <v>1.8739345404531565E-2</v>
      </c>
      <c r="E45" s="12">
        <v>7.5762809945460891E-2</v>
      </c>
      <c r="F45" s="16">
        <v>2.3462809945460884E-2</v>
      </c>
      <c r="G45" s="16">
        <v>0.15</v>
      </c>
      <c r="H45" s="17" t="s">
        <v>129</v>
      </c>
      <c r="I45" s="74">
        <f t="shared" si="24"/>
        <v>5.1503452275932166E-4</v>
      </c>
      <c r="J45" s="74">
        <f t="shared" si="25"/>
        <v>9.6514098172450026E-6</v>
      </c>
      <c r="K45" s="74">
        <f t="shared" si="26"/>
        <v>3.9020462663165641E-5</v>
      </c>
      <c r="L45" s="74">
        <f t="shared" si="27"/>
        <v>1.2084157122853112E-5</v>
      </c>
      <c r="M45" s="74">
        <f t="shared" si="8"/>
        <v>7.7255178413898243E-5</v>
      </c>
    </row>
    <row r="46" spans="1:13" s="47" customFormat="1" ht="16">
      <c r="A46" s="10" t="s">
        <v>63</v>
      </c>
      <c r="B46" s="148">
        <v>13.066749138326108</v>
      </c>
      <c r="C46" s="11" t="s">
        <v>78</v>
      </c>
      <c r="D46" s="24">
        <v>7.6333717721283945E-2</v>
      </c>
      <c r="E46" s="12">
        <v>0.14787449700947625</v>
      </c>
      <c r="F46" s="16">
        <v>9.5574497009476247E-2</v>
      </c>
      <c r="G46" s="16">
        <v>0.25</v>
      </c>
      <c r="H46" s="17" t="s">
        <v>129</v>
      </c>
      <c r="I46" s="74">
        <f t="shared" si="24"/>
        <v>4.7325329788696616E-4</v>
      </c>
      <c r="J46" s="74">
        <f t="shared" si="25"/>
        <v>3.6125183651570375E-5</v>
      </c>
      <c r="K46" s="74">
        <f t="shared" si="26"/>
        <v>6.9982093383110945E-5</v>
      </c>
      <c r="L46" s="74">
        <f t="shared" si="27"/>
        <v>4.5230945903622619E-5</v>
      </c>
      <c r="M46" s="74">
        <f t="shared" si="8"/>
        <v>1.1831332447174154E-4</v>
      </c>
    </row>
    <row r="47" spans="1:13" s="47" customFormat="1" ht="16">
      <c r="A47" s="10" t="s">
        <v>25</v>
      </c>
      <c r="B47" s="148">
        <v>314.58821050106275</v>
      </c>
      <c r="C47" s="11" t="s">
        <v>78</v>
      </c>
      <c r="D47" s="24">
        <v>7.6333717721283945E-2</v>
      </c>
      <c r="E47" s="12">
        <v>0.14787449700947625</v>
      </c>
      <c r="F47" s="16">
        <v>9.5574497009476247E-2</v>
      </c>
      <c r="G47" s="16">
        <v>0.3</v>
      </c>
      <c r="H47" s="17" t="s">
        <v>129</v>
      </c>
      <c r="I47" s="74">
        <f t="shared" si="24"/>
        <v>1.1393798604375675E-2</v>
      </c>
      <c r="J47" s="74">
        <f t="shared" si="25"/>
        <v>8.6973100643957175E-4</v>
      </c>
      <c r="K47" s="74">
        <f t="shared" si="26"/>
        <v>1.6848522376493253E-3</v>
      </c>
      <c r="L47" s="74">
        <f t="shared" si="27"/>
        <v>1.0889565706404777E-3</v>
      </c>
      <c r="M47" s="74">
        <f t="shared" si="8"/>
        <v>3.4181395813127021E-3</v>
      </c>
    </row>
    <row r="48" spans="1:13" s="47" customFormat="1" ht="16">
      <c r="A48" s="10" t="s">
        <v>9</v>
      </c>
      <c r="B48" s="148">
        <v>23.497607690117839</v>
      </c>
      <c r="C48" s="11" t="s">
        <v>49</v>
      </c>
      <c r="D48" s="24">
        <v>6.4581924840476007E-2</v>
      </c>
      <c r="E48" s="12">
        <v>0.13316053145045842</v>
      </c>
      <c r="F48" s="16">
        <v>8.0860531450458406E-2</v>
      </c>
      <c r="G48" s="16">
        <v>0.3</v>
      </c>
      <c r="H48" s="17" t="s">
        <v>129</v>
      </c>
      <c r="I48" s="74">
        <f t="shared" si="24"/>
        <v>8.5103955192538056E-4</v>
      </c>
      <c r="J48" s="74">
        <f t="shared" si="25"/>
        <v>5.4961772378717304E-5</v>
      </c>
      <c r="K48" s="74">
        <f t="shared" si="26"/>
        <v>1.1332487901974367E-4</v>
      </c>
      <c r="L48" s="74">
        <f t="shared" si="27"/>
        <v>6.8815510454046258E-5</v>
      </c>
      <c r="M48" s="74">
        <f t="shared" si="8"/>
        <v>2.5531186557761418E-4</v>
      </c>
    </row>
    <row r="49" spans="1:13" s="47" customFormat="1" ht="16">
      <c r="A49" s="10" t="s">
        <v>29</v>
      </c>
      <c r="B49" s="148">
        <v>330.91034361095603</v>
      </c>
      <c r="C49" s="11" t="s">
        <v>83</v>
      </c>
      <c r="D49" s="24">
        <v>2.2338993674328587E-2</v>
      </c>
      <c r="E49" s="12">
        <v>8.0269790386961845E-2</v>
      </c>
      <c r="F49" s="16">
        <v>2.7969790386961842E-2</v>
      </c>
      <c r="G49" s="16">
        <v>0.3</v>
      </c>
      <c r="H49" s="17" t="s">
        <v>129</v>
      </c>
      <c r="I49" s="74">
        <f t="shared" si="24"/>
        <v>1.1984955841805931E-2</v>
      </c>
      <c r="J49" s="74">
        <f t="shared" si="25"/>
        <v>2.6773185273721016E-4</v>
      </c>
      <c r="K49" s="74">
        <f t="shared" si="26"/>
        <v>9.6202989321875589E-4</v>
      </c>
      <c r="L49" s="74">
        <f t="shared" si="27"/>
        <v>3.3521670269230571E-4</v>
      </c>
      <c r="M49" s="74">
        <f t="shared" si="8"/>
        <v>3.5954867525417791E-3</v>
      </c>
    </row>
    <row r="50" spans="1:13" s="47" customFormat="1" ht="16">
      <c r="A50" s="10" t="s">
        <v>3</v>
      </c>
      <c r="B50" s="148">
        <v>364.15665776986953</v>
      </c>
      <c r="C50" s="11" t="s">
        <v>47</v>
      </c>
      <c r="D50" s="24">
        <v>0</v>
      </c>
      <c r="E50" s="12">
        <v>5.2299999999999999E-2</v>
      </c>
      <c r="F50" s="16">
        <v>0</v>
      </c>
      <c r="G50" s="16">
        <v>0.17</v>
      </c>
      <c r="H50" s="17" t="s">
        <v>129</v>
      </c>
      <c r="I50" s="74">
        <f t="shared" si="24"/>
        <v>1.318907537082809E-2</v>
      </c>
      <c r="J50" s="74">
        <f t="shared" si="25"/>
        <v>0</v>
      </c>
      <c r="K50" s="74">
        <f t="shared" si="26"/>
        <v>6.8978864189430907E-4</v>
      </c>
      <c r="L50" s="74">
        <f t="shared" si="27"/>
        <v>0</v>
      </c>
      <c r="M50" s="74">
        <f t="shared" si="8"/>
        <v>2.2421428130407757E-3</v>
      </c>
    </row>
    <row r="51" spans="1:13" s="47" customFormat="1" ht="16">
      <c r="A51" s="10" t="s">
        <v>432</v>
      </c>
      <c r="B51" s="148">
        <v>1.395608472013254</v>
      </c>
      <c r="C51" s="11" t="s">
        <v>78</v>
      </c>
      <c r="D51" s="24">
        <v>7.6333717721283945E-2</v>
      </c>
      <c r="E51" s="12">
        <v>0.14787449700947625</v>
      </c>
      <c r="F51" s="16">
        <v>9.5574497009476247E-2</v>
      </c>
      <c r="G51" s="16">
        <v>0.3</v>
      </c>
      <c r="H51" s="17" t="s">
        <v>129</v>
      </c>
      <c r="I51" s="74">
        <f t="shared" ref="I51" si="37">B51/$B$56</f>
        <v>5.0546337497367096E-5</v>
      </c>
      <c r="J51" s="74">
        <f t="shared" ref="J51" si="38">I51*D51</f>
        <v>3.8583898583687698E-6</v>
      </c>
      <c r="K51" s="74">
        <f t="shared" ref="K51" si="39">I51*E51</f>
        <v>7.4745142330943879E-6</v>
      </c>
      <c r="L51" s="74">
        <f t="shared" ref="L51" si="40">I51*F51</f>
        <v>4.8309407819820883E-6</v>
      </c>
      <c r="M51" s="74">
        <f t="shared" ref="M51" si="41">I51*G51</f>
        <v>1.5163901249210129E-5</v>
      </c>
    </row>
    <row r="52" spans="1:13" s="47" customFormat="1" ht="16">
      <c r="A52" s="10" t="s">
        <v>134</v>
      </c>
      <c r="B52" s="148">
        <v>88.900770857635052</v>
      </c>
      <c r="C52" s="11" t="s">
        <v>49</v>
      </c>
      <c r="D52" s="24">
        <v>6.4581924840476007E-2</v>
      </c>
      <c r="E52" s="12">
        <v>0.13316053145045842</v>
      </c>
      <c r="F52" s="16">
        <v>8.0860531450458406E-2</v>
      </c>
      <c r="G52" s="16">
        <v>0.28000000000000003</v>
      </c>
      <c r="H52" s="17" t="s">
        <v>129</v>
      </c>
      <c r="I52" s="74">
        <f t="shared" si="24"/>
        <v>3.2198202129453991E-3</v>
      </c>
      <c r="J52" s="74">
        <f t="shared" si="25"/>
        <v>2.0794218699228523E-4</v>
      </c>
      <c r="K52" s="74">
        <f t="shared" si="26"/>
        <v>4.2875297073073756E-4</v>
      </c>
      <c r="L52" s="74">
        <f t="shared" si="27"/>
        <v>2.6035637359369314E-4</v>
      </c>
      <c r="M52" s="74">
        <f t="shared" si="8"/>
        <v>9.0154965962471181E-4</v>
      </c>
    </row>
    <row r="53" spans="1:13" s="47" customFormat="1" ht="16">
      <c r="A53" s="10" t="s">
        <v>64</v>
      </c>
      <c r="B53" s="148">
        <v>646</v>
      </c>
      <c r="C53" s="11" t="s">
        <v>46</v>
      </c>
      <c r="D53" s="24">
        <v>7.0934245316588403E-3</v>
      </c>
      <c r="E53" s="12">
        <v>6.1181402634722479E-2</v>
      </c>
      <c r="F53" s="16">
        <v>8.8814026347224795E-3</v>
      </c>
      <c r="G53" s="16">
        <v>0.2</v>
      </c>
      <c r="H53" s="17" t="s">
        <v>129</v>
      </c>
      <c r="I53" s="74">
        <f t="shared" si="24"/>
        <v>2.3396915881568999E-2</v>
      </c>
      <c r="J53" s="74">
        <f t="shared" si="25"/>
        <v>1.6596425707947985E-4</v>
      </c>
      <c r="K53" s="74">
        <f t="shared" si="26"/>
        <v>1.4314561309610057E-3</v>
      </c>
      <c r="L53" s="74">
        <f t="shared" si="27"/>
        <v>2.0779743035494714E-4</v>
      </c>
      <c r="M53" s="74">
        <f t="shared" si="8"/>
        <v>4.6793831763138E-3</v>
      </c>
    </row>
    <row r="54" spans="1:13" s="47" customFormat="1" ht="16">
      <c r="A54" s="10" t="s">
        <v>65</v>
      </c>
      <c r="B54" s="148">
        <v>504.99275770499713</v>
      </c>
      <c r="C54" s="11" t="s">
        <v>82</v>
      </c>
      <c r="D54" s="24">
        <v>1.8739345404531565E-2</v>
      </c>
      <c r="E54" s="12">
        <v>7.5762809945460891E-2</v>
      </c>
      <c r="F54" s="16">
        <v>2.3462809945460884E-2</v>
      </c>
      <c r="G54" s="16">
        <v>0.2</v>
      </c>
      <c r="H54" s="17" t="s">
        <v>129</v>
      </c>
      <c r="I54" s="74">
        <f t="shared" si="24"/>
        <v>1.8289896397562497E-2</v>
      </c>
      <c r="J54" s="74">
        <f t="shared" si="25"/>
        <v>3.4274068600702122E-4</v>
      </c>
      <c r="K54" s="74">
        <f t="shared" si="26"/>
        <v>1.3856939446906973E-3</v>
      </c>
      <c r="L54" s="74">
        <f t="shared" si="27"/>
        <v>4.2913236309817857E-4</v>
      </c>
      <c r="M54" s="74">
        <f t="shared" si="8"/>
        <v>3.6579792795124995E-3</v>
      </c>
    </row>
    <row r="55" spans="1:13" s="47" customFormat="1" ht="16">
      <c r="A55" s="10" t="s">
        <v>71</v>
      </c>
      <c r="B55" s="148">
        <v>245.21368636915673</v>
      </c>
      <c r="C55" s="11" t="s">
        <v>81</v>
      </c>
      <c r="D55" s="24">
        <v>4.2242931166147427E-2</v>
      </c>
      <c r="E55" s="12">
        <v>0.10519074106349657</v>
      </c>
      <c r="F55" s="16">
        <v>5.2890741063496567E-2</v>
      </c>
      <c r="G55" s="16">
        <v>0.2</v>
      </c>
      <c r="H55" s="17" t="s">
        <v>129</v>
      </c>
      <c r="I55" s="74">
        <f t="shared" si="24"/>
        <v>8.881182651685143E-3</v>
      </c>
      <c r="J55" s="74">
        <f t="shared" si="25"/>
        <v>3.7516718742911816E-4</v>
      </c>
      <c r="K55" s="74">
        <f t="shared" si="26"/>
        <v>9.3421818465102972E-4</v>
      </c>
      <c r="L55" s="74">
        <f t="shared" si="27"/>
        <v>4.6973233196789674E-4</v>
      </c>
      <c r="M55" s="74">
        <f t="shared" si="8"/>
        <v>1.7762365303370287E-3</v>
      </c>
    </row>
    <row r="56" spans="1:13" s="36" customFormat="1" ht="16">
      <c r="A56" s="72" t="s">
        <v>129</v>
      </c>
      <c r="B56" s="67">
        <f>SUM(B32:B55)</f>
        <v>27610.476665810846</v>
      </c>
      <c r="C56" s="67"/>
      <c r="D56" s="68">
        <f>SUM(J32:J55)</f>
        <v>1.2418432636612842E-2</v>
      </c>
      <c r="E56" s="68">
        <f>SUM(K32:K55)</f>
        <v>6.7848639425947932E-2</v>
      </c>
      <c r="F56" s="69">
        <f>SUM(L32:L55)</f>
        <v>1.554863942594794E-2</v>
      </c>
      <c r="G56" s="69">
        <f>SUM(M32:M55)</f>
        <v>0.26120141139189929</v>
      </c>
      <c r="H56" s="72"/>
      <c r="I56" s="75">
        <f>SUM(I32:I55)</f>
        <v>1.0000000000000004</v>
      </c>
    </row>
    <row r="57" spans="1:13" s="47" customFormat="1" ht="16">
      <c r="A57" s="10" t="s">
        <v>85</v>
      </c>
      <c r="B57" s="148">
        <v>1433.9043485001162</v>
      </c>
      <c r="C57" s="11" t="s">
        <v>47</v>
      </c>
      <c r="D57" s="24">
        <v>0</v>
      </c>
      <c r="E57" s="12">
        <v>5.2299999999999999E-2</v>
      </c>
      <c r="F57" s="16">
        <v>0</v>
      </c>
      <c r="G57" s="16">
        <v>0.3</v>
      </c>
      <c r="H57" s="17" t="s">
        <v>53</v>
      </c>
      <c r="I57" s="74">
        <f>B57/$B$60</f>
        <v>0.87431685044938201</v>
      </c>
      <c r="J57" s="74">
        <f>I57*D57</f>
        <v>0</v>
      </c>
      <c r="K57" s="74">
        <f>I57*E57</f>
        <v>4.5726771278502679E-2</v>
      </c>
      <c r="L57" s="74">
        <f>I57*F57</f>
        <v>0</v>
      </c>
      <c r="M57" s="74">
        <f t="shared" si="8"/>
        <v>0.2622950551348146</v>
      </c>
    </row>
    <row r="58" spans="1:13" s="47" customFormat="1" ht="16">
      <c r="A58" s="10" t="s">
        <v>214</v>
      </c>
      <c r="B58" s="148">
        <v>1.2</v>
      </c>
      <c r="C58" s="11" t="s">
        <v>48</v>
      </c>
      <c r="D58" s="24">
        <v>5.2830131959668084E-2</v>
      </c>
      <c r="E58" s="12">
        <v>0.11844656589144056</v>
      </c>
      <c r="F58" s="16">
        <v>6.6146565891440565E-2</v>
      </c>
      <c r="G58" s="16">
        <v>0.2843</v>
      </c>
      <c r="H58" s="17" t="s">
        <v>53</v>
      </c>
      <c r="I58" s="74">
        <f>B58/$B$60</f>
        <v>7.3169470588238018E-4</v>
      </c>
      <c r="J58" s="74">
        <f>I58*D58</f>
        <v>3.865552786595667E-5</v>
      </c>
      <c r="K58" s="74">
        <f>I58*E58</f>
        <v>8.6666725192715571E-5</v>
      </c>
      <c r="L58" s="74">
        <f>I58*F58</f>
        <v>4.8399092075067082E-5</v>
      </c>
      <c r="M58" s="74">
        <f t="shared" si="8"/>
        <v>2.0802080488236069E-4</v>
      </c>
    </row>
    <row r="59" spans="1:13" s="47" customFormat="1" ht="16">
      <c r="A59" s="10" t="s">
        <v>21</v>
      </c>
      <c r="B59" s="148">
        <v>204.92391786935485</v>
      </c>
      <c r="C59" s="11" t="s">
        <v>47</v>
      </c>
      <c r="D59" s="24">
        <v>0</v>
      </c>
      <c r="E59" s="12">
        <v>5.2299999999999999E-2</v>
      </c>
      <c r="F59" s="16">
        <v>0</v>
      </c>
      <c r="G59" s="16">
        <v>0.28000000000000003</v>
      </c>
      <c r="H59" s="17" t="s">
        <v>53</v>
      </c>
      <c r="I59" s="74">
        <f>B59/$B$60</f>
        <v>0.12495145484473552</v>
      </c>
      <c r="J59" s="74">
        <f>I59*D59</f>
        <v>0</v>
      </c>
      <c r="K59" s="74">
        <f>I59*E59</f>
        <v>6.5349610883796679E-3</v>
      </c>
      <c r="L59" s="74">
        <f>I59*F59</f>
        <v>0</v>
      </c>
      <c r="M59" s="74">
        <f t="shared" si="8"/>
        <v>3.4986407356525952E-2</v>
      </c>
    </row>
    <row r="60" spans="1:13" s="36" customFormat="1" ht="16">
      <c r="A60" s="72" t="s">
        <v>53</v>
      </c>
      <c r="B60" s="67">
        <f>SUM(B57:B59)</f>
        <v>1640.0282663694711</v>
      </c>
      <c r="C60" s="67"/>
      <c r="D60" s="68">
        <f>SUM(J57:J59)</f>
        <v>3.865552786595667E-5</v>
      </c>
      <c r="E60" s="68">
        <f>SUM(K57:K59)</f>
        <v>5.2348399092075067E-2</v>
      </c>
      <c r="F60" s="68">
        <f>SUM(L57:L59)</f>
        <v>4.8399092075067082E-5</v>
      </c>
      <c r="G60" s="68">
        <f>SUM(M57:M59)</f>
        <v>0.29748948329622293</v>
      </c>
      <c r="H60" s="72"/>
      <c r="I60" s="75">
        <f>SUM(I57:I59)</f>
        <v>1</v>
      </c>
    </row>
    <row r="61" spans="1:13" s="47" customFormat="1" ht="16">
      <c r="A61" s="10" t="s">
        <v>201</v>
      </c>
      <c r="B61" s="148">
        <v>2.7005586592178767</v>
      </c>
      <c r="C61" s="11" t="s">
        <v>82</v>
      </c>
      <c r="D61" s="24">
        <v>1.8739345404531565E-2</v>
      </c>
      <c r="E61" s="12">
        <v>7.5762809945460891E-2</v>
      </c>
      <c r="F61" s="16">
        <v>2.3462809945460884E-2</v>
      </c>
      <c r="G61" s="16">
        <v>0.25</v>
      </c>
      <c r="H61" s="17" t="s">
        <v>54</v>
      </c>
      <c r="I61" s="74">
        <f t="shared" ref="I61:I73" si="42">B61/$B$75</f>
        <v>1.0223337397301928E-2</v>
      </c>
      <c r="J61" s="74">
        <f t="shared" ref="J61:J73" si="43">I61*D61</f>
        <v>1.9157865067510559E-4</v>
      </c>
      <c r="K61" s="74">
        <f t="shared" ref="K61:K73" si="44">I61*E61</f>
        <v>7.745487682401088E-4</v>
      </c>
      <c r="L61" s="74">
        <f t="shared" ref="L61:L73" si="45">I61*F61</f>
        <v>2.3986822236121789E-4</v>
      </c>
      <c r="M61" s="74">
        <f t="shared" si="8"/>
        <v>2.5558343493254821E-3</v>
      </c>
    </row>
    <row r="62" spans="1:13" s="47" customFormat="1" ht="16">
      <c r="A62" s="10" t="s">
        <v>86</v>
      </c>
      <c r="B62" s="148">
        <v>12.424499999999998</v>
      </c>
      <c r="C62" s="11" t="s">
        <v>80</v>
      </c>
      <c r="D62" s="24">
        <v>3.5255378642423785E-2</v>
      </c>
      <c r="E62" s="12">
        <v>9.6441896677053524E-2</v>
      </c>
      <c r="F62" s="16">
        <v>4.4141896677053517E-2</v>
      </c>
      <c r="G62" s="16">
        <v>0</v>
      </c>
      <c r="H62" s="17" t="s">
        <v>54</v>
      </c>
      <c r="I62" s="74">
        <f t="shared" si="42"/>
        <v>4.7034658943333113E-2</v>
      </c>
      <c r="J62" s="74">
        <f t="shared" si="43"/>
        <v>1.658224710364473E-3</v>
      </c>
      <c r="K62" s="74">
        <f t="shared" si="44"/>
        <v>4.5361117180533839E-3</v>
      </c>
      <c r="L62" s="74">
        <f t="shared" si="45"/>
        <v>2.0761990553170616E-3</v>
      </c>
      <c r="M62" s="74">
        <f t="shared" si="8"/>
        <v>0</v>
      </c>
    </row>
    <row r="63" spans="1:13" s="47" customFormat="1" ht="16">
      <c r="A63" s="10" t="s">
        <v>88</v>
      </c>
      <c r="B63" s="148">
        <v>5.1449999999999996</v>
      </c>
      <c r="C63" s="11" t="s">
        <v>100</v>
      </c>
      <c r="D63" s="24">
        <v>8.7979638594156681E-2</v>
      </c>
      <c r="E63" s="12">
        <v>0.16245590432021467</v>
      </c>
      <c r="F63" s="16">
        <v>0.11015590432021467</v>
      </c>
      <c r="G63" s="16">
        <v>5.5E-2</v>
      </c>
      <c r="H63" s="17" t="s">
        <v>54</v>
      </c>
      <c r="I63" s="74">
        <f t="shared" si="42"/>
        <v>1.9477107349466689E-2</v>
      </c>
      <c r="J63" s="74">
        <f t="shared" si="43"/>
        <v>1.7135888654656723E-3</v>
      </c>
      <c r="K63" s="74">
        <f t="shared" si="44"/>
        <v>3.1641710879995104E-3</v>
      </c>
      <c r="L63" s="74">
        <f t="shared" si="45"/>
        <v>2.1455183736224025E-3</v>
      </c>
      <c r="M63" s="74">
        <f t="shared" si="8"/>
        <v>1.071240904220668E-3</v>
      </c>
    </row>
    <row r="64" spans="1:13" s="47" customFormat="1" ht="16">
      <c r="A64" s="10" t="s">
        <v>90</v>
      </c>
      <c r="B64" s="148">
        <v>5.5737100000000002</v>
      </c>
      <c r="C64" s="11" t="s">
        <v>42</v>
      </c>
      <c r="D64" s="24">
        <v>9.9519687459094178E-3</v>
      </c>
      <c r="E64" s="12">
        <v>6.4760475338267356E-2</v>
      </c>
      <c r="F64" s="16">
        <v>1.2460475338267361E-2</v>
      </c>
      <c r="G64" s="16">
        <v>0</v>
      </c>
      <c r="H64" s="17" t="s">
        <v>54</v>
      </c>
      <c r="I64" s="74">
        <f t="shared" si="42"/>
        <v>2.1100048203070165E-2</v>
      </c>
      <c r="J64" s="74">
        <f t="shared" si="43"/>
        <v>2.0998702025413644E-4</v>
      </c>
      <c r="K64" s="74">
        <f t="shared" si="44"/>
        <v>1.3664491512911778E-3</v>
      </c>
      <c r="L64" s="74">
        <f t="shared" si="45"/>
        <v>2.629166302706083E-4</v>
      </c>
      <c r="M64" s="74">
        <f t="shared" si="8"/>
        <v>0</v>
      </c>
    </row>
    <row r="65" spans="1:13" s="47" customFormat="1" ht="16">
      <c r="A65" s="10" t="s">
        <v>55</v>
      </c>
      <c r="B65" s="148">
        <v>5.1418339133565327</v>
      </c>
      <c r="C65" s="11" t="s">
        <v>46</v>
      </c>
      <c r="D65" s="24">
        <v>7.0934245316588403E-3</v>
      </c>
      <c r="E65" s="12">
        <v>6.1181402634722479E-2</v>
      </c>
      <c r="F65" s="16">
        <v>8.8814026347224795E-3</v>
      </c>
      <c r="G65" s="16">
        <v>0</v>
      </c>
      <c r="H65" s="17" t="s">
        <v>54</v>
      </c>
      <c r="I65" s="74">
        <f t="shared" si="42"/>
        <v>1.9465121691656675E-2</v>
      </c>
      <c r="J65" s="74">
        <f t="shared" si="43"/>
        <v>1.3807437171932209E-4</v>
      </c>
      <c r="K65" s="74">
        <f t="shared" si="44"/>
        <v>1.1909034475511174E-3</v>
      </c>
      <c r="L65" s="74">
        <f t="shared" si="45"/>
        <v>1.7287758307747329E-4</v>
      </c>
      <c r="M65" s="74">
        <f t="shared" si="8"/>
        <v>0</v>
      </c>
    </row>
    <row r="66" spans="1:13" s="47" customFormat="1" ht="16">
      <c r="A66" s="10" t="s">
        <v>99</v>
      </c>
      <c r="B66" s="148">
        <v>100.023</v>
      </c>
      <c r="C66" s="11" t="s">
        <v>58</v>
      </c>
      <c r="D66" s="24">
        <v>0.10566026391933617</v>
      </c>
      <c r="E66" s="12">
        <v>0.18459313178288111</v>
      </c>
      <c r="F66" s="16">
        <v>0.13229313178288113</v>
      </c>
      <c r="G66" s="16">
        <v>0.27239999999999998</v>
      </c>
      <c r="H66" s="17" t="s">
        <v>54</v>
      </c>
      <c r="I66" s="74">
        <f t="shared" si="42"/>
        <v>0.37865086655310143</v>
      </c>
      <c r="J66" s="74">
        <f t="shared" si="43"/>
        <v>4.0008350493286035E-2</v>
      </c>
      <c r="K66" s="74">
        <f t="shared" si="44"/>
        <v>6.9896349309338787E-2</v>
      </c>
      <c r="L66" s="74">
        <f t="shared" si="45"/>
        <v>5.0092908988611587E-2</v>
      </c>
      <c r="M66" s="74">
        <f t="shared" si="8"/>
        <v>0.10314449604906482</v>
      </c>
    </row>
    <row r="67" spans="1:13" s="47" customFormat="1" ht="16">
      <c r="A67" s="10" t="s">
        <v>217</v>
      </c>
      <c r="B67" s="148">
        <v>3.1279080378591844</v>
      </c>
      <c r="C67" s="11" t="s">
        <v>83</v>
      </c>
      <c r="D67" s="24">
        <v>2.2338993674328587E-2</v>
      </c>
      <c r="E67" s="12">
        <v>8.0269790386961845E-2</v>
      </c>
      <c r="F67" s="16">
        <v>2.7969790386961842E-2</v>
      </c>
      <c r="G67" s="16">
        <v>0.22</v>
      </c>
      <c r="H67" s="17" t="s">
        <v>54</v>
      </c>
      <c r="I67" s="74">
        <f t="shared" si="42"/>
        <v>1.1841127431028777E-2</v>
      </c>
      <c r="J67" s="74">
        <f t="shared" si="43"/>
        <v>2.6451887077867057E-4</v>
      </c>
      <c r="K67" s="74">
        <f t="shared" si="44"/>
        <v>9.5048481683398394E-4</v>
      </c>
      <c r="L67" s="74">
        <f t="shared" si="45"/>
        <v>3.3119385219117887E-4</v>
      </c>
      <c r="M67" s="74">
        <f t="shared" si="8"/>
        <v>2.6050480348263311E-3</v>
      </c>
    </row>
    <row r="68" spans="1:13" s="47" customFormat="1" ht="16">
      <c r="A68" s="10" t="s">
        <v>103</v>
      </c>
      <c r="B68" s="148">
        <v>85.555390387035516</v>
      </c>
      <c r="C68" s="11" t="s">
        <v>81</v>
      </c>
      <c r="D68" s="24">
        <v>4.2242931166147427E-2</v>
      </c>
      <c r="E68" s="12">
        <v>0.10519074106349657</v>
      </c>
      <c r="F68" s="16">
        <v>5.2890741063496567E-2</v>
      </c>
      <c r="G68" s="16">
        <v>0.27</v>
      </c>
      <c r="H68" s="17" t="s">
        <v>54</v>
      </c>
      <c r="I68" s="74">
        <f t="shared" si="42"/>
        <v>0.32388173428451339</v>
      </c>
      <c r="J68" s="74">
        <f t="shared" si="43"/>
        <v>1.3681713807353149E-2</v>
      </c>
      <c r="K68" s="74">
        <f t="shared" si="44"/>
        <v>3.4069359646318451E-2</v>
      </c>
      <c r="L68" s="74">
        <f t="shared" si="45"/>
        <v>1.7130344943238396E-2</v>
      </c>
      <c r="M68" s="74">
        <f t="shared" si="8"/>
        <v>8.7448068256818626E-2</v>
      </c>
    </row>
    <row r="69" spans="1:13" s="47" customFormat="1" ht="16">
      <c r="A69" s="10" t="s">
        <v>115</v>
      </c>
      <c r="B69" s="148">
        <v>15.713908816146317</v>
      </c>
      <c r="C69" s="11" t="s">
        <v>49</v>
      </c>
      <c r="D69" s="24">
        <v>6.4581924840476007E-2</v>
      </c>
      <c r="E69" s="12">
        <v>0.13316053145045842</v>
      </c>
      <c r="F69" s="16">
        <v>8.0860531450458406E-2</v>
      </c>
      <c r="G69" s="16">
        <v>0.25</v>
      </c>
      <c r="H69" s="17" t="s">
        <v>54</v>
      </c>
      <c r="I69" s="74">
        <f t="shared" si="42"/>
        <v>5.9487169852636121E-2</v>
      </c>
      <c r="J69" s="74">
        <f t="shared" si="43"/>
        <v>3.841795932395576E-3</v>
      </c>
      <c r="K69" s="74">
        <f t="shared" si="44"/>
        <v>7.9213431520607138E-3</v>
      </c>
      <c r="L69" s="74">
        <f t="shared" si="45"/>
        <v>4.8101641687678439E-3</v>
      </c>
      <c r="M69" s="74">
        <f t="shared" si="8"/>
        <v>1.487179246315903E-2</v>
      </c>
    </row>
    <row r="70" spans="1:13" s="47" customFormat="1" ht="16">
      <c r="A70" s="10" t="s">
        <v>225</v>
      </c>
      <c r="B70" s="148">
        <v>1.5</v>
      </c>
      <c r="C70" s="11" t="s">
        <v>124</v>
      </c>
      <c r="D70" s="24">
        <v>2.5832769936190408E-2</v>
      </c>
      <c r="E70" s="12">
        <v>8.464421258018337E-2</v>
      </c>
      <c r="F70" s="16">
        <v>3.2344212580183364E-2</v>
      </c>
      <c r="G70" s="16">
        <v>0.27239999999999998</v>
      </c>
      <c r="H70" s="17" t="s">
        <v>54</v>
      </c>
      <c r="I70" s="74">
        <f t="shared" si="42"/>
        <v>5.678456953197286E-3</v>
      </c>
      <c r="J70" s="74">
        <f t="shared" si="43"/>
        <v>1.4669027206450623E-4</v>
      </c>
      <c r="K70" s="74">
        <f t="shared" si="44"/>
        <v>4.8064851747385144E-4</v>
      </c>
      <c r="L70" s="74">
        <f t="shared" si="45"/>
        <v>1.8366521882163335E-4</v>
      </c>
      <c r="M70" s="74">
        <f t="shared" si="8"/>
        <v>1.5468116740509406E-3</v>
      </c>
    </row>
    <row r="71" spans="1:13" s="47" customFormat="1" ht="16">
      <c r="A71" s="10" t="s">
        <v>191</v>
      </c>
      <c r="B71" s="148">
        <v>1.5</v>
      </c>
      <c r="C71" s="11" t="s">
        <v>124</v>
      </c>
      <c r="D71" s="24">
        <v>2.5832769936190408E-2</v>
      </c>
      <c r="E71" s="12">
        <v>8.464421258018337E-2</v>
      </c>
      <c r="F71" s="16">
        <v>3.2344212580183364E-2</v>
      </c>
      <c r="G71" s="16">
        <v>0.35</v>
      </c>
      <c r="H71" s="17" t="s">
        <v>54</v>
      </c>
      <c r="I71" s="74">
        <f t="shared" si="42"/>
        <v>5.678456953197286E-3</v>
      </c>
      <c r="J71" s="74">
        <f t="shared" si="43"/>
        <v>1.4669027206450623E-4</v>
      </c>
      <c r="K71" s="74">
        <f t="shared" si="44"/>
        <v>4.8064851747385144E-4</v>
      </c>
      <c r="L71" s="74">
        <f t="shared" si="45"/>
        <v>1.8366521882163335E-4</v>
      </c>
      <c r="M71" s="74">
        <f t="shared" si="8"/>
        <v>1.9874599336190501E-3</v>
      </c>
    </row>
    <row r="72" spans="1:13" s="47" customFormat="1" ht="16">
      <c r="A72" s="10" t="s">
        <v>10</v>
      </c>
      <c r="B72" s="148">
        <v>0.92</v>
      </c>
      <c r="C72" s="11" t="s">
        <v>78</v>
      </c>
      <c r="D72" s="24">
        <v>7.6333717721283945E-2</v>
      </c>
      <c r="E72" s="12">
        <v>0.14787449700947625</v>
      </c>
      <c r="F72" s="16">
        <v>9.5574497009476247E-2</v>
      </c>
      <c r="G72" s="16">
        <v>0.3</v>
      </c>
      <c r="H72" s="17" t="s">
        <v>54</v>
      </c>
      <c r="I72" s="74">
        <f t="shared" si="42"/>
        <v>3.4827869312943358E-3</v>
      </c>
      <c r="J72" s="74">
        <f t="shared" si="43"/>
        <v>2.6585407449679859E-4</v>
      </c>
      <c r="K72" s="74">
        <f t="shared" si="44"/>
        <v>5.1501536565632723E-4</v>
      </c>
      <c r="L72" s="74">
        <f t="shared" si="45"/>
        <v>3.3286560914963346E-4</v>
      </c>
      <c r="M72" s="74">
        <f t="shared" si="8"/>
        <v>1.0448360793883008E-3</v>
      </c>
    </row>
    <row r="73" spans="1:13" s="47" customFormat="1" ht="16">
      <c r="A73" s="10" t="s">
        <v>11</v>
      </c>
      <c r="B73" s="148">
        <v>23.808146747799373</v>
      </c>
      <c r="C73" s="11" t="s">
        <v>79</v>
      </c>
      <c r="D73" s="24">
        <v>2.9326546198052226E-2</v>
      </c>
      <c r="E73" s="12">
        <v>8.9018634773404881E-2</v>
      </c>
      <c r="F73" s="16">
        <v>3.6718634773404889E-2</v>
      </c>
      <c r="G73" s="16">
        <v>0.25</v>
      </c>
      <c r="H73" s="17" t="s">
        <v>54</v>
      </c>
      <c r="I73" s="74">
        <f t="shared" si="42"/>
        <v>9.0129024295188473E-2</v>
      </c>
      <c r="J73" s="74">
        <f t="shared" si="43"/>
        <v>2.643172994778216E-3</v>
      </c>
      <c r="K73" s="74">
        <f t="shared" si="44"/>
        <v>8.0231626962167183E-3</v>
      </c>
      <c r="L73" s="74">
        <f t="shared" si="45"/>
        <v>3.3094147255783614E-3</v>
      </c>
      <c r="M73" s="74">
        <f t="shared" si="8"/>
        <v>2.2532256073797118E-2</v>
      </c>
    </row>
    <row r="74" spans="1:13" s="47" customFormat="1" ht="16">
      <c r="A74" s="10" t="s">
        <v>293</v>
      </c>
      <c r="B74" s="148">
        <v>1.02231201</v>
      </c>
      <c r="C74" s="11" t="s">
        <v>82</v>
      </c>
      <c r="D74" s="24">
        <v>1.8739345404531565E-2</v>
      </c>
      <c r="E74" s="12">
        <v>7.5762809945460891E-2</v>
      </c>
      <c r="F74" s="16">
        <v>2.3462809945460884E-2</v>
      </c>
      <c r="G74" s="16">
        <v>0</v>
      </c>
      <c r="H74" s="17" t="s">
        <v>54</v>
      </c>
      <c r="I74" s="74">
        <f>B74/$B$75</f>
        <v>3.870103161014396E-3</v>
      </c>
      <c r="J74" s="74">
        <f>I74*D74</f>
        <v>7.2523199885418205E-5</v>
      </c>
      <c r="K74" s="74">
        <f>I74*E74</f>
        <v>2.9320989025726109E-4</v>
      </c>
      <c r="L74" s="74">
        <f>I74*F74</f>
        <v>9.0803494936208179E-5</v>
      </c>
      <c r="M74" s="74">
        <f>I74*G74</f>
        <v>0</v>
      </c>
    </row>
    <row r="75" spans="1:13" s="36" customFormat="1" ht="16">
      <c r="A75" s="72" t="s">
        <v>54</v>
      </c>
      <c r="B75" s="67">
        <f>SUM(B61:B74)</f>
        <v>264.15626857141478</v>
      </c>
      <c r="C75" s="67"/>
      <c r="D75" s="68">
        <f>SUM(J61:J74)</f>
        <v>6.4982763535581578E-2</v>
      </c>
      <c r="E75" s="68">
        <f>SUM(K61:K74)</f>
        <v>0.13366240608476526</v>
      </c>
      <c r="F75" s="68">
        <f>SUM(L61:L74)</f>
        <v>8.1362406084765221E-2</v>
      </c>
      <c r="G75" s="68">
        <f>SUM(M61:M74)</f>
        <v>0.23880784381827033</v>
      </c>
      <c r="H75" s="72"/>
      <c r="I75" s="75">
        <f>SUM(I61:I74)</f>
        <v>1</v>
      </c>
      <c r="J75" s="75"/>
      <c r="K75" s="75"/>
      <c r="L75" s="75">
        <f>SUM(L61:L74)</f>
        <v>8.1362406084765221E-2</v>
      </c>
    </row>
    <row r="76" spans="1:13" s="47" customFormat="1" ht="16">
      <c r="A76" s="10" t="s">
        <v>84</v>
      </c>
      <c r="B76" s="148">
        <v>519.87151980779504</v>
      </c>
      <c r="C76" s="11" t="s">
        <v>347</v>
      </c>
      <c r="D76" s="24">
        <v>0.14080977055382476</v>
      </c>
      <c r="E76" s="12">
        <v>0.22860247021165525</v>
      </c>
      <c r="F76" s="16">
        <v>0.17630247021165524</v>
      </c>
      <c r="G76" s="16">
        <v>0.3</v>
      </c>
      <c r="H76" s="17" t="s">
        <v>51</v>
      </c>
      <c r="I76" s="74">
        <f t="shared" ref="I76:I94" si="46">B76/$B$95</f>
        <v>0.10230565528396822</v>
      </c>
      <c r="J76" s="74">
        <f t="shared" ref="J76:J94" si="47">I76*D76</f>
        <v>1.4405635846894254E-2</v>
      </c>
      <c r="K76" s="74">
        <f t="shared" ref="K76:K94" si="48">I76*E76</f>
        <v>2.3387325514537215E-2</v>
      </c>
      <c r="L76" s="74">
        <f t="shared" ref="L76:L94" si="49">I76*F76</f>
        <v>1.8036739743185676E-2</v>
      </c>
      <c r="M76" s="74">
        <f t="shared" si="8"/>
        <v>3.0691696585190463E-2</v>
      </c>
    </row>
    <row r="77" spans="1:13" s="47" customFormat="1" ht="16">
      <c r="A77" s="10" t="s">
        <v>89</v>
      </c>
      <c r="B77" s="148">
        <v>1.8712031640827449</v>
      </c>
      <c r="C77" s="11" t="s">
        <v>100</v>
      </c>
      <c r="D77" s="24">
        <v>8.7979638594156681E-2</v>
      </c>
      <c r="E77" s="12">
        <v>0.16245590432021467</v>
      </c>
      <c r="F77" s="16">
        <v>0.11015590432021467</v>
      </c>
      <c r="G77" s="16">
        <v>0.3236</v>
      </c>
      <c r="H77" s="17" t="s">
        <v>51</v>
      </c>
      <c r="I77" s="74">
        <f t="shared" si="46"/>
        <v>3.6823457061409411E-4</v>
      </c>
      <c r="J77" s="74">
        <f t="shared" si="47"/>
        <v>3.2397144440502468E-5</v>
      </c>
      <c r="K77" s="74">
        <f t="shared" si="48"/>
        <v>5.9821880171078608E-5</v>
      </c>
      <c r="L77" s="74">
        <f t="shared" si="49"/>
        <v>4.0563212127961482E-5</v>
      </c>
      <c r="M77" s="74">
        <f t="shared" ref="M77:M144" si="50">I77*G77</f>
        <v>1.1916070705072086E-4</v>
      </c>
    </row>
    <row r="78" spans="1:13" s="47" customFormat="1" ht="16">
      <c r="A78" s="10" t="s">
        <v>91</v>
      </c>
      <c r="B78" s="148">
        <v>40.287647756874094</v>
      </c>
      <c r="C78" s="11" t="s">
        <v>48</v>
      </c>
      <c r="D78" s="24">
        <v>5.2830131959668084E-2</v>
      </c>
      <c r="E78" s="12">
        <v>0.11844656589144056</v>
      </c>
      <c r="F78" s="16">
        <v>6.6146565891440565E-2</v>
      </c>
      <c r="G78" s="16">
        <v>0.25</v>
      </c>
      <c r="H78" s="17" t="s">
        <v>51</v>
      </c>
      <c r="I78" s="74">
        <f t="shared" si="46"/>
        <v>7.9282169662622387E-3</v>
      </c>
      <c r="J78" s="74">
        <f t="shared" si="47"/>
        <v>4.1884874853251341E-4</v>
      </c>
      <c r="K78" s="74">
        <f t="shared" si="48"/>
        <v>9.3907007329601722E-4</v>
      </c>
      <c r="L78" s="74">
        <f t="shared" si="49"/>
        <v>5.2442432596050219E-4</v>
      </c>
      <c r="M78" s="74">
        <f t="shared" si="50"/>
        <v>1.9820542415655597E-3</v>
      </c>
    </row>
    <row r="79" spans="1:13" s="47" customFormat="1" ht="16">
      <c r="A79" s="10" t="s">
        <v>92</v>
      </c>
      <c r="B79" s="148">
        <v>1868.6260879084787</v>
      </c>
      <c r="C79" s="11" t="s">
        <v>80</v>
      </c>
      <c r="D79" s="24">
        <v>3.5255378642423785E-2</v>
      </c>
      <c r="E79" s="12">
        <v>9.6441896677053524E-2</v>
      </c>
      <c r="F79" s="16">
        <v>4.4141896677053517E-2</v>
      </c>
      <c r="G79" s="16">
        <v>0.34</v>
      </c>
      <c r="H79" s="17" t="s">
        <v>51</v>
      </c>
      <c r="I79" s="74">
        <f t="shared" si="46"/>
        <v>0.3677274271052085</v>
      </c>
      <c r="J79" s="74">
        <f t="shared" si="47"/>
        <v>1.2964369679798417E-2</v>
      </c>
      <c r="K79" s="74">
        <f t="shared" si="48"/>
        <v>3.5464330530199248E-2</v>
      </c>
      <c r="L79" s="74">
        <f t="shared" si="49"/>
        <v>1.6232186092596843E-2</v>
      </c>
      <c r="M79" s="74">
        <f t="shared" si="50"/>
        <v>0.1250273252157709</v>
      </c>
    </row>
    <row r="80" spans="1:13" s="47" customFormat="1" ht="16">
      <c r="A80" s="10" t="s">
        <v>96</v>
      </c>
      <c r="B80" s="148">
        <v>298.23113353274857</v>
      </c>
      <c r="C80" s="11" t="s">
        <v>41</v>
      </c>
      <c r="D80" s="24">
        <v>8.2580166189461131E-3</v>
      </c>
      <c r="E80" s="12">
        <v>6.2639543365796316E-2</v>
      </c>
      <c r="F80" s="16">
        <v>1.0339543365796322E-2</v>
      </c>
      <c r="G80" s="16">
        <v>0.27</v>
      </c>
      <c r="H80" s="17" t="s">
        <v>51</v>
      </c>
      <c r="I80" s="74">
        <f t="shared" si="46"/>
        <v>5.8688984450290305E-2</v>
      </c>
      <c r="J80" s="74">
        <f t="shared" si="47"/>
        <v>4.8465460893956733E-4</v>
      </c>
      <c r="K80" s="74">
        <f t="shared" si="48"/>
        <v>3.6762511865685052E-3</v>
      </c>
      <c r="L80" s="74">
        <f t="shared" si="49"/>
        <v>6.0681729981832257E-4</v>
      </c>
      <c r="M80" s="74">
        <f t="shared" si="50"/>
        <v>1.5846025801578383E-2</v>
      </c>
    </row>
    <row r="81" spans="1:13" s="47" customFormat="1" ht="16">
      <c r="A81" s="10" t="s">
        <v>50</v>
      </c>
      <c r="B81" s="148">
        <v>331.04704008787752</v>
      </c>
      <c r="C81" s="11" t="s">
        <v>83</v>
      </c>
      <c r="D81" s="24">
        <v>2.2338993674328587E-2</v>
      </c>
      <c r="E81" s="12">
        <v>8.0269790386961845E-2</v>
      </c>
      <c r="F81" s="16">
        <v>2.7969790386961842E-2</v>
      </c>
      <c r="G81" s="16">
        <v>0.33</v>
      </c>
      <c r="H81" s="17" t="s">
        <v>51</v>
      </c>
      <c r="I81" s="74">
        <f t="shared" si="46"/>
        <v>6.5146835469136591E-2</v>
      </c>
      <c r="J81" s="74">
        <f t="shared" si="47"/>
        <v>1.4553147454475675E-3</v>
      </c>
      <c r="K81" s="74">
        <f t="shared" si="48"/>
        <v>5.229322827481485E-3</v>
      </c>
      <c r="L81" s="74">
        <f t="shared" si="49"/>
        <v>1.8221433324456414E-3</v>
      </c>
      <c r="M81" s="74">
        <f t="shared" si="50"/>
        <v>2.1498455704815077E-2</v>
      </c>
    </row>
    <row r="82" spans="1:13" s="47" customFormat="1" ht="16">
      <c r="A82" s="10" t="s">
        <v>56</v>
      </c>
      <c r="B82" s="148">
        <v>60.130106115629424</v>
      </c>
      <c r="C82" s="11" t="s">
        <v>49</v>
      </c>
      <c r="D82" s="24">
        <v>6.4581924840476007E-2</v>
      </c>
      <c r="E82" s="12">
        <v>0.13316053145045842</v>
      </c>
      <c r="F82" s="16">
        <v>8.0860531450458406E-2</v>
      </c>
      <c r="G82" s="16">
        <v>0.3</v>
      </c>
      <c r="H82" s="17" t="s">
        <v>51</v>
      </c>
      <c r="I82" s="74">
        <f t="shared" si="46"/>
        <v>1.1833019648255358E-2</v>
      </c>
      <c r="J82" s="74">
        <f t="shared" si="47"/>
        <v>7.6419918555950333E-4</v>
      </c>
      <c r="K82" s="74">
        <f t="shared" si="48"/>
        <v>1.5756911850253999E-3</v>
      </c>
      <c r="L82" s="74">
        <f t="shared" si="49"/>
        <v>9.5682425742164466E-4</v>
      </c>
      <c r="M82" s="74">
        <f t="shared" si="50"/>
        <v>3.5499058944766073E-3</v>
      </c>
    </row>
    <row r="83" spans="1:13" s="47" customFormat="1" ht="16">
      <c r="A83" s="10" t="s">
        <v>104</v>
      </c>
      <c r="B83" s="148">
        <v>108.39805800000001</v>
      </c>
      <c r="C83" s="11" t="s">
        <v>62</v>
      </c>
      <c r="D83" s="24">
        <v>0.1173061847922089</v>
      </c>
      <c r="E83" s="12">
        <v>0.19917453909361954</v>
      </c>
      <c r="F83" s="16">
        <v>0.14687453909361955</v>
      </c>
      <c r="G83" s="16">
        <v>0.25</v>
      </c>
      <c r="H83" s="17" t="s">
        <v>51</v>
      </c>
      <c r="I83" s="74">
        <f t="shared" si="46"/>
        <v>2.1331682795971686E-2</v>
      </c>
      <c r="J83" s="74">
        <f t="shared" si="47"/>
        <v>2.5023383239930379E-3</v>
      </c>
      <c r="K83" s="74">
        <f t="shared" si="48"/>
        <v>4.2487280889789538E-3</v>
      </c>
      <c r="L83" s="74">
        <f t="shared" si="49"/>
        <v>3.1330810787496351E-3</v>
      </c>
      <c r="M83" s="74">
        <f t="shared" si="50"/>
        <v>5.3329206989929214E-3</v>
      </c>
    </row>
    <row r="84" spans="1:13" s="47" customFormat="1" ht="16">
      <c r="A84" s="10" t="s">
        <v>31</v>
      </c>
      <c r="B84" s="148">
        <v>26.056999999999999</v>
      </c>
      <c r="C84" s="11" t="s">
        <v>78</v>
      </c>
      <c r="D84" s="24">
        <v>7.6333717721283945E-2</v>
      </c>
      <c r="E84" s="12">
        <v>0.14787449700947625</v>
      </c>
      <c r="F84" s="16">
        <v>9.5574497009476247E-2</v>
      </c>
      <c r="G84" s="16">
        <v>0.3</v>
      </c>
      <c r="H84" s="17" t="s">
        <v>51</v>
      </c>
      <c r="I84" s="74">
        <f t="shared" si="46"/>
        <v>5.1277639919954481E-3</v>
      </c>
      <c r="J84" s="74">
        <f t="shared" si="47"/>
        <v>3.9142128910634464E-4</v>
      </c>
      <c r="K84" s="74">
        <f t="shared" si="48"/>
        <v>7.5826552109963083E-4</v>
      </c>
      <c r="L84" s="74">
        <f t="shared" si="49"/>
        <v>4.9008346431826894E-4</v>
      </c>
      <c r="M84" s="74">
        <f t="shared" si="50"/>
        <v>1.5383291975986345E-3</v>
      </c>
    </row>
    <row r="85" spans="1:13" s="47" customFormat="1" ht="16">
      <c r="A85" s="10" t="s">
        <v>107</v>
      </c>
      <c r="B85" s="148">
        <v>78.460447919991495</v>
      </c>
      <c r="C85" s="11" t="s">
        <v>79</v>
      </c>
      <c r="D85" s="24">
        <v>2.9326546198052226E-2</v>
      </c>
      <c r="E85" s="12">
        <v>8.9018634773404881E-2</v>
      </c>
      <c r="F85" s="16">
        <v>3.6718634773404889E-2</v>
      </c>
      <c r="G85" s="16">
        <v>0.25</v>
      </c>
      <c r="H85" s="17" t="s">
        <v>51</v>
      </c>
      <c r="I85" s="74">
        <f t="shared" si="46"/>
        <v>1.5440252509497123E-2</v>
      </c>
      <c r="J85" s="74">
        <f t="shared" si="47"/>
        <v>4.5280927852935917E-4</v>
      </c>
      <c r="K85" s="74">
        <f t="shared" si="48"/>
        <v>1.3744701989520725E-3</v>
      </c>
      <c r="L85" s="74">
        <f t="shared" si="49"/>
        <v>5.669449927053732E-4</v>
      </c>
      <c r="M85" s="74">
        <f t="shared" si="50"/>
        <v>3.8600631273742808E-3</v>
      </c>
    </row>
    <row r="86" spans="1:13" s="47" customFormat="1" ht="16">
      <c r="A86" s="10" t="s">
        <v>108</v>
      </c>
      <c r="B86" s="148">
        <v>23.969890430788155</v>
      </c>
      <c r="C86" s="11" t="s">
        <v>48</v>
      </c>
      <c r="D86" s="24">
        <v>5.2830131959668084E-2</v>
      </c>
      <c r="E86" s="12">
        <v>0.11844656589144056</v>
      </c>
      <c r="F86" s="16">
        <v>6.6146565891440565E-2</v>
      </c>
      <c r="G86" s="16">
        <v>0.25</v>
      </c>
      <c r="H86" s="17" t="s">
        <v>51</v>
      </c>
      <c r="I86" s="74">
        <f t="shared" si="46"/>
        <v>4.7170411422294114E-3</v>
      </c>
      <c r="J86" s="74">
        <f t="shared" si="47"/>
        <v>2.4920190600316328E-4</v>
      </c>
      <c r="K86" s="74">
        <f t="shared" si="48"/>
        <v>5.5871732446571203E-4</v>
      </c>
      <c r="L86" s="74">
        <f t="shared" si="49"/>
        <v>3.120160727271138E-4</v>
      </c>
      <c r="M86" s="74">
        <f t="shared" si="50"/>
        <v>1.1792602855573528E-3</v>
      </c>
    </row>
    <row r="87" spans="1:13" s="47" customFormat="1" ht="16">
      <c r="A87" s="10" t="s">
        <v>16</v>
      </c>
      <c r="B87" s="148">
        <v>1220.6994798459802</v>
      </c>
      <c r="C87" s="11" t="s">
        <v>82</v>
      </c>
      <c r="D87" s="24">
        <v>1.8739345404531565E-2</v>
      </c>
      <c r="E87" s="12">
        <v>7.5762809945460891E-2</v>
      </c>
      <c r="F87" s="16">
        <v>2.3462809945460884E-2</v>
      </c>
      <c r="G87" s="16">
        <v>0.3</v>
      </c>
      <c r="H87" s="17" t="s">
        <v>51</v>
      </c>
      <c r="I87" s="74">
        <f t="shared" si="46"/>
        <v>0.24022177678941517</v>
      </c>
      <c r="J87" s="74">
        <f t="shared" si="47"/>
        <v>4.5015988489471347E-3</v>
      </c>
      <c r="K87" s="74">
        <f t="shared" si="48"/>
        <v>1.8199876819657391E-2</v>
      </c>
      <c r="L87" s="74">
        <f t="shared" si="49"/>
        <v>5.6362778935709745E-3</v>
      </c>
      <c r="M87" s="74">
        <f t="shared" si="50"/>
        <v>7.2066533036824545E-2</v>
      </c>
    </row>
    <row r="88" spans="1:13" s="47" customFormat="1" ht="16">
      <c r="A88" s="10" t="s">
        <v>22</v>
      </c>
      <c r="B88" s="148">
        <v>13.117845416629692</v>
      </c>
      <c r="C88" s="11" t="s">
        <v>78</v>
      </c>
      <c r="D88" s="24">
        <v>7.6333717721283945E-2</v>
      </c>
      <c r="E88" s="12">
        <v>0.14787449700947625</v>
      </c>
      <c r="F88" s="16">
        <v>9.5574497009476247E-2</v>
      </c>
      <c r="G88" s="16">
        <v>0.3</v>
      </c>
      <c r="H88" s="17" t="s">
        <v>51</v>
      </c>
      <c r="I88" s="74">
        <f t="shared" si="46"/>
        <v>2.5814643044078851E-3</v>
      </c>
      <c r="J88" s="74">
        <f t="shared" si="47"/>
        <v>1.970527675202421E-4</v>
      </c>
      <c r="K88" s="74">
        <f t="shared" si="48"/>
        <v>3.8173273556223349E-4</v>
      </c>
      <c r="L88" s="74">
        <f t="shared" si="49"/>
        <v>2.4672215244170108E-4</v>
      </c>
      <c r="M88" s="74">
        <f t="shared" si="50"/>
        <v>7.7443929132236546E-4</v>
      </c>
    </row>
    <row r="89" spans="1:13" s="47" customFormat="1" ht="16">
      <c r="A89" s="10" t="s">
        <v>26</v>
      </c>
      <c r="B89" s="148">
        <v>65.055099999999996</v>
      </c>
      <c r="C89" s="11" t="s">
        <v>82</v>
      </c>
      <c r="D89" s="24">
        <v>1.8739345404531565E-2</v>
      </c>
      <c r="E89" s="12">
        <v>7.5762809945460891E-2</v>
      </c>
      <c r="F89" s="16">
        <v>2.3462809945460884E-2</v>
      </c>
      <c r="G89" s="16">
        <v>0.25</v>
      </c>
      <c r="H89" s="17" t="s">
        <v>51</v>
      </c>
      <c r="I89" s="74">
        <f t="shared" si="46"/>
        <v>1.2802210510636798E-2</v>
      </c>
      <c r="J89" s="74">
        <f t="shared" si="47"/>
        <v>2.399050447003474E-4</v>
      </c>
      <c r="K89" s="74">
        <f t="shared" si="48"/>
        <v>9.6993144179915753E-4</v>
      </c>
      <c r="L89" s="74">
        <f t="shared" si="49"/>
        <v>3.0037583209285292E-4</v>
      </c>
      <c r="M89" s="74">
        <f t="shared" si="50"/>
        <v>3.2005526276591995E-3</v>
      </c>
    </row>
    <row r="90" spans="1:13" s="47" customFormat="1" ht="16">
      <c r="A90" s="10" t="s">
        <v>27</v>
      </c>
      <c r="B90" s="148">
        <v>40.496953779070957</v>
      </c>
      <c r="C90" s="11" t="s">
        <v>79</v>
      </c>
      <c r="D90" s="24">
        <v>2.9326546198052226E-2</v>
      </c>
      <c r="E90" s="12">
        <v>8.9018634773404881E-2</v>
      </c>
      <c r="F90" s="16">
        <v>3.6718634773404889E-2</v>
      </c>
      <c r="G90" s="16">
        <v>0.1</v>
      </c>
      <c r="H90" s="17" t="s">
        <v>51</v>
      </c>
      <c r="I90" s="74">
        <f t="shared" si="46"/>
        <v>7.9694063542934349E-3</v>
      </c>
      <c r="J90" s="74">
        <f t="shared" si="47"/>
        <v>2.3371516362023738E-4</v>
      </c>
      <c r="K90" s="74">
        <f t="shared" si="48"/>
        <v>7.094256736136994E-4</v>
      </c>
      <c r="L90" s="74">
        <f t="shared" si="49"/>
        <v>2.9262572128415282E-4</v>
      </c>
      <c r="M90" s="74">
        <f t="shared" si="50"/>
        <v>7.9694063542934358E-4</v>
      </c>
    </row>
    <row r="91" spans="1:13" s="47" customFormat="1" ht="16">
      <c r="A91" s="10" t="s">
        <v>28</v>
      </c>
      <c r="B91" s="148">
        <v>222.04497048621676</v>
      </c>
      <c r="C91" s="11" t="s">
        <v>43</v>
      </c>
      <c r="D91" s="24">
        <v>1.4080977055382476E-2</v>
      </c>
      <c r="E91" s="12">
        <v>6.9930247021165515E-2</v>
      </c>
      <c r="F91" s="16">
        <v>1.7630247021165522E-2</v>
      </c>
      <c r="G91" s="16">
        <v>0.29499999999999998</v>
      </c>
      <c r="H91" s="17" t="s">
        <v>51</v>
      </c>
      <c r="I91" s="74">
        <f t="shared" si="46"/>
        <v>4.3696289068692266E-2</v>
      </c>
      <c r="J91" s="74">
        <f t="shared" si="47"/>
        <v>6.1528644378161588E-4</v>
      </c>
      <c r="K91" s="74">
        <f t="shared" si="48"/>
        <v>3.0556922884819046E-3</v>
      </c>
      <c r="L91" s="74">
        <f t="shared" si="49"/>
        <v>7.7037637018929938E-4</v>
      </c>
      <c r="M91" s="74">
        <f t="shared" si="50"/>
        <v>1.2890405275264218E-2</v>
      </c>
    </row>
    <row r="92" spans="1:13" s="47" customFormat="1" ht="16">
      <c r="A92" s="10" t="s">
        <v>33</v>
      </c>
      <c r="B92" s="148">
        <v>3.590753768844221</v>
      </c>
      <c r="C92" s="11" t="s">
        <v>78</v>
      </c>
      <c r="D92" s="24">
        <v>7.6333717721283945E-2</v>
      </c>
      <c r="E92" s="12">
        <v>0.14787449700947625</v>
      </c>
      <c r="F92" s="16">
        <v>9.5574497009476247E-2</v>
      </c>
      <c r="G92" s="16">
        <v>0.36</v>
      </c>
      <c r="H92" s="17" t="s">
        <v>51</v>
      </c>
      <c r="I92" s="74">
        <f t="shared" si="46"/>
        <v>7.0662539356032333E-4</v>
      </c>
      <c r="J92" s="74">
        <f t="shared" si="47"/>
        <v>5.3939343326724892E-5</v>
      </c>
      <c r="K92" s="74">
        <f t="shared" si="48"/>
        <v>1.0449187464685601E-4</v>
      </c>
      <c r="L92" s="74">
        <f t="shared" si="49"/>
        <v>6.7535366563651093E-5</v>
      </c>
      <c r="M92" s="74">
        <f t="shared" si="50"/>
        <v>2.5438514168171637E-4</v>
      </c>
    </row>
    <row r="93" spans="1:13" s="47" customFormat="1" ht="16">
      <c r="A93" s="10" t="s">
        <v>69</v>
      </c>
      <c r="B93" s="148">
        <v>59.596885024348659</v>
      </c>
      <c r="C93" s="11" t="s">
        <v>83</v>
      </c>
      <c r="D93" s="24">
        <v>2.2338993674328587E-2</v>
      </c>
      <c r="E93" s="12">
        <v>8.0269790386961845E-2</v>
      </c>
      <c r="F93" s="16">
        <v>2.7969790386961842E-2</v>
      </c>
      <c r="G93" s="16">
        <v>0.25</v>
      </c>
      <c r="H93" s="17" t="s">
        <v>51</v>
      </c>
      <c r="I93" s="74">
        <f t="shared" si="46"/>
        <v>1.1728086927234441E-2</v>
      </c>
      <c r="J93" s="74">
        <f t="shared" si="47"/>
        <v>2.6199365967946597E-4</v>
      </c>
      <c r="K93" s="74">
        <f t="shared" si="48"/>
        <v>9.4141107928917599E-4</v>
      </c>
      <c r="L93" s="74">
        <f t="shared" si="49"/>
        <v>3.2803213299481473E-4</v>
      </c>
      <c r="M93" s="74">
        <f t="shared" si="50"/>
        <v>2.9320217318086102E-3</v>
      </c>
    </row>
    <row r="94" spans="1:13" s="47" customFormat="1" ht="16">
      <c r="A94" s="10" t="s">
        <v>70</v>
      </c>
      <c r="B94" s="148">
        <v>100</v>
      </c>
      <c r="C94" s="11" t="s">
        <v>137</v>
      </c>
      <c r="D94" s="24">
        <v>0.17499999999999999</v>
      </c>
      <c r="E94" s="12">
        <v>0.27141073475718847</v>
      </c>
      <c r="F94" s="16">
        <v>0.21911073475718845</v>
      </c>
      <c r="G94" s="16">
        <v>0.34</v>
      </c>
      <c r="H94" s="17" t="s">
        <v>51</v>
      </c>
      <c r="I94" s="74">
        <f t="shared" si="46"/>
        <v>1.9679026718330769E-2</v>
      </c>
      <c r="J94" s="74">
        <f t="shared" si="47"/>
        <v>3.4438296757078844E-3</v>
      </c>
      <c r="K94" s="74">
        <f t="shared" si="48"/>
        <v>5.3410991009284975E-3</v>
      </c>
      <c r="L94" s="74">
        <f t="shared" si="49"/>
        <v>4.3118860035597974E-3</v>
      </c>
      <c r="M94" s="74">
        <f t="shared" si="50"/>
        <v>6.6908690842324616E-3</v>
      </c>
    </row>
    <row r="95" spans="1:13" s="36" customFormat="1" ht="16">
      <c r="A95" s="72" t="s">
        <v>51</v>
      </c>
      <c r="B95" s="67">
        <f>SUM(B76:B94)</f>
        <v>5081.552123045356</v>
      </c>
      <c r="C95" s="67"/>
      <c r="D95" s="68">
        <f>SUM(J76:J94)</f>
        <v>4.3668511704527888E-2</v>
      </c>
      <c r="E95" s="68">
        <f>SUM(K76:K94)</f>
        <v>0.10697565534475424</v>
      </c>
      <c r="F95" s="68">
        <f>SUM(L76:L94)</f>
        <v>5.4675655344754229E-2</v>
      </c>
      <c r="G95" s="68">
        <f>SUM(M76:M94)</f>
        <v>0.31023134428419324</v>
      </c>
      <c r="H95" s="72"/>
      <c r="I95" s="75">
        <f>SUM(I76:I94)</f>
        <v>1</v>
      </c>
    </row>
    <row r="96" spans="1:13" s="47" customFormat="1" ht="16">
      <c r="A96" s="10" t="s">
        <v>4</v>
      </c>
      <c r="B96" s="148">
        <v>15.102500898237972</v>
      </c>
      <c r="C96" s="11" t="s">
        <v>48</v>
      </c>
      <c r="D96" s="24">
        <v>5.2830131959668084E-2</v>
      </c>
      <c r="E96" s="12">
        <v>0.11844656589144056</v>
      </c>
      <c r="F96" s="16">
        <v>6.6146565891440565E-2</v>
      </c>
      <c r="G96" s="16">
        <v>0.15</v>
      </c>
      <c r="H96" s="17" t="s">
        <v>125</v>
      </c>
      <c r="I96" s="74">
        <f t="shared" ref="I96:I121" si="51">B96/$B$123</f>
        <v>3.8537898982490579E-3</v>
      </c>
      <c r="J96" s="74">
        <f t="shared" ref="J96:J121" si="52">I96*D96</f>
        <v>2.0359622886933357E-4</v>
      </c>
      <c r="K96" s="74">
        <f t="shared" ref="K96:K121" si="53">I96*E96</f>
        <v>4.5646817911472508E-4</v>
      </c>
      <c r="L96" s="74">
        <f t="shared" ref="L96:L121" si="54">I96*F96</f>
        <v>2.5491496743629933E-4</v>
      </c>
      <c r="M96" s="74">
        <f t="shared" si="50"/>
        <v>5.780684847373587E-4</v>
      </c>
    </row>
    <row r="97" spans="1:13" s="47" customFormat="1" ht="16">
      <c r="A97" s="10" t="s">
        <v>19</v>
      </c>
      <c r="B97" s="148">
        <v>12.433089919045941</v>
      </c>
      <c r="C97" s="11" t="s">
        <v>81</v>
      </c>
      <c r="D97" s="24">
        <v>4.2242931166147427E-2</v>
      </c>
      <c r="E97" s="12">
        <v>0.10519074106349657</v>
      </c>
      <c r="F97" s="16">
        <v>5.2890741063496567E-2</v>
      </c>
      <c r="G97" s="16">
        <v>0.2</v>
      </c>
      <c r="H97" s="17" t="s">
        <v>125</v>
      </c>
      <c r="I97" s="74">
        <f t="shared" si="51"/>
        <v>3.1726213199319651E-3</v>
      </c>
      <c r="J97" s="74">
        <f t="shared" si="52"/>
        <v>1.3402082403413779E-4</v>
      </c>
      <c r="K97" s="74">
        <f t="shared" si="53"/>
        <v>3.3373038775749204E-4</v>
      </c>
      <c r="L97" s="74">
        <f t="shared" si="54"/>
        <v>1.6780229272505027E-4</v>
      </c>
      <c r="M97" s="74">
        <f t="shared" si="50"/>
        <v>6.345242639863931E-4</v>
      </c>
    </row>
    <row r="98" spans="1:13" s="47" customFormat="1" ht="16">
      <c r="A98" s="10" t="s">
        <v>20</v>
      </c>
      <c r="B98" s="148">
        <v>46.93952941176471</v>
      </c>
      <c r="C98" s="11" t="s">
        <v>80</v>
      </c>
      <c r="D98" s="24">
        <v>3.5255378642423785E-2</v>
      </c>
      <c r="E98" s="12">
        <v>9.6441896677053524E-2</v>
      </c>
      <c r="F98" s="16">
        <v>4.4141896677053517E-2</v>
      </c>
      <c r="G98" s="16">
        <v>0.2</v>
      </c>
      <c r="H98" s="17" t="s">
        <v>125</v>
      </c>
      <c r="I98" s="74">
        <f t="shared" si="51"/>
        <v>1.1977823109861801E-2</v>
      </c>
      <c r="J98" s="74">
        <f t="shared" si="52"/>
        <v>4.2228268905015174E-4</v>
      </c>
      <c r="K98" s="74">
        <f t="shared" si="53"/>
        <v>1.1551639787773158E-3</v>
      </c>
      <c r="L98" s="74">
        <f t="shared" si="54"/>
        <v>5.2872383013154341E-4</v>
      </c>
      <c r="M98" s="74">
        <f t="shared" si="50"/>
        <v>2.3955646219723601E-3</v>
      </c>
    </row>
    <row r="99" spans="1:13" s="47" customFormat="1" ht="16">
      <c r="A99" s="10" t="s">
        <v>5</v>
      </c>
      <c r="B99" s="148">
        <v>59.662495092265409</v>
      </c>
      <c r="C99" s="11" t="s">
        <v>78</v>
      </c>
      <c r="D99" s="24">
        <v>7.6333717721283945E-2</v>
      </c>
      <c r="E99" s="12">
        <v>0.14787449700947625</v>
      </c>
      <c r="F99" s="16">
        <v>9.5574497009476247E-2</v>
      </c>
      <c r="G99" s="16">
        <v>0.18</v>
      </c>
      <c r="H99" s="17" t="s">
        <v>125</v>
      </c>
      <c r="I99" s="74">
        <f t="shared" si="51"/>
        <v>1.5224413654412182E-2</v>
      </c>
      <c r="J99" s="74">
        <f t="shared" si="52"/>
        <v>1.1621360943679603E-3</v>
      </c>
      <c r="K99" s="74">
        <f t="shared" si="53"/>
        <v>2.2513025114104033E-3</v>
      </c>
      <c r="L99" s="74">
        <f t="shared" si="54"/>
        <v>1.4550656772846463E-3</v>
      </c>
      <c r="M99" s="74">
        <f t="shared" si="50"/>
        <v>2.7403944577941925E-3</v>
      </c>
    </row>
    <row r="100" spans="1:13" s="47" customFormat="1" ht="16">
      <c r="A100" s="10" t="s">
        <v>7</v>
      </c>
      <c r="B100" s="148">
        <v>20.161865419432711</v>
      </c>
      <c r="C100" s="11" t="s">
        <v>78</v>
      </c>
      <c r="D100" s="24">
        <v>7.6333717721283945E-2</v>
      </c>
      <c r="E100" s="12">
        <v>0.14787449700947625</v>
      </c>
      <c r="F100" s="16">
        <v>9.5574497009476247E-2</v>
      </c>
      <c r="G100" s="16">
        <v>0.1</v>
      </c>
      <c r="H100" s="17" t="s">
        <v>125</v>
      </c>
      <c r="I100" s="74">
        <f t="shared" si="51"/>
        <v>5.1448163325275549E-3</v>
      </c>
      <c r="J100" s="74">
        <f t="shared" si="52"/>
        <v>3.9272295765500968E-4</v>
      </c>
      <c r="K100" s="74">
        <f t="shared" si="53"/>
        <v>7.6078712737865045E-4</v>
      </c>
      <c r="L100" s="74">
        <f t="shared" si="54"/>
        <v>4.9171323318745932E-4</v>
      </c>
      <c r="M100" s="74">
        <f t="shared" si="50"/>
        <v>5.1448163325275547E-4</v>
      </c>
    </row>
    <row r="101" spans="1:13" s="47" customFormat="1" ht="16">
      <c r="A101" s="10" t="s">
        <v>94</v>
      </c>
      <c r="B101" s="148">
        <v>65.132951116475553</v>
      </c>
      <c r="C101" s="11" t="s">
        <v>83</v>
      </c>
      <c r="D101" s="24">
        <v>2.2338993674328587E-2</v>
      </c>
      <c r="E101" s="12">
        <v>8.0269790386961845E-2</v>
      </c>
      <c r="F101" s="16">
        <v>2.7969790386961842E-2</v>
      </c>
      <c r="G101" s="16">
        <v>0.1</v>
      </c>
      <c r="H101" s="17" t="s">
        <v>125</v>
      </c>
      <c r="I101" s="74">
        <f t="shared" si="51"/>
        <v>1.662034061425606E-2</v>
      </c>
      <c r="J101" s="74">
        <f t="shared" si="52"/>
        <v>3.7128168384705266E-4</v>
      </c>
      <c r="K101" s="74">
        <f t="shared" si="53"/>
        <v>1.3341112572662426E-3</v>
      </c>
      <c r="L101" s="74">
        <f t="shared" si="54"/>
        <v>4.6486744314065063E-4</v>
      </c>
      <c r="M101" s="74">
        <f t="shared" si="50"/>
        <v>1.6620340614256061E-3</v>
      </c>
    </row>
    <row r="102" spans="1:13" s="47" customFormat="1" ht="16">
      <c r="A102" s="10" t="s">
        <v>98</v>
      </c>
      <c r="B102" s="148">
        <v>60.971699315177574</v>
      </c>
      <c r="C102" s="11" t="s">
        <v>80</v>
      </c>
      <c r="D102" s="24">
        <v>3.5255378642423785E-2</v>
      </c>
      <c r="E102" s="12">
        <v>9.6441896677053524E-2</v>
      </c>
      <c r="F102" s="16">
        <v>4.4141896677053517E-2</v>
      </c>
      <c r="G102" s="16">
        <v>0.18</v>
      </c>
      <c r="H102" s="17" t="s">
        <v>125</v>
      </c>
      <c r="I102" s="74">
        <f t="shared" si="51"/>
        <v>1.5558490642256796E-2</v>
      </c>
      <c r="J102" s="74">
        <f t="shared" si="52"/>
        <v>5.4852047869737052E-4</v>
      </c>
      <c r="K102" s="74">
        <f t="shared" si="53"/>
        <v>1.5004903469714339E-3</v>
      </c>
      <c r="L102" s="74">
        <f t="shared" si="54"/>
        <v>6.8678128638140353E-4</v>
      </c>
      <c r="M102" s="74">
        <f t="shared" si="50"/>
        <v>2.8005283156062231E-3</v>
      </c>
    </row>
    <row r="103" spans="1:13" s="47" customFormat="1" ht="16">
      <c r="A103" s="10" t="s">
        <v>101</v>
      </c>
      <c r="B103" s="148">
        <v>245.22588290337018</v>
      </c>
      <c r="C103" s="11" t="s">
        <v>46</v>
      </c>
      <c r="D103" s="24">
        <v>7.0934245316588403E-3</v>
      </c>
      <c r="E103" s="12">
        <v>6.1181402634722479E-2</v>
      </c>
      <c r="F103" s="16">
        <v>8.8814026347224795E-3</v>
      </c>
      <c r="G103" s="16">
        <v>0.19</v>
      </c>
      <c r="H103" s="17" t="s">
        <v>125</v>
      </c>
      <c r="I103" s="74">
        <f t="shared" si="51"/>
        <v>6.2575664566421205E-2</v>
      </c>
      <c r="J103" s="74">
        <f t="shared" si="52"/>
        <v>4.4387575412030704E-4</v>
      </c>
      <c r="K103" s="74">
        <f t="shared" si="53"/>
        <v>3.8284669289735522E-3</v>
      </c>
      <c r="L103" s="74">
        <f t="shared" si="54"/>
        <v>5.5575967214972343E-4</v>
      </c>
      <c r="M103" s="74">
        <f t="shared" si="50"/>
        <v>1.1889376267620029E-2</v>
      </c>
    </row>
    <row r="104" spans="1:13" s="47" customFormat="1" ht="16">
      <c r="A104" s="10" t="s">
        <v>106</v>
      </c>
      <c r="B104" s="148">
        <v>30.732144528979521</v>
      </c>
      <c r="C104" s="11" t="s">
        <v>41</v>
      </c>
      <c r="D104" s="24">
        <v>8.2580166189461131E-3</v>
      </c>
      <c r="E104" s="12">
        <v>6.2639543365796316E-2</v>
      </c>
      <c r="F104" s="16">
        <v>1.0339543365796322E-2</v>
      </c>
      <c r="G104" s="16">
        <v>0.2</v>
      </c>
      <c r="H104" s="17" t="s">
        <v>125</v>
      </c>
      <c r="I104" s="74">
        <f t="shared" si="51"/>
        <v>7.8420937654855114E-3</v>
      </c>
      <c r="J104" s="74">
        <f t="shared" si="52"/>
        <v>6.4760140642713062E-5</v>
      </c>
      <c r="K104" s="74">
        <f t="shared" si="53"/>
        <v>4.9122517250177065E-4</v>
      </c>
      <c r="L104" s="74">
        <f t="shared" si="54"/>
        <v>8.1083668566878409E-5</v>
      </c>
      <c r="M104" s="74">
        <f t="shared" si="50"/>
        <v>1.5684187530971023E-3</v>
      </c>
    </row>
    <row r="105" spans="1:13" s="47" customFormat="1" ht="16">
      <c r="A105" s="10" t="s">
        <v>133</v>
      </c>
      <c r="B105" s="148">
        <v>17.599660629020164</v>
      </c>
      <c r="C105" s="11" t="s">
        <v>80</v>
      </c>
      <c r="D105" s="24">
        <v>3.5255378642423785E-2</v>
      </c>
      <c r="E105" s="12">
        <v>9.6441896677053524E-2</v>
      </c>
      <c r="F105" s="16">
        <v>4.4141896677053517E-2</v>
      </c>
      <c r="G105" s="16">
        <v>0.15</v>
      </c>
      <c r="H105" s="17" t="s">
        <v>125</v>
      </c>
      <c r="I105" s="74">
        <f t="shared" si="51"/>
        <v>4.4910041589630257E-3</v>
      </c>
      <c r="J105" s="74">
        <f t="shared" si="52"/>
        <v>1.5833205210894144E-4</v>
      </c>
      <c r="K105" s="74">
        <f t="shared" si="53"/>
        <v>4.3312095907492977E-4</v>
      </c>
      <c r="L105" s="74">
        <f t="shared" si="54"/>
        <v>1.9824144156116352E-4</v>
      </c>
      <c r="M105" s="74">
        <f t="shared" si="50"/>
        <v>6.7365062384445388E-4</v>
      </c>
    </row>
    <row r="106" spans="1:13" s="47" customFormat="1" ht="16">
      <c r="A106" s="10" t="s">
        <v>109</v>
      </c>
      <c r="B106" s="148">
        <v>157.88291277825391</v>
      </c>
      <c r="C106" s="11" t="s">
        <v>124</v>
      </c>
      <c r="D106" s="24">
        <v>2.5832769936190408E-2</v>
      </c>
      <c r="E106" s="12">
        <v>8.464421258018337E-2</v>
      </c>
      <c r="F106" s="16">
        <v>3.2344212580183364E-2</v>
      </c>
      <c r="G106" s="16">
        <v>0.09</v>
      </c>
      <c r="H106" s="17" t="s">
        <v>125</v>
      </c>
      <c r="I106" s="74">
        <f t="shared" si="51"/>
        <v>4.0287868775558913E-2</v>
      </c>
      <c r="J106" s="74">
        <f t="shared" si="52"/>
        <v>1.0407472452984427E-3</v>
      </c>
      <c r="K106" s="74">
        <f t="shared" si="53"/>
        <v>3.4101349290409405E-3</v>
      </c>
      <c r="L106" s="74">
        <f t="shared" si="54"/>
        <v>1.3030793920792091E-3</v>
      </c>
      <c r="M106" s="74">
        <f t="shared" si="50"/>
        <v>3.6259081898003019E-3</v>
      </c>
    </row>
    <row r="107" spans="1:13" s="47" customFormat="1" ht="16">
      <c r="A107" s="10" t="s">
        <v>118</v>
      </c>
      <c r="B107" s="148">
        <v>179.33999485938446</v>
      </c>
      <c r="C107" s="11" t="s">
        <v>124</v>
      </c>
      <c r="D107" s="24">
        <v>2.5832769936190408E-2</v>
      </c>
      <c r="E107" s="12">
        <v>8.464421258018337E-2</v>
      </c>
      <c r="F107" s="16">
        <v>3.2344212580183364E-2</v>
      </c>
      <c r="G107" s="16">
        <v>0.2</v>
      </c>
      <c r="H107" s="17" t="s">
        <v>125</v>
      </c>
      <c r="I107" s="74">
        <f t="shared" si="51"/>
        <v>4.5763192811448188E-2</v>
      </c>
      <c r="J107" s="74">
        <f t="shared" si="52"/>
        <v>1.1821900314436637E-3</v>
      </c>
      <c r="K107" s="74">
        <f t="shared" si="53"/>
        <v>3.8735894206801398E-3</v>
      </c>
      <c r="L107" s="74">
        <f t="shared" si="54"/>
        <v>1.4801744366413994E-3</v>
      </c>
      <c r="M107" s="74">
        <f t="shared" si="50"/>
        <v>9.1526385622896379E-3</v>
      </c>
    </row>
    <row r="108" spans="1:13" s="47" customFormat="1" ht="16">
      <c r="A108" s="10" t="s">
        <v>354</v>
      </c>
      <c r="B108" s="148">
        <v>8.0928366087887476</v>
      </c>
      <c r="C108" s="11" t="s">
        <v>49</v>
      </c>
      <c r="D108" s="24">
        <v>6.4581924840476007E-2</v>
      </c>
      <c r="E108" s="12">
        <v>0.13316053145045842</v>
      </c>
      <c r="F108" s="16">
        <v>8.0860531450458406E-2</v>
      </c>
      <c r="G108" s="16">
        <v>0.1</v>
      </c>
      <c r="H108" s="17" t="s">
        <v>125</v>
      </c>
      <c r="I108" s="74">
        <f t="shared" si="51"/>
        <v>2.0650945284677318E-3</v>
      </c>
      <c r="J108" s="74">
        <f t="shared" si="52"/>
        <v>1.333677796259813E-4</v>
      </c>
      <c r="K108" s="74">
        <f t="shared" si="53"/>
        <v>2.7498908490619699E-4</v>
      </c>
      <c r="L108" s="74">
        <f t="shared" si="54"/>
        <v>1.6698464106733459E-4</v>
      </c>
      <c r="M108" s="74">
        <f t="shared" si="50"/>
        <v>2.0650945284677319E-4</v>
      </c>
    </row>
    <row r="109" spans="1:13" s="47" customFormat="1" ht="16">
      <c r="A109" s="10" t="s">
        <v>121</v>
      </c>
      <c r="B109" s="148">
        <v>34.409229177910504</v>
      </c>
      <c r="C109" s="11" t="s">
        <v>43</v>
      </c>
      <c r="D109" s="24">
        <v>1.4080977055382476E-2</v>
      </c>
      <c r="E109" s="12">
        <v>6.9930247021165515E-2</v>
      </c>
      <c r="F109" s="16">
        <v>1.7630247021165522E-2</v>
      </c>
      <c r="G109" s="16">
        <v>0.2</v>
      </c>
      <c r="H109" s="17" t="s">
        <v>125</v>
      </c>
      <c r="I109" s="74">
        <f t="shared" si="51"/>
        <v>8.7803960884279466E-3</v>
      </c>
      <c r="J109" s="74">
        <f t="shared" si="52"/>
        <v>1.2363655585832396E-4</v>
      </c>
      <c r="K109" s="74">
        <f t="shared" si="53"/>
        <v>6.1401526740744177E-4</v>
      </c>
      <c r="L109" s="74">
        <f t="shared" si="54"/>
        <v>1.548005519826602E-4</v>
      </c>
      <c r="M109" s="74">
        <f t="shared" si="50"/>
        <v>1.7560792176855894E-3</v>
      </c>
    </row>
    <row r="110" spans="1:13" s="47" customFormat="1" ht="16">
      <c r="A110" s="10" t="s">
        <v>13</v>
      </c>
      <c r="B110" s="148">
        <v>53.429066429125086</v>
      </c>
      <c r="C110" s="11" t="s">
        <v>43</v>
      </c>
      <c r="D110" s="24">
        <v>1.4080977055382476E-2</v>
      </c>
      <c r="E110" s="12">
        <v>6.9930247021165515E-2</v>
      </c>
      <c r="F110" s="16">
        <v>1.7630247021165522E-2</v>
      </c>
      <c r="G110" s="16">
        <v>0.15</v>
      </c>
      <c r="H110" s="17" t="s">
        <v>125</v>
      </c>
      <c r="I110" s="74">
        <f t="shared" si="51"/>
        <v>1.3633794685055324E-2</v>
      </c>
      <c r="J110" s="74">
        <f t="shared" si="52"/>
        <v>1.9197715013805959E-4</v>
      </c>
      <c r="K110" s="74">
        <f t="shared" si="53"/>
        <v>9.5341463016177235E-4</v>
      </c>
      <c r="L110" s="74">
        <f t="shared" si="54"/>
        <v>2.4036716813337898E-4</v>
      </c>
      <c r="M110" s="74">
        <f t="shared" si="50"/>
        <v>2.0450692027582985E-3</v>
      </c>
    </row>
    <row r="111" spans="1:13" s="47" customFormat="1" ht="16">
      <c r="A111" s="10" t="s">
        <v>146</v>
      </c>
      <c r="B111" s="148">
        <v>12.67</v>
      </c>
      <c r="C111" s="11" t="s">
        <v>81</v>
      </c>
      <c r="D111" s="24">
        <v>4.2242931166147427E-2</v>
      </c>
      <c r="E111" s="12">
        <v>0.10519074106349657</v>
      </c>
      <c r="F111" s="16">
        <v>5.2890741063496567E-2</v>
      </c>
      <c r="G111" s="16">
        <v>0.1</v>
      </c>
      <c r="H111" s="17" t="s">
        <v>125</v>
      </c>
      <c r="I111" s="74">
        <f t="shared" si="51"/>
        <v>3.2330749946528612E-3</v>
      </c>
      <c r="J111" s="74">
        <f t="shared" si="52"/>
        <v>1.3657456445411329E-4</v>
      </c>
      <c r="K111" s="74">
        <f t="shared" si="53"/>
        <v>3.4008955460139472E-4</v>
      </c>
      <c r="L111" s="74">
        <f t="shared" si="54"/>
        <v>1.7099973238105003E-4</v>
      </c>
      <c r="M111" s="74">
        <f t="shared" si="50"/>
        <v>3.2330749946528613E-4</v>
      </c>
    </row>
    <row r="112" spans="1:13" s="47" customFormat="1" ht="16">
      <c r="A112" s="10" t="s">
        <v>17</v>
      </c>
      <c r="B112" s="148">
        <v>11.443671435902417</v>
      </c>
      <c r="C112" s="11" t="s">
        <v>78</v>
      </c>
      <c r="D112" s="24">
        <v>7.6333717721283945E-2</v>
      </c>
      <c r="E112" s="12">
        <v>0.14787449700947625</v>
      </c>
      <c r="F112" s="16">
        <v>9.5574497009476247E-2</v>
      </c>
      <c r="G112" s="16">
        <v>0.12</v>
      </c>
      <c r="H112" s="17" t="s">
        <v>125</v>
      </c>
      <c r="I112" s="74">
        <f t="shared" si="51"/>
        <v>2.9201458537047595E-3</v>
      </c>
      <c r="J112" s="74">
        <f t="shared" si="52"/>
        <v>2.2290558930167684E-4</v>
      </c>
      <c r="K112" s="74">
        <f t="shared" si="53"/>
        <v>4.3181509931089891E-4</v>
      </c>
      <c r="L112" s="74">
        <f t="shared" si="54"/>
        <v>2.7909147116213999E-4</v>
      </c>
      <c r="M112" s="74">
        <f t="shared" si="50"/>
        <v>3.5041750244457114E-4</v>
      </c>
    </row>
    <row r="113" spans="1:13" s="47" customFormat="1" ht="16">
      <c r="A113" s="10" t="s">
        <v>8</v>
      </c>
      <c r="B113" s="148">
        <v>5.5041666666666673</v>
      </c>
      <c r="C113" s="11" t="s">
        <v>48</v>
      </c>
      <c r="D113" s="24">
        <v>5.2830131959668084E-2</v>
      </c>
      <c r="E113" s="12">
        <v>0.11844656589144056</v>
      </c>
      <c r="F113" s="16">
        <v>6.6146565891440565E-2</v>
      </c>
      <c r="G113" s="16">
        <v>0.09</v>
      </c>
      <c r="H113" s="17" t="s">
        <v>125</v>
      </c>
      <c r="I113" s="74">
        <f t="shared" si="51"/>
        <v>1.4045290936386577E-3</v>
      </c>
      <c r="J113" s="74">
        <f t="shared" si="52"/>
        <v>7.4201457358123301E-5</v>
      </c>
      <c r="K113" s="74">
        <f t="shared" si="53"/>
        <v>1.6636164783611655E-4</v>
      </c>
      <c r="L113" s="74">
        <f t="shared" si="54"/>
        <v>9.2904776238814766E-5</v>
      </c>
      <c r="M113" s="74">
        <f t="shared" si="50"/>
        <v>1.2640761842747919E-4</v>
      </c>
    </row>
    <row r="114" spans="1:13" s="47" customFormat="1" ht="16">
      <c r="A114" s="10" t="s">
        <v>30</v>
      </c>
      <c r="B114" s="148">
        <v>585.66381482404404</v>
      </c>
      <c r="C114" s="11" t="s">
        <v>42</v>
      </c>
      <c r="D114" s="24">
        <v>9.9519687459094178E-3</v>
      </c>
      <c r="E114" s="12">
        <v>6.4760475338267356E-2</v>
      </c>
      <c r="F114" s="16">
        <v>1.2460475338267361E-2</v>
      </c>
      <c r="G114" s="16">
        <v>0.19</v>
      </c>
      <c r="H114" s="17" t="s">
        <v>125</v>
      </c>
      <c r="I114" s="74">
        <f t="shared" si="51"/>
        <v>0.14944712194006476</v>
      </c>
      <c r="J114" s="74">
        <f t="shared" si="52"/>
        <v>1.4872930867136382E-3</v>
      </c>
      <c r="K114" s="74">
        <f t="shared" si="53"/>
        <v>9.6782666547745987E-3</v>
      </c>
      <c r="L114" s="74">
        <f t="shared" si="54"/>
        <v>1.862182177309212E-3</v>
      </c>
      <c r="M114" s="74">
        <f t="shared" si="50"/>
        <v>2.8394953168612305E-2</v>
      </c>
    </row>
    <row r="115" spans="1:13" s="47" customFormat="1" ht="16">
      <c r="A115" s="10" t="s">
        <v>0</v>
      </c>
      <c r="B115" s="148">
        <v>239.55251674446922</v>
      </c>
      <c r="C115" s="11" t="s">
        <v>124</v>
      </c>
      <c r="D115" s="24">
        <v>2.5832769936190408E-2</v>
      </c>
      <c r="E115" s="12">
        <v>8.464421258018337E-2</v>
      </c>
      <c r="F115" s="16">
        <v>3.2344212580183364E-2</v>
      </c>
      <c r="G115" s="16">
        <v>0.16</v>
      </c>
      <c r="H115" s="17" t="s">
        <v>125</v>
      </c>
      <c r="I115" s="74">
        <f t="shared" si="51"/>
        <v>6.1127959888926935E-2</v>
      </c>
      <c r="J115" s="74">
        <f t="shared" si="52"/>
        <v>1.579104524479325E-3</v>
      </c>
      <c r="K115" s="74">
        <f t="shared" si="53"/>
        <v>5.1741280314312535E-3</v>
      </c>
      <c r="L115" s="74">
        <f t="shared" si="54"/>
        <v>1.9771357292403748E-3</v>
      </c>
      <c r="M115" s="74">
        <f t="shared" si="50"/>
        <v>9.7804735822283103E-3</v>
      </c>
    </row>
    <row r="116" spans="1:13" s="47" customFormat="1" ht="16">
      <c r="A116" s="10" t="s">
        <v>1</v>
      </c>
      <c r="B116" s="148">
        <v>1657.5546471498735</v>
      </c>
      <c r="C116" s="11" t="s">
        <v>124</v>
      </c>
      <c r="D116" s="24">
        <v>2.5832769936190408E-2</v>
      </c>
      <c r="E116" s="12">
        <v>8.464421258018337E-2</v>
      </c>
      <c r="F116" s="16">
        <v>3.2344212580183364E-2</v>
      </c>
      <c r="G116" s="16">
        <v>0.2</v>
      </c>
      <c r="H116" s="17" t="s">
        <v>125</v>
      </c>
      <c r="I116" s="74">
        <f t="shared" si="51"/>
        <v>0.4229675202818392</v>
      </c>
      <c r="J116" s="74">
        <f t="shared" si="52"/>
        <v>1.0926422641921703E-2</v>
      </c>
      <c r="K116" s="74">
        <f t="shared" si="53"/>
        <v>3.5801752701249016E-2</v>
      </c>
      <c r="L116" s="74">
        <f t="shared" si="54"/>
        <v>1.3680551390508826E-2</v>
      </c>
      <c r="M116" s="74">
        <f t="shared" si="50"/>
        <v>8.4593504056367841E-2</v>
      </c>
    </row>
    <row r="117" spans="1:13" s="47" customFormat="1" ht="16">
      <c r="A117" s="10" t="s">
        <v>147</v>
      </c>
      <c r="B117" s="148">
        <v>50.597289146704128</v>
      </c>
      <c r="C117" s="11" t="s">
        <v>81</v>
      </c>
      <c r="D117" s="24">
        <v>4.2242931166147427E-2</v>
      </c>
      <c r="E117" s="12">
        <v>0.10519074106349657</v>
      </c>
      <c r="F117" s="16">
        <v>5.2890741063496567E-2</v>
      </c>
      <c r="G117" s="16">
        <v>0.15</v>
      </c>
      <c r="H117" s="17" t="s">
        <v>125</v>
      </c>
      <c r="I117" s="74">
        <f t="shared" si="51"/>
        <v>1.2911194186063908E-2</v>
      </c>
      <c r="J117" s="74">
        <f t="shared" si="52"/>
        <v>5.4540668727466048E-4</v>
      </c>
      <c r="K117" s="74">
        <f t="shared" si="53"/>
        <v>1.358138084446771E-3</v>
      </c>
      <c r="L117" s="74">
        <f t="shared" si="54"/>
        <v>6.8288262851562854E-4</v>
      </c>
      <c r="M117" s="74">
        <f t="shared" si="50"/>
        <v>1.9366791279095861E-3</v>
      </c>
    </row>
    <row r="118" spans="1:13" s="47" customFormat="1" ht="16">
      <c r="A118" s="10" t="s">
        <v>61</v>
      </c>
      <c r="B118" s="148">
        <v>105.90463215575471</v>
      </c>
      <c r="C118" s="11" t="s">
        <v>42</v>
      </c>
      <c r="D118" s="24">
        <v>9.9519687459094178E-3</v>
      </c>
      <c r="E118" s="12">
        <v>6.4760475338267356E-2</v>
      </c>
      <c r="F118" s="16">
        <v>1.2460475338267361E-2</v>
      </c>
      <c r="G118" s="16">
        <v>0.21</v>
      </c>
      <c r="H118" s="17" t="s">
        <v>125</v>
      </c>
      <c r="I118" s="74">
        <f t="shared" si="51"/>
        <v>2.7024279245515381E-2</v>
      </c>
      <c r="J118" s="74">
        <f t="shared" si="52"/>
        <v>2.6894478243209759E-4</v>
      </c>
      <c r="K118" s="74">
        <f t="shared" si="53"/>
        <v>1.7501051696136491E-3</v>
      </c>
      <c r="L118" s="74">
        <f t="shared" si="54"/>
        <v>3.3673536507319488E-4</v>
      </c>
      <c r="M118" s="74">
        <f t="shared" si="50"/>
        <v>5.6750986415582301E-3</v>
      </c>
    </row>
    <row r="119" spans="1:13" s="47" customFormat="1" ht="16">
      <c r="A119" s="10" t="s">
        <v>190</v>
      </c>
      <c r="B119" s="148">
        <v>54.007972106462852</v>
      </c>
      <c r="C119" s="11" t="s">
        <v>82</v>
      </c>
      <c r="D119" s="24">
        <v>1.8739345404531565E-2</v>
      </c>
      <c r="E119" s="12">
        <v>7.5762809945460891E-2</v>
      </c>
      <c r="F119" s="16">
        <v>2.3462809945460884E-2</v>
      </c>
      <c r="G119" s="16">
        <v>0.19</v>
      </c>
      <c r="H119" s="17" t="s">
        <v>125</v>
      </c>
      <c r="I119" s="74">
        <f>B119/$B$123</f>
        <v>1.3781517295131353E-2</v>
      </c>
      <c r="J119" s="74">
        <f>I119*D119</f>
        <v>2.5825661279199201E-4</v>
      </c>
      <c r="K119" s="74">
        <f>I119*E119</f>
        <v>1.044126475591119E-3</v>
      </c>
      <c r="L119" s="74">
        <f>I119*F119</f>
        <v>3.233531210557491E-4</v>
      </c>
      <c r="M119" s="74">
        <f>I119*G119</f>
        <v>2.6184882860749571E-3</v>
      </c>
    </row>
    <row r="120" spans="1:13" s="47" customFormat="1" ht="16">
      <c r="A120" s="10" t="s">
        <v>415</v>
      </c>
      <c r="B120" s="148">
        <v>7.522947810123263</v>
      </c>
      <c r="C120" s="11" t="s">
        <v>78</v>
      </c>
      <c r="D120" s="24">
        <v>7.6333717721283945E-2</v>
      </c>
      <c r="E120" s="12">
        <v>0.14787449700947625</v>
      </c>
      <c r="F120" s="16">
        <v>9.5574497009476247E-2</v>
      </c>
      <c r="G120" s="16">
        <v>0.3019</v>
      </c>
      <c r="H120" s="17" t="s">
        <v>125</v>
      </c>
      <c r="I120" s="74">
        <f>B120/$B$123</f>
        <v>1.9196728059185494E-3</v>
      </c>
      <c r="J120" s="74">
        <f>I120*D120</f>
        <v>1.4653576208421165E-4</v>
      </c>
      <c r="K120" s="74">
        <f>I120*E120</f>
        <v>2.8387065059797543E-4</v>
      </c>
      <c r="L120" s="74">
        <f>I120*F120</f>
        <v>1.8347176284843529E-4</v>
      </c>
      <c r="M120" s="74">
        <f>I120*G120</f>
        <v>5.7954922010681011E-4</v>
      </c>
    </row>
    <row r="121" spans="1:13" s="47" customFormat="1" ht="16">
      <c r="A121" s="10" t="s">
        <v>68</v>
      </c>
      <c r="B121" s="148">
        <v>130.83237440488224</v>
      </c>
      <c r="C121" s="11" t="s">
        <v>78</v>
      </c>
      <c r="D121" s="24">
        <v>7.6333717721283945E-2</v>
      </c>
      <c r="E121" s="12">
        <v>0.14787449700947625</v>
      </c>
      <c r="F121" s="16">
        <v>9.5574497009476247E-2</v>
      </c>
      <c r="G121" s="16">
        <v>0.18</v>
      </c>
      <c r="H121" s="17" t="s">
        <v>125</v>
      </c>
      <c r="I121" s="74">
        <f t="shared" si="51"/>
        <v>3.3385231111245917E-2</v>
      </c>
      <c r="J121" s="74">
        <f t="shared" si="52"/>
        <v>2.5484188077056725E-3</v>
      </c>
      <c r="K121" s="74">
        <f t="shared" si="53"/>
        <v>4.9368242581206076E-3</v>
      </c>
      <c r="L121" s="74">
        <f t="shared" si="54"/>
        <v>3.1907766710024461E-3</v>
      </c>
      <c r="M121" s="74">
        <f t="shared" si="50"/>
        <v>6.0093416000242652E-3</v>
      </c>
    </row>
    <row r="122" spans="1:13" s="47" customFormat="1" ht="16">
      <c r="A122" s="10" t="s">
        <v>406</v>
      </c>
      <c r="B122" s="148">
        <v>50.499921557510454</v>
      </c>
      <c r="C122" s="11" t="s">
        <v>48</v>
      </c>
      <c r="D122" s="24">
        <v>5.2830131959668084E-2</v>
      </c>
      <c r="E122" s="12">
        <v>0.11844656589144056</v>
      </c>
      <c r="F122" s="16">
        <v>6.6146565891440565E-2</v>
      </c>
      <c r="G122" s="16">
        <v>7.4999999999999997E-2</v>
      </c>
      <c r="H122" s="17" t="s">
        <v>125</v>
      </c>
      <c r="I122" s="74">
        <f t="shared" ref="I122" si="55">B122/$B$123</f>
        <v>1.2886348351974587E-2</v>
      </c>
      <c r="J122" s="74">
        <f t="shared" ref="J122" si="56">I122*D122</f>
        <v>6.8078748391306877E-4</v>
      </c>
      <c r="K122" s="74">
        <f t="shared" ref="K122" si="57">I122*E122</f>
        <v>1.5263437091722145E-3</v>
      </c>
      <c r="L122" s="74">
        <f t="shared" ref="L122" si="58">I122*F122</f>
        <v>8.5238769036394355E-4</v>
      </c>
      <c r="M122" s="74">
        <f t="shared" ref="M122" si="59">I122*G122</f>
        <v>9.66476126398094E-4</v>
      </c>
    </row>
    <row r="123" spans="1:13" s="36" customFormat="1" ht="16">
      <c r="A123" s="72" t="s">
        <v>125</v>
      </c>
      <c r="B123" s="194">
        <f>SUM(B96:B122)</f>
        <v>3918.8698130896255</v>
      </c>
      <c r="C123" s="67"/>
      <c r="D123" s="68">
        <f>SUM(J96:J122)</f>
        <v>2.5448299666187734E-2</v>
      </c>
      <c r="E123" s="68">
        <f>SUM(K96:K122)</f>
        <v>8.4162832218168629E-2</v>
      </c>
      <c r="F123" s="68">
        <f>SUM(L96:L122)</f>
        <v>3.1862832218168616E-2</v>
      </c>
      <c r="G123" s="68">
        <f>SUM(M96:M122)</f>
        <v>0.18359794253833478</v>
      </c>
      <c r="H123" s="72"/>
      <c r="I123" s="75">
        <f>SUM(I96:I122)</f>
        <v>1.0000000000000002</v>
      </c>
    </row>
    <row r="124" spans="1:13" s="47" customFormat="1" ht="16">
      <c r="A124" s="10" t="s">
        <v>272</v>
      </c>
      <c r="B124" s="148">
        <v>253</v>
      </c>
      <c r="C124" s="11" t="s">
        <v>45</v>
      </c>
      <c r="D124" s="24">
        <v>5.8229604364363613E-3</v>
      </c>
      <c r="E124" s="12">
        <v>5.9590703655369198E-2</v>
      </c>
      <c r="F124" s="16">
        <v>7.2907036553691998E-3</v>
      </c>
      <c r="G124" s="16">
        <v>0.55000000000000004</v>
      </c>
      <c r="H124" s="17" t="s">
        <v>127</v>
      </c>
      <c r="I124" s="74">
        <f t="shared" ref="I124:I136" si="60">B124/$B$137</f>
        <v>9.7060651108166765E-2</v>
      </c>
      <c r="J124" s="74">
        <f t="shared" ref="J124:J136" si="61">I124*D124</f>
        <v>5.6518033133760815E-4</v>
      </c>
      <c r="K124" s="74">
        <f t="shared" ref="K124:K136" si="62">I124*E124</f>
        <v>5.7839124967839477E-3</v>
      </c>
      <c r="L124" s="74">
        <f t="shared" ref="L124:L136" si="63">I124*F124</f>
        <v>7.0764044382682603E-4</v>
      </c>
      <c r="M124" s="74">
        <f t="shared" si="50"/>
        <v>5.3383358109491727E-2</v>
      </c>
    </row>
    <row r="125" spans="1:13" s="47" customFormat="1" ht="16">
      <c r="A125" s="10" t="s">
        <v>87</v>
      </c>
      <c r="B125" s="148">
        <v>37.746196808510632</v>
      </c>
      <c r="C125" s="11" t="s">
        <v>49</v>
      </c>
      <c r="D125" s="24">
        <v>6.4581924840476007E-2</v>
      </c>
      <c r="E125" s="12">
        <v>0.13316053145045842</v>
      </c>
      <c r="F125" s="16">
        <v>8.0860531450458406E-2</v>
      </c>
      <c r="G125" s="16">
        <v>0</v>
      </c>
      <c r="H125" s="17" t="s">
        <v>127</v>
      </c>
      <c r="I125" s="74">
        <f t="shared" si="60"/>
        <v>1.4480910826446831E-2</v>
      </c>
      <c r="J125" s="74">
        <f t="shared" si="61"/>
        <v>9.3520509461522455E-4</v>
      </c>
      <c r="K125" s="74">
        <f t="shared" si="62"/>
        <v>1.928285781536357E-3</v>
      </c>
      <c r="L125" s="74">
        <f t="shared" si="63"/>
        <v>1.1709341453131877E-3</v>
      </c>
      <c r="M125" s="74">
        <f t="shared" si="50"/>
        <v>0</v>
      </c>
    </row>
    <row r="126" spans="1:13" s="47" customFormat="1" ht="16">
      <c r="A126" s="10" t="s">
        <v>332</v>
      </c>
      <c r="B126" s="148">
        <v>224.22801047788917</v>
      </c>
      <c r="C126" s="11" t="s">
        <v>100</v>
      </c>
      <c r="D126" s="24">
        <v>8.7979638594156681E-2</v>
      </c>
      <c r="E126" s="12">
        <v>0.16245590432021467</v>
      </c>
      <c r="F126" s="16">
        <v>0.11015590432021467</v>
      </c>
      <c r="G126" s="16">
        <v>0.15</v>
      </c>
      <c r="H126" s="17" t="s">
        <v>127</v>
      </c>
      <c r="I126" s="74">
        <f>B126/$B$137</f>
        <v>8.6022595627165077E-2</v>
      </c>
      <c r="J126" s="74">
        <f>I126*D126</f>
        <v>7.5682368742092665E-3</v>
      </c>
      <c r="K126" s="74">
        <f>I126*E126</f>
        <v>1.3974878564583246E-2</v>
      </c>
      <c r="L126" s="74">
        <f>I126*F126</f>
        <v>9.4758968132825135E-3</v>
      </c>
      <c r="M126" s="74">
        <f>I126*G126</f>
        <v>1.2903389344074761E-2</v>
      </c>
    </row>
    <row r="127" spans="1:13" s="47" customFormat="1" ht="16">
      <c r="A127" s="10" t="s">
        <v>114</v>
      </c>
      <c r="B127" s="148">
        <v>370.58797715358321</v>
      </c>
      <c r="C127" s="11" t="s">
        <v>41</v>
      </c>
      <c r="D127" s="24">
        <v>8.2580166189461131E-3</v>
      </c>
      <c r="E127" s="12">
        <v>6.2639543365796316E-2</v>
      </c>
      <c r="F127" s="16">
        <v>1.0339543365796322E-2</v>
      </c>
      <c r="G127" s="16">
        <v>0.23</v>
      </c>
      <c r="H127" s="17" t="s">
        <v>127</v>
      </c>
      <c r="I127" s="74">
        <f t="shared" si="60"/>
        <v>0.14217197768926962</v>
      </c>
      <c r="J127" s="74">
        <f t="shared" si="61"/>
        <v>1.1740585545064245E-3</v>
      </c>
      <c r="K127" s="74">
        <f t="shared" si="62"/>
        <v>8.90558776186803E-3</v>
      </c>
      <c r="L127" s="74">
        <f t="shared" si="63"/>
        <v>1.4699933287192304E-3</v>
      </c>
      <c r="M127" s="74">
        <f t="shared" si="50"/>
        <v>3.2699554868532016E-2</v>
      </c>
    </row>
    <row r="128" spans="1:13" s="47" customFormat="1" ht="16">
      <c r="A128" s="10" t="s">
        <v>117</v>
      </c>
      <c r="B128" s="148">
        <v>42.23129577464789</v>
      </c>
      <c r="C128" s="11" t="s">
        <v>48</v>
      </c>
      <c r="D128" s="24">
        <v>5.2830131959668084E-2</v>
      </c>
      <c r="E128" s="12">
        <v>0.11844656589144056</v>
      </c>
      <c r="F128" s="16">
        <v>6.6146565891440565E-2</v>
      </c>
      <c r="G128" s="16">
        <v>0.2</v>
      </c>
      <c r="H128" s="17" t="s">
        <v>127</v>
      </c>
      <c r="I128" s="74">
        <f t="shared" si="60"/>
        <v>1.6201569426991684E-2</v>
      </c>
      <c r="J128" s="74">
        <f t="shared" si="61"/>
        <v>8.559310507816947E-4</v>
      </c>
      <c r="K128" s="74">
        <f t="shared" si="62"/>
        <v>1.9190202606789194E-3</v>
      </c>
      <c r="L128" s="74">
        <f t="shared" si="63"/>
        <v>1.0716781796472543E-3</v>
      </c>
      <c r="M128" s="74">
        <f t="shared" si="50"/>
        <v>3.240313885398337E-3</v>
      </c>
    </row>
    <row r="129" spans="1:13" s="47" customFormat="1" ht="16">
      <c r="A129" s="10" t="s">
        <v>120</v>
      </c>
      <c r="B129" s="148">
        <v>140.64536423841062</v>
      </c>
      <c r="C129" s="11" t="s">
        <v>45</v>
      </c>
      <c r="D129" s="24">
        <v>5.8229604364363613E-3</v>
      </c>
      <c r="E129" s="12">
        <v>5.9590703655369198E-2</v>
      </c>
      <c r="F129" s="16">
        <v>7.2907036553691998E-3</v>
      </c>
      <c r="G129" s="16">
        <v>0.15</v>
      </c>
      <c r="H129" s="17" t="s">
        <v>127</v>
      </c>
      <c r="I129" s="74">
        <f t="shared" si="60"/>
        <v>5.3957038056622164E-2</v>
      </c>
      <c r="J129" s="74">
        <f t="shared" si="61"/>
        <v>3.1418969787100196E-4</v>
      </c>
      <c r="K129" s="74">
        <f t="shared" si="62"/>
        <v>3.2153378649536495E-3</v>
      </c>
      <c r="L129" s="74">
        <f t="shared" si="63"/>
        <v>3.9338477459231026E-4</v>
      </c>
      <c r="M129" s="74">
        <f t="shared" si="50"/>
        <v>8.0935557084933236E-3</v>
      </c>
    </row>
    <row r="130" spans="1:13" s="47" customFormat="1" ht="16">
      <c r="A130" s="10" t="s">
        <v>122</v>
      </c>
      <c r="B130" s="148">
        <v>56.639155555555547</v>
      </c>
      <c r="C130" s="11" t="s">
        <v>347</v>
      </c>
      <c r="D130" s="24">
        <v>0.14080977055382476</v>
      </c>
      <c r="E130" s="12">
        <v>0.22860247021165525</v>
      </c>
      <c r="F130" s="16">
        <v>0.17630247021165524</v>
      </c>
      <c r="G130" s="16">
        <v>0.17</v>
      </c>
      <c r="H130" s="17" t="s">
        <v>127</v>
      </c>
      <c r="I130" s="74">
        <f t="shared" si="60"/>
        <v>2.1728985440470208E-2</v>
      </c>
      <c r="J130" s="74">
        <f t="shared" si="61"/>
        <v>3.0596534542400087E-3</v>
      </c>
      <c r="K130" s="74">
        <f t="shared" si="62"/>
        <v>4.9672997468845816E-3</v>
      </c>
      <c r="L130" s="74">
        <f t="shared" si="63"/>
        <v>3.8308738083479891E-3</v>
      </c>
      <c r="M130" s="74">
        <f t="shared" si="50"/>
        <v>3.6939275248799356E-3</v>
      </c>
    </row>
    <row r="131" spans="1:13" s="47" customFormat="1" ht="16">
      <c r="A131" s="10" t="s">
        <v>24</v>
      </c>
      <c r="B131" s="148">
        <v>79.27672301690508</v>
      </c>
      <c r="C131" s="11" t="s">
        <v>81</v>
      </c>
      <c r="D131" s="24">
        <v>4.2242931166147427E-2</v>
      </c>
      <c r="E131" s="12">
        <v>0.10519074106349657</v>
      </c>
      <c r="F131" s="16">
        <v>5.2890741063496567E-2</v>
      </c>
      <c r="G131" s="16">
        <v>0.15</v>
      </c>
      <c r="H131" s="17" t="s">
        <v>127</v>
      </c>
      <c r="I131" s="74">
        <f t="shared" si="60"/>
        <v>3.0413637761828451E-2</v>
      </c>
      <c r="J131" s="74">
        <f t="shared" si="61"/>
        <v>1.2847612064850614E-3</v>
      </c>
      <c r="K131" s="74">
        <f t="shared" si="62"/>
        <v>3.1992330946034779E-3</v>
      </c>
      <c r="L131" s="74">
        <f t="shared" si="63"/>
        <v>1.6085998396598499E-3</v>
      </c>
      <c r="M131" s="74">
        <f t="shared" si="50"/>
        <v>4.5620456642742674E-3</v>
      </c>
    </row>
    <row r="132" spans="1:13" s="47" customFormat="1" ht="16">
      <c r="A132" s="10" t="s">
        <v>74</v>
      </c>
      <c r="B132" s="148">
        <v>191.3620879120879</v>
      </c>
      <c r="C132" s="11" t="s">
        <v>46</v>
      </c>
      <c r="D132" s="24">
        <v>7.0934245316588403E-3</v>
      </c>
      <c r="E132" s="12">
        <v>6.1181402634722479E-2</v>
      </c>
      <c r="F132" s="16">
        <v>8.8814026347224795E-3</v>
      </c>
      <c r="G132" s="16">
        <v>0.1</v>
      </c>
      <c r="H132" s="17" t="s">
        <v>127</v>
      </c>
      <c r="I132" s="74">
        <f t="shared" si="60"/>
        <v>7.3413948024369569E-2</v>
      </c>
      <c r="J132" s="74">
        <f t="shared" si="61"/>
        <v>5.2075629988199016E-4</v>
      </c>
      <c r="K132" s="74">
        <f t="shared" si="62"/>
        <v>4.4915683130835431E-3</v>
      </c>
      <c r="L132" s="74">
        <f t="shared" si="63"/>
        <v>6.5201883140901507E-4</v>
      </c>
      <c r="M132" s="74">
        <f t="shared" si="50"/>
        <v>7.3413948024369574E-3</v>
      </c>
    </row>
    <row r="133" spans="1:13" s="47" customFormat="1" ht="16">
      <c r="A133" s="10" t="s">
        <v>292</v>
      </c>
      <c r="B133" s="148">
        <v>5.2</v>
      </c>
      <c r="C133" s="11" t="s">
        <v>42</v>
      </c>
      <c r="D133" s="24">
        <v>9.9519687459094178E-3</v>
      </c>
      <c r="E133" s="12">
        <v>6.4760475338267356E-2</v>
      </c>
      <c r="F133" s="16">
        <v>1.2460475338267361E-2</v>
      </c>
      <c r="G133" s="16">
        <v>0</v>
      </c>
      <c r="H133" s="17" t="s">
        <v>127</v>
      </c>
      <c r="I133" s="74">
        <f t="shared" si="60"/>
        <v>1.9949224733694358E-3</v>
      </c>
      <c r="J133" s="74">
        <f t="shared" si="61"/>
        <v>1.9853406105484938E-5</v>
      </c>
      <c r="K133" s="74">
        <f t="shared" si="62"/>
        <v>1.2919212763839666E-4</v>
      </c>
      <c r="L133" s="74">
        <f t="shared" si="63"/>
        <v>2.485768228117518E-5</v>
      </c>
      <c r="M133" s="74">
        <f t="shared" si="50"/>
        <v>0</v>
      </c>
    </row>
    <row r="134" spans="1:13" s="47" customFormat="1" ht="16">
      <c r="A134" s="10" t="s">
        <v>2</v>
      </c>
      <c r="B134" s="148">
        <v>786.52183157195725</v>
      </c>
      <c r="C134" s="11" t="s">
        <v>41</v>
      </c>
      <c r="D134" s="24">
        <v>8.2580166189461131E-3</v>
      </c>
      <c r="E134" s="12">
        <v>6.2639543365796316E-2</v>
      </c>
      <c r="F134" s="16">
        <v>1.0339543365796322E-2</v>
      </c>
      <c r="G134" s="16">
        <v>0.2</v>
      </c>
      <c r="H134" s="17" t="s">
        <v>127</v>
      </c>
      <c r="I134" s="74">
        <f t="shared" si="60"/>
        <v>0.30174039953818993</v>
      </c>
      <c r="J134" s="74">
        <f t="shared" si="61"/>
        <v>2.4917772339938123E-3</v>
      </c>
      <c r="K134" s="74">
        <f t="shared" si="62"/>
        <v>1.8900880842085153E-2</v>
      </c>
      <c r="L134" s="74">
        <f t="shared" si="63"/>
        <v>3.1198579462378231E-3</v>
      </c>
      <c r="M134" s="74">
        <f t="shared" si="50"/>
        <v>6.0348079907637991E-2</v>
      </c>
    </row>
    <row r="135" spans="1:13" s="47" customFormat="1" ht="16">
      <c r="A135" s="10" t="s">
        <v>286</v>
      </c>
      <c r="B135" s="148">
        <v>5</v>
      </c>
      <c r="C135" s="11" t="s">
        <v>83</v>
      </c>
      <c r="D135" s="24">
        <v>2.2338993674328587E-2</v>
      </c>
      <c r="E135" s="12">
        <v>8.0269790386961845E-2</v>
      </c>
      <c r="F135" s="16">
        <v>2.7969790386961842E-2</v>
      </c>
      <c r="G135" s="16">
        <v>0</v>
      </c>
      <c r="H135" s="17" t="s">
        <v>127</v>
      </c>
      <c r="I135" s="74">
        <f t="shared" si="60"/>
        <v>1.9181946859321494E-3</v>
      </c>
      <c r="J135" s="74">
        <f t="shared" si="61"/>
        <v>4.2850538955168998E-5</v>
      </c>
      <c r="K135" s="74">
        <f t="shared" si="62"/>
        <v>1.5397308536115774E-4</v>
      </c>
      <c r="L135" s="74">
        <f t="shared" si="63"/>
        <v>5.3651503286906323E-5</v>
      </c>
      <c r="M135" s="74">
        <f t="shared" si="50"/>
        <v>0</v>
      </c>
    </row>
    <row r="136" spans="1:13" s="47" customFormat="1" ht="16">
      <c r="A136" s="10" t="s">
        <v>60</v>
      </c>
      <c r="B136" s="148">
        <v>414.1789425924793</v>
      </c>
      <c r="C136" s="11" t="s">
        <v>45</v>
      </c>
      <c r="D136" s="24">
        <v>5.8229604364363613E-3</v>
      </c>
      <c r="E136" s="12">
        <v>5.9590703655369198E-2</v>
      </c>
      <c r="F136" s="16">
        <v>7.2907036553691998E-3</v>
      </c>
      <c r="G136" s="16">
        <v>0.55000000000000004</v>
      </c>
      <c r="H136" s="17" t="s">
        <v>127</v>
      </c>
      <c r="I136" s="74">
        <f t="shared" si="60"/>
        <v>0.15889516934117812</v>
      </c>
      <c r="J136" s="74">
        <f t="shared" si="61"/>
        <v>9.2524028461453607E-4</v>
      </c>
      <c r="K136" s="74">
        <f t="shared" si="62"/>
        <v>9.4686749484798501E-3</v>
      </c>
      <c r="L136" s="74">
        <f t="shared" si="63"/>
        <v>1.1584575919362354E-3</v>
      </c>
      <c r="M136" s="74">
        <f t="shared" si="50"/>
        <v>8.7392343137647974E-2</v>
      </c>
    </row>
    <row r="137" spans="1:13" s="36" customFormat="1" ht="16">
      <c r="A137" s="72" t="s">
        <v>127</v>
      </c>
      <c r="B137" s="67">
        <f>SUM(B124:B136)</f>
        <v>2606.6175851020266</v>
      </c>
      <c r="C137" s="67"/>
      <c r="D137" s="68">
        <f>SUM(J124:J136)</f>
        <v>1.9757694027597285E-2</v>
      </c>
      <c r="E137" s="68">
        <f>SUM(K124:K136)</f>
        <v>7.7037844888540333E-2</v>
      </c>
      <c r="F137" s="68">
        <f>SUM(L124:L136)</f>
        <v>2.473784488854032E-2</v>
      </c>
      <c r="G137" s="69">
        <f>SUM(M124:M136)</f>
        <v>0.27365796295286726</v>
      </c>
      <c r="H137" s="72"/>
      <c r="I137" s="75">
        <f>SUM(I124:I136)</f>
        <v>0.99999999999999989</v>
      </c>
    </row>
    <row r="138" spans="1:13" s="47" customFormat="1" ht="16">
      <c r="A138" s="10" t="s">
        <v>95</v>
      </c>
      <c r="B138" s="148">
        <v>1713.3417048770118</v>
      </c>
      <c r="C138" s="11" t="s">
        <v>47</v>
      </c>
      <c r="D138" s="24">
        <v>0</v>
      </c>
      <c r="E138" s="12">
        <v>5.2299999999999999E-2</v>
      </c>
      <c r="F138" s="16">
        <v>0</v>
      </c>
      <c r="G138" s="16">
        <v>0.26500000000000001</v>
      </c>
      <c r="H138" s="17" t="s">
        <v>130</v>
      </c>
      <c r="I138" s="74">
        <f>B138/B140</f>
        <v>7.6977533486569091E-2</v>
      </c>
      <c r="J138" s="74">
        <f>I138*D138</f>
        <v>0</v>
      </c>
      <c r="K138" s="74">
        <f>I138*E138</f>
        <v>4.0259250013475632E-3</v>
      </c>
      <c r="L138" s="74">
        <f>I138*F138</f>
        <v>0</v>
      </c>
      <c r="M138" s="74">
        <f t="shared" si="50"/>
        <v>2.0399046373940809E-2</v>
      </c>
    </row>
    <row r="139" spans="1:13" s="47" customFormat="1" ht="16">
      <c r="A139" s="10" t="s">
        <v>357</v>
      </c>
      <c r="B139" s="148">
        <v>20544.343456936502</v>
      </c>
      <c r="C139" s="11" t="s">
        <v>47</v>
      </c>
      <c r="D139" s="24">
        <v>0</v>
      </c>
      <c r="E139" s="12">
        <v>5.2299999999999999E-2</v>
      </c>
      <c r="F139" s="16">
        <v>0</v>
      </c>
      <c r="G139" s="16">
        <v>0.25</v>
      </c>
      <c r="H139" s="17" t="s">
        <v>130</v>
      </c>
      <c r="I139" s="74">
        <f>B139/B140</f>
        <v>0.92302246651343078</v>
      </c>
      <c r="J139" s="74">
        <f>I139*D139</f>
        <v>0</v>
      </c>
      <c r="K139" s="74">
        <f>I139*E139</f>
        <v>4.8274074998652432E-2</v>
      </c>
      <c r="L139" s="74">
        <f>I139*F139</f>
        <v>0</v>
      </c>
      <c r="M139" s="74">
        <f t="shared" si="50"/>
        <v>0.2307556166283577</v>
      </c>
    </row>
    <row r="140" spans="1:13" s="36" customFormat="1" ht="16">
      <c r="A140" s="72" t="s">
        <v>130</v>
      </c>
      <c r="B140" s="67">
        <f>SUM(B138:B139)</f>
        <v>22257.685161813515</v>
      </c>
      <c r="C140" s="67"/>
      <c r="D140" s="68">
        <f>SUM(J138:J139)</f>
        <v>0</v>
      </c>
      <c r="E140" s="68">
        <f>SUM(K138:K139)</f>
        <v>5.2299999999999992E-2</v>
      </c>
      <c r="F140" s="68">
        <f>SUM(L138:L139)</f>
        <v>0</v>
      </c>
      <c r="G140" s="69">
        <f>SUM(M138:M139)</f>
        <v>0.25115466300229849</v>
      </c>
      <c r="H140" s="72"/>
    </row>
    <row r="141" spans="1:13" s="47" customFormat="1" ht="16">
      <c r="A141" s="10" t="s">
        <v>287</v>
      </c>
      <c r="B141" s="148">
        <v>3.2365439093484416</v>
      </c>
      <c r="C141" s="11" t="s">
        <v>83</v>
      </c>
      <c r="D141" s="24">
        <v>2.2338993674328587E-2</v>
      </c>
      <c r="E141" s="12">
        <v>8.0269790386961845E-2</v>
      </c>
      <c r="F141" s="16">
        <v>2.7969790386961842E-2</v>
      </c>
      <c r="G141" s="16">
        <v>0.1</v>
      </c>
      <c r="H141" s="17" t="s">
        <v>126</v>
      </c>
      <c r="I141" s="74">
        <f>B141/$B$167</f>
        <v>1.6954647044301814E-4</v>
      </c>
      <c r="J141" s="74">
        <f t="shared" ref="J141:J166" si="64">I141*D141</f>
        <v>3.7874975307313209E-6</v>
      </c>
      <c r="K141" s="74">
        <f t="shared" ref="K141:K166" si="65">I141*E141</f>
        <v>1.3609459643310289E-5</v>
      </c>
      <c r="L141" s="74">
        <f t="shared" ref="L141:L166" si="66">I141*F141</f>
        <v>4.7421792391404388E-6</v>
      </c>
      <c r="M141" s="74">
        <f t="shared" si="50"/>
        <v>1.6954647044301816E-5</v>
      </c>
    </row>
    <row r="142" spans="1:13" s="47" customFormat="1" ht="16">
      <c r="A142" s="10" t="s">
        <v>176</v>
      </c>
      <c r="B142" s="148">
        <v>455.28581803512486</v>
      </c>
      <c r="C142" s="11" t="s">
        <v>44</v>
      </c>
      <c r="D142" s="24">
        <v>4.6583683491490885E-3</v>
      </c>
      <c r="E142" s="12">
        <v>5.8132562924295361E-2</v>
      </c>
      <c r="F142" s="16">
        <v>5.8325629242953593E-3</v>
      </c>
      <c r="G142" s="16">
        <v>0.25</v>
      </c>
      <c r="H142" s="17" t="s">
        <v>126</v>
      </c>
      <c r="I142" s="74">
        <f t="shared" ref="I142:I166" si="67">B142/$B$167</f>
        <v>2.3850164141958886E-2</v>
      </c>
      <c r="J142" s="74">
        <f t="shared" si="64"/>
        <v>1.111028497609118E-4</v>
      </c>
      <c r="K142" s="74">
        <f t="shared" si="65"/>
        <v>1.3864711677371978E-3</v>
      </c>
      <c r="L142" s="74">
        <f t="shared" si="66"/>
        <v>1.3910758311274805E-4</v>
      </c>
      <c r="M142" s="74">
        <f t="shared" si="50"/>
        <v>5.9625410354897214E-3</v>
      </c>
    </row>
    <row r="143" spans="1:13" s="47" customFormat="1" ht="16">
      <c r="A143" s="10" t="s">
        <v>177</v>
      </c>
      <c r="B143" s="148">
        <v>542.76109210346851</v>
      </c>
      <c r="C143" s="11" t="s">
        <v>46</v>
      </c>
      <c r="D143" s="24">
        <v>7.0934245316588403E-3</v>
      </c>
      <c r="E143" s="12">
        <v>6.1181402634722479E-2</v>
      </c>
      <c r="F143" s="16">
        <v>8.8814026347224795E-3</v>
      </c>
      <c r="G143" s="16">
        <v>0.28999999999999998</v>
      </c>
      <c r="H143" s="17" t="s">
        <v>126</v>
      </c>
      <c r="I143" s="74">
        <f t="shared" si="67"/>
        <v>2.8432559556550694E-2</v>
      </c>
      <c r="J143" s="74">
        <f t="shared" si="64"/>
        <v>2.016842154562877E-4</v>
      </c>
      <c r="K143" s="74">
        <f t="shared" si="65"/>
        <v>1.7395438741650544E-3</v>
      </c>
      <c r="L143" s="74">
        <f t="shared" si="66"/>
        <v>2.5252100935745314E-4</v>
      </c>
      <c r="M143" s="74">
        <f t="shared" si="50"/>
        <v>8.2454422713997E-3</v>
      </c>
    </row>
    <row r="144" spans="1:13" s="47" customFormat="1" ht="16">
      <c r="A144" s="10" t="s">
        <v>178</v>
      </c>
      <c r="B144" s="148">
        <v>24.961988663202643</v>
      </c>
      <c r="C144" s="11" t="s">
        <v>80</v>
      </c>
      <c r="D144" s="24">
        <v>3.5255378642423785E-2</v>
      </c>
      <c r="E144" s="12">
        <v>9.6441896677053524E-2</v>
      </c>
      <c r="F144" s="16">
        <v>4.4141896677053517E-2</v>
      </c>
      <c r="G144" s="16">
        <v>0.125</v>
      </c>
      <c r="H144" s="17" t="s">
        <v>126</v>
      </c>
      <c r="I144" s="74">
        <f t="shared" si="67"/>
        <v>1.3076346842878586E-3</v>
      </c>
      <c r="J144" s="74">
        <f t="shared" si="64"/>
        <v>4.6101155920534741E-5</v>
      </c>
      <c r="K144" s="74">
        <f t="shared" si="65"/>
        <v>1.2611076911342117E-4</v>
      </c>
      <c r="L144" s="74">
        <f t="shared" si="66"/>
        <v>5.7721475125166151E-5</v>
      </c>
      <c r="M144" s="74">
        <f t="shared" si="50"/>
        <v>1.6345433553598232E-4</v>
      </c>
    </row>
    <row r="145" spans="1:13" s="47" customFormat="1" ht="16">
      <c r="A145" s="10" t="s">
        <v>102</v>
      </c>
      <c r="B145" s="148">
        <v>355.67532908595155</v>
      </c>
      <c r="C145" s="11" t="s">
        <v>47</v>
      </c>
      <c r="D145" s="24">
        <v>0</v>
      </c>
      <c r="E145" s="12">
        <v>5.2299999999999999E-2</v>
      </c>
      <c r="F145" s="16">
        <v>0</v>
      </c>
      <c r="G145" s="16">
        <v>0.22</v>
      </c>
      <c r="H145" s="17" t="s">
        <v>126</v>
      </c>
      <c r="I145" s="74">
        <f t="shared" si="67"/>
        <v>1.8632065054331955E-2</v>
      </c>
      <c r="J145" s="74">
        <f t="shared" si="64"/>
        <v>0</v>
      </c>
      <c r="K145" s="74">
        <f t="shared" si="65"/>
        <v>9.7445700234156127E-4</v>
      </c>
      <c r="L145" s="74">
        <f t="shared" si="66"/>
        <v>0</v>
      </c>
      <c r="M145" s="74">
        <f t="shared" ref="M145:M166" si="68">I145*G145</f>
        <v>4.0990543119530298E-3</v>
      </c>
    </row>
    <row r="146" spans="1:13" s="47" customFormat="1" ht="16">
      <c r="A146" s="10" t="s">
        <v>179</v>
      </c>
      <c r="B146" s="148">
        <v>276.74312051576396</v>
      </c>
      <c r="C146" s="11" t="s">
        <v>44</v>
      </c>
      <c r="D146" s="24">
        <v>4.6583683491490885E-3</v>
      </c>
      <c r="E146" s="12">
        <v>5.8132562924295361E-2</v>
      </c>
      <c r="F146" s="16">
        <v>5.8325629242953593E-3</v>
      </c>
      <c r="G146" s="16">
        <v>0.2</v>
      </c>
      <c r="H146" s="17" t="s">
        <v>126</v>
      </c>
      <c r="I146" s="74">
        <f t="shared" si="67"/>
        <v>1.4497198436674495E-2</v>
      </c>
      <c r="J146" s="74">
        <f t="shared" si="64"/>
        <v>6.7533290348738113E-5</v>
      </c>
      <c r="K146" s="74">
        <f t="shared" si="65"/>
        <v>8.4275930034597639E-4</v>
      </c>
      <c r="L146" s="74">
        <f t="shared" si="66"/>
        <v>8.4555822107900303E-5</v>
      </c>
      <c r="M146" s="74">
        <f t="shared" si="68"/>
        <v>2.8994396873348992E-3</v>
      </c>
    </row>
    <row r="147" spans="1:13" s="47" customFormat="1" ht="16">
      <c r="A147" s="10" t="s">
        <v>180</v>
      </c>
      <c r="B147" s="148">
        <v>2777.5352392779751</v>
      </c>
      <c r="C147" s="11" t="s">
        <v>45</v>
      </c>
      <c r="D147" s="24">
        <v>5.8229604364363613E-3</v>
      </c>
      <c r="E147" s="12">
        <v>5.9590703655369198E-2</v>
      </c>
      <c r="F147" s="16">
        <v>7.2907036553691998E-3</v>
      </c>
      <c r="G147" s="16">
        <v>0.31</v>
      </c>
      <c r="H147" s="17" t="s">
        <v>126</v>
      </c>
      <c r="I147" s="74">
        <f t="shared" si="67"/>
        <v>0.14550128456174324</v>
      </c>
      <c r="J147" s="74">
        <f t="shared" si="64"/>
        <v>8.4724822345369965E-4</v>
      </c>
      <c r="K147" s="74">
        <f t="shared" si="65"/>
        <v>8.6705239297943867E-3</v>
      </c>
      <c r="L147" s="74">
        <f t="shared" si="66"/>
        <v>1.0608067472152156E-3</v>
      </c>
      <c r="M147" s="74">
        <f t="shared" si="68"/>
        <v>4.5105398214140405E-2</v>
      </c>
    </row>
    <row r="148" spans="1:13" s="47" customFormat="1" ht="16">
      <c r="A148" s="10" t="s">
        <v>181</v>
      </c>
      <c r="B148" s="148">
        <v>3947.6201625029566</v>
      </c>
      <c r="C148" s="11" t="s">
        <v>47</v>
      </c>
      <c r="D148" s="24">
        <v>0</v>
      </c>
      <c r="E148" s="12">
        <v>5.2299999999999999E-2</v>
      </c>
      <c r="F148" s="16">
        <v>0</v>
      </c>
      <c r="G148" s="16">
        <v>0.3</v>
      </c>
      <c r="H148" s="17" t="s">
        <v>126</v>
      </c>
      <c r="I148" s="74">
        <f t="shared" si="67"/>
        <v>0.20679622583486279</v>
      </c>
      <c r="J148" s="74">
        <f t="shared" si="64"/>
        <v>0</v>
      </c>
      <c r="K148" s="74">
        <f t="shared" si="65"/>
        <v>1.0815442611163325E-2</v>
      </c>
      <c r="L148" s="74">
        <f t="shared" si="66"/>
        <v>0</v>
      </c>
      <c r="M148" s="74">
        <f t="shared" si="68"/>
        <v>6.2038867750458832E-2</v>
      </c>
    </row>
    <row r="149" spans="1:13" s="47" customFormat="1" ht="16">
      <c r="A149" s="10" t="s">
        <v>182</v>
      </c>
      <c r="B149" s="148">
        <v>218.03184458399377</v>
      </c>
      <c r="C149" s="11" t="s">
        <v>48</v>
      </c>
      <c r="D149" s="24">
        <v>5.2830131959668084E-2</v>
      </c>
      <c r="E149" s="12">
        <v>0.11844656589144056</v>
      </c>
      <c r="F149" s="16">
        <v>6.6146565891440565E-2</v>
      </c>
      <c r="G149" s="16">
        <v>0.28000000000000003</v>
      </c>
      <c r="H149" s="17" t="s">
        <v>126</v>
      </c>
      <c r="I149" s="74">
        <f t="shared" si="67"/>
        <v>1.1421606110957621E-2</v>
      </c>
      <c r="J149" s="74">
        <f t="shared" si="64"/>
        <v>6.0340495803324246E-4</v>
      </c>
      <c r="K149" s="74">
        <f t="shared" si="65"/>
        <v>1.352850020807622E-3</v>
      </c>
      <c r="L149" s="74">
        <f t="shared" si="66"/>
        <v>7.5550002120453844E-4</v>
      </c>
      <c r="M149" s="74">
        <f t="shared" si="68"/>
        <v>3.1980497110681342E-3</v>
      </c>
    </row>
    <row r="150" spans="1:13" s="47" customFormat="1" ht="16">
      <c r="A150" s="10" t="s">
        <v>290</v>
      </c>
      <c r="B150" s="148">
        <v>0.5</v>
      </c>
      <c r="C150" s="11" t="s">
        <v>46</v>
      </c>
      <c r="D150" s="24">
        <v>7.0934245316588403E-3</v>
      </c>
      <c r="E150" s="12">
        <v>6.1181402634722479E-2</v>
      </c>
      <c r="F150" s="16">
        <v>8.8814026347224795E-3</v>
      </c>
      <c r="G150" s="16">
        <v>0</v>
      </c>
      <c r="H150" s="17" t="s">
        <v>126</v>
      </c>
      <c r="I150" s="74">
        <f t="shared" si="67"/>
        <v>2.6192518190978299E-5</v>
      </c>
      <c r="J150" s="74">
        <f t="shared" si="64"/>
        <v>1.8579465108180589E-7</v>
      </c>
      <c r="K150" s="74">
        <f t="shared" si="65"/>
        <v>1.6024950014595362E-6</v>
      </c>
      <c r="L150" s="74">
        <f t="shared" si="66"/>
        <v>2.3262630007137114E-7</v>
      </c>
      <c r="M150" s="74">
        <f t="shared" si="68"/>
        <v>0</v>
      </c>
    </row>
    <row r="151" spans="1:13" s="47" customFormat="1" ht="16">
      <c r="A151" s="10" t="s">
        <v>110</v>
      </c>
      <c r="B151" s="148">
        <v>25.878475760113137</v>
      </c>
      <c r="C151" s="11" t="s">
        <v>42</v>
      </c>
      <c r="D151" s="24">
        <v>9.9519687459094178E-3</v>
      </c>
      <c r="E151" s="12">
        <v>6.4760475338267356E-2</v>
      </c>
      <c r="F151" s="16">
        <v>1.2460475338267361E-2</v>
      </c>
      <c r="G151" s="16">
        <v>0.2</v>
      </c>
      <c r="H151" s="17" t="s">
        <v>126</v>
      </c>
      <c r="I151" s="74">
        <f t="shared" si="67"/>
        <v>1.3556448942031085E-3</v>
      </c>
      <c r="J151" s="74">
        <f t="shared" si="64"/>
        <v>1.3491335617661016E-5</v>
      </c>
      <c r="K151" s="74">
        <f t="shared" si="65"/>
        <v>8.7792207738488469E-5</v>
      </c>
      <c r="L151" s="74">
        <f t="shared" si="66"/>
        <v>1.68919797716659E-5</v>
      </c>
      <c r="M151" s="74">
        <f t="shared" si="68"/>
        <v>2.7112897884062171E-4</v>
      </c>
    </row>
    <row r="152" spans="1:13" s="47" customFormat="1" ht="16">
      <c r="A152" s="10" t="s">
        <v>183</v>
      </c>
      <c r="B152" s="148">
        <v>382.48749053247872</v>
      </c>
      <c r="C152" s="11" t="s">
        <v>42</v>
      </c>
      <c r="D152" s="24">
        <v>9.9519687459094178E-3</v>
      </c>
      <c r="E152" s="12">
        <v>6.4760475338267356E-2</v>
      </c>
      <c r="F152" s="16">
        <v>1.2460475338267361E-2</v>
      </c>
      <c r="G152" s="16">
        <v>0.125</v>
      </c>
      <c r="H152" s="17" t="s">
        <v>126</v>
      </c>
      <c r="I152" s="74">
        <f t="shared" si="67"/>
        <v>2.0036621107187177E-2</v>
      </c>
      <c r="J152" s="74">
        <f t="shared" si="64"/>
        <v>1.9940382703235573E-4</v>
      </c>
      <c r="K152" s="74">
        <f t="shared" si="65"/>
        <v>1.2975811070742023E-3</v>
      </c>
      <c r="L152" s="74">
        <f t="shared" si="66"/>
        <v>2.4966582316831307E-4</v>
      </c>
      <c r="M152" s="74">
        <f t="shared" si="68"/>
        <v>2.5045776383983971E-3</v>
      </c>
    </row>
    <row r="153" spans="1:13" s="47" customFormat="1" ht="16">
      <c r="A153" s="10" t="s">
        <v>113</v>
      </c>
      <c r="B153" s="148">
        <v>6.7705328185328169</v>
      </c>
      <c r="C153" s="11" t="s">
        <v>45</v>
      </c>
      <c r="D153" s="24">
        <v>5.8229604364363613E-3</v>
      </c>
      <c r="E153" s="12">
        <v>5.9590703655369198E-2</v>
      </c>
      <c r="F153" s="16">
        <v>7.2907036553691998E-3</v>
      </c>
      <c r="G153" s="16">
        <v>0</v>
      </c>
      <c r="H153" s="17" t="s">
        <v>126</v>
      </c>
      <c r="I153" s="74">
        <f t="shared" si="67"/>
        <v>3.5467460802407274E-4</v>
      </c>
      <c r="J153" s="74">
        <f t="shared" si="64"/>
        <v>2.0652562103327498E-6</v>
      </c>
      <c r="K153" s="74">
        <f t="shared" si="65"/>
        <v>2.1135309460846749E-5</v>
      </c>
      <c r="L153" s="74">
        <f t="shared" si="66"/>
        <v>2.5858274611877451E-6</v>
      </c>
      <c r="M153" s="74">
        <f t="shared" si="68"/>
        <v>0</v>
      </c>
    </row>
    <row r="154" spans="1:13" s="47" customFormat="1" ht="16">
      <c r="A154" s="10" t="s">
        <v>145</v>
      </c>
      <c r="B154" s="148">
        <v>2083.8642596226487</v>
      </c>
      <c r="C154" s="11" t="s">
        <v>124</v>
      </c>
      <c r="D154" s="24">
        <v>2.5832769936190408E-2</v>
      </c>
      <c r="E154" s="12">
        <v>8.464421258018337E-2</v>
      </c>
      <c r="F154" s="16">
        <v>3.2344212580183364E-2</v>
      </c>
      <c r="G154" s="16">
        <v>0.24</v>
      </c>
      <c r="H154" s="17" t="s">
        <v>126</v>
      </c>
      <c r="I154" s="74">
        <f t="shared" si="67"/>
        <v>0.1091633050553915</v>
      </c>
      <c r="J154" s="74">
        <f t="shared" si="64"/>
        <v>2.8199905449700999E-3</v>
      </c>
      <c r="K154" s="74">
        <f t="shared" si="65"/>
        <v>9.2400419990639644E-3</v>
      </c>
      <c r="L154" s="74">
        <f t="shared" si="66"/>
        <v>3.5308011446669881E-3</v>
      </c>
      <c r="M154" s="74">
        <f t="shared" si="68"/>
        <v>2.6199193213293958E-2</v>
      </c>
    </row>
    <row r="155" spans="1:13" s="47" customFormat="1" ht="16">
      <c r="A155" s="10" t="s">
        <v>291</v>
      </c>
      <c r="B155" s="148">
        <v>1</v>
      </c>
      <c r="C155" s="11" t="s">
        <v>46</v>
      </c>
      <c r="D155" s="24">
        <v>7.0934245316588403E-3</v>
      </c>
      <c r="E155" s="12">
        <v>6.1181402634722479E-2</v>
      </c>
      <c r="F155" s="16">
        <v>8.8814026347224795E-3</v>
      </c>
      <c r="G155" s="16">
        <v>0</v>
      </c>
      <c r="H155" s="17" t="s">
        <v>126</v>
      </c>
      <c r="I155" s="74">
        <f t="shared" si="67"/>
        <v>5.2385036381956598E-5</v>
      </c>
      <c r="J155" s="74">
        <f t="shared" si="64"/>
        <v>3.7158930216361179E-7</v>
      </c>
      <c r="K155" s="74">
        <f t="shared" si="65"/>
        <v>3.2049900029190724E-6</v>
      </c>
      <c r="L155" s="74">
        <f t="shared" si="66"/>
        <v>4.6525260014274228E-7</v>
      </c>
      <c r="M155" s="74">
        <f t="shared" si="68"/>
        <v>0</v>
      </c>
    </row>
    <row r="156" spans="1:13" s="47" customFormat="1" ht="16">
      <c r="A156" s="10" t="s">
        <v>223</v>
      </c>
      <c r="B156" s="148">
        <v>6.2146336513091125</v>
      </c>
      <c r="C156" s="11" t="s">
        <v>47</v>
      </c>
      <c r="D156" s="24">
        <v>0</v>
      </c>
      <c r="E156" s="12">
        <v>5.2299999999999999E-2</v>
      </c>
      <c r="F156" s="16">
        <v>0</v>
      </c>
      <c r="G156" s="16">
        <v>0.125</v>
      </c>
      <c r="H156" s="17" t="s">
        <v>126</v>
      </c>
      <c r="I156" s="74">
        <f t="shared" si="67"/>
        <v>3.2555380992435964E-4</v>
      </c>
      <c r="J156" s="74">
        <f t="shared" si="64"/>
        <v>0</v>
      </c>
      <c r="K156" s="74">
        <f t="shared" si="65"/>
        <v>1.7026464259044009E-5</v>
      </c>
      <c r="L156" s="74">
        <f t="shared" si="66"/>
        <v>0</v>
      </c>
      <c r="M156" s="74">
        <f t="shared" si="68"/>
        <v>4.0694226240544955E-5</v>
      </c>
    </row>
    <row r="157" spans="1:13" s="47" customFormat="1" ht="16">
      <c r="A157" s="10" t="s">
        <v>185</v>
      </c>
      <c r="B157" s="148">
        <v>70.885325883094083</v>
      </c>
      <c r="C157" s="11" t="s">
        <v>47</v>
      </c>
      <c r="D157" s="24">
        <v>0</v>
      </c>
      <c r="E157" s="12">
        <v>5.2299999999999999E-2</v>
      </c>
      <c r="F157" s="16">
        <v>0</v>
      </c>
      <c r="G157" s="16">
        <v>0.2601</v>
      </c>
      <c r="H157" s="17" t="s">
        <v>126</v>
      </c>
      <c r="I157" s="74">
        <f t="shared" si="67"/>
        <v>3.7133303753327331E-3</v>
      </c>
      <c r="J157" s="74">
        <f t="shared" si="64"/>
        <v>0</v>
      </c>
      <c r="K157" s="74">
        <f t="shared" si="65"/>
        <v>1.9420717862990195E-4</v>
      </c>
      <c r="L157" s="74">
        <f t="shared" si="66"/>
        <v>0</v>
      </c>
      <c r="M157" s="74">
        <f t="shared" si="68"/>
        <v>9.6583723062404383E-4</v>
      </c>
    </row>
    <row r="158" spans="1:13" s="47" customFormat="1" ht="16">
      <c r="A158" s="10" t="s">
        <v>186</v>
      </c>
      <c r="B158" s="148">
        <v>14.553422928883089</v>
      </c>
      <c r="C158" s="11" t="s">
        <v>42</v>
      </c>
      <c r="D158" s="24">
        <v>9.9519687459094178E-3</v>
      </c>
      <c r="E158" s="12">
        <v>6.4760475338267356E-2</v>
      </c>
      <c r="F158" s="16">
        <v>1.2460475338267361E-2</v>
      </c>
      <c r="G158" s="16">
        <v>0.35</v>
      </c>
      <c r="H158" s="17" t="s">
        <v>126</v>
      </c>
      <c r="I158" s="74">
        <f t="shared" si="67"/>
        <v>7.623815896115419E-4</v>
      </c>
      <c r="J158" s="74">
        <f t="shared" si="64"/>
        <v>7.5871977522708052E-6</v>
      </c>
      <c r="K158" s="74">
        <f t="shared" si="65"/>
        <v>4.9372194132387324E-5</v>
      </c>
      <c r="L158" s="74">
        <f t="shared" si="66"/>
        <v>9.4996369957036854E-6</v>
      </c>
      <c r="M158" s="74">
        <f t="shared" si="68"/>
        <v>2.6683355636403965E-4</v>
      </c>
    </row>
    <row r="159" spans="1:13" s="47" customFormat="1" ht="16">
      <c r="A159" s="10" t="s">
        <v>187</v>
      </c>
      <c r="B159" s="148">
        <v>913.65846570912493</v>
      </c>
      <c r="C159" s="11" t="s">
        <v>47</v>
      </c>
      <c r="D159" s="24">
        <v>0</v>
      </c>
      <c r="E159" s="12">
        <v>5.2299999999999999E-2</v>
      </c>
      <c r="F159" s="16">
        <v>0</v>
      </c>
      <c r="G159" s="16">
        <v>0.25</v>
      </c>
      <c r="H159" s="17" t="s">
        <v>126</v>
      </c>
      <c r="I159" s="74">
        <f t="shared" si="67"/>
        <v>4.7862031966855151E-2</v>
      </c>
      <c r="J159" s="74">
        <f t="shared" si="64"/>
        <v>0</v>
      </c>
      <c r="K159" s="74">
        <f t="shared" si="65"/>
        <v>2.5031842718665244E-3</v>
      </c>
      <c r="L159" s="74">
        <f t="shared" si="66"/>
        <v>0</v>
      </c>
      <c r="M159" s="74">
        <f t="shared" si="68"/>
        <v>1.1965507991713788E-2</v>
      </c>
    </row>
    <row r="160" spans="1:13" s="47" customFormat="1" ht="16">
      <c r="A160" s="10" t="s">
        <v>23</v>
      </c>
      <c r="B160" s="148">
        <v>434.16661543190901</v>
      </c>
      <c r="C160" s="11" t="s">
        <v>47</v>
      </c>
      <c r="D160" s="24">
        <v>0</v>
      </c>
      <c r="E160" s="12">
        <v>5.2299999999999999E-2</v>
      </c>
      <c r="F160" s="16">
        <v>0</v>
      </c>
      <c r="G160" s="16">
        <v>0.22</v>
      </c>
      <c r="H160" s="17" t="s">
        <v>126</v>
      </c>
      <c r="I160" s="74">
        <f t="shared" si="67"/>
        <v>2.2743833945231513E-2</v>
      </c>
      <c r="J160" s="74">
        <f t="shared" si="64"/>
        <v>0</v>
      </c>
      <c r="K160" s="74">
        <f t="shared" si="65"/>
        <v>1.189502515335608E-3</v>
      </c>
      <c r="L160" s="74">
        <f t="shared" si="66"/>
        <v>0</v>
      </c>
      <c r="M160" s="74">
        <f t="shared" si="68"/>
        <v>5.0036434679509327E-3</v>
      </c>
    </row>
    <row r="161" spans="1:13" s="47" customFormat="1" ht="16">
      <c r="A161" s="10" t="s">
        <v>189</v>
      </c>
      <c r="B161" s="148">
        <v>240.67452446424036</v>
      </c>
      <c r="C161" s="11" t="s">
        <v>124</v>
      </c>
      <c r="D161" s="24">
        <v>2.5832769936190408E-2</v>
      </c>
      <c r="E161" s="12">
        <v>8.464421258018337E-2</v>
      </c>
      <c r="F161" s="16">
        <v>3.2344212580183364E-2</v>
      </c>
      <c r="G161" s="16">
        <v>0.21</v>
      </c>
      <c r="H161" s="17" t="s">
        <v>126</v>
      </c>
      <c r="I161" s="74">
        <f t="shared" si="67"/>
        <v>1.2607743720269335E-2</v>
      </c>
      <c r="J161" s="74">
        <f t="shared" si="64"/>
        <v>3.2569294294016707E-4</v>
      </c>
      <c r="K161" s="74">
        <f t="shared" si="65"/>
        <v>1.0671725396149494E-3</v>
      </c>
      <c r="L161" s="74">
        <f t="shared" si="66"/>
        <v>4.077875430448632E-4</v>
      </c>
      <c r="M161" s="74">
        <f t="shared" si="68"/>
        <v>2.6476261812565603E-3</v>
      </c>
    </row>
    <row r="162" spans="1:13" s="47" customFormat="1" ht="16">
      <c r="A162" s="10" t="s">
        <v>138</v>
      </c>
      <c r="B162" s="148">
        <v>1419.0419499098234</v>
      </c>
      <c r="C162" s="11" t="s">
        <v>82</v>
      </c>
      <c r="D162" s="24">
        <v>1.8739345404531565E-2</v>
      </c>
      <c r="E162" s="12">
        <v>7.5762809945460891E-2</v>
      </c>
      <c r="F162" s="16">
        <v>2.3462809945460884E-2</v>
      </c>
      <c r="G162" s="16">
        <v>0.25</v>
      </c>
      <c r="H162" s="17" t="s">
        <v>126</v>
      </c>
      <c r="I162" s="74">
        <f t="shared" si="67"/>
        <v>7.4336564173548725E-2</v>
      </c>
      <c r="J162" s="74">
        <f t="shared" si="64"/>
        <v>1.3930185522342561E-3</v>
      </c>
      <c r="K162" s="74">
        <f t="shared" si="65"/>
        <v>5.6319469834791294E-3</v>
      </c>
      <c r="L162" s="74">
        <f t="shared" si="66"/>
        <v>1.7441446772025304E-3</v>
      </c>
      <c r="M162" s="74">
        <f t="shared" si="68"/>
        <v>1.8584141043387181E-2</v>
      </c>
    </row>
    <row r="163" spans="1:13" s="47" customFormat="1" ht="16">
      <c r="A163" s="10" t="s">
        <v>34</v>
      </c>
      <c r="B163" s="148">
        <v>556.08648893655879</v>
      </c>
      <c r="C163" s="11" t="s">
        <v>47</v>
      </c>
      <c r="D163" s="24">
        <v>0</v>
      </c>
      <c r="E163" s="12">
        <v>5.2299999999999999E-2</v>
      </c>
      <c r="F163" s="16">
        <v>0</v>
      </c>
      <c r="G163" s="16">
        <v>0.214</v>
      </c>
      <c r="H163" s="17" t="s">
        <v>126</v>
      </c>
      <c r="I163" s="74">
        <f t="shared" si="67"/>
        <v>2.9130610954456137E-2</v>
      </c>
      <c r="J163" s="74">
        <f t="shared" si="64"/>
        <v>0</v>
      </c>
      <c r="K163" s="74">
        <f t="shared" si="65"/>
        <v>1.523530952918056E-3</v>
      </c>
      <c r="L163" s="74">
        <f t="shared" si="66"/>
        <v>0</v>
      </c>
      <c r="M163" s="74">
        <f t="shared" si="68"/>
        <v>6.233950744253613E-3</v>
      </c>
    </row>
    <row r="164" spans="1:13" s="47" customFormat="1" ht="16">
      <c r="A164" s="10" t="s">
        <v>35</v>
      </c>
      <c r="B164" s="148">
        <v>705.14035416631191</v>
      </c>
      <c r="C164" s="11" t="s">
        <v>47</v>
      </c>
      <c r="D164" s="24">
        <v>0</v>
      </c>
      <c r="E164" s="12">
        <v>5.2299999999999999E-2</v>
      </c>
      <c r="F164" s="16">
        <v>0</v>
      </c>
      <c r="G164" s="16">
        <v>0.18</v>
      </c>
      <c r="H164" s="17" t="s">
        <v>126</v>
      </c>
      <c r="I164" s="74">
        <f t="shared" si="67"/>
        <v>3.6938803107388007E-2</v>
      </c>
      <c r="J164" s="74">
        <f t="shared" si="64"/>
        <v>0</v>
      </c>
      <c r="K164" s="74">
        <f t="shared" si="65"/>
        <v>1.9318994025163928E-3</v>
      </c>
      <c r="L164" s="74">
        <f t="shared" si="66"/>
        <v>0</v>
      </c>
      <c r="M164" s="74">
        <f t="shared" si="68"/>
        <v>6.6489845593298413E-3</v>
      </c>
    </row>
    <row r="165" spans="1:13" s="47" customFormat="1" ht="16">
      <c r="A165" s="10" t="s">
        <v>66</v>
      </c>
      <c r="B165" s="148">
        <v>771.35033045526677</v>
      </c>
      <c r="C165" s="11" t="s">
        <v>48</v>
      </c>
      <c r="D165" s="24">
        <v>5.2830131959668084E-2</v>
      </c>
      <c r="E165" s="12">
        <v>0.11844656589144056</v>
      </c>
      <c r="F165" s="16">
        <v>6.6146565891440565E-2</v>
      </c>
      <c r="G165" s="16">
        <v>0.22</v>
      </c>
      <c r="H165" s="17" t="s">
        <v>126</v>
      </c>
      <c r="I165" s="74">
        <f t="shared" si="67"/>
        <v>4.0407215124133394E-2</v>
      </c>
      <c r="J165" s="74">
        <f t="shared" si="64"/>
        <v>2.1347185071306633E-3</v>
      </c>
      <c r="K165" s="74">
        <f t="shared" si="65"/>
        <v>4.7860958686902801E-3</v>
      </c>
      <c r="L165" s="74">
        <f t="shared" si="66"/>
        <v>2.6727985176981032E-3</v>
      </c>
      <c r="M165" s="74">
        <f t="shared" si="68"/>
        <v>8.8895873273093472E-3</v>
      </c>
    </row>
    <row r="166" spans="1:13" s="47" customFormat="1" ht="16">
      <c r="A166" s="10" t="s">
        <v>57</v>
      </c>
      <c r="B166" s="148">
        <v>2855.2967315219639</v>
      </c>
      <c r="C166" s="11" t="s">
        <v>45</v>
      </c>
      <c r="D166" s="24">
        <v>5.8229604364363613E-3</v>
      </c>
      <c r="E166" s="12">
        <v>5.9590703655369198E-2</v>
      </c>
      <c r="F166" s="16">
        <v>7.2907036553691998E-3</v>
      </c>
      <c r="G166" s="16">
        <v>0.19</v>
      </c>
      <c r="H166" s="17" t="s">
        <v>126</v>
      </c>
      <c r="I166" s="74">
        <f t="shared" si="67"/>
        <v>0.14957482316205983</v>
      </c>
      <c r="J166" s="74">
        <f t="shared" si="64"/>
        <v>8.7096827755963951E-4</v>
      </c>
      <c r="K166" s="74">
        <f t="shared" si="65"/>
        <v>8.9132689613545604E-3</v>
      </c>
      <c r="L166" s="74">
        <f t="shared" si="66"/>
        <v>1.0905057099788312E-3</v>
      </c>
      <c r="M166" s="74">
        <f t="shared" si="68"/>
        <v>2.8419216400791369E-2</v>
      </c>
    </row>
    <row r="167" spans="1:13" s="36" customFormat="1" ht="16">
      <c r="A167" s="72" t="s">
        <v>126</v>
      </c>
      <c r="B167" s="67">
        <f>SUM(B141:B166)</f>
        <v>19089.420740470043</v>
      </c>
      <c r="C167" s="67"/>
      <c r="D167" s="76">
        <f>SUM(J141:J166)</f>
        <v>9.6483560159048385E-3</v>
      </c>
      <c r="E167" s="76">
        <f>SUM(K141:K166)</f>
        <v>6.4380333576250587E-2</v>
      </c>
      <c r="F167" s="76">
        <f>SUM(L141:L166)</f>
        <v>1.2080333576250563E-2</v>
      </c>
      <c r="G167" s="69">
        <f>SUM(M141:M166)</f>
        <v>0.25037012452417917</v>
      </c>
      <c r="H167" s="72"/>
      <c r="I167" s="75">
        <f>SUM(I141:I166)</f>
        <v>0.99999999999999978</v>
      </c>
    </row>
    <row r="170" spans="1:13">
      <c r="A170" s="78" t="s">
        <v>52</v>
      </c>
      <c r="B170" s="20" t="s">
        <v>278</v>
      </c>
      <c r="C170" s="20" t="s">
        <v>279</v>
      </c>
      <c r="D170" s="20" t="s">
        <v>282</v>
      </c>
      <c r="E170" s="20" t="s">
        <v>358</v>
      </c>
      <c r="F170" s="154" t="s">
        <v>300</v>
      </c>
      <c r="G170" s="154" t="s">
        <v>276</v>
      </c>
      <c r="H170" s="31" t="s">
        <v>301</v>
      </c>
      <c r="I170" s="31" t="s">
        <v>298</v>
      </c>
      <c r="J170" s="31" t="s">
        <v>302</v>
      </c>
      <c r="K170" s="31" t="s">
        <v>361</v>
      </c>
    </row>
    <row r="171" spans="1:13">
      <c r="A171" s="17" t="str">
        <f>A31</f>
        <v>Africa</v>
      </c>
      <c r="B171" s="79">
        <f>E31</f>
        <v>0.12423055515219109</v>
      </c>
      <c r="C171" s="79">
        <f>F31</f>
        <v>7.1930555152191114E-2</v>
      </c>
      <c r="D171" s="79">
        <f>D31</f>
        <v>5.7449705353701148E-2</v>
      </c>
      <c r="E171" s="79">
        <f>G31</f>
        <v>0.28491627824785853</v>
      </c>
      <c r="F171" s="154">
        <f>B31</f>
        <v>1931.4223492899107</v>
      </c>
      <c r="G171" s="155">
        <f>F171/$F$180</f>
        <v>2.2884088974390291E-2</v>
      </c>
      <c r="H171" s="56">
        <f t="shared" ref="H171:H179" si="69">G171*B171</f>
        <v>2.8429030774406411E-3</v>
      </c>
      <c r="I171" s="56">
        <f t="shared" ref="I171:I179" si="70">G171*C171</f>
        <v>1.6460652240800294E-3</v>
      </c>
      <c r="J171" s="56">
        <f t="shared" ref="J171:J179" si="71">G171*D171</f>
        <v>1.3146841688666034E-3</v>
      </c>
      <c r="K171" s="56">
        <f>G171*E171</f>
        <v>6.5200494616761357E-3</v>
      </c>
    </row>
    <row r="172" spans="1:13">
      <c r="A172" s="17" t="str">
        <f>A56</f>
        <v>Asia</v>
      </c>
      <c r="B172" s="79">
        <f>E56</f>
        <v>6.7848639425947932E-2</v>
      </c>
      <c r="C172" s="79">
        <f>F56</f>
        <v>1.554863942594794E-2</v>
      </c>
      <c r="D172" s="79">
        <f>D56</f>
        <v>1.2418432636612842E-2</v>
      </c>
      <c r="E172" s="79">
        <f>G56</f>
        <v>0.26120141139189929</v>
      </c>
      <c r="F172" s="154">
        <f>B56</f>
        <v>27610.476665810846</v>
      </c>
      <c r="G172" s="155">
        <f t="shared" ref="G172:G179" si="72">F172/$F$180</f>
        <v>0.32713746161114848</v>
      </c>
      <c r="H172" s="56">
        <f t="shared" si="69"/>
        <v>2.2195831675574696E-2</v>
      </c>
      <c r="I172" s="56">
        <f t="shared" si="70"/>
        <v>5.0865424333116343E-3</v>
      </c>
      <c r="J172" s="56">
        <f t="shared" si="71"/>
        <v>4.0625345299305669E-3</v>
      </c>
      <c r="K172" s="56">
        <f t="shared" ref="K172:K179" si="73">G172*E172</f>
        <v>8.5448766691995248E-2</v>
      </c>
    </row>
    <row r="173" spans="1:13">
      <c r="A173" s="17" t="str">
        <f>A60</f>
        <v>Australia &amp; New Zealand</v>
      </c>
      <c r="B173" s="79">
        <f>E60</f>
        <v>5.2348399092075067E-2</v>
      </c>
      <c r="C173" s="79">
        <f>F60</f>
        <v>4.8399092075067082E-5</v>
      </c>
      <c r="D173" s="79">
        <f>D60</f>
        <v>3.865552786595667E-5</v>
      </c>
      <c r="E173" s="79">
        <f>G60</f>
        <v>0.29748948329622293</v>
      </c>
      <c r="F173" s="154">
        <f>B60</f>
        <v>1640.0282663694711</v>
      </c>
      <c r="G173" s="155">
        <f t="shared" si="72"/>
        <v>1.9431561813454307E-2</v>
      </c>
      <c r="H173" s="56">
        <f t="shared" si="69"/>
        <v>1.017211152793032E-3</v>
      </c>
      <c r="I173" s="56">
        <f t="shared" si="70"/>
        <v>9.4046994937173246E-7</v>
      </c>
      <c r="J173" s="56">
        <f t="shared" si="71"/>
        <v>7.5113727915904252E-7</v>
      </c>
      <c r="K173" s="56">
        <f t="shared" si="73"/>
        <v>5.7806852835231388E-3</v>
      </c>
    </row>
    <row r="174" spans="1:13">
      <c r="A174" s="17" t="str">
        <f>A75</f>
        <v>Caribbean</v>
      </c>
      <c r="B174" s="79">
        <f>E75</f>
        <v>0.13366240608476526</v>
      </c>
      <c r="C174" s="79">
        <f>F75</f>
        <v>8.1362406084765221E-2</v>
      </c>
      <c r="D174" s="79">
        <f>D75</f>
        <v>6.4982763535581578E-2</v>
      </c>
      <c r="E174" s="79">
        <f>G75</f>
        <v>0.23880784381827033</v>
      </c>
      <c r="F174" s="154">
        <f>B75</f>
        <v>264.15626857141478</v>
      </c>
      <c r="G174" s="155">
        <f t="shared" si="72"/>
        <v>3.1298051176396682E-3</v>
      </c>
      <c r="H174" s="56">
        <f t="shared" si="69"/>
        <v>4.1833728260012984E-4</v>
      </c>
      <c r="I174" s="56">
        <f t="shared" si="70"/>
        <v>2.5464847494757509E-4</v>
      </c>
      <c r="J174" s="56">
        <f t="shared" si="71"/>
        <v>2.0338338587203163E-4</v>
      </c>
      <c r="K174" s="56">
        <f t="shared" si="73"/>
        <v>7.474220117149171E-4</v>
      </c>
    </row>
    <row r="175" spans="1:13">
      <c r="A175" s="17" t="str">
        <f>A95</f>
        <v>Central and South America</v>
      </c>
      <c r="B175" s="79">
        <f>E95</f>
        <v>0.10697565534475424</v>
      </c>
      <c r="C175" s="79">
        <f>F95</f>
        <v>5.4675655344754229E-2</v>
      </c>
      <c r="D175" s="79">
        <f>D95</f>
        <v>4.3668511704527888E-2</v>
      </c>
      <c r="E175" s="79">
        <f>G95</f>
        <v>0.31023134428419324</v>
      </c>
      <c r="F175" s="154">
        <f>B95</f>
        <v>5081.552123045356</v>
      </c>
      <c r="G175" s="155">
        <f t="shared" si="72"/>
        <v>6.0207800202024542E-2</v>
      </c>
      <c r="H175" s="56">
        <f t="shared" si="69"/>
        <v>6.4407688834776022E-3</v>
      </c>
      <c r="I175" s="56">
        <f t="shared" si="70"/>
        <v>3.2919009329117179E-3</v>
      </c>
      <c r="J175" s="56">
        <f t="shared" si="71"/>
        <v>2.629185027825985E-3</v>
      </c>
      <c r="K175" s="56">
        <f t="shared" si="73"/>
        <v>1.8678346793068196E-2</v>
      </c>
    </row>
    <row r="176" spans="1:13">
      <c r="A176" s="17" t="str">
        <f>A123</f>
        <v>Eastern Europe &amp; Russia</v>
      </c>
      <c r="B176" s="79">
        <f>E123</f>
        <v>8.4162832218168629E-2</v>
      </c>
      <c r="C176" s="79">
        <f>F123</f>
        <v>3.1862832218168616E-2</v>
      </c>
      <c r="D176" s="79">
        <f>D123</f>
        <v>2.5448299666187734E-2</v>
      </c>
      <c r="E176" s="79">
        <f>G123</f>
        <v>0.18359794253833478</v>
      </c>
      <c r="F176" s="154">
        <f>B123</f>
        <v>3918.8698130896255</v>
      </c>
      <c r="G176" s="155">
        <f t="shared" si="72"/>
        <v>4.6431980822198772E-2</v>
      </c>
      <c r="H176" s="56">
        <f t="shared" si="69"/>
        <v>3.9078470114959386E-3</v>
      </c>
      <c r="I176" s="56">
        <f t="shared" si="70"/>
        <v>1.4794544144949423E-3</v>
      </c>
      <c r="J176" s="56">
        <f t="shared" si="71"/>
        <v>1.1816149620579963E-3</v>
      </c>
      <c r="K176" s="56">
        <f t="shared" si="73"/>
        <v>8.5248161469351127E-3</v>
      </c>
    </row>
    <row r="177" spans="1:11">
      <c r="A177" s="17" t="str">
        <f>A137</f>
        <v>Middle East</v>
      </c>
      <c r="B177" s="79">
        <f>E137</f>
        <v>7.7037844888540333E-2</v>
      </c>
      <c r="C177" s="79">
        <f>F137</f>
        <v>2.473784488854032E-2</v>
      </c>
      <c r="D177" s="79">
        <f>D137</f>
        <v>1.9757694027597285E-2</v>
      </c>
      <c r="E177" s="79">
        <f>G137</f>
        <v>0.27365796295286726</v>
      </c>
      <c r="F177" s="154">
        <f>B137</f>
        <v>2606.6175851020266</v>
      </c>
      <c r="G177" s="155">
        <f t="shared" si="72"/>
        <v>3.0884010823223382E-2</v>
      </c>
      <c r="H177" s="56">
        <f t="shared" si="69"/>
        <v>2.3792376353354836E-3</v>
      </c>
      <c r="I177" s="56">
        <f t="shared" si="70"/>
        <v>7.6400386928090049E-4</v>
      </c>
      <c r="J177" s="56">
        <f t="shared" si="71"/>
        <v>6.1019683619025053E-4</v>
      </c>
      <c r="K177" s="56">
        <f t="shared" si="73"/>
        <v>8.4516554896976164E-3</v>
      </c>
    </row>
    <row r="178" spans="1:11">
      <c r="A178" s="17" t="str">
        <f>A140</f>
        <v>North America</v>
      </c>
      <c r="B178" s="79">
        <f>E140</f>
        <v>5.2299999999999992E-2</v>
      </c>
      <c r="C178" s="79">
        <f>F140</f>
        <v>0</v>
      </c>
      <c r="D178" s="79">
        <f>D140</f>
        <v>0</v>
      </c>
      <c r="E178" s="79">
        <f>G140</f>
        <v>0.25115466300229849</v>
      </c>
      <c r="F178" s="154">
        <f>B140</f>
        <v>22257.685161813515</v>
      </c>
      <c r="G178" s="155">
        <f t="shared" si="72"/>
        <v>0.26371593338669241</v>
      </c>
      <c r="H178" s="56">
        <f t="shared" si="69"/>
        <v>1.3792343316124011E-2</v>
      </c>
      <c r="I178" s="56">
        <f t="shared" si="70"/>
        <v>0</v>
      </c>
      <c r="J178" s="56">
        <f t="shared" si="71"/>
        <v>0</v>
      </c>
      <c r="K178" s="56">
        <f t="shared" si="73"/>
        <v>6.6233486378071332E-2</v>
      </c>
    </row>
    <row r="179" spans="1:11">
      <c r="A179" s="17" t="str">
        <f>A167</f>
        <v>Western Europe</v>
      </c>
      <c r="B179" s="79">
        <f>E167</f>
        <v>6.4380333576250587E-2</v>
      </c>
      <c r="C179" s="79">
        <f>F167</f>
        <v>1.2080333576250563E-2</v>
      </c>
      <c r="D179" s="79">
        <f>D167</f>
        <v>9.6483560159048385E-3</v>
      </c>
      <c r="E179" s="79">
        <f>G167</f>
        <v>0.25037012452417917</v>
      </c>
      <c r="F179" s="154">
        <f>B167</f>
        <v>19089.420740470043</v>
      </c>
      <c r="G179" s="155">
        <f t="shared" si="72"/>
        <v>0.22617735724922824</v>
      </c>
      <c r="H179" s="56">
        <f t="shared" si="69"/>
        <v>1.4561373707100114E-2</v>
      </c>
      <c r="I179" s="56">
        <f t="shared" si="70"/>
        <v>2.7322979229654708E-3</v>
      </c>
      <c r="J179" s="56">
        <f t="shared" si="71"/>
        <v>2.1822396654770492E-3</v>
      </c>
      <c r="K179" s="56">
        <f t="shared" si="73"/>
        <v>5.6628053099039032E-2</v>
      </c>
    </row>
    <row r="180" spans="1:11">
      <c r="A180" s="17" t="s">
        <v>283</v>
      </c>
      <c r="B180" s="79">
        <f>SUM(H171:H179)</f>
        <v>6.755585374194166E-2</v>
      </c>
      <c r="C180" s="79">
        <f>SUM(I171:I179)</f>
        <v>1.525585374194164E-2</v>
      </c>
      <c r="D180" s="79">
        <f>SUM(J171:J179)</f>
        <v>1.2184589713499644E-2</v>
      </c>
      <c r="E180" s="79">
        <f>SUM(K171:K179)</f>
        <v>0.25701328135572071</v>
      </c>
      <c r="F180" s="31">
        <f>SUM(F171:F179)</f>
        <v>84400.228973562203</v>
      </c>
      <c r="H180" s="37"/>
    </row>
    <row r="181" spans="1:11">
      <c r="A181" s="22"/>
      <c r="B181" s="77"/>
      <c r="C181" s="77"/>
    </row>
    <row r="182" spans="1:11">
      <c r="A182" s="269" t="s">
        <v>310</v>
      </c>
      <c r="B182" s="269"/>
      <c r="C182" s="269"/>
    </row>
    <row r="183" spans="1:11">
      <c r="A183" s="20"/>
      <c r="B183" s="20" t="s">
        <v>313</v>
      </c>
      <c r="C183" s="20" t="s">
        <v>314</v>
      </c>
      <c r="D183" s="5" t="s">
        <v>315</v>
      </c>
    </row>
    <row r="184" spans="1:11">
      <c r="A184" s="17" t="s">
        <v>306</v>
      </c>
      <c r="B184" s="86">
        <f>(B171*F171+B177*F176)/(F171+F176)</f>
        <v>9.2618101873467501E-2</v>
      </c>
      <c r="C184" s="86">
        <f>(D171*F171+D177*F176)/(F171+F176)</f>
        <v>3.220137906833126E-2</v>
      </c>
      <c r="D184" s="79">
        <f>(E171*F171+E177*F176)/(F171+F176)</f>
        <v>0.27737479643272789</v>
      </c>
    </row>
    <row r="185" spans="1:11">
      <c r="A185" s="17" t="s">
        <v>312</v>
      </c>
      <c r="B185" s="86">
        <f>(B173*F173+E138*B138)/(F173+B138)</f>
        <v>5.2323670480665822E-2</v>
      </c>
      <c r="C185" s="86">
        <f>(D173*F173+D138*B138)/(F173+B138)</f>
        <v>1.8905208460501803E-5</v>
      </c>
      <c r="D185" s="79">
        <f>(E173*F173+G138*B138)/(F173+B138)</f>
        <v>0.280889589106608</v>
      </c>
    </row>
    <row r="186" spans="1:11">
      <c r="A186" s="17" t="s">
        <v>307</v>
      </c>
      <c r="B186" s="86">
        <f>B175*(F175/(F175+F174))+B174*F174/(F174+F175)</f>
        <v>0.10829437158951462</v>
      </c>
      <c r="C186" s="86">
        <f>(B186-0.0575)/1.5</f>
        <v>3.3862914393009744E-2</v>
      </c>
      <c r="D186" s="79">
        <v>0.27150000000000002</v>
      </c>
    </row>
    <row r="187" spans="1:11">
      <c r="A187" s="17" t="s">
        <v>116</v>
      </c>
      <c r="B187" s="79">
        <f>E39</f>
        <v>6.2639543365796316E-2</v>
      </c>
      <c r="C187" s="79">
        <f>D39</f>
        <v>8.2580166189461131E-3</v>
      </c>
      <c r="D187" s="79">
        <f>G39</f>
        <v>0.30620000000000003</v>
      </c>
    </row>
    <row r="188" spans="1:11">
      <c r="A188" s="17" t="s">
        <v>193</v>
      </c>
      <c r="B188" s="79">
        <f>E139</f>
        <v>5.2299999999999999E-2</v>
      </c>
      <c r="C188" s="79">
        <f>F139</f>
        <v>0</v>
      </c>
      <c r="D188" s="79">
        <v>0.25</v>
      </c>
    </row>
    <row r="189" spans="1:11">
      <c r="A189" s="17" t="s">
        <v>308</v>
      </c>
      <c r="B189" s="79">
        <f>E167</f>
        <v>6.4380333576250587E-2</v>
      </c>
      <c r="C189" s="79">
        <f>D167</f>
        <v>9.6483560159048385E-3</v>
      </c>
      <c r="D189" s="79">
        <f>G179</f>
        <v>0.22617735724922824</v>
      </c>
    </row>
    <row r="190" spans="1:11">
      <c r="A190" s="17" t="s">
        <v>309</v>
      </c>
      <c r="B190" s="86">
        <f>(B171*F171+B172*F172+B174*F174+B175*F175+B176*F176+B177*F177-B187*B39)/(F171+F172+F174+F175+F176+F177-B39)</f>
        <v>7.9892247704669822E-2</v>
      </c>
      <c r="C190" s="86">
        <f>(B190-5.75%)/1.5</f>
        <v>1.4928165136446547E-2</v>
      </c>
      <c r="D190" s="79">
        <f>(E172*G172+E171*G171+E174*G174+E175*G175+E176*G176+E177*G177)/(G171+G172+G174+G175+G176+G177)</f>
        <v>0.26162127272166885</v>
      </c>
    </row>
    <row r="191" spans="1:11">
      <c r="A191" s="17" t="s">
        <v>311</v>
      </c>
      <c r="B191" s="86">
        <f>(B172*F172-B34*E34-B37*E37-B39*E39)/(F172-(B34+B37+B39))</f>
        <v>7.5947090186893454E-2</v>
      </c>
      <c r="C191" s="86">
        <f>(B191-5.75%)/1.5</f>
        <v>1.2298060124595634E-2</v>
      </c>
      <c r="D191" s="79">
        <v>0.2</v>
      </c>
    </row>
    <row r="192" spans="1:11">
      <c r="A192" s="17" t="s">
        <v>111</v>
      </c>
      <c r="B192" s="86">
        <f>E37</f>
        <v>8.464421258018337E-2</v>
      </c>
      <c r="C192" s="86">
        <f>D37</f>
        <v>2.5832769936190408E-2</v>
      </c>
      <c r="D192" s="79">
        <f>G37</f>
        <v>0.3</v>
      </c>
    </row>
    <row r="193" spans="1:4">
      <c r="A193" s="17" t="s">
        <v>97</v>
      </c>
      <c r="B193" s="79">
        <f>E34</f>
        <v>6.2639543365796316E-2</v>
      </c>
      <c r="C193" s="79">
        <f>D34</f>
        <v>8.2580166189461131E-3</v>
      </c>
      <c r="D193" s="79">
        <f>G34</f>
        <v>0.25</v>
      </c>
    </row>
    <row r="194" spans="1:4">
      <c r="A194" s="17" t="s">
        <v>283</v>
      </c>
      <c r="B194" s="79">
        <f>B180</f>
        <v>6.755585374194166E-2</v>
      </c>
      <c r="C194" s="79">
        <f>D180</f>
        <v>1.2184589713499644E-2</v>
      </c>
      <c r="D194" s="79">
        <f>E180</f>
        <v>0.25701328135572071</v>
      </c>
    </row>
  </sheetData>
  <mergeCells count="1">
    <mergeCell ref="A182:C182"/>
  </mergeCells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zoomScaleNormal="100" workbookViewId="0">
      <selection sqref="A1:I1048576"/>
    </sheetView>
  </sheetViews>
  <sheetFormatPr baseColWidth="10" defaultRowHeight="12"/>
  <cols>
    <col min="1" max="1" width="23.33203125" style="64" bestFit="1" customWidth="1"/>
    <col min="2" max="2" width="23.33203125" style="149" customWidth="1"/>
    <col min="3" max="3" width="16.33203125" style="28" bestFit="1" customWidth="1"/>
    <col min="4" max="4" width="16.33203125" style="28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63" t="str">
        <f>'Sovereign Ratings (Moody''s,S&amp;P)'!A1</f>
        <v>Country</v>
      </c>
      <c r="B1" s="148" t="str">
        <f>'Country GDP'!B1</f>
        <v>GDP (in billions) in 2018</v>
      </c>
      <c r="C1" s="11" t="str">
        <f>'Sovereign Ratings (Moody''s,S&amp;P)'!C1</f>
        <v>Moody's rating</v>
      </c>
      <c r="D1" s="11" t="s">
        <v>575</v>
      </c>
      <c r="E1" s="63" t="s">
        <v>36</v>
      </c>
      <c r="F1" s="63" t="s">
        <v>540</v>
      </c>
      <c r="G1" s="65" t="s">
        <v>37</v>
      </c>
      <c r="H1" s="65" t="s">
        <v>359</v>
      </c>
      <c r="I1" s="66" t="s">
        <v>52</v>
      </c>
    </row>
    <row r="2" spans="1:9" ht="16">
      <c r="A2" s="10" t="str">
        <f>'Sovereign Ratings (Moody''s,S&amp;P)'!A2</f>
        <v>Abu Dhabi</v>
      </c>
      <c r="B2" s="148">
        <f>'Country GDP'!B2</f>
        <v>253</v>
      </c>
      <c r="C2" s="11" t="str">
        <f>'Sovereign Ratings (Moody''s,S&amp;P)'!C2</f>
        <v>Aa2</v>
      </c>
      <c r="D2" s="13">
        <f>'10-year CDS Spreads'!C2</f>
        <v>9.7000000000000003E-3</v>
      </c>
      <c r="E2" s="24">
        <f>'ERPs by country'!D8</f>
        <v>5.8229604364363613E-3</v>
      </c>
      <c r="F2" s="12">
        <f>'ERPs by country'!E8</f>
        <v>5.9590703655369198E-2</v>
      </c>
      <c r="G2" s="16">
        <f>'ERPs by country'!F8</f>
        <v>7.2907036553691998E-3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48">
        <f>'Country GDP'!B3</f>
        <v>15.102500898237972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5.2830131959668084E-2</v>
      </c>
      <c r="F3" s="12">
        <f>'ERPs by country'!E9</f>
        <v>0.11844656589144056</v>
      </c>
      <c r="G3" s="16">
        <f>'ERPs by country'!F9</f>
        <v>6.6146565891440565E-2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48">
        <f>'Country GDP'!B4</f>
        <v>3.2365439093484416</v>
      </c>
      <c r="C4" s="11" t="str">
        <f>'Sovereign Ratings (Moody''s,S&amp;P)'!C4</f>
        <v>Baa2</v>
      </c>
      <c r="D4" s="13" t="str">
        <f>'10-year CDS Spreads'!C4</f>
        <v>NA</v>
      </c>
      <c r="E4" s="24">
        <f>'ERPs by country'!D10</f>
        <v>2.2338993674328587E-2</v>
      </c>
      <c r="F4" s="12">
        <f>'ERPs by country'!E10</f>
        <v>8.0269790386961845E-2</v>
      </c>
      <c r="G4" s="16">
        <f>'ERPs by country'!F10</f>
        <v>2.7969790386961842E-2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48">
        <f>'Country GDP'!B5</f>
        <v>105.75098761862991</v>
      </c>
      <c r="C5" s="11" t="str">
        <f>'Sovereign Ratings (Moody''s,S&amp;P)'!C5</f>
        <v>B3</v>
      </c>
      <c r="D5" s="13">
        <f>'10-year CDS Spreads'!C5</f>
        <v>0.1046</v>
      </c>
      <c r="E5" s="24">
        <f>'ERPs by country'!D11</f>
        <v>7.6333717721283945E-2</v>
      </c>
      <c r="F5" s="12">
        <f>'ERPs by country'!E11</f>
        <v>0.14787449700947625</v>
      </c>
      <c r="G5" s="16">
        <f>'ERPs by country'!F11</f>
        <v>9.5574497009476247E-2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48">
        <f>'Country GDP'!B6</f>
        <v>519.87151980779504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0.14080977055382476</v>
      </c>
      <c r="F6" s="12">
        <f>'ERPs by country'!E12</f>
        <v>0.22860247021165525</v>
      </c>
      <c r="G6" s="16">
        <f>'ERPs by country'!F12</f>
        <v>0.17630247021165524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48">
        <f>'Country GDP'!B7</f>
        <v>12.433089919045941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4.2242931166147427E-2</v>
      </c>
      <c r="F7" s="12">
        <f>'ERPs by country'!E13</f>
        <v>0.10519074106349657</v>
      </c>
      <c r="G7" s="16">
        <f>'ERPs by country'!F13</f>
        <v>5.2890741063496567E-2</v>
      </c>
      <c r="H7" s="16">
        <f>'Country Tax Rates'!C7</f>
        <v>0.2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48">
        <f>'Country GDP'!B8</f>
        <v>2.7005586592178767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1.8739345404531565E-2</v>
      </c>
      <c r="F8" s="12">
        <f>'ERPs by country'!E14</f>
        <v>7.5762809945460891E-2</v>
      </c>
      <c r="G8" s="16">
        <f>'ERPs by country'!F14</f>
        <v>2.3462809945460884E-2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48">
        <f>'Country GDP'!B9</f>
        <v>1433.9043485001162</v>
      </c>
      <c r="C9" s="11" t="str">
        <f>'Sovereign Ratings (Moody''s,S&amp;P)'!C9</f>
        <v>Aaa</v>
      </c>
      <c r="D9" s="13">
        <f>'10-year CDS Spreads'!C9</f>
        <v>3.2000000000000002E-3</v>
      </c>
      <c r="E9" s="24">
        <f>'ERPs by country'!D15</f>
        <v>0</v>
      </c>
      <c r="F9" s="12">
        <f>'ERPs by country'!E15</f>
        <v>5.2299999999999999E-2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48">
        <f>'Country GDP'!B10</f>
        <v>455.28581803512486</v>
      </c>
      <c r="C10" s="11" t="str">
        <f>'Sovereign Ratings (Moody''s,S&amp;P)'!C10</f>
        <v>Aa1</v>
      </c>
      <c r="D10" s="13">
        <f>'10-year CDS Spreads'!C10</f>
        <v>2.2000000000000001E-3</v>
      </c>
      <c r="E10" s="24">
        <f>'ERPs by country'!D16</f>
        <v>4.6583683491490885E-3</v>
      </c>
      <c r="F10" s="12">
        <f>'ERPs by country'!E16</f>
        <v>5.8132562924295361E-2</v>
      </c>
      <c r="G10" s="16">
        <f>'ERPs by country'!F16</f>
        <v>5.8325629242953593E-3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48">
        <f>'Country GDP'!B11</f>
        <v>46.93952941176471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3.5255378642423785E-2</v>
      </c>
      <c r="F11" s="12">
        <f>'ERPs by country'!E17</f>
        <v>9.6441896677053524E-2</v>
      </c>
      <c r="G11" s="16">
        <f>'ERPs by country'!F17</f>
        <v>4.4141896677053517E-2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48">
        <f>'Country GDP'!B12</f>
        <v>12.424499999999998</v>
      </c>
      <c r="C12" s="11" t="str">
        <f>'Sovereign Ratings (Moody''s,S&amp;P)'!C12</f>
        <v>Ba2</v>
      </c>
      <c r="D12" s="13" t="str">
        <f>'10-year CDS Spreads'!C12</f>
        <v>NA</v>
      </c>
      <c r="E12" s="24">
        <f>'ERPs by country'!D18</f>
        <v>3.5255378642423785E-2</v>
      </c>
      <c r="F12" s="12">
        <f>'ERPs by country'!E18</f>
        <v>9.6441896677053524E-2</v>
      </c>
      <c r="G12" s="16">
        <f>'ERPs by country'!F18</f>
        <v>4.4141896677053517E-2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48">
        <f>'Country GDP'!B13</f>
        <v>37.746196808510632</v>
      </c>
      <c r="C13" s="11" t="str">
        <f>'Sovereign Ratings (Moody''s,S&amp;P)'!C13</f>
        <v>B2</v>
      </c>
      <c r="D13" s="13">
        <f>'10-year CDS Spreads'!C13</f>
        <v>4.1099999999999998E-2</v>
      </c>
      <c r="E13" s="24">
        <f>'ERPs by country'!D19</f>
        <v>6.4581924840476007E-2</v>
      </c>
      <c r="F13" s="12">
        <f>'ERPs by country'!E19</f>
        <v>0.13316053145045842</v>
      </c>
      <c r="G13" s="16">
        <f>'ERPs by country'!F19</f>
        <v>8.0860531450458406E-2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48">
        <f>'Country GDP'!B14</f>
        <v>274.02495896589176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4.2242931166147427E-2</v>
      </c>
      <c r="F14" s="12">
        <f>'ERPs by country'!E20</f>
        <v>0.10519074106349657</v>
      </c>
      <c r="G14" s="16">
        <f>'ERPs by country'!F20</f>
        <v>5.2890741063496567E-2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48">
        <f>'Country GDP'!B15</f>
        <v>5.1449999999999996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8.7979638594156681E-2</v>
      </c>
      <c r="F15" s="12">
        <f>'ERPs by country'!E21</f>
        <v>0.16245590432021467</v>
      </c>
      <c r="G15" s="16">
        <f>'ERPs by country'!F21</f>
        <v>0.11015590432021467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48">
        <f>'Country GDP'!B16</f>
        <v>59.662495092265409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7.6333717721283945E-2</v>
      </c>
      <c r="F16" s="12">
        <f>'ERPs by country'!E22</f>
        <v>0.14787449700947625</v>
      </c>
      <c r="G16" s="16">
        <f>'ERPs by country'!F22</f>
        <v>9.5574497009476247E-2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48">
        <f>'Country GDP'!B17</f>
        <v>542.76109210346851</v>
      </c>
      <c r="C17" s="11" t="str">
        <f>'Sovereign Ratings (Moody''s,S&amp;P)'!C17</f>
        <v>Aa3</v>
      </c>
      <c r="D17" s="13">
        <f>'10-year CDS Spreads'!C17</f>
        <v>3.0999999999999999E-3</v>
      </c>
      <c r="E17" s="24">
        <f>'ERPs by country'!D23</f>
        <v>7.0934245316588403E-3</v>
      </c>
      <c r="F17" s="12">
        <f>'ERPs by country'!E23</f>
        <v>6.1181402634722479E-2</v>
      </c>
      <c r="G17" s="16">
        <f>'ERPs by country'!F23</f>
        <v>8.8814026347224795E-3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48">
        <f>'Country GDP'!B18</f>
        <v>1.8712031640827449</v>
      </c>
      <c r="C18" s="11" t="str">
        <f>'Sovereign Ratings (Moody''s,S&amp;P)'!C18</f>
        <v>Caa1</v>
      </c>
      <c r="D18" s="13" t="str">
        <f>'10-year CDS Spreads'!C18</f>
        <v>NA</v>
      </c>
      <c r="E18" s="24">
        <f>'ERPs by country'!D24</f>
        <v>8.7979638594156681E-2</v>
      </c>
      <c r="F18" s="12">
        <f>'ERPs by country'!E24</f>
        <v>0.16245590432021467</v>
      </c>
      <c r="G18" s="16">
        <f>'ERPs by country'!F24</f>
        <v>0.11015590432021467</v>
      </c>
      <c r="H18" s="16">
        <f>'Country Tax Rates'!C18</f>
        <v>0.3236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48">
        <f>'Country GDP'!B19</f>
        <v>10.354274634910833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6.4581924840476007E-2</v>
      </c>
      <c r="F19" s="12">
        <f>'ERPs by country'!E25</f>
        <v>0.13316053145045842</v>
      </c>
      <c r="G19" s="16">
        <f>'ERPs by country'!F25</f>
        <v>8.0860531450458406E-2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48">
        <f>'Country GDP'!B20</f>
        <v>5.5737100000000002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9.9519687459094178E-3</v>
      </c>
      <c r="F20" s="12">
        <f>'ERPs by country'!E26</f>
        <v>6.4760475338267356E-2</v>
      </c>
      <c r="G20" s="16">
        <f>'ERPs by country'!F26</f>
        <v>1.2460475338267361E-2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48">
        <f>'Country GDP'!B21</f>
        <v>40.287647756874094</v>
      </c>
      <c r="C21" s="11" t="str">
        <f>'Sovereign Ratings (Moody''s,S&amp;P)'!C21</f>
        <v>B1</v>
      </c>
      <c r="D21" s="13" t="str">
        <f>'10-year CDS Spreads'!C21</f>
        <v>NA</v>
      </c>
      <c r="E21" s="24">
        <f>'ERPs by country'!D27</f>
        <v>5.2830131959668084E-2</v>
      </c>
      <c r="F21" s="12">
        <f>'ERPs by country'!E27</f>
        <v>0.11844656589144056</v>
      </c>
      <c r="G21" s="16">
        <f>'ERPs by country'!F27</f>
        <v>6.6146565891440565E-2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48">
        <f>'Country GDP'!B22</f>
        <v>20.161865419432711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7.6333717721283945E-2</v>
      </c>
      <c r="F22" s="12">
        <f>'ERPs by country'!E28</f>
        <v>0.14787449700947625</v>
      </c>
      <c r="G22" s="16">
        <f>'ERPs by country'!F28</f>
        <v>9.5574497009476247E-2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48">
        <f>'Country GDP'!B23</f>
        <v>18.616018903443408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9.9519687459094178E-3</v>
      </c>
      <c r="F23" s="12">
        <f>'ERPs by country'!E29</f>
        <v>6.4760475338267356E-2</v>
      </c>
      <c r="G23" s="16">
        <f>'ERPs by country'!F29</f>
        <v>1.2460475338267361E-2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48">
        <f>'Country GDP'!B24</f>
        <v>1868.6260879084787</v>
      </c>
      <c r="C24" s="11" t="str">
        <f>'Sovereign Ratings (Moody''s,S&amp;P)'!C24</f>
        <v>Ba2</v>
      </c>
      <c r="D24" s="13">
        <f>'10-year CDS Spreads'!C24</f>
        <v>3.0099999999999998E-2</v>
      </c>
      <c r="E24" s="24">
        <f>'ERPs by country'!D30</f>
        <v>3.5255378642423785E-2</v>
      </c>
      <c r="F24" s="12">
        <f>'ERPs by country'!E30</f>
        <v>9.6441896677053524E-2</v>
      </c>
      <c r="G24" s="16">
        <f>'ERPs by country'!F30</f>
        <v>4.4141896677053517E-2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48">
        <f>'Country GDP'!B25</f>
        <v>65.132951116475553</v>
      </c>
      <c r="C25" s="11" t="str">
        <f>'Sovereign Ratings (Moody''s,S&amp;P)'!C25</f>
        <v>Baa2</v>
      </c>
      <c r="D25" s="13">
        <f>'10-year CDS Spreads'!C25</f>
        <v>9.1000000000000004E-3</v>
      </c>
      <c r="E25" s="24">
        <f>'ERPs by country'!D31</f>
        <v>2.2338993674328587E-2</v>
      </c>
      <c r="F25" s="12">
        <f>'ERPs by country'!E31</f>
        <v>8.0269790386961845E-2</v>
      </c>
      <c r="G25" s="16">
        <f>'ERPs by country'!F31</f>
        <v>2.7969790386961842E-2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48">
        <f>'Country GDP'!B26</f>
        <v>14.124775068568976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6.4581924840476007E-2</v>
      </c>
      <c r="F26" s="12">
        <f>'ERPs by country'!E32</f>
        <v>0.13316053145045842</v>
      </c>
      <c r="G26" s="16">
        <f>'ERPs by country'!F32</f>
        <v>8.0860531450458406E-2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48">
        <f>'Country GDP'!B27</f>
        <v>24.542474061242604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6.4581924840476007E-2</v>
      </c>
      <c r="F27" s="12">
        <f>'ERPs by country'!E33</f>
        <v>0.13316053145045842</v>
      </c>
      <c r="G27" s="16">
        <f>'ERPs by country'!F33</f>
        <v>8.0860531450458406E-2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48">
        <f>'Country GDP'!B28</f>
        <v>38.675205293046218</v>
      </c>
      <c r="C28" s="11" t="str">
        <f>'Sovereign Ratings (Moody''s,S&amp;P)'!C28</f>
        <v>B2</v>
      </c>
      <c r="D28" s="13">
        <f>'10-year CDS Spreads'!C28</f>
        <v>8.4099999999999994E-2</v>
      </c>
      <c r="E28" s="24">
        <f>'ERPs by country'!D34</f>
        <v>6.4581924840476007E-2</v>
      </c>
      <c r="F28" s="12">
        <f>'ERPs by country'!E34</f>
        <v>0.13316053145045842</v>
      </c>
      <c r="G28" s="16">
        <f>'ERPs by country'!F34</f>
        <v>8.0860531450458406E-2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48">
        <f>'Country GDP'!B29</f>
        <v>1713.3417048770118</v>
      </c>
      <c r="C29" s="11" t="str">
        <f>'Sovereign Ratings (Moody''s,S&amp;P)'!C29</f>
        <v>Aaa</v>
      </c>
      <c r="D29" s="13">
        <f>'10-year CDS Spreads'!C29</f>
        <v>3.7000000000000002E-3</v>
      </c>
      <c r="E29" s="24">
        <f>'ERPs by country'!D35</f>
        <v>0</v>
      </c>
      <c r="F29" s="12">
        <f>'ERPs by country'!E35</f>
        <v>5.2299999999999999E-2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48">
        <f>'Country GDP'!B30</f>
        <v>1.9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6.4581924840476007E-2</v>
      </c>
      <c r="F30" s="12">
        <f>'ERPs by country'!E36</f>
        <v>0.13316053145045842</v>
      </c>
      <c r="G30" s="16">
        <f>'ERPs by country'!F36</f>
        <v>8.0860531450458406E-2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48">
        <f>'Country GDP'!B31</f>
        <v>5.1418339133565327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7.0934245316588403E-3</v>
      </c>
      <c r="F31" s="12">
        <f>'ERPs by country'!E37</f>
        <v>6.1181402634722479E-2</v>
      </c>
      <c r="G31" s="16">
        <f>'ERPs by country'!F37</f>
        <v>8.8814026347224795E-3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48">
        <f>'Country GDP'!B32</f>
        <v>298.23113353274857</v>
      </c>
      <c r="C32" s="11" t="str">
        <f>'Sovereign Ratings (Moody''s,S&amp;P)'!C32</f>
        <v>A1</v>
      </c>
      <c r="D32" s="13">
        <f>'10-year CDS Spreads'!C32</f>
        <v>1.2699999999999999E-2</v>
      </c>
      <c r="E32" s="24">
        <f>'ERPs by country'!D38</f>
        <v>8.2580166189461131E-3</v>
      </c>
      <c r="F32" s="12">
        <f>'ERPs by country'!E38</f>
        <v>6.2639543365796316E-2</v>
      </c>
      <c r="G32" s="16">
        <f>'ERPs by country'!F38</f>
        <v>1.0339543365796322E-2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48">
        <f>'Country GDP'!B33</f>
        <v>13608.151864637854</v>
      </c>
      <c r="C33" s="11" t="str">
        <f>'Sovereign Ratings (Moody''s,S&amp;P)'!C33</f>
        <v>A1</v>
      </c>
      <c r="D33" s="13">
        <f>'10-year CDS Spreads'!C33</f>
        <v>8.0000000000000002E-3</v>
      </c>
      <c r="E33" s="24">
        <f>'ERPs by country'!D39</f>
        <v>8.2580166189461131E-3</v>
      </c>
      <c r="F33" s="12">
        <f>'ERPs by country'!E39</f>
        <v>6.2639543365796316E-2</v>
      </c>
      <c r="G33" s="16">
        <f>'ERPs by country'!F39</f>
        <v>1.0339543365796322E-2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48">
        <f>'Country GDP'!B34</f>
        <v>331.04704008787752</v>
      </c>
      <c r="C34" s="11" t="str">
        <f>'Sovereign Ratings (Moody''s,S&amp;P)'!C34</f>
        <v>Baa2</v>
      </c>
      <c r="D34" s="13">
        <f>'10-year CDS Spreads'!C34</f>
        <v>2.0199999999999999E-2</v>
      </c>
      <c r="E34" s="24">
        <f>'ERPs by country'!D40</f>
        <v>2.2338993674328587E-2</v>
      </c>
      <c r="F34" s="12">
        <f>'ERPs by country'!E40</f>
        <v>8.0269790386961845E-2</v>
      </c>
      <c r="G34" s="16">
        <f>'ERPs by country'!F40</f>
        <v>2.7969790386961842E-2</v>
      </c>
      <c r="H34" s="16">
        <f>'Country Tax Rates'!C34</f>
        <v>0.33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48">
        <f>'Country GDP'!B35</f>
        <v>47.227535290921828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8.7979638594156681E-2</v>
      </c>
      <c r="F35" s="12">
        <f>'ERPs by country'!E41</f>
        <v>0.16245590432021467</v>
      </c>
      <c r="G35" s="16">
        <f>'ERPs by country'!F41</f>
        <v>0.11015590432021467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48">
        <f>'Country GDP'!B36</f>
        <v>11.263682694039259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0.10566026391933617</v>
      </c>
      <c r="F36" s="12">
        <f>'ERPs by country'!E42</f>
        <v>0.18459313178288111</v>
      </c>
      <c r="G36" s="16">
        <f>'ERPs by country'!F42</f>
        <v>0.13229313178288113</v>
      </c>
      <c r="H36" s="16">
        <f>'Country Tax Rates'!C36</f>
        <v>0.3236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48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5.2830131959668084E-2</v>
      </c>
      <c r="F37" s="12">
        <f>'ERPs by country'!E43</f>
        <v>0.11844656589144056</v>
      </c>
      <c r="G37" s="16">
        <f>'ERPs by country'!F43</f>
        <v>6.6146565891440565E-2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48">
        <f>'Country GDP'!B38</f>
        <v>60.130106115629424</v>
      </c>
      <c r="C38" s="11" t="str">
        <f>'Sovereign Ratings (Moody''s,S&amp;P)'!C38</f>
        <v>B2</v>
      </c>
      <c r="D38" s="13">
        <f>'10-year CDS Spreads'!C38</f>
        <v>5.6399999999999999E-2</v>
      </c>
      <c r="E38" s="24">
        <f>'ERPs by country'!D44</f>
        <v>6.4581924840476007E-2</v>
      </c>
      <c r="F38" s="12">
        <f>'ERPs by country'!E44</f>
        <v>0.13316053145045842</v>
      </c>
      <c r="G38" s="16">
        <f>'ERPs by country'!F44</f>
        <v>8.0860531450458406E-2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48">
        <f>'Country GDP'!B39</f>
        <v>43.007047821754135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4.2242931166147427E-2</v>
      </c>
      <c r="F39" s="12">
        <f>'ERPs by country'!E45</f>
        <v>0.10519074106349657</v>
      </c>
      <c r="G39" s="16">
        <f>'ERPs by country'!F45</f>
        <v>5.2890741063496567E-2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48">
        <f>'Country GDP'!B40</f>
        <v>60.971699315177574</v>
      </c>
      <c r="C40" s="11" t="str">
        <f>'Sovereign Ratings (Moody''s,S&amp;P)'!C40</f>
        <v>Ba2</v>
      </c>
      <c r="D40" s="13">
        <f>'10-year CDS Spreads'!C40</f>
        <v>1.0800000000000001E-2</v>
      </c>
      <c r="E40" s="24">
        <f>'ERPs by country'!D46</f>
        <v>3.5255378642423785E-2</v>
      </c>
      <c r="F40" s="12">
        <f>'ERPs by country'!E46</f>
        <v>9.6441896677053524E-2</v>
      </c>
      <c r="G40" s="16">
        <f>'ERPs by country'!F46</f>
        <v>4.4141896677053517E-2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48">
        <f>'Country GDP'!B41</f>
        <v>100.023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0.10566026391933617</v>
      </c>
      <c r="F41" s="12">
        <f>'ERPs by country'!E47</f>
        <v>0.18459313178288111</v>
      </c>
      <c r="G41" s="16">
        <f>'ERPs by country'!F47</f>
        <v>0.13229313178288113</v>
      </c>
      <c r="H41" s="16">
        <f>'Country Tax Rates'!C41</f>
        <v>0.27239999999999998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48">
        <f>'Country GDP'!B42</f>
        <v>3.1279080378591844</v>
      </c>
      <c r="C42" s="11" t="str">
        <f>'Sovereign Ratings (Moody''s,S&amp;P)'!C42</f>
        <v>Baa2</v>
      </c>
      <c r="D42" s="13" t="str">
        <f>'10-year CDS Spreads'!C42</f>
        <v>NA</v>
      </c>
      <c r="E42" s="24">
        <f>'ERPs by country'!D48</f>
        <v>2.2338993674328587E-2</v>
      </c>
      <c r="F42" s="12">
        <f>'ERPs by country'!E48</f>
        <v>8.0269790386961845E-2</v>
      </c>
      <c r="G42" s="16">
        <f>'ERPs by country'!F48</f>
        <v>2.7969790386961842E-2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48">
        <f>'Country GDP'!B43</f>
        <v>24.961988663202643</v>
      </c>
      <c r="C43" s="11" t="str">
        <f>'Sovereign Ratings (Moody''s,S&amp;P)'!C43</f>
        <v>Ba2</v>
      </c>
      <c r="D43" s="13">
        <f>'10-year CDS Spreads'!C43</f>
        <v>1.18E-2</v>
      </c>
      <c r="E43" s="24">
        <f>'ERPs by country'!D49</f>
        <v>3.5255378642423785E-2</v>
      </c>
      <c r="F43" s="12">
        <f>'ERPs by country'!E49</f>
        <v>9.6441896677053524E-2</v>
      </c>
      <c r="G43" s="16">
        <f>'ERPs by country'!F49</f>
        <v>4.4141896677053517E-2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48">
        <f>'Country GDP'!B44</f>
        <v>245.22588290337018</v>
      </c>
      <c r="C44" s="11" t="str">
        <f>'Sovereign Ratings (Moody''s,S&amp;P)'!C44</f>
        <v>Aa3</v>
      </c>
      <c r="D44" s="13">
        <f>'10-year CDS Spreads'!C44</f>
        <v>5.4999999999999997E-3</v>
      </c>
      <c r="E44" s="24">
        <f>'ERPs by country'!D50</f>
        <v>7.0934245316588403E-3</v>
      </c>
      <c r="F44" s="12">
        <f>'ERPs by country'!E50</f>
        <v>6.1181402634722479E-2</v>
      </c>
      <c r="G44" s="16">
        <f>'ERPs by country'!F50</f>
        <v>8.8814026347224795E-3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48">
        <f>'Country GDP'!B45</f>
        <v>355.67532908595155</v>
      </c>
      <c r="C45" s="11" t="str">
        <f>'Sovereign Ratings (Moody''s,S&amp;P)'!C45</f>
        <v>Aaa</v>
      </c>
      <c r="D45" s="13">
        <f>'10-year CDS Spreads'!C45</f>
        <v>2.0999999999999999E-3</v>
      </c>
      <c r="E45" s="24">
        <f>'ERPs by country'!D51</f>
        <v>0</v>
      </c>
      <c r="F45" s="12">
        <f>'ERPs by country'!E51</f>
        <v>5.2299999999999999E-2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48">
        <f>'Country GDP'!B46</f>
        <v>85.555390387035516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4.2242931166147427E-2</v>
      </c>
      <c r="F46" s="12">
        <f>'ERPs by country'!E52</f>
        <v>0.10519074106349657</v>
      </c>
      <c r="G46" s="16">
        <f>'ERPs by country'!F52</f>
        <v>5.2890741063496567E-2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48">
        <f>'Country GDP'!B47</f>
        <v>108.39805800000001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0.1173061847922089</v>
      </c>
      <c r="F47" s="12">
        <f>'ERPs by country'!E53</f>
        <v>0.19917453909361954</v>
      </c>
      <c r="G47" s="16">
        <f>'ERPs by country'!F53</f>
        <v>0.14687453909361955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48">
        <f>'Country GDP'!B48</f>
        <v>250.89476035123232</v>
      </c>
      <c r="C48" s="11" t="str">
        <f>'Sovereign Ratings (Moody''s,S&amp;P)'!C48</f>
        <v>B2</v>
      </c>
      <c r="D48" s="13">
        <f>'10-year CDS Spreads'!C48</f>
        <v>6.4000000000000001E-2</v>
      </c>
      <c r="E48" s="24">
        <f>'ERPs by country'!D54</f>
        <v>6.4581924840476007E-2</v>
      </c>
      <c r="F48" s="12">
        <f>'ERPs by country'!E54</f>
        <v>0.13316053145045842</v>
      </c>
      <c r="G48" s="16">
        <f>'ERPs by country'!F54</f>
        <v>8.0860531450458406E-2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48">
        <f>'Country GDP'!B49</f>
        <v>26.056999999999999</v>
      </c>
      <c r="C49" s="11" t="str">
        <f>'Sovereign Ratings (Moody''s,S&amp;P)'!C49</f>
        <v>B3</v>
      </c>
      <c r="D49" s="13">
        <f>'10-year CDS Spreads'!C49</f>
        <v>8.43E-2</v>
      </c>
      <c r="E49" s="24">
        <f>'ERPs by country'!D55</f>
        <v>7.6333717721283945E-2</v>
      </c>
      <c r="F49" s="12">
        <f>'ERPs by country'!E55</f>
        <v>0.14787449700947625</v>
      </c>
      <c r="G49" s="16">
        <f>'ERPs by country'!F55</f>
        <v>9.5574497009476247E-2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48">
        <f>'Country GDP'!B50</f>
        <v>30.732144528979521</v>
      </c>
      <c r="C50" s="11" t="str">
        <f>'Sovereign Ratings (Moody''s,S&amp;P)'!C50</f>
        <v>A1</v>
      </c>
      <c r="D50" s="13">
        <f>'10-year CDS Spreads'!C50</f>
        <v>7.0000000000000001E-3</v>
      </c>
      <c r="E50" s="24">
        <f>'ERPs by country'!D56</f>
        <v>8.2580166189461131E-3</v>
      </c>
      <c r="F50" s="12">
        <f>'ERPs by country'!E56</f>
        <v>6.2639543365796316E-2</v>
      </c>
      <c r="G50" s="16">
        <f>'ERPs by country'!F56</f>
        <v>1.0339543365796322E-2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48">
        <f>'Country GDP'!B51</f>
        <v>84.355604752529857</v>
      </c>
      <c r="C51" s="11" t="str">
        <f>'Sovereign Ratings (Moody''s,S&amp;P)'!C51</f>
        <v>B2</v>
      </c>
      <c r="D51" s="13" t="str">
        <f>'10-year CDS Spreads'!C51</f>
        <v>NA</v>
      </c>
      <c r="E51" s="24">
        <f>'ERPs by country'!D57</f>
        <v>6.4581924840476007E-2</v>
      </c>
      <c r="F51" s="12">
        <f>'ERPs by country'!E57</f>
        <v>0.13316053145045842</v>
      </c>
      <c r="G51" s="16">
        <f>'ERPs by country'!F57</f>
        <v>8.0860531450458406E-2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48">
        <f>'Country GDP'!B52</f>
        <v>5.5367596588701247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4.2242931166147427E-2</v>
      </c>
      <c r="F52" s="12">
        <f>'ERPs by country'!E58</f>
        <v>0.10519074106349657</v>
      </c>
      <c r="G52" s="16">
        <f>'ERPs by country'!F58</f>
        <v>5.2890741063496567E-2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48">
        <f>'Country GDP'!B53</f>
        <v>276.74312051576396</v>
      </c>
      <c r="C53" s="11" t="str">
        <f>'Sovereign Ratings (Moody''s,S&amp;P)'!C53</f>
        <v>Aa1</v>
      </c>
      <c r="D53" s="13">
        <f>'10-year CDS Spreads'!C53</f>
        <v>2.7000000000000001E-3</v>
      </c>
      <c r="E53" s="24">
        <f>'ERPs by country'!D59</f>
        <v>4.6583683491490885E-3</v>
      </c>
      <c r="F53" s="12">
        <f>'ERPs by country'!E59</f>
        <v>5.8132562924295361E-2</v>
      </c>
      <c r="G53" s="16">
        <f>'ERPs by country'!F59</f>
        <v>5.8325629242953593E-3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48">
        <f>'Country GDP'!B54</f>
        <v>2777.5352392779751</v>
      </c>
      <c r="C54" s="11" t="str">
        <f>'Sovereign Ratings (Moody''s,S&amp;P)'!C54</f>
        <v>Aa2</v>
      </c>
      <c r="D54" s="13">
        <f>'10-year CDS Spreads'!C54</f>
        <v>3.8E-3</v>
      </c>
      <c r="E54" s="24">
        <f>'ERPs by country'!D60</f>
        <v>5.8229604364363613E-3</v>
      </c>
      <c r="F54" s="12">
        <f>'ERPs by country'!E60</f>
        <v>5.9590703655369198E-2</v>
      </c>
      <c r="G54" s="16">
        <f>'ERPs by country'!F60</f>
        <v>7.2907036553691998E-3</v>
      </c>
      <c r="H54" s="16">
        <f>'Country Tax Rates'!C54</f>
        <v>0.31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48">
        <f>'Country GDP'!B55</f>
        <v>16.853589311413938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8.7979638594156681E-2</v>
      </c>
      <c r="F55" s="12">
        <f>'ERPs by country'!E61</f>
        <v>0.16245590432021467</v>
      </c>
      <c r="G55" s="16">
        <f>'ERPs by country'!F61</f>
        <v>0.11015590432021467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48">
        <f>'Country GDP'!B56</f>
        <v>17.599660629020164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3.5255378642423785E-2</v>
      </c>
      <c r="F56" s="12">
        <f>'ERPs by country'!E62</f>
        <v>9.6441896677053524E-2</v>
      </c>
      <c r="G56" s="16">
        <f>'ERPs by country'!F62</f>
        <v>4.4141896677053517E-2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48">
        <f>'Country GDP'!B57</f>
        <v>3947.6201625029566</v>
      </c>
      <c r="C57" s="11" t="str">
        <f>'Sovereign Ratings (Moody''s,S&amp;P)'!C57</f>
        <v>Aaa</v>
      </c>
      <c r="D57" s="13">
        <f>'10-year CDS Spreads'!C57</f>
        <v>2.5999999999999999E-3</v>
      </c>
      <c r="E57" s="24">
        <f>'ERPs by country'!D63</f>
        <v>0</v>
      </c>
      <c r="F57" s="12">
        <f>'ERPs by country'!E63</f>
        <v>5.2299999999999999E-2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48">
        <f>'Country GDP'!B58</f>
        <v>65.55646404815387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7.6333717721283945E-2</v>
      </c>
      <c r="F58" s="12">
        <f>'ERPs by country'!E64</f>
        <v>0.14787449700947625</v>
      </c>
      <c r="G58" s="16">
        <f>'ERPs by country'!F64</f>
        <v>9.5574497009476247E-2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48">
        <f>'Country GDP'!B59</f>
        <v>218.03184458399377</v>
      </c>
      <c r="C59" s="11" t="str">
        <f>'Sovereign Ratings (Moody''s,S&amp;P)'!C59</f>
        <v>B1</v>
      </c>
      <c r="D59" s="13">
        <f>'10-year CDS Spreads'!C59</f>
        <v>1.9300000000000001E-2</v>
      </c>
      <c r="E59" s="24">
        <f>'ERPs by country'!D65</f>
        <v>5.2830131959668084E-2</v>
      </c>
      <c r="F59" s="12">
        <f>'ERPs by country'!E65</f>
        <v>0.11844656589144056</v>
      </c>
      <c r="G59" s="16">
        <f>'ERPs by country'!F65</f>
        <v>6.6146565891440565E-2</v>
      </c>
      <c r="H59" s="16">
        <f>'Country Tax Rates'!C59</f>
        <v>0.28000000000000003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48">
        <f>'Country GDP'!B60</f>
        <v>78.460447919991495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2.9326546198052226E-2</v>
      </c>
      <c r="F60" s="12">
        <f>'ERPs by country'!E66</f>
        <v>8.9018634773404881E-2</v>
      </c>
      <c r="G60" s="16">
        <f>'ERPs by country'!F66</f>
        <v>3.6718634773404889E-2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48">
        <f>'Country GDP'!B61</f>
        <v>0.5</v>
      </c>
      <c r="C61" s="11" t="str">
        <f>'Sovereign Ratings (Moody''s,S&amp;P)'!C61</f>
        <v>Aa3</v>
      </c>
      <c r="D61" s="13" t="str">
        <f>'10-year CDS Spreads'!C61</f>
        <v>NA</v>
      </c>
      <c r="E61" s="24">
        <f>'ERPs by country'!D67</f>
        <v>7.0934245316588403E-3</v>
      </c>
      <c r="F61" s="12">
        <f>'ERPs by country'!E67</f>
        <v>6.1181402634722479E-2</v>
      </c>
      <c r="G61" s="16">
        <f>'ERPs by country'!F67</f>
        <v>8.8814026347224795E-3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48">
        <f>'Country GDP'!B62</f>
        <v>23.969890430788155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5.2830131959668084E-2</v>
      </c>
      <c r="F62" s="12">
        <f>'ERPs by country'!E68</f>
        <v>0.11844656589144056</v>
      </c>
      <c r="G62" s="16">
        <f>'ERPs by country'!F68</f>
        <v>6.6146565891440565E-2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48">
        <f>'Country GDP'!B63</f>
        <v>362.68201824328639</v>
      </c>
      <c r="C63" s="11" t="str">
        <f>'Sovereign Ratings (Moody''s,S&amp;P)'!C63</f>
        <v>Aa3</v>
      </c>
      <c r="D63" s="13">
        <f>'10-year CDS Spreads'!C63</f>
        <v>7.6E-3</v>
      </c>
      <c r="E63" s="24">
        <f>'ERPs by country'!D69</f>
        <v>7.0934245316588403E-3</v>
      </c>
      <c r="F63" s="12">
        <f>'ERPs by country'!E69</f>
        <v>6.1181402634722479E-2</v>
      </c>
      <c r="G63" s="16">
        <f>'ERPs by country'!F69</f>
        <v>8.8814026347224795E-3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48">
        <f>'Country GDP'!B64</f>
        <v>157.88291277825391</v>
      </c>
      <c r="C64" s="11" t="str">
        <f>'Sovereign Ratings (Moody''s,S&amp;P)'!C64</f>
        <v>Baa3</v>
      </c>
      <c r="D64" s="13">
        <f>'10-year CDS Spreads'!C64</f>
        <v>1.11E-2</v>
      </c>
      <c r="E64" s="24">
        <f>'ERPs by country'!D70</f>
        <v>2.5832769936190408E-2</v>
      </c>
      <c r="F64" s="12">
        <f>'ERPs by country'!E70</f>
        <v>8.464421258018337E-2</v>
      </c>
      <c r="G64" s="16">
        <f>'ERPs by country'!F70</f>
        <v>3.2344212580183364E-2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48">
        <f>'Country GDP'!B65</f>
        <v>25.878475760113137</v>
      </c>
      <c r="C65" s="11" t="str">
        <f>'Sovereign Ratings (Moody''s,S&amp;P)'!C65</f>
        <v>A2</v>
      </c>
      <c r="D65" s="13">
        <f>'10-year CDS Spreads'!C65</f>
        <v>9.7999999999999997E-3</v>
      </c>
      <c r="E65" s="24">
        <f>'ERPs by country'!D71</f>
        <v>9.9519687459094178E-3</v>
      </c>
      <c r="F65" s="12">
        <f>'ERPs by country'!E71</f>
        <v>6.4760475338267356E-2</v>
      </c>
      <c r="G65" s="16">
        <f>'ERPs by country'!F71</f>
        <v>1.2460475338267361E-2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48">
        <f>'Country GDP'!B66</f>
        <v>2718.7322312575707</v>
      </c>
      <c r="C66" s="11" t="str">
        <f>'Sovereign Ratings (Moody''s,S&amp;P)'!C66</f>
        <v>Baa3</v>
      </c>
      <c r="D66" s="13">
        <f>'10-year CDS Spreads'!C66</f>
        <v>1.6899999999999998E-2</v>
      </c>
      <c r="E66" s="24">
        <f>'ERPs by country'!D72</f>
        <v>2.5832769936190408E-2</v>
      </c>
      <c r="F66" s="12">
        <f>'ERPs by country'!E72</f>
        <v>8.464421258018337E-2</v>
      </c>
      <c r="G66" s="16">
        <f>'ERPs by country'!F72</f>
        <v>3.2344212580183364E-2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48">
        <f>'Country GDP'!B67</f>
        <v>1042.1733006255529</v>
      </c>
      <c r="C67" s="11" t="str">
        <f>'Sovereign Ratings (Moody''s,S&amp;P)'!C67</f>
        <v>Baa2</v>
      </c>
      <c r="D67" s="13">
        <f>'10-year CDS Spreads'!C67</f>
        <v>1.8700000000000001E-2</v>
      </c>
      <c r="E67" s="24">
        <f>'ERPs by country'!D73</f>
        <v>2.2338993674328587E-2</v>
      </c>
      <c r="F67" s="12">
        <f>'ERPs by country'!E73</f>
        <v>8.0269790386961845E-2</v>
      </c>
      <c r="G67" s="16">
        <f>'ERPs by country'!F73</f>
        <v>2.7969790386961842E-2</v>
      </c>
      <c r="H67" s="16">
        <f>'Country Tax Rates'!C67</f>
        <v>0.25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48">
        <f>'Country GDP'!B68</f>
        <v>224.22801047788917</v>
      </c>
      <c r="C68" s="11" t="str">
        <f>'Sovereign Ratings (Moody''s,S&amp;P)'!C68</f>
        <v>Caa1</v>
      </c>
      <c r="D68" s="13">
        <f>'10-year CDS Spreads'!C68</f>
        <v>8.5900000000000004E-2</v>
      </c>
      <c r="E68" s="24">
        <f>'ERPs by country'!D74</f>
        <v>8.7979638594156681E-2</v>
      </c>
      <c r="F68" s="12">
        <f>'ERPs by country'!E74</f>
        <v>0.16245590432021467</v>
      </c>
      <c r="G68" s="16">
        <f>'ERPs by country'!F74</f>
        <v>0.11015590432021467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48">
        <f>'Country GDP'!B69</f>
        <v>382.48749053247872</v>
      </c>
      <c r="C69" s="11" t="str">
        <f>'Sovereign Ratings (Moody''s,S&amp;P)'!C69</f>
        <v>A2</v>
      </c>
      <c r="D69" s="13">
        <f>'10-year CDS Spreads'!C69</f>
        <v>4.3E-3</v>
      </c>
      <c r="E69" s="24">
        <f>'ERPs by country'!D75</f>
        <v>9.9519687459094178E-3</v>
      </c>
      <c r="F69" s="12">
        <f>'ERPs by country'!E75</f>
        <v>6.4760475338267356E-2</v>
      </c>
      <c r="G69" s="16">
        <f>'ERPs by country'!F75</f>
        <v>1.2460475338267361E-2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48">
        <f>'Country GDP'!B70</f>
        <v>6.7705328185328169</v>
      </c>
      <c r="C70" s="11" t="str">
        <f>'Sovereign Ratings (Moody''s,S&amp;P)'!C70</f>
        <v>Aa2</v>
      </c>
      <c r="D70" s="13" t="str">
        <f>'10-year CDS Spreads'!C70</f>
        <v>NA</v>
      </c>
      <c r="E70" s="24">
        <f>'ERPs by country'!D76</f>
        <v>5.8229604364363613E-3</v>
      </c>
      <c r="F70" s="12">
        <f>'ERPs by country'!E76</f>
        <v>5.9590703655369198E-2</v>
      </c>
      <c r="G70" s="16">
        <f>'ERPs by country'!F76</f>
        <v>7.2907036553691998E-3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48">
        <f>'Country GDP'!B71</f>
        <v>370.58797715358321</v>
      </c>
      <c r="C71" s="11" t="str">
        <f>'Sovereign Ratings (Moody''s,S&amp;P)'!C71</f>
        <v>A1</v>
      </c>
      <c r="D71" s="13">
        <f>'10-year CDS Spreads'!C71</f>
        <v>8.6E-3</v>
      </c>
      <c r="E71" s="24">
        <f>'ERPs by country'!D77</f>
        <v>8.2580166189461131E-3</v>
      </c>
      <c r="F71" s="12">
        <f>'ERPs by country'!E77</f>
        <v>6.2639543365796316E-2</v>
      </c>
      <c r="G71" s="16">
        <f>'ERPs by country'!F77</f>
        <v>1.0339543365796322E-2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48">
        <f>'Country GDP'!B72</f>
        <v>2083.8642596226487</v>
      </c>
      <c r="C72" s="11" t="str">
        <f>'Sovereign Ratings (Moody''s,S&amp;P)'!C72</f>
        <v>Baa3</v>
      </c>
      <c r="D72" s="13">
        <f>'10-year CDS Spreads'!C72</f>
        <v>1.9699999999999999E-2</v>
      </c>
      <c r="E72" s="24">
        <f>'ERPs by country'!D78</f>
        <v>2.5832769936190408E-2</v>
      </c>
      <c r="F72" s="12">
        <f>'ERPs by country'!E78</f>
        <v>8.464421258018337E-2</v>
      </c>
      <c r="G72" s="16">
        <f>'ERPs by country'!F78</f>
        <v>3.2344212580183364E-2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48">
        <f>'Country GDP'!B73</f>
        <v>15.713908816146317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6.4581924840476007E-2</v>
      </c>
      <c r="F73" s="12">
        <f>'ERPs by country'!E79</f>
        <v>0.13316053145045842</v>
      </c>
      <c r="G73" s="16">
        <f>'ERPs by country'!F79</f>
        <v>8.0860531450458406E-2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48">
        <f>'Country GDP'!B74</f>
        <v>4971.3230797718697</v>
      </c>
      <c r="C74" s="11" t="str">
        <f>'Sovereign Ratings (Moody''s,S&amp;P)'!C74</f>
        <v>A1</v>
      </c>
      <c r="D74" s="13">
        <f>'10-year CDS Spreads'!C74</f>
        <v>2.8999999999999998E-3</v>
      </c>
      <c r="E74" s="24">
        <f>'ERPs by country'!D80</f>
        <v>8.2580166189461131E-3</v>
      </c>
      <c r="F74" s="12">
        <f>'ERPs by country'!E80</f>
        <v>6.2639543365796316E-2</v>
      </c>
      <c r="G74" s="16">
        <f>'ERPs by country'!F80</f>
        <v>1.0339543365796322E-2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48">
        <f>'Country GDP'!B75</f>
        <v>1</v>
      </c>
      <c r="C75" s="11" t="str">
        <f>'Sovereign Ratings (Moody''s,S&amp;P)'!C75</f>
        <v>Aa3</v>
      </c>
      <c r="D75" s="13" t="str">
        <f>'10-year CDS Spreads'!C75</f>
        <v>NA</v>
      </c>
      <c r="E75" s="24">
        <f>'ERPs by country'!D81</f>
        <v>7.0934245316588403E-3</v>
      </c>
      <c r="F75" s="12">
        <f>'ERPs by country'!E81</f>
        <v>6.1181402634722479E-2</v>
      </c>
      <c r="G75" s="16">
        <f>'ERPs by country'!F81</f>
        <v>8.8814026347224795E-3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48">
        <f>'Country GDP'!B76</f>
        <v>42.23129577464789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5.2830131959668084E-2</v>
      </c>
      <c r="F76" s="12">
        <f>'ERPs by country'!E82</f>
        <v>0.11844656589144056</v>
      </c>
      <c r="G76" s="16">
        <f>'ERPs by country'!F82</f>
        <v>6.6146565891440565E-2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48">
        <f>'Country GDP'!B77</f>
        <v>179.33999485938446</v>
      </c>
      <c r="C77" s="11" t="str">
        <f>'Sovereign Ratings (Moody''s,S&amp;P)'!C77</f>
        <v>Baa3</v>
      </c>
      <c r="D77" s="13">
        <f>'10-year CDS Spreads'!C77</f>
        <v>1.5699999999999999E-2</v>
      </c>
      <c r="E77" s="24">
        <f>'ERPs by country'!D83</f>
        <v>2.5832769936190408E-2</v>
      </c>
      <c r="F77" s="12">
        <f>'ERPs by country'!E83</f>
        <v>8.464421258018337E-2</v>
      </c>
      <c r="G77" s="16">
        <f>'ERPs by country'!F83</f>
        <v>3.2344212580183364E-2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48">
        <f>'Country GDP'!B78</f>
        <v>87.908262519916363</v>
      </c>
      <c r="C78" s="11" t="str">
        <f>'Sovereign Ratings (Moody''s,S&amp;P)'!C78</f>
        <v>B2</v>
      </c>
      <c r="D78" s="13">
        <f>'10-year CDS Spreads'!C78</f>
        <v>6.2100000000000002E-2</v>
      </c>
      <c r="E78" s="24">
        <f>'ERPs by country'!D84</f>
        <v>6.4581924840476007E-2</v>
      </c>
      <c r="F78" s="12">
        <f>'ERPs by country'!E84</f>
        <v>0.13316053145045842</v>
      </c>
      <c r="G78" s="16">
        <f>'ERPs by country'!F84</f>
        <v>8.0860531450458406E-2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48">
        <f>'Country GDP'!B79</f>
        <v>1619.42</v>
      </c>
      <c r="C79" s="11" t="str">
        <f>'Sovereign Ratings (Moody''s,S&amp;P)'!C79</f>
        <v>Aa2</v>
      </c>
      <c r="D79" s="13">
        <f>'10-year CDS Spreads'!C79</f>
        <v>4.4999999999999997E-3</v>
      </c>
      <c r="E79" s="24">
        <f>'ERPs by country'!D85</f>
        <v>5.8229604364363613E-3</v>
      </c>
      <c r="F79" s="12">
        <f>'ERPs by country'!E85</f>
        <v>5.9590703655369198E-2</v>
      </c>
      <c r="G79" s="16">
        <f>'ERPs by country'!F85</f>
        <v>7.2907036553691998E-3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48">
        <f>'Country GDP'!B80</f>
        <v>140.64536423841062</v>
      </c>
      <c r="C80" s="11" t="str">
        <f>'Sovereign Ratings (Moody''s,S&amp;P)'!C80</f>
        <v>Aa2</v>
      </c>
      <c r="D80" s="13">
        <f>'10-year CDS Spreads'!C80</f>
        <v>1.14E-2</v>
      </c>
      <c r="E80" s="24">
        <f>'ERPs by country'!D86</f>
        <v>5.8229604364363613E-3</v>
      </c>
      <c r="F80" s="12">
        <f>'ERPs by country'!E86</f>
        <v>5.9590703655369198E-2</v>
      </c>
      <c r="G80" s="16">
        <f>'ERPs by country'!F86</f>
        <v>7.2907036553691998E-3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48">
        <f>'Country GDP'!B81</f>
        <v>8.0928366087887476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6.4581924840476007E-2</v>
      </c>
      <c r="F81" s="12">
        <f>'ERPs by country'!E87</f>
        <v>0.13316053145045842</v>
      </c>
      <c r="G81" s="16">
        <f>'ERPs by country'!F87</f>
        <v>8.0860531450458406E-2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48">
        <f>'Country GDP'!B82</f>
        <v>17.953786416143096</v>
      </c>
      <c r="C82" s="11" t="str">
        <f>'Sovereign Ratings (Moody''s,S&amp;P)'!C82</f>
        <v>B3</v>
      </c>
      <c r="D82" s="13" t="str">
        <f>'10-year CDS Spreads'!C82</f>
        <v>NA</v>
      </c>
      <c r="E82" s="24">
        <f>'ERPs by country'!D89</f>
        <v>1.4080977055382476E-2</v>
      </c>
      <c r="F82" s="12">
        <f>'ERPs by country'!E89</f>
        <v>6.9930247021165515E-2</v>
      </c>
      <c r="G82" s="16">
        <f>'ERPs by country'!F89</f>
        <v>1.7630247021165522E-2</v>
      </c>
      <c r="H82" s="16">
        <f>'Country Tax Rates'!C82</f>
        <v>0.3019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48">
        <f>'Country GDP'!B83</f>
        <v>34.409229177910504</v>
      </c>
      <c r="C83" s="11" t="str">
        <f>'Sovereign Ratings (Moody''s,S&amp;P)'!C83</f>
        <v>A3</v>
      </c>
      <c r="D83" s="13">
        <f>'10-year CDS Spreads'!C83</f>
        <v>9.7000000000000003E-3</v>
      </c>
      <c r="E83" s="24">
        <f>'ERPs by country'!D89</f>
        <v>1.4080977055382476E-2</v>
      </c>
      <c r="F83" s="12">
        <f>'ERPs by country'!E89</f>
        <v>6.9930247021165515E-2</v>
      </c>
      <c r="G83" s="16">
        <f>'ERPs by country'!F89</f>
        <v>1.7630247021165522E-2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48">
        <f>'Country GDP'!B84</f>
        <v>56.639155555555547</v>
      </c>
      <c r="C84" s="11" t="str">
        <f>'Sovereign Ratings (Moody''s,S&amp;P)'!C84</f>
        <v>Ca</v>
      </c>
      <c r="D84" s="13" t="str">
        <f>'10-year CDS Spreads'!C84</f>
        <v>NA</v>
      </c>
      <c r="E84" s="24">
        <f>'ERPs by country'!D90</f>
        <v>0.14080977055382476</v>
      </c>
      <c r="F84" s="12">
        <f>'ERPs by country'!E90</f>
        <v>0.22860247021165525</v>
      </c>
      <c r="G84" s="16">
        <f>'ERPs by country'!F90</f>
        <v>0.17630247021165524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48">
        <f>'Country GDP'!B85</f>
        <v>6.2146336513091125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5.2299999999999999E-2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48">
        <f>'Country GDP'!B86</f>
        <v>53.429066429125086</v>
      </c>
      <c r="C86" s="11" t="str">
        <f>'Sovereign Ratings (Moody''s,S&amp;P)'!C86</f>
        <v>A3</v>
      </c>
      <c r="D86" s="13">
        <f>'10-year CDS Spreads'!C86</f>
        <v>8.8999999999999999E-3</v>
      </c>
      <c r="E86" s="24">
        <f>'ERPs by country'!D92</f>
        <v>1.4080977055382476E-2</v>
      </c>
      <c r="F86" s="12">
        <f>'ERPs by country'!E92</f>
        <v>6.9930247021165515E-2</v>
      </c>
      <c r="G86" s="16">
        <f>'ERPs by country'!F92</f>
        <v>1.7630247021165522E-2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48">
        <f>'Country GDP'!B87</f>
        <v>70.885325883094083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5.2299999999999999E-2</v>
      </c>
      <c r="G87" s="16">
        <f>'ERPs by country'!F93</f>
        <v>0</v>
      </c>
      <c r="H87" s="16">
        <f>'Country Tax Rates'!C87</f>
        <v>0.2601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48">
        <f>'Country GDP'!B88</f>
        <v>55.084050789718177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7.0934245316588403E-3</v>
      </c>
      <c r="F88" s="12">
        <f>'ERPs by country'!E94</f>
        <v>6.1181402634722479E-2</v>
      </c>
      <c r="G88" s="16">
        <f>'ERPs by country'!F94</f>
        <v>8.8814026347224795E-3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48">
        <f>'Country GDP'!B89</f>
        <v>12.67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4.2242931166147427E-2</v>
      </c>
      <c r="F89" s="12">
        <f>'ERPs by country'!E95</f>
        <v>0.10519074106349657</v>
      </c>
      <c r="G89" s="16">
        <f>'ERPs by country'!F95</f>
        <v>5.2890741063496567E-2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48">
        <f>'Country GDP'!B90</f>
        <v>358.58194344625912</v>
      </c>
      <c r="C90" s="11" t="str">
        <f>'Sovereign Ratings (Moody''s,S&amp;P)'!C90</f>
        <v>A3</v>
      </c>
      <c r="D90" s="13">
        <f>'10-year CDS Spreads'!C90</f>
        <v>1.11E-2</v>
      </c>
      <c r="E90" s="24">
        <f>'ERPs by country'!D96</f>
        <v>1.4080977055382476E-2</v>
      </c>
      <c r="F90" s="12">
        <f>'ERPs by country'!E96</f>
        <v>6.9930247021165515E-2</v>
      </c>
      <c r="G90" s="16">
        <f>'ERPs by country'!F96</f>
        <v>1.7630247021165522E-2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48">
        <f>'Country GDP'!B91</f>
        <v>5.3274571497258103</v>
      </c>
      <c r="C91" s="11" t="str">
        <f>'Sovereign Ratings (Moody''s,S&amp;P)'!C91</f>
        <v>B3</v>
      </c>
      <c r="D91" s="13" t="str">
        <f>'10-year CDS Spreads'!C91</f>
        <v>NA</v>
      </c>
      <c r="E91" s="24">
        <f>'ERPs by country'!D97</f>
        <v>7.6333717721283945E-2</v>
      </c>
      <c r="F91" s="12">
        <f>'ERPs by country'!E97</f>
        <v>0.14787449700947625</v>
      </c>
      <c r="G91" s="16">
        <f>'ERPs by country'!F97</f>
        <v>9.5574497009476247E-2</v>
      </c>
      <c r="H91" s="16">
        <f>'Country Tax Rates'!C91</f>
        <v>0.3019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48">
        <f>'Country GDP'!B92</f>
        <v>17.163432832095715</v>
      </c>
      <c r="C92" s="11" t="str">
        <f>'Sovereign Ratings (Moody''s,S&amp;P)'!C92</f>
        <v>B3</v>
      </c>
      <c r="D92" s="13" t="str">
        <f>'10-year CDS Spreads'!C92</f>
        <v>NA</v>
      </c>
      <c r="E92" s="24">
        <f>'ERPs by country'!D98</f>
        <v>7.6333717721283945E-2</v>
      </c>
      <c r="F92" s="12">
        <f>'ERPs by country'!E98</f>
        <v>0.14787449700947625</v>
      </c>
      <c r="G92" s="16">
        <f>'ERPs by country'!F98</f>
        <v>9.5574497009476247E-2</v>
      </c>
      <c r="H92" s="16">
        <f>'Country Tax Rates'!C92</f>
        <v>0.28239999999999998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48">
        <f>'Country GDP'!B93</f>
        <v>14.553422928883089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9.9519687459094178E-3</v>
      </c>
      <c r="F93" s="12">
        <f>'ERPs by country'!E99</f>
        <v>6.4760475338267356E-2</v>
      </c>
      <c r="G93" s="16">
        <f>'ERPs by country'!F99</f>
        <v>1.2460475338267361E-2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48">
        <f>'Country GDP'!B94</f>
        <v>14.220348672733275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1.8739345404531565E-2</v>
      </c>
      <c r="F94" s="12">
        <f>'ERPs by country'!E100</f>
        <v>7.5762809945460891E-2</v>
      </c>
      <c r="G94" s="16">
        <f>'ERPs by country'!F100</f>
        <v>2.3462809945460884E-2</v>
      </c>
      <c r="H94" s="16">
        <f>'Country Tax Rates'!C94</f>
        <v>0.15</v>
      </c>
      <c r="I94" s="17" t="str">
        <f>VLOOKUP(A94,'Regional lookup table'!$A$2:$B$161,2)</f>
        <v>Asia</v>
      </c>
    </row>
    <row r="95" spans="1:9" ht="16">
      <c r="A95" s="10" t="str">
        <f>'Sovereign Ratings (Moody''s,S&amp;P)'!A95</f>
        <v>Mexico</v>
      </c>
      <c r="B95" s="148">
        <f>'Country GDP'!B95</f>
        <v>1220.6994798459802</v>
      </c>
      <c r="C95" s="11" t="str">
        <f>'Sovereign Ratings (Moody''s,S&amp;P)'!C95</f>
        <v>Baa1</v>
      </c>
      <c r="D95" s="13">
        <f>'10-year CDS Spreads'!C95</f>
        <v>2.0299999999999999E-2</v>
      </c>
      <c r="E95" s="24">
        <f>'ERPs by country'!D101</f>
        <v>1.8739345404531565E-2</v>
      </c>
      <c r="F95" s="12">
        <f>'ERPs by country'!E101</f>
        <v>7.5762809945460891E-2</v>
      </c>
      <c r="G95" s="16">
        <f>'ERPs by country'!F101</f>
        <v>2.3462809945460884E-2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48">
        <f>'Country GDP'!B96</f>
        <v>11.443671435902417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7.6333717721283945E-2</v>
      </c>
      <c r="F96" s="12">
        <f>'ERPs by country'!E102</f>
        <v>0.14787449700947625</v>
      </c>
      <c r="G96" s="16">
        <f>'ERPs by country'!F102</f>
        <v>9.5574497009476247E-2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48">
        <f>'Country GDP'!B97</f>
        <v>13.066749138326108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7.6333717721283945E-2</v>
      </c>
      <c r="F97" s="12">
        <f>'ERPs by country'!E103</f>
        <v>0.14787449700947625</v>
      </c>
      <c r="G97" s="16">
        <f>'ERPs by country'!F103</f>
        <v>9.5574497009476247E-2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48">
        <f>'Country GDP'!B98</f>
        <v>5.5041666666666673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5.2830131959668084E-2</v>
      </c>
      <c r="F98" s="12">
        <f>'ERPs by country'!E104</f>
        <v>0.11844656589144056</v>
      </c>
      <c r="G98" s="16">
        <f>'ERPs by country'!F104</f>
        <v>6.6146565891440565E-2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48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2.5832769936190408E-2</v>
      </c>
      <c r="F99" s="12">
        <f>'ERPs by country'!E105</f>
        <v>8.464421258018337E-2</v>
      </c>
      <c r="G99" s="16">
        <f>'ERPs by country'!F105</f>
        <v>3.2344212580183364E-2</v>
      </c>
      <c r="H99" s="16">
        <f>'Country Tax Rates'!C99</f>
        <v>0.27239999999999998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48">
        <f>'Country GDP'!B100</f>
        <v>117.92139440236093</v>
      </c>
      <c r="C100" s="11" t="str">
        <f>'Sovereign Ratings (Moody''s,S&amp;P)'!C100</f>
        <v>Ba1</v>
      </c>
      <c r="D100" s="13">
        <f>'10-year CDS Spreads'!C100</f>
        <v>1.77E-2</v>
      </c>
      <c r="E100" s="24">
        <f>'ERPs by country'!D106</f>
        <v>2.9326546198052226E-2</v>
      </c>
      <c r="F100" s="12">
        <f>'ERPs by country'!E106</f>
        <v>8.9018634773404881E-2</v>
      </c>
      <c r="G100" s="16">
        <f>'ERPs by country'!F106</f>
        <v>3.6718634773404889E-2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48">
        <f>'Country GDP'!B101</f>
        <v>14.717223206900039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0.10566026391933617</v>
      </c>
      <c r="F101" s="12">
        <f>'ERPs by country'!E107</f>
        <v>0.18459313178288111</v>
      </c>
      <c r="G101" s="16">
        <f>'ERPs by country'!F107</f>
        <v>0.13229313178288113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48">
        <f>'Country GDP'!B102</f>
        <v>14.521711633953341</v>
      </c>
      <c r="C102" s="11" t="str">
        <f>'Sovereign Ratings (Moody''s,S&amp;P)'!C102</f>
        <v>Ba2</v>
      </c>
      <c r="D102" s="13" t="str">
        <f>'10-year CDS Spreads'!C102</f>
        <v>NA</v>
      </c>
      <c r="E102" s="24">
        <f>'ERPs by country'!D108</f>
        <v>3.5255378642423785E-2</v>
      </c>
      <c r="F102" s="12">
        <f>'ERPs by country'!E108</f>
        <v>9.6441896677053524E-2</v>
      </c>
      <c r="G102" s="16">
        <f>'ERPs by country'!F108</f>
        <v>4.4141896677053517E-2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48">
        <f>'Country GDP'!B103</f>
        <v>913.65846570912493</v>
      </c>
      <c r="C103" s="11" t="str">
        <f>'Sovereign Ratings (Moody''s,S&amp;P)'!C103</f>
        <v>Aaa</v>
      </c>
      <c r="D103" s="13">
        <f>'10-year CDS Spreads'!C103</f>
        <v>2.2000000000000001E-3</v>
      </c>
      <c r="E103" s="24">
        <f>'ERPs by country'!D109</f>
        <v>0</v>
      </c>
      <c r="F103" s="12">
        <f>'ERPs by country'!E109</f>
        <v>5.2299999999999999E-2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48">
        <f>'Country GDP'!B104</f>
        <v>204.92391786935485</v>
      </c>
      <c r="C104" s="11" t="str">
        <f>'Sovereign Ratings (Moody''s,S&amp;P)'!C104</f>
        <v>Aaa</v>
      </c>
      <c r="D104" s="13">
        <f>'10-year CDS Spreads'!C104</f>
        <v>3.3999999999999998E-3</v>
      </c>
      <c r="E104" s="24">
        <f>'ERPs by country'!D110</f>
        <v>0</v>
      </c>
      <c r="F104" s="12">
        <f>'ERPs by country'!E110</f>
        <v>5.2299999999999999E-2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48">
        <f>'Country GDP'!B105</f>
        <v>13.117845416629692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7.6333717721283945E-2</v>
      </c>
      <c r="F105" s="12">
        <f>'ERPs by country'!E111</f>
        <v>0.14787449700947625</v>
      </c>
      <c r="G105" s="16">
        <f>'ERPs by country'!F111</f>
        <v>9.5574497009476247E-2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48">
        <f>'Country GDP'!B106</f>
        <v>9.2909384572883038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7.6333717721283945E-2</v>
      </c>
      <c r="F106" s="12">
        <f>'ERPs by country'!E112</f>
        <v>0.14787449700947625</v>
      </c>
      <c r="G106" s="16">
        <f>'ERPs by country'!F112</f>
        <v>9.5574497009476247E-2</v>
      </c>
      <c r="H106" s="16">
        <f>'Country Tax Rates'!C106</f>
        <v>0.3236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48">
        <f>'Country GDP'!B107</f>
        <v>397.26961608090772</v>
      </c>
      <c r="C107" s="11" t="str">
        <f>'Sovereign Ratings (Moody''s,S&amp;P)'!C107</f>
        <v>B2</v>
      </c>
      <c r="D107" s="13">
        <f>'10-year CDS Spreads'!C107</f>
        <v>6.3200000000000006E-2</v>
      </c>
      <c r="E107" s="24">
        <f>'ERPs by country'!D113</f>
        <v>6.4581924840476007E-2</v>
      </c>
      <c r="F107" s="12">
        <f>'ERPs by country'!E113</f>
        <v>0.13316053145045842</v>
      </c>
      <c r="G107" s="16">
        <f>'ERPs by country'!F113</f>
        <v>8.0860531450458406E-2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48">
        <f>'Country GDP'!B108</f>
        <v>434.16661543190901</v>
      </c>
      <c r="C108" s="11" t="str">
        <f>'Sovereign Ratings (Moody''s,S&amp;P)'!C108</f>
        <v>Aaa</v>
      </c>
      <c r="D108" s="13">
        <f>'10-year CDS Spreads'!C108</f>
        <v>2.5000000000000001E-3</v>
      </c>
      <c r="E108" s="24">
        <f>'ERPs by country'!D114</f>
        <v>0</v>
      </c>
      <c r="F108" s="12">
        <f>'ERPs by country'!E114</f>
        <v>5.2299999999999999E-2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48">
        <f>'Country GDP'!B109</f>
        <v>79.27672301690508</v>
      </c>
      <c r="C109" s="11" t="str">
        <f>'Sovereign Ratings (Moody''s,S&amp;P)'!C109</f>
        <v>Ba3</v>
      </c>
      <c r="D109" s="13">
        <f>'10-year CDS Spreads'!C109</f>
        <v>5.0999999999999997E-2</v>
      </c>
      <c r="E109" s="24">
        <f>'ERPs by country'!D115</f>
        <v>4.2242931166147427E-2</v>
      </c>
      <c r="F109" s="12">
        <f>'ERPs by country'!E115</f>
        <v>0.10519074106349657</v>
      </c>
      <c r="G109" s="16">
        <f>'ERPs by country'!F115</f>
        <v>5.2890741063496567E-2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48">
        <f>'Country GDP'!B110</f>
        <v>314.58821050106275</v>
      </c>
      <c r="C110" s="11" t="str">
        <f>'Sovereign Ratings (Moody''s,S&amp;P)'!C110</f>
        <v>B3</v>
      </c>
      <c r="D110" s="13">
        <f>'10-year CDS Spreads'!C110</f>
        <v>5.6399999999999999E-2</v>
      </c>
      <c r="E110" s="24">
        <f>'ERPs by country'!D116</f>
        <v>7.6333717721283945E-2</v>
      </c>
      <c r="F110" s="12">
        <f>'ERPs by country'!E116</f>
        <v>0.14787449700947625</v>
      </c>
      <c r="G110" s="16">
        <f>'ERPs by country'!F116</f>
        <v>9.5574497009476247E-2</v>
      </c>
      <c r="H110" s="16">
        <f>'Country Tax Rates'!C110</f>
        <v>0.3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48">
        <f>'Country GDP'!B111</f>
        <v>65.055099999999996</v>
      </c>
      <c r="C111" s="11" t="str">
        <f>'Sovereign Ratings (Moody''s,S&amp;P)'!C111</f>
        <v>Baa1</v>
      </c>
      <c r="D111" s="13">
        <f>'10-year CDS Spreads'!C111</f>
        <v>1.5100000000000001E-2</v>
      </c>
      <c r="E111" s="24">
        <f>'ERPs by country'!D117</f>
        <v>1.8739345404531565E-2</v>
      </c>
      <c r="F111" s="12">
        <f>'ERPs by country'!E117</f>
        <v>7.5762809945460891E-2</v>
      </c>
      <c r="G111" s="16">
        <f>'ERPs by country'!F117</f>
        <v>2.3462809945460884E-2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48">
        <f>'Country GDP'!B112</f>
        <v>23.497607690117839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6.4581924840476007E-2</v>
      </c>
      <c r="F112" s="12">
        <f>'ERPs by country'!E118</f>
        <v>0.13316053145045842</v>
      </c>
      <c r="G112" s="16">
        <f>'ERPs by country'!F118</f>
        <v>8.0860531450458406E-2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48">
        <f>'Country GDP'!B113</f>
        <v>40.496953779070957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2.9326546198052226E-2</v>
      </c>
      <c r="F113" s="12">
        <f>'ERPs by country'!E119</f>
        <v>8.9018634773404881E-2</v>
      </c>
      <c r="G113" s="16">
        <f>'ERPs by country'!F119</f>
        <v>3.6718634773404889E-2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48">
        <f>'Country GDP'!B114</f>
        <v>222.04497048621676</v>
      </c>
      <c r="C114" s="11" t="str">
        <f>'Sovereign Ratings (Moody''s,S&amp;P)'!C114</f>
        <v>A3</v>
      </c>
      <c r="D114" s="13">
        <f>'10-year CDS Spreads'!C114</f>
        <v>1.3100000000000001E-2</v>
      </c>
      <c r="E114" s="24">
        <f>'ERPs by country'!D120</f>
        <v>1.4080977055382476E-2</v>
      </c>
      <c r="F114" s="12">
        <f>'ERPs by country'!E120</f>
        <v>6.9930247021165515E-2</v>
      </c>
      <c r="G114" s="16">
        <f>'ERPs by country'!F120</f>
        <v>1.7630247021165522E-2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48">
        <f>'Country GDP'!B115</f>
        <v>330.91034361095603</v>
      </c>
      <c r="C115" s="11" t="str">
        <f>'Sovereign Ratings (Moody''s,S&amp;P)'!C115</f>
        <v>Baa2</v>
      </c>
      <c r="D115" s="13">
        <f>'10-year CDS Spreads'!C115</f>
        <v>9.9000000000000008E-3</v>
      </c>
      <c r="E115" s="24">
        <f>'ERPs by country'!D121</f>
        <v>2.2338993674328587E-2</v>
      </c>
      <c r="F115" s="12">
        <f>'ERPs by country'!E121</f>
        <v>8.0269790386961845E-2</v>
      </c>
      <c r="G115" s="16">
        <f>'ERPs by country'!F121</f>
        <v>2.7969790386961842E-2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48">
        <f>'Country GDP'!B116</f>
        <v>585.66381482404404</v>
      </c>
      <c r="C116" s="11" t="str">
        <f>'Sovereign Ratings (Moody''s,S&amp;P)'!C116</f>
        <v>A2</v>
      </c>
      <c r="D116" s="13">
        <f>'10-year CDS Spreads'!C116</f>
        <v>8.9999999999999993E-3</v>
      </c>
      <c r="E116" s="24">
        <f>'ERPs by country'!D122</f>
        <v>9.9519687459094178E-3</v>
      </c>
      <c r="F116" s="12">
        <f>'ERPs by country'!E122</f>
        <v>6.4760475338267356E-2</v>
      </c>
      <c r="G116" s="16">
        <f>'ERPs by country'!F122</f>
        <v>1.2460475338267361E-2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48">
        <f>'Country GDP'!B117</f>
        <v>240.67452446424036</v>
      </c>
      <c r="C117" s="11" t="str">
        <f>'Sovereign Ratings (Moody''s,S&amp;P)'!C117</f>
        <v>Baa3</v>
      </c>
      <c r="D117" s="13">
        <f>'10-year CDS Spreads'!C117</f>
        <v>9.1999999999999998E-3</v>
      </c>
      <c r="E117" s="24">
        <f>'ERPs by country'!D123</f>
        <v>2.5832769936190408E-2</v>
      </c>
      <c r="F117" s="12">
        <f>'ERPs by country'!E123</f>
        <v>8.464421258018337E-2</v>
      </c>
      <c r="G117" s="16">
        <f>'ERPs by country'!F123</f>
        <v>3.2344212580183364E-2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48">
        <f>'Country GDP'!B118</f>
        <v>191.3620879120879</v>
      </c>
      <c r="C118" s="11" t="str">
        <f>'Sovereign Ratings (Moody''s,S&amp;P)'!C118</f>
        <v>Aa3</v>
      </c>
      <c r="D118" s="13">
        <f>'10-year CDS Spreads'!C118</f>
        <v>9.7999999999999997E-3</v>
      </c>
      <c r="E118" s="24">
        <f>'ERPs by country'!D124</f>
        <v>7.0934245316588403E-3</v>
      </c>
      <c r="F118" s="12">
        <f>'ERPs by country'!E124</f>
        <v>6.1181402634722479E-2</v>
      </c>
      <c r="G118" s="16">
        <f>'ERPs by country'!F124</f>
        <v>8.8814026347224795E-3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48">
        <f>'Country GDP'!B119</f>
        <v>5.2</v>
      </c>
      <c r="C119" s="11" t="str">
        <f>'Sovereign Ratings (Moody''s,S&amp;P)'!C119</f>
        <v>A2</v>
      </c>
      <c r="D119" s="13" t="str">
        <f>'10-year CDS Spreads'!C119</f>
        <v>NA</v>
      </c>
      <c r="E119" s="24">
        <f>'ERPs by country'!D125</f>
        <v>9.9519687459094178E-3</v>
      </c>
      <c r="F119" s="12">
        <f>'ERPs by country'!E125</f>
        <v>6.4760475338267356E-2</v>
      </c>
      <c r="G119" s="16">
        <f>'ERPs by country'!F125</f>
        <v>1.2460475338267361E-2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48">
        <f>'Country GDP'!B120</f>
        <v>239.55251674446922</v>
      </c>
      <c r="C120" s="11" t="str">
        <f>'Sovereign Ratings (Moody''s,S&amp;P)'!C120</f>
        <v>Baa3</v>
      </c>
      <c r="D120" s="13">
        <f>'10-year CDS Spreads'!C120</f>
        <v>1.8700000000000001E-2</v>
      </c>
      <c r="E120" s="24">
        <f>'ERPs by country'!D126</f>
        <v>2.5832769936190408E-2</v>
      </c>
      <c r="F120" s="12">
        <f>'ERPs by country'!E126</f>
        <v>8.464421258018337E-2</v>
      </c>
      <c r="G120" s="16">
        <f>'ERPs by country'!F126</f>
        <v>3.2344212580183364E-2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48">
        <f>'Country GDP'!B121</f>
        <v>1657.5546471498735</v>
      </c>
      <c r="C121" s="11" t="str">
        <f>'Sovereign Ratings (Moody''s,S&amp;P)'!C121</f>
        <v>Baa3</v>
      </c>
      <c r="D121" s="13">
        <f>'10-year CDS Spreads'!C121</f>
        <v>1.52E-2</v>
      </c>
      <c r="E121" s="24">
        <f>'ERPs by country'!D127</f>
        <v>2.5832769936190408E-2</v>
      </c>
      <c r="F121" s="12">
        <f>'ERPs by country'!E127</f>
        <v>8.464421258018337E-2</v>
      </c>
      <c r="G121" s="16">
        <f>'ERPs by country'!F127</f>
        <v>3.2344212580183364E-2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48">
        <f>'Country GDP'!B122</f>
        <v>9.5087155964368009</v>
      </c>
      <c r="C122" s="11" t="str">
        <f>'Sovereign Ratings (Moody''s,S&amp;P)'!C122</f>
        <v>B2</v>
      </c>
      <c r="D122" s="13">
        <f>'10-year CDS Spreads'!C122</f>
        <v>6.9599999999999995E-2</v>
      </c>
      <c r="E122" s="24">
        <f>'ERPs by country'!D128</f>
        <v>6.4581924840476007E-2</v>
      </c>
      <c r="F122" s="12">
        <f>'ERPs by country'!E128</f>
        <v>0.13316053145045842</v>
      </c>
      <c r="G122" s="16">
        <f>'ERPs by country'!F128</f>
        <v>8.0860531450458406E-2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48">
        <f>'Country GDP'!B123</f>
        <v>786.52183157195725</v>
      </c>
      <c r="C123" s="11" t="str">
        <f>'Sovereign Ratings (Moody''s,S&amp;P)'!C123</f>
        <v>A1</v>
      </c>
      <c r="D123" s="13">
        <f>'10-year CDS Spreads'!C123</f>
        <v>1.34E-2</v>
      </c>
      <c r="E123" s="24">
        <f>'ERPs by country'!D129</f>
        <v>8.2580166189461131E-3</v>
      </c>
      <c r="F123" s="12">
        <f>'ERPs by country'!E129</f>
        <v>6.2639543365796316E-2</v>
      </c>
      <c r="G123" s="16">
        <f>'ERPs by country'!F129</f>
        <v>1.0339543365796322E-2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48">
        <f>'Country GDP'!B124</f>
        <v>24.129599551786896</v>
      </c>
      <c r="C124" s="11" t="str">
        <f>'Sovereign Ratings (Moody''s,S&amp;P)'!C124</f>
        <v>Ba3</v>
      </c>
      <c r="D124" s="13">
        <f>'10-year CDS Spreads'!C124</f>
        <v>4.9099999999999998E-2</v>
      </c>
      <c r="E124" s="24">
        <f>'ERPs by country'!D130</f>
        <v>4.2242931166147427E-2</v>
      </c>
      <c r="F124" s="12">
        <f>'ERPs by country'!E130</f>
        <v>0.10519074106349657</v>
      </c>
      <c r="G124" s="16">
        <f>'ERPs by country'!F130</f>
        <v>5.2890741063496567E-2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48">
        <f>'Country GDP'!B125</f>
        <v>50.597289146704128</v>
      </c>
      <c r="C125" s="11" t="str">
        <f>'Sovereign Ratings (Moody''s,S&amp;P)'!C125</f>
        <v>Ba3</v>
      </c>
      <c r="D125" s="13">
        <f>'10-year CDS Spreads'!C125</f>
        <v>1.5800000000000002E-2</v>
      </c>
      <c r="E125" s="24">
        <f>'ERPs by country'!D131</f>
        <v>4.2242931166147427E-2</v>
      </c>
      <c r="F125" s="12">
        <f>'ERPs by country'!E131</f>
        <v>0.10519074106349657</v>
      </c>
      <c r="G125" s="16">
        <f>'ERPs by country'!F131</f>
        <v>5.2890741063496567E-2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48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2.2338993674328587E-2</v>
      </c>
      <c r="F126" s="12">
        <f>'ERPs by country'!E132</f>
        <v>8.0269790386961845E-2</v>
      </c>
      <c r="G126" s="16">
        <f>'ERPs by country'!F132</f>
        <v>2.7969790386961842E-2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48">
        <f>'Country GDP'!B127</f>
        <v>364.15665776986953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5.2299999999999999E-2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48">
        <f>'Country GDP'!B128</f>
        <v>105.90463215575471</v>
      </c>
      <c r="C128" s="11" t="str">
        <f>'Sovereign Ratings (Moody''s,S&amp;P)'!C128</f>
        <v>A2</v>
      </c>
      <c r="D128" s="13">
        <f>'10-year CDS Spreads'!C128</f>
        <v>7.7999999999999996E-3</v>
      </c>
      <c r="E128" s="24">
        <f>'ERPs by country'!D134</f>
        <v>9.9519687459094178E-3</v>
      </c>
      <c r="F128" s="12">
        <f>'ERPs by country'!E134</f>
        <v>6.4760475338267356E-2</v>
      </c>
      <c r="G128" s="16">
        <f>'ERPs by country'!F134</f>
        <v>1.2460475338267361E-2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48">
        <f>'Country GDP'!B129</f>
        <v>54.007972106462852</v>
      </c>
      <c r="C129" s="11" t="str">
        <f>'Sovereign Ratings (Moody''s,S&amp;P)'!C129</f>
        <v>Baa1</v>
      </c>
      <c r="D129" s="13">
        <f>'10-year CDS Spreads'!C129</f>
        <v>1.1599999999999999E-2</v>
      </c>
      <c r="E129" s="24">
        <f>'ERPs by country'!D135</f>
        <v>1.8739345404531565E-2</v>
      </c>
      <c r="F129" s="12">
        <f>'ERPs by country'!E135</f>
        <v>7.5762809945460891E-2</v>
      </c>
      <c r="G129" s="16">
        <f>'ERPs by country'!F135</f>
        <v>2.3462809945460884E-2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48">
        <f>'Country GDP'!B130</f>
        <v>1.395608472013254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7.6333717721283945E-2</v>
      </c>
      <c r="F130" s="12">
        <f>'ERPs by country'!E136</f>
        <v>0.14787449700947625</v>
      </c>
      <c r="G130" s="16">
        <f>'ERPs by country'!F136</f>
        <v>9.5574497009476247E-2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48">
        <f>'Country GDP'!B131</f>
        <v>368.28893976832228</v>
      </c>
      <c r="C131" s="11" t="str">
        <f>'Sovereign Ratings (Moody''s,S&amp;P)'!C131</f>
        <v>Ba1</v>
      </c>
      <c r="D131" s="13">
        <f>'10-year CDS Spreads'!C131</f>
        <v>3.4500000000000003E-2</v>
      </c>
      <c r="E131" s="24">
        <f>'ERPs by country'!D137</f>
        <v>2.9326546198052226E-2</v>
      </c>
      <c r="F131" s="12">
        <f>'ERPs by country'!E137</f>
        <v>8.9018634773404881E-2</v>
      </c>
      <c r="G131" s="16">
        <f>'ERPs by country'!F137</f>
        <v>3.6718634773404889E-2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48">
        <f>'Country GDP'!B132</f>
        <v>1419.0419499098234</v>
      </c>
      <c r="C132" s="11" t="str">
        <f>'Sovereign Ratings (Moody''s,S&amp;P)'!C132</f>
        <v>Baa1</v>
      </c>
      <c r="D132" s="13">
        <f>'10-year CDS Spreads'!C132</f>
        <v>1.0500000000000001E-2</v>
      </c>
      <c r="E132" s="24">
        <f>'ERPs by country'!D138</f>
        <v>1.8739345404531565E-2</v>
      </c>
      <c r="F132" s="12">
        <f>'ERPs by country'!E138</f>
        <v>7.5762809945460891E-2</v>
      </c>
      <c r="G132" s="16">
        <f>'ERPs by country'!F138</f>
        <v>2.3462809945460884E-2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48">
        <f>'Country GDP'!B133</f>
        <v>88.900770857635052</v>
      </c>
      <c r="C133" s="11" t="str">
        <f>'Sovereign Ratings (Moody''s,S&amp;P)'!C133</f>
        <v>B2</v>
      </c>
      <c r="D133" s="13" t="str">
        <f>'10-year CDS Spreads'!C133</f>
        <v>NA</v>
      </c>
      <c r="E133" s="24">
        <f>'ERPs by country'!D139</f>
        <v>6.4581924840476007E-2</v>
      </c>
      <c r="F133" s="12">
        <f>'ERPs by country'!E139</f>
        <v>0.13316053145045842</v>
      </c>
      <c r="G133" s="16">
        <f>'ERPs by country'!F139</f>
        <v>8.0860531450458406E-2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48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2.5832769936190408E-2</v>
      </c>
      <c r="F134" s="12">
        <f>'ERPs by country'!E140</f>
        <v>8.464421258018337E-2</v>
      </c>
      <c r="G134" s="16">
        <f>'ERPs by country'!F140</f>
        <v>3.2344212580183364E-2</v>
      </c>
      <c r="H134" s="16">
        <f>'Country Tax Rates'!C134</f>
        <v>0.35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48">
        <f>'Country GDP'!B135</f>
        <v>0.92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7.6333717721283945E-2</v>
      </c>
      <c r="F135" s="12">
        <f>'ERPs by country'!E141</f>
        <v>0.14787449700947625</v>
      </c>
      <c r="G135" s="16">
        <f>'ERPs by country'!F141</f>
        <v>9.5574497009476247E-2</v>
      </c>
      <c r="H135" s="16">
        <f>'Country Tax Rates'!C135</f>
        <v>0.3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48">
        <f>'Country GDP'!B136</f>
        <v>3.590753768844221</v>
      </c>
      <c r="C136" s="11" t="str">
        <f>'Sovereign Ratings (Moody''s,S&amp;P)'!C136</f>
        <v>B3</v>
      </c>
      <c r="D136" s="13" t="str">
        <f>'10-year CDS Spreads'!C136</f>
        <v>NA</v>
      </c>
      <c r="E136" s="24">
        <f>'ERPs by country'!D142</f>
        <v>7.6333717721283945E-2</v>
      </c>
      <c r="F136" s="12">
        <f>'ERPs by country'!E142</f>
        <v>0.14787449700947625</v>
      </c>
      <c r="G136" s="16">
        <f>'ERPs by country'!F142</f>
        <v>9.5574497009476247E-2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48">
        <f>'Country GDP'!B137</f>
        <v>4.71</v>
      </c>
      <c r="C137" s="11" t="str">
        <f>'Sovereign Ratings (Moody''s,S&amp;P)'!C137</f>
        <v>B2</v>
      </c>
      <c r="D137" s="13" t="str">
        <f>'10-year CDS Spreads'!C137</f>
        <v>NA</v>
      </c>
      <c r="E137" s="24">
        <f>'ERPs by country'!D143</f>
        <v>6.4581924840476007E-2</v>
      </c>
      <c r="F137" s="12">
        <f>'ERPs by country'!E143</f>
        <v>0.13316053145045842</v>
      </c>
      <c r="G137" s="16">
        <f>'ERPs by country'!F143</f>
        <v>8.0860531450458406E-2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48">
        <f>'Country GDP'!B138</f>
        <v>556.08648893655879</v>
      </c>
      <c r="C138" s="11" t="str">
        <f>'Sovereign Ratings (Moody''s,S&amp;P)'!C138</f>
        <v>Aaa</v>
      </c>
      <c r="D138" s="13">
        <f>'10-year CDS Spreads'!C138</f>
        <v>2.3E-3</v>
      </c>
      <c r="E138" s="24">
        <f>'ERPs by country'!D144</f>
        <v>0</v>
      </c>
      <c r="F138" s="12">
        <f>'ERPs by country'!E144</f>
        <v>5.2299999999999999E-2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48">
        <f>'Country GDP'!B139</f>
        <v>705.14035416631191</v>
      </c>
      <c r="C139" s="11" t="str">
        <f>'Sovereign Ratings (Moody''s,S&amp;P)'!C139</f>
        <v>Aaa</v>
      </c>
      <c r="D139" s="13">
        <f>'10-year CDS Spreads'!C139</f>
        <v>2E-3</v>
      </c>
      <c r="E139" s="24">
        <f>'ERPs by country'!D145</f>
        <v>0</v>
      </c>
      <c r="F139" s="12">
        <f>'ERPs by country'!E145</f>
        <v>5.2299999999999999E-2</v>
      </c>
      <c r="G139" s="16">
        <f>'ERPs by country'!F145</f>
        <v>0</v>
      </c>
      <c r="H139" s="16">
        <f>'Country Tax Rates'!C139</f>
        <v>0.18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48">
        <f>'Country GDP'!B140</f>
        <v>646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7.0934245316588403E-3</v>
      </c>
      <c r="F140" s="12">
        <f>'ERPs by country'!E146</f>
        <v>6.1181402634722479E-2</v>
      </c>
      <c r="G140" s="16">
        <f>'ERPs by country'!F146</f>
        <v>8.8814026347224795E-3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48">
        <f>'Country GDP'!B141</f>
        <v>7.522947810123263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7.6333717721283945E-2</v>
      </c>
      <c r="F141" s="12">
        <f>'ERPs by country'!E147</f>
        <v>0.14787449700947625</v>
      </c>
      <c r="G141" s="16">
        <f>'ERPs by country'!F147</f>
        <v>9.5574497009476247E-2</v>
      </c>
      <c r="H141" s="16">
        <f>'Country Tax Rates'!C141</f>
        <v>0.3019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48">
        <f>'Country GDP'!B142</f>
        <v>58.001200572396456</v>
      </c>
      <c r="C142" s="11" t="str">
        <f>'Sovereign Ratings (Moody''s,S&amp;P)'!C142</f>
        <v>B1</v>
      </c>
      <c r="D142" s="13" t="str">
        <f>'10-year CDS Spreads'!C142</f>
        <v>NA</v>
      </c>
      <c r="E142" s="24">
        <f>'ERPs by country'!D148</f>
        <v>5.2830131959668084E-2</v>
      </c>
      <c r="F142" s="12">
        <f>'ERPs by country'!E148</f>
        <v>0.11844656589144056</v>
      </c>
      <c r="G142" s="16">
        <f>'ERPs by country'!F148</f>
        <v>6.6146565891440565E-2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48">
        <f>'Country GDP'!B143</f>
        <v>504.99275770499713</v>
      </c>
      <c r="C143" s="11" t="str">
        <f>'Sovereign Ratings (Moody''s,S&amp;P)'!C143</f>
        <v>Baa1</v>
      </c>
      <c r="D143" s="13">
        <f>'10-year CDS Spreads'!C143</f>
        <v>7.3000000000000001E-3</v>
      </c>
      <c r="E143" s="24">
        <f>'ERPs by country'!D149</f>
        <v>1.8739345404531565E-2</v>
      </c>
      <c r="F143" s="12">
        <f>'ERPs by country'!E149</f>
        <v>7.5762809945460891E-2</v>
      </c>
      <c r="G143" s="16">
        <f>'ERPs by country'!F149</f>
        <v>2.3462809945460884E-2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48">
        <f>'Country GDP'!B144</f>
        <v>5.3587229827089331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7.6333717721283945E-2</v>
      </c>
      <c r="F144" s="12">
        <f>'ERPs by country'!E150</f>
        <v>0.14787449700947625</v>
      </c>
      <c r="G144" s="16">
        <f>'ERPs by country'!F150</f>
        <v>9.5574497009476247E-2</v>
      </c>
      <c r="H144" s="16">
        <f>'Country Tax Rates'!C144</f>
        <v>0.3236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48">
        <f>'Country GDP'!B145</f>
        <v>23.808146747799373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2.9326546198052226E-2</v>
      </c>
      <c r="F145" s="12">
        <f>'ERPs by country'!E151</f>
        <v>8.9018634773404881E-2</v>
      </c>
      <c r="G145" s="16">
        <f>'ERPs by country'!F151</f>
        <v>3.6718634773404889E-2</v>
      </c>
      <c r="H145" s="16">
        <f>'Country Tax Rates'!C145</f>
        <v>0.25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48">
        <f>'Country GDP'!B146</f>
        <v>39.871132267936076</v>
      </c>
      <c r="C146" s="11" t="str">
        <f>'Sovereign Ratings (Moody''s,S&amp;P)'!C146</f>
        <v>B2</v>
      </c>
      <c r="D146" s="13">
        <f>'10-year CDS Spreads'!C146</f>
        <v>8.3400000000000002E-2</v>
      </c>
      <c r="E146" s="24">
        <f>'ERPs by country'!D152</f>
        <v>6.4581924840476007E-2</v>
      </c>
      <c r="F146" s="12">
        <f>'ERPs by country'!E152</f>
        <v>0.13316053145045842</v>
      </c>
      <c r="G146" s="16">
        <f>'ERPs by country'!F152</f>
        <v>8.0860531450458406E-2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48">
        <f>'Country GDP'!B147</f>
        <v>771.35033045526677</v>
      </c>
      <c r="C147" s="11" t="str">
        <f>'Sovereign Ratings (Moody''s,S&amp;P)'!C147</f>
        <v>B1</v>
      </c>
      <c r="D147" s="13">
        <f>'10-year CDS Spreads'!C147</f>
        <v>4.8399999999999999E-2</v>
      </c>
      <c r="E147" s="24">
        <f>'ERPs by country'!D153</f>
        <v>5.2830131959668084E-2</v>
      </c>
      <c r="F147" s="12">
        <f>'ERPs by country'!E153</f>
        <v>0.11844656589144056</v>
      </c>
      <c r="G147" s="16">
        <f>'ERPs by country'!F153</f>
        <v>6.6146565891440565E-2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48">
        <f>'Country GDP'!B148</f>
        <v>1.02231201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1.8739345404531565E-2</v>
      </c>
      <c r="F148" s="12">
        <f>'ERPs by country'!E154</f>
        <v>7.5762809945460891E-2</v>
      </c>
      <c r="G148" s="16">
        <f>'ERPs by country'!F154</f>
        <v>2.3462809945460884E-2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48">
        <f>'Country GDP'!B149</f>
        <v>27.461440192354868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6.4581924840476007E-2</v>
      </c>
      <c r="F149" s="12">
        <f>'ERPs by country'!E155</f>
        <v>0.13316053145045842</v>
      </c>
      <c r="G149" s="16">
        <f>'ERPs by country'!F155</f>
        <v>8.0860531450458406E-2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48">
        <f>'Country GDP'!B150</f>
        <v>130.83237440488224</v>
      </c>
      <c r="C150" s="11" t="str">
        <f>'Sovereign Ratings (Moody''s,S&amp;P)'!C150</f>
        <v>B3</v>
      </c>
      <c r="D150" s="13">
        <f>'10-year CDS Spreads'!C150</f>
        <v>5.6500000000000002E-2</v>
      </c>
      <c r="E150" s="24">
        <f>'ERPs by country'!D156</f>
        <v>7.6333717721283945E-2</v>
      </c>
      <c r="F150" s="12">
        <f>'ERPs by country'!E156</f>
        <v>0.14787449700947625</v>
      </c>
      <c r="G150" s="16">
        <f>'ERPs by country'!F156</f>
        <v>9.5574497009476247E-2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48">
        <f>'Country GDP'!B151</f>
        <v>414.1789425924793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5.8229604364363613E-3</v>
      </c>
      <c r="F151" s="12">
        <f>'ERPs by country'!E157</f>
        <v>5.9590703655369198E-2</v>
      </c>
      <c r="G151" s="16">
        <f>'ERPs by country'!F157</f>
        <v>7.2907036553691998E-3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48">
        <f>'Country GDP'!B152</f>
        <v>2855.2967315219639</v>
      </c>
      <c r="C152" s="11" t="str">
        <f>'Sovereign Ratings (Moody''s,S&amp;P)'!C152</f>
        <v>Aa2</v>
      </c>
      <c r="D152" s="13">
        <f>'10-year CDS Spreads'!C152</f>
        <v>4.1999999999999997E-3</v>
      </c>
      <c r="E152" s="24">
        <f>'ERPs by country'!D158</f>
        <v>5.8229604364363613E-3</v>
      </c>
      <c r="F152" s="12">
        <f>'ERPs by country'!E158</f>
        <v>5.9590703655369198E-2</v>
      </c>
      <c r="G152" s="16">
        <f>'ERPs by country'!F158</f>
        <v>7.2907036553691998E-3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48">
        <f>'Country GDP'!B153</f>
        <v>20544.343456936502</v>
      </c>
      <c r="C153" s="11" t="str">
        <f>'Sovereign Ratings (Moody''s,S&amp;P)'!C153</f>
        <v>Aaa</v>
      </c>
      <c r="D153" s="13">
        <f>'10-year CDS Spreads'!C153</f>
        <v>2.5999999999999999E-3</v>
      </c>
      <c r="E153" s="24">
        <f>'ERPs by country'!D159</f>
        <v>0</v>
      </c>
      <c r="F153" s="12">
        <f>'ERPs by country'!E159</f>
        <v>5.2299999999999999E-2</v>
      </c>
      <c r="G153" s="16">
        <f>'ERPs by country'!F159</f>
        <v>0</v>
      </c>
      <c r="H153" s="16">
        <f>'Country Tax Rates'!C153</f>
        <v>0.25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48">
        <f>'Country GDP'!B154</f>
        <v>59.596885024348659</v>
      </c>
      <c r="C154" s="11" t="str">
        <f>'Sovereign Ratings (Moody''s,S&amp;P)'!C154</f>
        <v>Baa2</v>
      </c>
      <c r="D154" s="13">
        <f>'10-year CDS Spreads'!C154</f>
        <v>1.43E-2</v>
      </c>
      <c r="E154" s="24">
        <f>'ERPs by country'!D160</f>
        <v>2.2338993674328587E-2</v>
      </c>
      <c r="F154" s="12">
        <f>'ERPs by country'!E160</f>
        <v>8.0269790386961845E-2</v>
      </c>
      <c r="G154" s="16">
        <f>'ERPs by country'!F160</f>
        <v>2.7969790386961842E-2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48">
        <f>'Country GDP'!B155</f>
        <v>50.499921557510454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5.2830131959668084E-2</v>
      </c>
      <c r="F155" s="12">
        <f>'ERPs by country'!E161</f>
        <v>0.11844656589144056</v>
      </c>
      <c r="G155" s="16">
        <f>'ERPs by country'!F161</f>
        <v>6.6146565891440565E-2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48">
        <f>'Country GDP'!B156</f>
        <v>100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0.17499999999999999</v>
      </c>
      <c r="F156" s="12">
        <f>'ERPs by country'!E162</f>
        <v>0.27141073475718847</v>
      </c>
      <c r="G156" s="16">
        <f>'ERPs by country'!F162</f>
        <v>0.21911073475718845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48">
        <f>'Country GDP'!B157</f>
        <v>245.21368636915673</v>
      </c>
      <c r="C157" s="11" t="str">
        <f>'Sovereign Ratings (Moody''s,S&amp;P)'!C157</f>
        <v>Ba3</v>
      </c>
      <c r="D157" s="13">
        <f>'10-year CDS Spreads'!C157</f>
        <v>2.2800000000000001E-2</v>
      </c>
      <c r="E157" s="24">
        <f>'ERPs by country'!D163</f>
        <v>4.2242931166147427E-2</v>
      </c>
      <c r="F157" s="12">
        <f>'ERPs by country'!E163</f>
        <v>0.10519074106349657</v>
      </c>
      <c r="G157" s="16">
        <f>'ERPs by country'!F163</f>
        <v>5.2890741063496567E-2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48">
        <f>'Country GDP'!B158</f>
        <v>26.720073435901359</v>
      </c>
      <c r="C158" s="11" t="str">
        <f>'Sovereign Ratings (Moody''s,S&amp;P)'!C158</f>
        <v>Ca</v>
      </c>
      <c r="D158" s="13" t="str">
        <f>'10-year CDS Spreads'!C158</f>
        <v>NA</v>
      </c>
      <c r="E158" s="24">
        <f>'ERPs by country'!D164</f>
        <v>0.14080977055382476</v>
      </c>
      <c r="F158" s="12">
        <f>'ERPs by country'!E164</f>
        <v>0.22860247021165525</v>
      </c>
      <c r="G158" s="16">
        <f>'ERPs by country'!F164</f>
        <v>0.17630247021165524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topLeftCell="A49" zoomScaleNormal="100" workbookViewId="0">
      <selection activeCell="C61" sqref="C61"/>
    </sheetView>
  </sheetViews>
  <sheetFormatPr baseColWidth="10" defaultRowHeight="16"/>
  <cols>
    <col min="1" max="1" width="24.83203125" style="47" bestFit="1" customWidth="1"/>
    <col min="2" max="2" width="16.1640625" style="47" bestFit="1" customWidth="1"/>
    <col min="3" max="3" width="19.6640625" style="47" bestFit="1" customWidth="1"/>
  </cols>
  <sheetData>
    <row r="1" spans="1:15" ht="17">
      <c r="A1" s="80" t="s">
        <v>75</v>
      </c>
      <c r="B1" s="81" t="s">
        <v>270</v>
      </c>
      <c r="C1" s="81" t="s">
        <v>271</v>
      </c>
    </row>
    <row r="2" spans="1:15">
      <c r="A2" s="55" t="str">
        <f>'Ratings worksheet'!A2</f>
        <v>Abu Dhabi</v>
      </c>
      <c r="B2" s="70" t="str">
        <f>'Ratings worksheet'!B2</f>
        <v>AA</v>
      </c>
      <c r="C2" s="70" t="str">
        <f>IF('Ratings worksheet'!C2="NA",VLOOKUP('Ratings worksheet'!B2,'Sovereign Ratings (Moody''s,S&amp;P)'!$F$9:$G$33,2),'Ratings worksheet'!C2)</f>
        <v>Aa2</v>
      </c>
      <c r="F2" s="270" t="s">
        <v>93</v>
      </c>
      <c r="G2" s="270"/>
      <c r="H2" s="270"/>
      <c r="I2" s="270"/>
      <c r="J2" s="270"/>
      <c r="K2" s="270"/>
      <c r="L2" s="270"/>
      <c r="M2" s="270"/>
      <c r="N2" s="270"/>
      <c r="O2" s="270"/>
    </row>
    <row r="3" spans="1:15">
      <c r="A3" s="55" t="str">
        <f>'Ratings worksheet'!A3</f>
        <v>Albania</v>
      </c>
      <c r="B3" s="70" t="str">
        <f>'Ratings worksheet'!B3</f>
        <v>B+</v>
      </c>
      <c r="C3" s="70" t="str">
        <f>IF('Ratings worksheet'!C3="NA",VLOOKUP('Ratings worksheet'!B3,'Sovereign Ratings (Moody''s,S&amp;P)'!$F$9:$G$33,2),'Ratings worksheet'!C3)</f>
        <v>B1</v>
      </c>
      <c r="F3" s="270" t="s">
        <v>229</v>
      </c>
      <c r="G3" s="270"/>
      <c r="H3" s="270"/>
      <c r="I3" s="270"/>
      <c r="J3" s="270"/>
      <c r="K3" s="270"/>
      <c r="L3" s="270"/>
      <c r="M3" s="270"/>
      <c r="N3" s="270"/>
      <c r="O3" s="270"/>
    </row>
    <row r="4" spans="1:15">
      <c r="A4" s="55" t="str">
        <f>'Ratings worksheet'!A4</f>
        <v>Andorra (Principality of)</v>
      </c>
      <c r="B4" s="70" t="str">
        <f>'Ratings worksheet'!B4</f>
        <v>BBB</v>
      </c>
      <c r="C4" s="70" t="str">
        <f>IF('Ratings worksheet'!C4="NA",VLOOKUP('Ratings worksheet'!B4,'Sovereign Ratings (Moody''s,S&amp;P)'!$F$9:$G$33,2),'Ratings worksheet'!C4)</f>
        <v>Baa2</v>
      </c>
      <c r="F4" s="271" t="s">
        <v>230</v>
      </c>
      <c r="G4" s="271"/>
      <c r="H4" s="271"/>
      <c r="I4" s="271"/>
      <c r="J4" s="271"/>
      <c r="K4" s="271"/>
      <c r="L4" s="271"/>
      <c r="M4" s="271"/>
      <c r="N4" s="271"/>
      <c r="O4" s="271"/>
    </row>
    <row r="5" spans="1:15">
      <c r="A5" s="55" t="str">
        <f>'Ratings worksheet'!A5</f>
        <v>Angola</v>
      </c>
      <c r="B5" s="70" t="str">
        <f>'Ratings worksheet'!B5</f>
        <v>CCC+</v>
      </c>
      <c r="C5" s="70" t="str">
        <f>IF('Ratings worksheet'!C5="NA",VLOOKUP('Ratings worksheet'!B5,'Sovereign Ratings (Moody''s,S&amp;P)'!$F$9:$G$33,2),'Ratings worksheet'!C5)</f>
        <v>B3</v>
      </c>
      <c r="F5" s="271" t="s">
        <v>231</v>
      </c>
      <c r="G5" s="271"/>
      <c r="H5" s="271"/>
      <c r="I5" s="271"/>
      <c r="J5" s="271"/>
      <c r="K5" s="271"/>
      <c r="L5" s="271"/>
      <c r="M5" s="271"/>
      <c r="N5" s="271"/>
      <c r="O5" s="271"/>
    </row>
    <row r="6" spans="1:15">
      <c r="A6" s="55" t="str">
        <f>'Ratings worksheet'!A6</f>
        <v>Argentina</v>
      </c>
      <c r="B6" s="70" t="str">
        <f>'Ratings worksheet'!B6</f>
        <v>SD</v>
      </c>
      <c r="C6" s="70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5" t="str">
        <f>'Ratings worksheet'!A7</f>
        <v>Armenia</v>
      </c>
      <c r="B7" s="70" t="str">
        <f>'Ratings worksheet'!B7</f>
        <v>NA</v>
      </c>
      <c r="C7" s="70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5" t="str">
        <f>'Ratings worksheet'!A8</f>
        <v>Aruba</v>
      </c>
      <c r="B8" s="70" t="str">
        <f>'Ratings worksheet'!B8</f>
        <v>BBB+</v>
      </c>
      <c r="C8" s="70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5" t="str">
        <f>'Ratings worksheet'!A9</f>
        <v>Australia</v>
      </c>
      <c r="B9" s="70" t="str">
        <f>'Ratings worksheet'!B9</f>
        <v>AAA</v>
      </c>
      <c r="C9" s="70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5" t="str">
        <f>'Ratings worksheet'!A10</f>
        <v>Austria</v>
      </c>
      <c r="B10" s="70" t="str">
        <f>'Ratings worksheet'!B10</f>
        <v>AA+</v>
      </c>
      <c r="C10" s="70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5" t="str">
        <f>'Ratings worksheet'!A11</f>
        <v>Azerbaijan</v>
      </c>
      <c r="B11" s="70" t="str">
        <f>'Ratings worksheet'!B11</f>
        <v>BB+</v>
      </c>
      <c r="C11" s="70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5" t="str">
        <f>'Ratings worksheet'!A12</f>
        <v>Bahamas</v>
      </c>
      <c r="B12" s="70" t="str">
        <f>'Ratings worksheet'!B12</f>
        <v>BB</v>
      </c>
      <c r="C12" s="70" t="str">
        <f>IF('Ratings worksheet'!C12="NA",VLOOKUP('Ratings worksheet'!B12,'Sovereign Ratings (Moody''s,S&amp;P)'!$F$9:$G$33,2),'Ratings worksheet'!C12)</f>
        <v>Ba2</v>
      </c>
      <c r="F12" s="34" t="s">
        <v>207</v>
      </c>
      <c r="G12" s="17" t="s">
        <v>45</v>
      </c>
    </row>
    <row r="13" spans="1:15">
      <c r="A13" s="55" t="str">
        <f>'Ratings worksheet'!A13</f>
        <v>Bahrain</v>
      </c>
      <c r="B13" s="70" t="str">
        <f>'Ratings worksheet'!B13</f>
        <v>B+</v>
      </c>
      <c r="C13" s="70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5" t="str">
        <f>'Ratings worksheet'!A14</f>
        <v>Bangladesh</v>
      </c>
      <c r="B14" s="70" t="str">
        <f>'Ratings worksheet'!B14</f>
        <v>BB-</v>
      </c>
      <c r="C14" s="70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5" t="str">
        <f>'Ratings worksheet'!A15</f>
        <v>Barbados</v>
      </c>
      <c r="B15" s="70" t="str">
        <f>'Ratings worksheet'!B15</f>
        <v>B-</v>
      </c>
      <c r="C15" s="70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5" t="str">
        <f>'Ratings worksheet'!A16</f>
        <v>Belarus</v>
      </c>
      <c r="B16" s="70" t="str">
        <f>'Ratings worksheet'!B16</f>
        <v>B</v>
      </c>
      <c r="C16" s="70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5" t="str">
        <f>'Ratings worksheet'!A17</f>
        <v>Belgium</v>
      </c>
      <c r="B17" s="70" t="str">
        <f>'Ratings worksheet'!B17</f>
        <v>AA</v>
      </c>
      <c r="C17" s="70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5" t="str">
        <f>'Ratings worksheet'!A18</f>
        <v>Belize</v>
      </c>
      <c r="B18" s="70" t="str">
        <f>'Ratings worksheet'!B18</f>
        <v>CCC</v>
      </c>
      <c r="C18" s="70" t="str">
        <f>IF('Ratings worksheet'!C18="NA",VLOOKUP('Ratings worksheet'!B18,'Sovereign Ratings (Moody''s,S&amp;P)'!$F$9:$G$33,2),'Ratings worksheet'!C18)</f>
        <v>Caa1</v>
      </c>
      <c r="F18" s="34" t="s">
        <v>196</v>
      </c>
      <c r="G18" s="17" t="s">
        <v>48</v>
      </c>
    </row>
    <row r="19" spans="1:7">
      <c r="A19" s="55" t="str">
        <f>'Ratings worksheet'!A19</f>
        <v>Benin</v>
      </c>
      <c r="B19" s="70" t="str">
        <f>'Ratings worksheet'!B19</f>
        <v>B+</v>
      </c>
      <c r="C19" s="70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5" t="str">
        <f>'Ratings worksheet'!A20</f>
        <v>Bermuda</v>
      </c>
      <c r="B20" s="70" t="str">
        <f>'Ratings worksheet'!B20</f>
        <v>A+</v>
      </c>
      <c r="C20" s="70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5" t="str">
        <f>'Ratings worksheet'!A21</f>
        <v>Bolivia</v>
      </c>
      <c r="B21" s="70" t="str">
        <f>'Ratings worksheet'!B21</f>
        <v>B+</v>
      </c>
      <c r="C21" s="70" t="str">
        <f>IF('Ratings worksheet'!C21="NA",VLOOKUP('Ratings worksheet'!B21,'Sovereign Ratings (Moody''s,S&amp;P)'!$F$9:$G$33,2),'Ratings worksheet'!C21)</f>
        <v>B1</v>
      </c>
      <c r="F21" s="34" t="s">
        <v>216</v>
      </c>
      <c r="G21" s="17" t="s">
        <v>79</v>
      </c>
    </row>
    <row r="22" spans="1:7">
      <c r="A22" s="55" t="str">
        <f>'Ratings worksheet'!A22</f>
        <v>Bosnia and Herzegovina</v>
      </c>
      <c r="B22" s="70" t="str">
        <f>'Ratings worksheet'!B22</f>
        <v>B</v>
      </c>
      <c r="C22" s="70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5" t="str">
        <f>'Ratings worksheet'!A23</f>
        <v>Botswana</v>
      </c>
      <c r="B23" s="70" t="str">
        <f>'Ratings worksheet'!B23</f>
        <v>BBB+</v>
      </c>
      <c r="C23" s="70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5" t="str">
        <f>'Ratings worksheet'!A24</f>
        <v>Brazil</v>
      </c>
      <c r="B24" s="70" t="str">
        <f>'Ratings worksheet'!B24</f>
        <v>BB-</v>
      </c>
      <c r="C24" s="70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5" t="str">
        <f>'Ratings worksheet'!A25</f>
        <v>Bulgaria</v>
      </c>
      <c r="B25" s="70" t="str">
        <f>'Ratings worksheet'!B25</f>
        <v>BBB</v>
      </c>
      <c r="C25" s="70" t="str">
        <f>IF('Ratings worksheet'!C25="NA",VLOOKUP('Ratings worksheet'!B25,'Sovereign Ratings (Moody''s,S&amp;P)'!$F$9:$G$33,2),'Ratings worksheet'!C25)</f>
        <v>Baa2</v>
      </c>
      <c r="F25" s="34" t="s">
        <v>137</v>
      </c>
      <c r="G25" s="17" t="s">
        <v>244</v>
      </c>
    </row>
    <row r="26" spans="1:7">
      <c r="A26" s="55" t="str">
        <f>'Ratings worksheet'!A26</f>
        <v>Burkina Faso</v>
      </c>
      <c r="B26" s="70" t="str">
        <f>'Ratings worksheet'!B26</f>
        <v>B</v>
      </c>
      <c r="C26" s="70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5" t="str">
        <f>'Ratings worksheet'!A27</f>
        <v>Cambodia</v>
      </c>
      <c r="B27" s="70" t="str">
        <f>'Ratings worksheet'!B27</f>
        <v>NA</v>
      </c>
      <c r="C27" s="70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5" t="str">
        <f>'Ratings worksheet'!A28</f>
        <v>Cameroon</v>
      </c>
      <c r="B28" s="70" t="str">
        <f>'Ratings worksheet'!B28</f>
        <v>B-</v>
      </c>
      <c r="C28" s="70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5" t="str">
        <f>'Ratings worksheet'!A29</f>
        <v>Canada</v>
      </c>
      <c r="B29" s="70" t="str">
        <f>'Ratings worksheet'!B29</f>
        <v>AAA</v>
      </c>
      <c r="C29" s="70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5" t="str">
        <f>'Ratings worksheet'!A30</f>
        <v>Cape Verde</v>
      </c>
      <c r="B30" s="70" t="str">
        <f>'Ratings worksheet'!B30</f>
        <v>B</v>
      </c>
      <c r="C30" s="70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5" t="str">
        <f>'Ratings worksheet'!A31</f>
        <v>Cayman Islands</v>
      </c>
      <c r="B31" s="70" t="str">
        <f>'Ratings worksheet'!B31</f>
        <v>NA</v>
      </c>
      <c r="C31" s="70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5" t="str">
        <f>'Ratings worksheet'!A32</f>
        <v>Chile</v>
      </c>
      <c r="B32" s="70" t="str">
        <f>'Ratings worksheet'!B32</f>
        <v>A+</v>
      </c>
      <c r="C32" s="70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5" t="str">
        <f>'Ratings worksheet'!A33</f>
        <v>China</v>
      </c>
      <c r="B33" s="70" t="str">
        <f>'Ratings worksheet'!B33</f>
        <v>A+</v>
      </c>
      <c r="C33" s="70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5" t="str">
        <f>'Ratings worksheet'!A34</f>
        <v>Colombia</v>
      </c>
      <c r="B34" s="70" t="str">
        <f>'Ratings worksheet'!B34</f>
        <v>BBB-</v>
      </c>
      <c r="C34" s="70" t="str">
        <f>IF('Ratings worksheet'!C34="NA",VLOOKUP('Ratings worksheet'!B34,'Sovereign Ratings (Moody''s,S&amp;P)'!$F$9:$G$33,2),'Ratings worksheet'!C34)</f>
        <v>Baa2</v>
      </c>
    </row>
    <row r="35" spans="1:7">
      <c r="A35" s="55" t="str">
        <f>'Ratings worksheet'!A35</f>
        <v>Congo (Democratic Republic of)</v>
      </c>
      <c r="B35" s="70" t="str">
        <f>'Ratings worksheet'!B35</f>
        <v>CCC+</v>
      </c>
      <c r="C35" s="70" t="str">
        <f>IF('Ratings worksheet'!C35="NA",VLOOKUP('Ratings worksheet'!B35,'Sovereign Ratings (Moody''s,S&amp;P)'!$F$9:$G$33,2),'Ratings worksheet'!C35)</f>
        <v>Caa1</v>
      </c>
    </row>
    <row r="36" spans="1:7">
      <c r="A36" s="55" t="str">
        <f>'Ratings worksheet'!A36</f>
        <v>Congo (Republic of)</v>
      </c>
      <c r="B36" s="70" t="str">
        <f>'Ratings worksheet'!B36</f>
        <v>B-</v>
      </c>
      <c r="C36" s="70" t="str">
        <f>IF('Ratings worksheet'!C36="NA",VLOOKUP('Ratings worksheet'!B36,'Sovereign Ratings (Moody''s,S&amp;P)'!$F$9:$G$33,2),'Ratings worksheet'!C36)</f>
        <v>Caa2</v>
      </c>
    </row>
    <row r="37" spans="1:7">
      <c r="A37" s="55" t="str">
        <f>'Ratings worksheet'!A37</f>
        <v>Cook Islands</v>
      </c>
      <c r="B37" s="70" t="str">
        <f>'Ratings worksheet'!B37</f>
        <v>B+</v>
      </c>
      <c r="C37" s="70" t="str">
        <f>IF('Ratings worksheet'!C37="NA",VLOOKUP('Ratings worksheet'!B37,'Sovereign Ratings (Moody''s,S&amp;P)'!$F$9:$G$33,2),'Ratings worksheet'!C37)</f>
        <v>B1</v>
      </c>
    </row>
    <row r="38" spans="1:7">
      <c r="A38" s="55" t="str">
        <f>'Ratings worksheet'!A38</f>
        <v>Costa Rica</v>
      </c>
      <c r="B38" s="70" t="str">
        <f>'Ratings worksheet'!B38</f>
        <v>B+</v>
      </c>
      <c r="C38" s="70" t="str">
        <f>IF('Ratings worksheet'!C38="NA",VLOOKUP('Ratings worksheet'!B38,'Sovereign Ratings (Moody''s,S&amp;P)'!$F$9:$G$33,2),'Ratings worksheet'!C38)</f>
        <v>B2</v>
      </c>
    </row>
    <row r="39" spans="1:7">
      <c r="A39" s="55" t="str">
        <f>'Ratings worksheet'!A39</f>
        <v>Côte d'Ivoire</v>
      </c>
      <c r="B39" s="70" t="str">
        <f>'Ratings worksheet'!B39</f>
        <v>NA</v>
      </c>
      <c r="C39" s="70" t="str">
        <f>IF('Ratings worksheet'!C39="NA",VLOOKUP('Ratings worksheet'!B39,'Sovereign Ratings (Moody''s,S&amp;P)'!$F$9:$G$33,2),'Ratings worksheet'!C39)</f>
        <v>Ba3</v>
      </c>
    </row>
    <row r="40" spans="1:7">
      <c r="A40" s="55" t="str">
        <f>'Ratings worksheet'!A40</f>
        <v>Croatia</v>
      </c>
      <c r="B40" s="70" t="str">
        <f>'Ratings worksheet'!B40</f>
        <v>BBB-</v>
      </c>
      <c r="C40" s="70" t="str">
        <f>IF('Ratings worksheet'!C40="NA",VLOOKUP('Ratings worksheet'!B40,'Sovereign Ratings (Moody''s,S&amp;P)'!$F$9:$G$33,2),'Ratings worksheet'!C40)</f>
        <v>Ba2</v>
      </c>
    </row>
    <row r="41" spans="1:7">
      <c r="A41" s="55" t="str">
        <f>'Ratings worksheet'!A41</f>
        <v>Cuba</v>
      </c>
      <c r="B41" s="70" t="str">
        <f>'Ratings worksheet'!B41</f>
        <v>NA</v>
      </c>
      <c r="C41" s="70" t="str">
        <f>IF('Ratings worksheet'!C41="NA",VLOOKUP('Ratings worksheet'!B41,'Sovereign Ratings (Moody''s,S&amp;P)'!$F$9:$G$33,2),'Ratings worksheet'!C41)</f>
        <v>Caa2</v>
      </c>
    </row>
    <row r="42" spans="1:7">
      <c r="A42" s="55" t="str">
        <f>'Ratings worksheet'!A42</f>
        <v>Curacao</v>
      </c>
      <c r="B42" s="70" t="str">
        <f>'Ratings worksheet'!B42</f>
        <v>BBB</v>
      </c>
      <c r="C42" s="70" t="str">
        <f>IF('Ratings worksheet'!C42="NA",VLOOKUP('Ratings worksheet'!B42,'Sovereign Ratings (Moody''s,S&amp;P)'!$F$9:$G$33,2),'Ratings worksheet'!C42)</f>
        <v>Baa2</v>
      </c>
    </row>
    <row r="43" spans="1:7">
      <c r="A43" s="55" t="str">
        <f>'Ratings worksheet'!A43</f>
        <v>Cyprus</v>
      </c>
      <c r="B43" s="70" t="str">
        <f>'Ratings worksheet'!B43</f>
        <v>BBB-</v>
      </c>
      <c r="C43" s="70" t="str">
        <f>IF('Ratings worksheet'!C43="NA",VLOOKUP('Ratings worksheet'!B43,'Sovereign Ratings (Moody''s,S&amp;P)'!$F$9:$G$33,2),'Ratings worksheet'!C43)</f>
        <v>Ba2</v>
      </c>
    </row>
    <row r="44" spans="1:7">
      <c r="A44" s="55" t="str">
        <f>'Ratings worksheet'!A44</f>
        <v>Czech Republic</v>
      </c>
      <c r="B44" s="70" t="str">
        <f>'Ratings worksheet'!B44</f>
        <v>AA-</v>
      </c>
      <c r="C44" s="70" t="str">
        <f>IF('Ratings worksheet'!C44="NA",VLOOKUP('Ratings worksheet'!B44,'Sovereign Ratings (Moody''s,S&amp;P)'!$F$9:$G$33,2),'Ratings worksheet'!C44)</f>
        <v>Aa3</v>
      </c>
    </row>
    <row r="45" spans="1:7">
      <c r="A45" s="55" t="str">
        <f>'Ratings worksheet'!A45</f>
        <v>Denmark</v>
      </c>
      <c r="B45" s="70" t="str">
        <f>'Ratings worksheet'!B45</f>
        <v>AAA</v>
      </c>
      <c r="C45" s="70" t="str">
        <f>IF('Ratings worksheet'!C45="NA",VLOOKUP('Ratings worksheet'!B45,'Sovereign Ratings (Moody''s,S&amp;P)'!$F$9:$G$33,2),'Ratings worksheet'!C45)</f>
        <v>Aaa</v>
      </c>
    </row>
    <row r="46" spans="1:7">
      <c r="A46" s="55" t="str">
        <f>'Ratings worksheet'!A46</f>
        <v>Dominican Republic</v>
      </c>
      <c r="B46" s="70" t="str">
        <f>'Ratings worksheet'!B46</f>
        <v>BB-</v>
      </c>
      <c r="C46" s="70" t="str">
        <f>IF('Ratings worksheet'!C46="NA",VLOOKUP('Ratings worksheet'!B46,'Sovereign Ratings (Moody''s,S&amp;P)'!$F$9:$G$33,2),'Ratings worksheet'!C46)</f>
        <v>Ba3</v>
      </c>
    </row>
    <row r="47" spans="1:7">
      <c r="A47" s="55" t="str">
        <f>'Ratings worksheet'!A47</f>
        <v>Ecuador</v>
      </c>
      <c r="B47" s="70" t="str">
        <f>'Ratings worksheet'!B47</f>
        <v>SD</v>
      </c>
      <c r="C47" s="70" t="str">
        <f>IF('Ratings worksheet'!C47="NA",VLOOKUP('Ratings worksheet'!B47,'Sovereign Ratings (Moody''s,S&amp;P)'!$F$9:$G$33,2),'Ratings worksheet'!C47)</f>
        <v>Caa3</v>
      </c>
    </row>
    <row r="48" spans="1:7">
      <c r="A48" s="55" t="str">
        <f>'Ratings worksheet'!A48</f>
        <v>Egypt</v>
      </c>
      <c r="B48" s="70" t="str">
        <f>'Ratings worksheet'!B48</f>
        <v>B</v>
      </c>
      <c r="C48" s="70" t="str">
        <f>IF('Ratings worksheet'!C48="NA",VLOOKUP('Ratings worksheet'!B48,'Sovereign Ratings (Moody''s,S&amp;P)'!$F$9:$G$33,2),'Ratings worksheet'!C48)</f>
        <v>B2</v>
      </c>
    </row>
    <row r="49" spans="1:3">
      <c r="A49" s="55" t="str">
        <f>'Ratings worksheet'!A49</f>
        <v>El Salvador</v>
      </c>
      <c r="B49" s="70" t="str">
        <f>'Ratings worksheet'!B49</f>
        <v>B-</v>
      </c>
      <c r="C49" s="70" t="str">
        <f>IF('Ratings worksheet'!C49="NA",VLOOKUP('Ratings worksheet'!B49,'Sovereign Ratings (Moody''s,S&amp;P)'!$F$9:$G$33,2),'Ratings worksheet'!C49)</f>
        <v>B3</v>
      </c>
    </row>
    <row r="50" spans="1:3">
      <c r="A50" s="55" t="str">
        <f>'Ratings worksheet'!A50</f>
        <v>Estonia</v>
      </c>
      <c r="B50" s="70" t="str">
        <f>'Ratings worksheet'!B50</f>
        <v>AA-</v>
      </c>
      <c r="C50" s="70" t="str">
        <f>IF('Ratings worksheet'!C50="NA",VLOOKUP('Ratings worksheet'!B50,'Sovereign Ratings (Moody''s,S&amp;P)'!$F$9:$G$33,2),'Ratings worksheet'!C50)</f>
        <v>A1</v>
      </c>
    </row>
    <row r="51" spans="1:3">
      <c r="A51" s="55" t="str">
        <f>'Ratings worksheet'!A51</f>
        <v>Ethiopia</v>
      </c>
      <c r="B51" s="70" t="str">
        <f>'Ratings worksheet'!B51</f>
        <v>B</v>
      </c>
      <c r="C51" s="70" t="str">
        <f>IF('Ratings worksheet'!C51="NA",VLOOKUP('Ratings worksheet'!B51,'Sovereign Ratings (Moody''s,S&amp;P)'!$F$9:$G$33,2),'Ratings worksheet'!C51)</f>
        <v>B2</v>
      </c>
    </row>
    <row r="52" spans="1:3">
      <c r="A52" s="55" t="str">
        <f>'Ratings worksheet'!A52</f>
        <v>Fiji</v>
      </c>
      <c r="B52" s="70" t="str">
        <f>'Ratings worksheet'!B52</f>
        <v>BB-</v>
      </c>
      <c r="C52" s="70" t="str">
        <f>IF('Ratings worksheet'!C52="NA",VLOOKUP('Ratings worksheet'!B52,'Sovereign Ratings (Moody''s,S&amp;P)'!$F$9:$G$33,2),'Ratings worksheet'!C52)</f>
        <v>Ba3</v>
      </c>
    </row>
    <row r="53" spans="1:3">
      <c r="A53" s="55" t="str">
        <f>'Ratings worksheet'!A53</f>
        <v>Finland</v>
      </c>
      <c r="B53" s="70" t="str">
        <f>'Ratings worksheet'!B53</f>
        <v>AA+</v>
      </c>
      <c r="C53" s="70" t="str">
        <f>IF('Ratings worksheet'!C53="NA",VLOOKUP('Ratings worksheet'!B53,'Sovereign Ratings (Moody''s,S&amp;P)'!$F$9:$G$33,2),'Ratings worksheet'!C53)</f>
        <v>Aa1</v>
      </c>
    </row>
    <row r="54" spans="1:3">
      <c r="A54" s="55" t="str">
        <f>'Ratings worksheet'!A54</f>
        <v>France</v>
      </c>
      <c r="B54" s="70" t="str">
        <f>'Ratings worksheet'!B54</f>
        <v>AA</v>
      </c>
      <c r="C54" s="70" t="str">
        <f>IF('Ratings worksheet'!C54="NA",VLOOKUP('Ratings worksheet'!B54,'Sovereign Ratings (Moody''s,S&amp;P)'!$F$9:$G$33,2),'Ratings worksheet'!C54)</f>
        <v>Aa2</v>
      </c>
    </row>
    <row r="55" spans="1:3">
      <c r="A55" s="55" t="str">
        <f>'Ratings worksheet'!A55</f>
        <v>Gabon</v>
      </c>
      <c r="B55" s="70" t="str">
        <f>'Ratings worksheet'!B55</f>
        <v>NA</v>
      </c>
      <c r="C55" s="70" t="str">
        <f>IF('Ratings worksheet'!C55="NA",VLOOKUP('Ratings worksheet'!B55,'Sovereign Ratings (Moody''s,S&amp;P)'!$F$9:$G$33,2),'Ratings worksheet'!C55)</f>
        <v>Caa1</v>
      </c>
    </row>
    <row r="56" spans="1:3">
      <c r="A56" s="55" t="str">
        <f>'Ratings worksheet'!A56</f>
        <v>Georgia</v>
      </c>
      <c r="B56" s="70" t="str">
        <f>'Ratings worksheet'!B56</f>
        <v>BB</v>
      </c>
      <c r="C56" s="70" t="str">
        <f>IF('Ratings worksheet'!C56="NA",VLOOKUP('Ratings worksheet'!B56,'Sovereign Ratings (Moody''s,S&amp;P)'!$F$9:$G$33,2),'Ratings worksheet'!C56)</f>
        <v>Ba2</v>
      </c>
    </row>
    <row r="57" spans="1:3">
      <c r="A57" s="55" t="str">
        <f>'Ratings worksheet'!A57</f>
        <v>Germany</v>
      </c>
      <c r="B57" s="70" t="str">
        <f>'Ratings worksheet'!B57</f>
        <v>AAA</v>
      </c>
      <c r="C57" s="70" t="str">
        <f>IF('Ratings worksheet'!C57="NA",VLOOKUP('Ratings worksheet'!B57,'Sovereign Ratings (Moody''s,S&amp;P)'!$F$9:$G$33,2),'Ratings worksheet'!C57)</f>
        <v>Aaa</v>
      </c>
    </row>
    <row r="58" spans="1:3">
      <c r="A58" s="55" t="str">
        <f>'Ratings worksheet'!A58</f>
        <v>Ghana</v>
      </c>
      <c r="B58" s="70" t="str">
        <f>'Ratings worksheet'!B58</f>
        <v>B</v>
      </c>
      <c r="C58" s="70" t="str">
        <f>IF('Ratings worksheet'!C58="NA",VLOOKUP('Ratings worksheet'!B58,'Sovereign Ratings (Moody''s,S&amp;P)'!$F$9:$G$33,2),'Ratings worksheet'!C58)</f>
        <v>B3</v>
      </c>
    </row>
    <row r="59" spans="1:3">
      <c r="A59" s="55" t="str">
        <f>'Ratings worksheet'!A59</f>
        <v>Greece</v>
      </c>
      <c r="B59" s="70" t="str">
        <f>'Ratings worksheet'!B59</f>
        <v>BB-</v>
      </c>
      <c r="C59" s="70" t="str">
        <f>IF('Ratings worksheet'!C59="NA",VLOOKUP('Ratings worksheet'!B59,'Sovereign Ratings (Moody''s,S&amp;P)'!$F$9:$G$33,2),'Ratings worksheet'!C59)</f>
        <v>B1</v>
      </c>
    </row>
    <row r="60" spans="1:3">
      <c r="A60" s="55" t="str">
        <f>'Ratings worksheet'!A60</f>
        <v>Guatemala</v>
      </c>
      <c r="B60" s="70" t="str">
        <f>'Ratings worksheet'!B60</f>
        <v>BB-</v>
      </c>
      <c r="C60" s="70" t="str">
        <f>IF('Ratings worksheet'!C60="NA",VLOOKUP('Ratings worksheet'!B60,'Sovereign Ratings (Moody''s,S&amp;P)'!$F$9:$G$33,2),'Ratings worksheet'!C60)</f>
        <v>Ba1</v>
      </c>
    </row>
    <row r="61" spans="1:3">
      <c r="A61" s="55" t="str">
        <f>'Ratings worksheet'!A61</f>
        <v>Guernsey (States of)</v>
      </c>
      <c r="B61" s="70" t="str">
        <f>'Ratings worksheet'!B61</f>
        <v>AA-</v>
      </c>
      <c r="C61" s="70" t="str">
        <f>IF('Ratings worksheet'!C61="NA",VLOOKUP('Ratings worksheet'!B61,'Sovereign Ratings (Moody''s,S&amp;P)'!$F$9:$G$33,2),'Ratings worksheet'!C61)</f>
        <v>Aa3</v>
      </c>
    </row>
    <row r="62" spans="1:3">
      <c r="A62" s="55" t="str">
        <f>'Ratings worksheet'!A62</f>
        <v>Honduras</v>
      </c>
      <c r="B62" s="70" t="str">
        <f>'Ratings worksheet'!B62</f>
        <v>BB-</v>
      </c>
      <c r="C62" s="70" t="str">
        <f>IF('Ratings worksheet'!C62="NA",VLOOKUP('Ratings worksheet'!B62,'Sovereign Ratings (Moody''s,S&amp;P)'!$F$9:$G$33,2),'Ratings worksheet'!C62)</f>
        <v>B1</v>
      </c>
    </row>
    <row r="63" spans="1:3">
      <c r="A63" s="55" t="str">
        <f>'Ratings worksheet'!A63</f>
        <v>Hong Kong</v>
      </c>
      <c r="B63" s="70" t="str">
        <f>'Ratings worksheet'!B63</f>
        <v>AA+</v>
      </c>
      <c r="C63" s="70" t="str">
        <f>IF('Ratings worksheet'!C63="NA",VLOOKUP('Ratings worksheet'!B63,'Sovereign Ratings (Moody''s,S&amp;P)'!$F$9:$G$33,2),'Ratings worksheet'!C63)</f>
        <v>Aa3</v>
      </c>
    </row>
    <row r="64" spans="1:3">
      <c r="A64" s="55" t="str">
        <f>'Ratings worksheet'!A64</f>
        <v>Hungary</v>
      </c>
      <c r="B64" s="70" t="str">
        <f>'Ratings worksheet'!B64</f>
        <v>BBB</v>
      </c>
      <c r="C64" s="70" t="str">
        <f>IF('Ratings worksheet'!C64="NA",VLOOKUP('Ratings worksheet'!B64,'Sovereign Ratings (Moody''s,S&amp;P)'!$F$9:$G$33,2),'Ratings worksheet'!C64)</f>
        <v>Baa3</v>
      </c>
    </row>
    <row r="65" spans="1:3">
      <c r="A65" s="55" t="str">
        <f>'Ratings worksheet'!A65</f>
        <v>Iceland</v>
      </c>
      <c r="B65" s="70" t="str">
        <f>'Ratings worksheet'!B65</f>
        <v>A</v>
      </c>
      <c r="C65" s="70" t="str">
        <f>IF('Ratings worksheet'!C65="NA",VLOOKUP('Ratings worksheet'!B65,'Sovereign Ratings (Moody''s,S&amp;P)'!$F$9:$G$33,2),'Ratings worksheet'!C65)</f>
        <v>A2</v>
      </c>
    </row>
    <row r="66" spans="1:3">
      <c r="A66" s="55" t="str">
        <f>'Ratings worksheet'!A66</f>
        <v>India</v>
      </c>
      <c r="B66" s="70" t="str">
        <f>'Ratings worksheet'!B66</f>
        <v>BBB-</v>
      </c>
      <c r="C66" s="70" t="str">
        <f>IF('Ratings worksheet'!C66="NA",VLOOKUP('Ratings worksheet'!B66,'Sovereign Ratings (Moody''s,S&amp;P)'!$F$9:$G$33,2),'Ratings worksheet'!C66)</f>
        <v>Baa3</v>
      </c>
    </row>
    <row r="67" spans="1:3">
      <c r="A67" s="55" t="str">
        <f>'Ratings worksheet'!A67</f>
        <v>Indonesia</v>
      </c>
      <c r="B67" s="70" t="str">
        <f>'Ratings worksheet'!B67</f>
        <v>BBB</v>
      </c>
      <c r="C67" s="70" t="str">
        <f>IF('Ratings worksheet'!C67="NA",VLOOKUP('Ratings worksheet'!B67,'Sovereign Ratings (Moody''s,S&amp;P)'!$F$9:$G$33,2),'Ratings worksheet'!C67)</f>
        <v>Baa2</v>
      </c>
    </row>
    <row r="68" spans="1:3">
      <c r="A68" s="55" t="str">
        <f>'Ratings worksheet'!A68</f>
        <v>Iraq</v>
      </c>
      <c r="B68" s="70" t="str">
        <f>'Ratings worksheet'!B68</f>
        <v>B-</v>
      </c>
      <c r="C68" s="70" t="str">
        <f>IF('Ratings worksheet'!C68="NA",VLOOKUP('Ratings worksheet'!B68,'Sovereign Ratings (Moody''s,S&amp;P)'!$F$9:$G$33,2),'Ratings worksheet'!C68)</f>
        <v>Caa1</v>
      </c>
    </row>
    <row r="69" spans="1:3">
      <c r="A69" s="55" t="str">
        <f>'Ratings worksheet'!A69</f>
        <v>Ireland</v>
      </c>
      <c r="B69" s="70" t="str">
        <f>'Ratings worksheet'!B69</f>
        <v>AA-</v>
      </c>
      <c r="C69" s="70" t="str">
        <f>IF('Ratings worksheet'!C69="NA",VLOOKUP('Ratings worksheet'!B69,'Sovereign Ratings (Moody''s,S&amp;P)'!$F$9:$G$33,2),'Ratings worksheet'!C69)</f>
        <v>A2</v>
      </c>
    </row>
    <row r="70" spans="1:3">
      <c r="A70" s="55" t="str">
        <f>'Ratings worksheet'!A70</f>
        <v>Isle of Man</v>
      </c>
      <c r="B70" s="70" t="str">
        <f>'Ratings worksheet'!B70</f>
        <v>NA</v>
      </c>
      <c r="C70" s="70" t="str">
        <f>IF('Ratings worksheet'!C70="NA",VLOOKUP('Ratings worksheet'!B70,'Sovereign Ratings (Moody''s,S&amp;P)'!$F$9:$G$33,2),'Ratings worksheet'!C70)</f>
        <v>Aa2</v>
      </c>
    </row>
    <row r="71" spans="1:3">
      <c r="A71" s="55" t="str">
        <f>'Ratings worksheet'!A71</f>
        <v>Israel</v>
      </c>
      <c r="B71" s="70" t="str">
        <f>'Ratings worksheet'!B71</f>
        <v>AA-</v>
      </c>
      <c r="C71" s="70" t="str">
        <f>IF('Ratings worksheet'!C71="NA",VLOOKUP('Ratings worksheet'!B71,'Sovereign Ratings (Moody''s,S&amp;P)'!$F$9:$G$33,2),'Ratings worksheet'!C71)</f>
        <v>A1</v>
      </c>
    </row>
    <row r="72" spans="1:3">
      <c r="A72" s="55" t="str">
        <f>'Ratings worksheet'!A72</f>
        <v>Italy</v>
      </c>
      <c r="B72" s="70" t="str">
        <f>'Ratings worksheet'!B72</f>
        <v>BBB</v>
      </c>
      <c r="C72" s="70" t="str">
        <f>IF('Ratings worksheet'!C72="NA",VLOOKUP('Ratings worksheet'!B72,'Sovereign Ratings (Moody''s,S&amp;P)'!$F$9:$G$33,2),'Ratings worksheet'!C72)</f>
        <v>Baa3</v>
      </c>
    </row>
    <row r="73" spans="1:3">
      <c r="A73" s="55" t="str">
        <f>'Ratings worksheet'!A73</f>
        <v>Jamaica</v>
      </c>
      <c r="B73" s="70" t="str">
        <f>'Ratings worksheet'!B73</f>
        <v>B+</v>
      </c>
      <c r="C73" s="70" t="str">
        <f>IF('Ratings worksheet'!C73="NA",VLOOKUP('Ratings worksheet'!B73,'Sovereign Ratings (Moody''s,S&amp;P)'!$F$9:$G$33,2),'Ratings worksheet'!C73)</f>
        <v>B2</v>
      </c>
    </row>
    <row r="74" spans="1:3">
      <c r="A74" s="55" t="str">
        <f>'Ratings worksheet'!A74</f>
        <v>Japan</v>
      </c>
      <c r="B74" s="70" t="str">
        <f>'Ratings worksheet'!B74</f>
        <v>A+</v>
      </c>
      <c r="C74" s="70" t="str">
        <f>IF('Ratings worksheet'!C74="NA",VLOOKUP('Ratings worksheet'!B74,'Sovereign Ratings (Moody''s,S&amp;P)'!$F$9:$G$33,2),'Ratings worksheet'!C74)</f>
        <v>A1</v>
      </c>
    </row>
    <row r="75" spans="1:3">
      <c r="A75" s="55" t="str">
        <f>'Ratings worksheet'!A75</f>
        <v>Jersey (States of)</v>
      </c>
      <c r="B75" s="70" t="str">
        <f>'Ratings worksheet'!B75</f>
        <v>AA-</v>
      </c>
      <c r="C75" s="70" t="str">
        <f>IF('Ratings worksheet'!C75="NA",VLOOKUP('Ratings worksheet'!B75,'Sovereign Ratings (Moody''s,S&amp;P)'!$F$9:$G$33,2),'Ratings worksheet'!C75)</f>
        <v>Aa3</v>
      </c>
    </row>
    <row r="76" spans="1:3">
      <c r="A76" s="55" t="str">
        <f>'Ratings worksheet'!A76</f>
        <v>Jordan</v>
      </c>
      <c r="B76" s="70" t="str">
        <f>'Ratings worksheet'!B76</f>
        <v>B+</v>
      </c>
      <c r="C76" s="70" t="str">
        <f>IF('Ratings worksheet'!C76="NA",VLOOKUP('Ratings worksheet'!B76,'Sovereign Ratings (Moody''s,S&amp;P)'!$F$9:$G$33,2),'Ratings worksheet'!C76)</f>
        <v>B1</v>
      </c>
    </row>
    <row r="77" spans="1:3">
      <c r="A77" s="55" t="str">
        <f>'Ratings worksheet'!A77</f>
        <v>Kazakhstan</v>
      </c>
      <c r="B77" s="70" t="str">
        <f>'Ratings worksheet'!B77</f>
        <v>BBB-</v>
      </c>
      <c r="C77" s="70" t="str">
        <f>IF('Ratings worksheet'!C77="NA",VLOOKUP('Ratings worksheet'!B77,'Sovereign Ratings (Moody''s,S&amp;P)'!$F$9:$G$33,2),'Ratings worksheet'!C77)</f>
        <v>Baa3</v>
      </c>
    </row>
    <row r="78" spans="1:3">
      <c r="A78" s="55" t="str">
        <f>'Ratings worksheet'!A78</f>
        <v>Kenya</v>
      </c>
      <c r="B78" s="70" t="str">
        <f>'Ratings worksheet'!B78</f>
        <v>B+</v>
      </c>
      <c r="C78" s="70" t="str">
        <f>IF('Ratings worksheet'!C78="NA",VLOOKUP('Ratings worksheet'!B78,'Sovereign Ratings (Moody''s,S&amp;P)'!$F$9:$G$33,2),'Ratings worksheet'!C78)</f>
        <v>B2</v>
      </c>
    </row>
    <row r="79" spans="1:3">
      <c r="A79" s="55" t="str">
        <f>'Ratings worksheet'!A79</f>
        <v>Korea</v>
      </c>
      <c r="B79" s="70" t="str">
        <f>'Ratings worksheet'!B79</f>
        <v>AA</v>
      </c>
      <c r="C79" s="70" t="str">
        <f>IF('Ratings worksheet'!C79="NA",VLOOKUP('Ratings worksheet'!B79,'Sovereign Ratings (Moody''s,S&amp;P)'!$F$9:$G$33,2),'Ratings worksheet'!C79)</f>
        <v>Aa2</v>
      </c>
    </row>
    <row r="80" spans="1:3">
      <c r="A80" s="55" t="str">
        <f>'Ratings worksheet'!A80</f>
        <v>Kuwait</v>
      </c>
      <c r="B80" s="70" t="str">
        <f>'Ratings worksheet'!B80</f>
        <v>AA-</v>
      </c>
      <c r="C80" s="70" t="str">
        <f>IF('Ratings worksheet'!C80="NA",VLOOKUP('Ratings worksheet'!B80,'Sovereign Ratings (Moody''s,S&amp;P)'!$F$9:$G$33,2),'Ratings worksheet'!C80)</f>
        <v>Aa2</v>
      </c>
    </row>
    <row r="81" spans="1:3">
      <c r="A81" s="55" t="str">
        <f>'Ratings worksheet'!A81</f>
        <v>Kyrgyzstan</v>
      </c>
      <c r="B81" s="70" t="str">
        <f>'Ratings worksheet'!B81</f>
        <v>NA</v>
      </c>
      <c r="C81" s="70" t="str">
        <f>IF('Ratings worksheet'!C81="NA",VLOOKUP('Ratings worksheet'!B81,'Sovereign Ratings (Moody''s,S&amp;P)'!$F$9:$G$33,2),'Ratings worksheet'!C81)</f>
        <v>B2</v>
      </c>
    </row>
    <row r="82" spans="1:3">
      <c r="A82" s="55" t="str">
        <f>'Ratings worksheet'!A82</f>
        <v>Laos</v>
      </c>
      <c r="B82" s="70" t="str">
        <f>'Ratings worksheet'!B82</f>
        <v>NA</v>
      </c>
      <c r="C82" s="70" t="str">
        <f>IF('Ratings worksheet'!C82="NA",VLOOKUP('Ratings worksheet'!B82,'Sovereign Ratings (Moody''s,S&amp;P)'!$F$9:$G$33,2),'Ratings worksheet'!C82)</f>
        <v>B3</v>
      </c>
    </row>
    <row r="83" spans="1:3">
      <c r="A83" s="55" t="str">
        <f>'Ratings worksheet'!A83</f>
        <v>Latvia</v>
      </c>
      <c r="B83" s="70" t="str">
        <f>'Ratings worksheet'!B83</f>
        <v>A+</v>
      </c>
      <c r="C83" s="70" t="str">
        <f>IF('Ratings worksheet'!C83="NA",VLOOKUP('Ratings worksheet'!B83,'Sovereign Ratings (Moody''s,S&amp;P)'!$F$9:$G$33,2),'Ratings worksheet'!C83)</f>
        <v>A3</v>
      </c>
    </row>
    <row r="84" spans="1:3">
      <c r="A84" s="55" t="str">
        <f>'Ratings worksheet'!A84</f>
        <v>Lebanon</v>
      </c>
      <c r="B84" s="70" t="str">
        <f>'Ratings worksheet'!B84</f>
        <v>SD</v>
      </c>
      <c r="C84" s="70" t="str">
        <f>IF('Ratings worksheet'!C84="NA",VLOOKUP('Ratings worksheet'!B84,'Sovereign Ratings (Moody''s,S&amp;P)'!$F$9:$G$33,2),'Ratings worksheet'!C84)</f>
        <v>Ca</v>
      </c>
    </row>
    <row r="85" spans="1:3">
      <c r="A85" s="55" t="str">
        <f>'Ratings worksheet'!A85</f>
        <v>Liechtenstein</v>
      </c>
      <c r="B85" s="70" t="str">
        <f>'Ratings worksheet'!B85</f>
        <v>AAA</v>
      </c>
      <c r="C85" s="70" t="str">
        <f>IF('Ratings worksheet'!C85="NA",VLOOKUP('Ratings worksheet'!B85,'Sovereign Ratings (Moody''s,S&amp;P)'!$F$9:$G$33,2),'Ratings worksheet'!C85)</f>
        <v>Aaa</v>
      </c>
    </row>
    <row r="86" spans="1:3">
      <c r="A86" s="55" t="str">
        <f>'Ratings worksheet'!A86</f>
        <v>Lithuania</v>
      </c>
      <c r="B86" s="70" t="str">
        <f>'Ratings worksheet'!B86</f>
        <v>A+</v>
      </c>
      <c r="C86" s="70" t="str">
        <f>IF('Ratings worksheet'!C86="NA",VLOOKUP('Ratings worksheet'!B86,'Sovereign Ratings (Moody''s,S&amp;P)'!$F$9:$G$33,2),'Ratings worksheet'!C86)</f>
        <v>A3</v>
      </c>
    </row>
    <row r="87" spans="1:3">
      <c r="A87" s="55" t="str">
        <f>'Ratings worksheet'!A87</f>
        <v>Luxembourg</v>
      </c>
      <c r="B87" s="70" t="str">
        <f>'Ratings worksheet'!B87</f>
        <v>AAA</v>
      </c>
      <c r="C87" s="70" t="str">
        <f>IF('Ratings worksheet'!C87="NA",VLOOKUP('Ratings worksheet'!B87,'Sovereign Ratings (Moody''s,S&amp;P)'!$F$9:$G$33,2),'Ratings worksheet'!C87)</f>
        <v>Aaa</v>
      </c>
    </row>
    <row r="88" spans="1:3">
      <c r="A88" s="55" t="str">
        <f>'Ratings worksheet'!A88</f>
        <v>Macao</v>
      </c>
      <c r="B88" s="70" t="str">
        <f>'Ratings worksheet'!B88</f>
        <v>NA</v>
      </c>
      <c r="C88" s="70" t="str">
        <f>IF('Ratings worksheet'!C88="NA",VLOOKUP('Ratings worksheet'!B88,'Sovereign Ratings (Moody''s,S&amp;P)'!$F$9:$G$33,2),'Ratings worksheet'!C88)</f>
        <v>Aa3</v>
      </c>
    </row>
    <row r="89" spans="1:3">
      <c r="A89" s="55" t="str">
        <f>'Ratings worksheet'!A89</f>
        <v>Macedonia</v>
      </c>
      <c r="B89" s="70" t="str">
        <f>'Ratings worksheet'!B89</f>
        <v>BB-</v>
      </c>
      <c r="C89" s="70" t="str">
        <f>IF('Ratings worksheet'!C89="NA",VLOOKUP('Ratings worksheet'!B89,'Sovereign Ratings (Moody''s,S&amp;P)'!$F$9:$G$33,2),'Ratings worksheet'!C89)</f>
        <v>Ba3</v>
      </c>
    </row>
    <row r="90" spans="1:3">
      <c r="A90" s="55" t="str">
        <f>'Ratings worksheet'!A90</f>
        <v>Malaysia</v>
      </c>
      <c r="B90" s="70" t="str">
        <f>'Ratings worksheet'!B90</f>
        <v>A-</v>
      </c>
      <c r="C90" s="70" t="str">
        <f>IF('Ratings worksheet'!C90="NA",VLOOKUP('Ratings worksheet'!B90,'Sovereign Ratings (Moody''s,S&amp;P)'!$F$9:$G$33,2),'Ratings worksheet'!C90)</f>
        <v>A3</v>
      </c>
    </row>
    <row r="91" spans="1:3">
      <c r="A91" s="55" t="str">
        <f>'Ratings worksheet'!A91</f>
        <v>Maldives</v>
      </c>
      <c r="B91" s="70" t="str">
        <f>'Ratings worksheet'!B91</f>
        <v>NA</v>
      </c>
      <c r="C91" s="70" t="str">
        <f>IF('Ratings worksheet'!C91="NA",VLOOKUP('Ratings worksheet'!B91,'Sovereign Ratings (Moody''s,S&amp;P)'!$F$9:$G$33,2),'Ratings worksheet'!C91)</f>
        <v>B3</v>
      </c>
    </row>
    <row r="92" spans="1:3">
      <c r="A92" s="55" t="str">
        <f>'Ratings worksheet'!A92</f>
        <v>Mali</v>
      </c>
      <c r="B92" s="70" t="str">
        <f>'Ratings worksheet'!B92</f>
        <v>NA</v>
      </c>
      <c r="C92" s="70" t="str">
        <f>IF('Ratings worksheet'!C92="NA",VLOOKUP('Ratings worksheet'!B92,'Sovereign Ratings (Moody''s,S&amp;P)'!$F$9:$G$33,2),'Ratings worksheet'!C92)</f>
        <v>B3</v>
      </c>
    </row>
    <row r="93" spans="1:3">
      <c r="A93" s="55" t="str">
        <f>'Ratings worksheet'!A93</f>
        <v>Malta</v>
      </c>
      <c r="B93" s="70" t="str">
        <f>'Ratings worksheet'!B93</f>
        <v>A-</v>
      </c>
      <c r="C93" s="70" t="str">
        <f>IF('Ratings worksheet'!C93="NA",VLOOKUP('Ratings worksheet'!B93,'Sovereign Ratings (Moody''s,S&amp;P)'!$F$9:$G$33,2),'Ratings worksheet'!C93)</f>
        <v>A2</v>
      </c>
    </row>
    <row r="94" spans="1:3">
      <c r="A94" s="55" t="str">
        <f>'Ratings worksheet'!A94</f>
        <v>Mauritius</v>
      </c>
      <c r="B94" s="70" t="str">
        <f>'Ratings worksheet'!B94</f>
        <v>NA</v>
      </c>
      <c r="C94" s="70" t="str">
        <f>IF('Ratings worksheet'!C94="NA",VLOOKUP('Ratings worksheet'!B94,'Sovereign Ratings (Moody''s,S&amp;P)'!$F$9:$G$33,2),'Ratings worksheet'!C94)</f>
        <v>Baa1</v>
      </c>
    </row>
    <row r="95" spans="1:3">
      <c r="A95" s="55" t="str">
        <f>'Ratings worksheet'!A95</f>
        <v>Mexico</v>
      </c>
      <c r="B95" s="70" t="str">
        <f>'Ratings worksheet'!B95</f>
        <v>BBB</v>
      </c>
      <c r="C95" s="70" t="str">
        <f>IF('Ratings worksheet'!C95="NA",VLOOKUP('Ratings worksheet'!B95,'Sovereign Ratings (Moody''s,S&amp;P)'!$F$9:$G$33,2),'Ratings worksheet'!C95)</f>
        <v>Baa1</v>
      </c>
    </row>
    <row r="96" spans="1:3">
      <c r="A96" s="55" t="str">
        <f>'Ratings worksheet'!A96</f>
        <v>Moldova</v>
      </c>
      <c r="B96" s="70" t="str">
        <f>'Ratings worksheet'!B96</f>
        <v>NA</v>
      </c>
      <c r="C96" s="70" t="str">
        <f>IF('Ratings worksheet'!C96="NA",VLOOKUP('Ratings worksheet'!B96,'Sovereign Ratings (Moody''s,S&amp;P)'!$F$9:$G$33,2),'Ratings worksheet'!C96)</f>
        <v>B3</v>
      </c>
    </row>
    <row r="97" spans="1:3">
      <c r="A97" s="55" t="str">
        <f>'Ratings worksheet'!A97</f>
        <v>Mongolia</v>
      </c>
      <c r="B97" s="70" t="str">
        <f>'Ratings worksheet'!B97</f>
        <v>B</v>
      </c>
      <c r="C97" s="70" t="str">
        <f>IF('Ratings worksheet'!C97="NA",VLOOKUP('Ratings worksheet'!B97,'Sovereign Ratings (Moody''s,S&amp;P)'!$F$9:$G$33,2),'Ratings worksheet'!C97)</f>
        <v>B3</v>
      </c>
    </row>
    <row r="98" spans="1:3">
      <c r="A98" s="55" t="str">
        <f>'Ratings worksheet'!A98</f>
        <v>Montenegro</v>
      </c>
      <c r="B98" s="70" t="str">
        <f>'Ratings worksheet'!B98</f>
        <v>B+</v>
      </c>
      <c r="C98" s="70" t="str">
        <f>IF('Ratings worksheet'!C98="NA",VLOOKUP('Ratings worksheet'!B98,'Sovereign Ratings (Moody''s,S&amp;P)'!$F$9:$G$33,2),'Ratings worksheet'!C98)</f>
        <v>B1</v>
      </c>
    </row>
    <row r="99" spans="1:3">
      <c r="A99" s="55" t="str">
        <f>'Ratings worksheet'!A99</f>
        <v>Montserrat</v>
      </c>
      <c r="B99" s="70" t="str">
        <f>'Ratings worksheet'!B99</f>
        <v>BBB-</v>
      </c>
      <c r="C99" s="70" t="str">
        <f>IF('Ratings worksheet'!C99="NA",VLOOKUP('Ratings worksheet'!B99,'Sovereign Ratings (Moody''s,S&amp;P)'!$F$9:$G$33,2),'Ratings worksheet'!C99)</f>
        <v>Baa3</v>
      </c>
    </row>
    <row r="100" spans="1:3">
      <c r="A100" s="55" t="str">
        <f>'Ratings worksheet'!A100</f>
        <v>Morocco</v>
      </c>
      <c r="B100" s="70" t="str">
        <f>'Ratings worksheet'!B100</f>
        <v>BBB-</v>
      </c>
      <c r="C100" s="70" t="str">
        <f>IF('Ratings worksheet'!C100="NA",VLOOKUP('Ratings worksheet'!B100,'Sovereign Ratings (Moody''s,S&amp;P)'!$F$9:$G$33,2),'Ratings worksheet'!C100)</f>
        <v>Ba1</v>
      </c>
    </row>
    <row r="101" spans="1:3">
      <c r="A101" s="55" t="str">
        <f>'Ratings worksheet'!A101</f>
        <v>Mozambique</v>
      </c>
      <c r="B101" s="70" t="str">
        <f>'Ratings worksheet'!B101</f>
        <v>CCC+</v>
      </c>
      <c r="C101" s="70" t="str">
        <f>IF('Ratings worksheet'!C101="NA",VLOOKUP('Ratings worksheet'!B101,'Sovereign Ratings (Moody''s,S&amp;P)'!$F$9:$G$33,2),'Ratings worksheet'!C101)</f>
        <v>Caa2</v>
      </c>
    </row>
    <row r="102" spans="1:3">
      <c r="A102" s="55" t="str">
        <f>'Ratings worksheet'!A102</f>
        <v>Namibia</v>
      </c>
      <c r="B102" s="70" t="str">
        <f>'Ratings worksheet'!B102</f>
        <v>NA</v>
      </c>
      <c r="C102" s="70" t="str">
        <f>IF('Ratings worksheet'!C102="NA",VLOOKUP('Ratings worksheet'!B102,'Sovereign Ratings (Moody''s,S&amp;P)'!$F$9:$G$33,2),'Ratings worksheet'!C102)</f>
        <v>Ba2</v>
      </c>
    </row>
    <row r="103" spans="1:3">
      <c r="A103" s="55" t="str">
        <f>'Ratings worksheet'!A103</f>
        <v>Netherlands</v>
      </c>
      <c r="B103" s="70" t="str">
        <f>'Ratings worksheet'!B103</f>
        <v>AAA</v>
      </c>
      <c r="C103" s="70" t="str">
        <f>IF('Ratings worksheet'!C103="NA",VLOOKUP('Ratings worksheet'!B103,'Sovereign Ratings (Moody''s,S&amp;P)'!$F$9:$G$33,2),'Ratings worksheet'!C103)</f>
        <v>Aaa</v>
      </c>
    </row>
    <row r="104" spans="1:3">
      <c r="A104" s="55" t="str">
        <f>'Ratings worksheet'!A104</f>
        <v>New Zealand</v>
      </c>
      <c r="B104" s="70" t="str">
        <f>'Ratings worksheet'!B104</f>
        <v>AA</v>
      </c>
      <c r="C104" s="70" t="str">
        <f>IF('Ratings worksheet'!C104="NA",VLOOKUP('Ratings worksheet'!B104,'Sovereign Ratings (Moody''s,S&amp;P)'!$F$9:$G$33,2),'Ratings worksheet'!C104)</f>
        <v>Aaa</v>
      </c>
    </row>
    <row r="105" spans="1:3">
      <c r="A105" s="55" t="str">
        <f>'Ratings worksheet'!A105</f>
        <v>Nicaragua</v>
      </c>
      <c r="B105" s="70" t="str">
        <f>'Ratings worksheet'!B105</f>
        <v>B-</v>
      </c>
      <c r="C105" s="70" t="str">
        <f>IF('Ratings worksheet'!C105="NA",VLOOKUP('Ratings worksheet'!B105,'Sovereign Ratings (Moody''s,S&amp;P)'!$F$9:$G$33,2),'Ratings worksheet'!C105)</f>
        <v>B3</v>
      </c>
    </row>
    <row r="106" spans="1:3">
      <c r="A106" s="55" t="str">
        <f>'Ratings worksheet'!A106</f>
        <v>Niger</v>
      </c>
      <c r="B106" s="70" t="str">
        <f>'Ratings worksheet'!B106</f>
        <v>NA</v>
      </c>
      <c r="C106" s="70" t="str">
        <f>IF('Ratings worksheet'!C106="NA",VLOOKUP('Ratings worksheet'!B106,'Sovereign Ratings (Moody''s,S&amp;P)'!$F$9:$G$33,2),'Ratings worksheet'!C106)</f>
        <v>B3</v>
      </c>
    </row>
    <row r="107" spans="1:3">
      <c r="A107" s="55" t="str">
        <f>'Ratings worksheet'!A107</f>
        <v>Nigeria</v>
      </c>
      <c r="B107" s="70" t="str">
        <f>'Ratings worksheet'!B107</f>
        <v>B-</v>
      </c>
      <c r="C107" s="70" t="str">
        <f>IF('Ratings worksheet'!C107="NA",VLOOKUP('Ratings worksheet'!B107,'Sovereign Ratings (Moody''s,S&amp;P)'!$F$9:$G$33,2),'Ratings worksheet'!C107)</f>
        <v>B2</v>
      </c>
    </row>
    <row r="108" spans="1:3">
      <c r="A108" s="55" t="str">
        <f>'Ratings worksheet'!A108</f>
        <v>Norway</v>
      </c>
      <c r="B108" s="70" t="str">
        <f>'Ratings worksheet'!B108</f>
        <v>AAA</v>
      </c>
      <c r="C108" s="70" t="str">
        <f>IF('Ratings worksheet'!C108="NA",VLOOKUP('Ratings worksheet'!B108,'Sovereign Ratings (Moody''s,S&amp;P)'!$F$9:$G$33,2),'Ratings worksheet'!C108)</f>
        <v>Aaa</v>
      </c>
    </row>
    <row r="109" spans="1:3">
      <c r="A109" s="55" t="str">
        <f>'Ratings worksheet'!A109</f>
        <v>Oman</v>
      </c>
      <c r="B109" s="70" t="str">
        <f>'Ratings worksheet'!B109</f>
        <v>BB-</v>
      </c>
      <c r="C109" s="70" t="str">
        <f>IF('Ratings worksheet'!C109="NA",VLOOKUP('Ratings worksheet'!B109,'Sovereign Ratings (Moody''s,S&amp;P)'!$F$9:$G$33,2),'Ratings worksheet'!C109)</f>
        <v>Ba3</v>
      </c>
    </row>
    <row r="110" spans="1:3">
      <c r="A110" s="55" t="str">
        <f>'Ratings worksheet'!A110</f>
        <v>Pakistan</v>
      </c>
      <c r="B110" s="70" t="str">
        <f>'Ratings worksheet'!B110</f>
        <v>B-</v>
      </c>
      <c r="C110" s="70" t="str">
        <f>IF('Ratings worksheet'!C110="NA",VLOOKUP('Ratings worksheet'!B110,'Sovereign Ratings (Moody''s,S&amp;P)'!$F$9:$G$33,2),'Ratings worksheet'!C110)</f>
        <v>B3</v>
      </c>
    </row>
    <row r="111" spans="1:3">
      <c r="A111" s="55" t="str">
        <f>'Ratings worksheet'!A111</f>
        <v>Panama</v>
      </c>
      <c r="B111" s="70" t="str">
        <f>'Ratings worksheet'!B111</f>
        <v>BBB+</v>
      </c>
      <c r="C111" s="70" t="str">
        <f>IF('Ratings worksheet'!C111="NA",VLOOKUP('Ratings worksheet'!B111,'Sovereign Ratings (Moody''s,S&amp;P)'!$F$9:$G$33,2),'Ratings worksheet'!C111)</f>
        <v>Baa1</v>
      </c>
    </row>
    <row r="112" spans="1:3">
      <c r="A112" s="55" t="str">
        <f>'Ratings worksheet'!A112</f>
        <v>Papua New Guinea</v>
      </c>
      <c r="B112" s="70" t="str">
        <f>'Ratings worksheet'!B112</f>
        <v>B-</v>
      </c>
      <c r="C112" s="70" t="str">
        <f>IF('Ratings worksheet'!C112="NA",VLOOKUP('Ratings worksheet'!B112,'Sovereign Ratings (Moody''s,S&amp;P)'!$F$9:$G$33,2),'Ratings worksheet'!C112)</f>
        <v>B2</v>
      </c>
    </row>
    <row r="113" spans="1:3">
      <c r="A113" s="55" t="str">
        <f>'Ratings worksheet'!A113</f>
        <v>Paraguay</v>
      </c>
      <c r="B113" s="70" t="str">
        <f>'Ratings worksheet'!B113</f>
        <v>BB</v>
      </c>
      <c r="C113" s="70" t="str">
        <f>IF('Ratings worksheet'!C113="NA",VLOOKUP('Ratings worksheet'!B113,'Sovereign Ratings (Moody''s,S&amp;P)'!$F$9:$G$33,2),'Ratings worksheet'!C113)</f>
        <v>Ba1</v>
      </c>
    </row>
    <row r="114" spans="1:3">
      <c r="A114" s="55" t="str">
        <f>'Ratings worksheet'!A114</f>
        <v>Peru</v>
      </c>
      <c r="B114" s="70" t="str">
        <f>'Ratings worksheet'!B114</f>
        <v>BBB+</v>
      </c>
      <c r="C114" s="70" t="str">
        <f>IF('Ratings worksheet'!C114="NA",VLOOKUP('Ratings worksheet'!B114,'Sovereign Ratings (Moody''s,S&amp;P)'!$F$9:$G$33,2),'Ratings worksheet'!C114)</f>
        <v>A3</v>
      </c>
    </row>
    <row r="115" spans="1:3">
      <c r="A115" s="55" t="str">
        <f>'Ratings worksheet'!A115</f>
        <v>Philippines</v>
      </c>
      <c r="B115" s="70" t="str">
        <f>'Ratings worksheet'!B115</f>
        <v>BBB+</v>
      </c>
      <c r="C115" s="70" t="str">
        <f>IF('Ratings worksheet'!C115="NA",VLOOKUP('Ratings worksheet'!B115,'Sovereign Ratings (Moody''s,S&amp;P)'!$F$9:$G$33,2),'Ratings worksheet'!C115)</f>
        <v>Baa2</v>
      </c>
    </row>
    <row r="116" spans="1:3">
      <c r="A116" s="55" t="str">
        <f>'Ratings worksheet'!A116</f>
        <v>Poland</v>
      </c>
      <c r="B116" s="70" t="str">
        <f>'Ratings worksheet'!B116</f>
        <v>A-</v>
      </c>
      <c r="C116" s="70" t="str">
        <f>IF('Ratings worksheet'!C116="NA",VLOOKUP('Ratings worksheet'!B116,'Sovereign Ratings (Moody''s,S&amp;P)'!$F$9:$G$33,2),'Ratings worksheet'!C116)</f>
        <v>A2</v>
      </c>
    </row>
    <row r="117" spans="1:3">
      <c r="A117" s="55" t="str">
        <f>'Ratings worksheet'!A117</f>
        <v>Portugal</v>
      </c>
      <c r="B117" s="70" t="str">
        <f>'Ratings worksheet'!B117</f>
        <v>BBB</v>
      </c>
      <c r="C117" s="70" t="str">
        <f>IF('Ratings worksheet'!C117="NA",VLOOKUP('Ratings worksheet'!B117,'Sovereign Ratings (Moody''s,S&amp;P)'!$F$9:$G$33,2),'Ratings worksheet'!C117)</f>
        <v>Baa3</v>
      </c>
    </row>
    <row r="118" spans="1:3">
      <c r="A118" s="55" t="str">
        <f>'Ratings worksheet'!A118</f>
        <v>Qatar</v>
      </c>
      <c r="B118" s="70" t="str">
        <f>'Ratings worksheet'!B118</f>
        <v>AA-</v>
      </c>
      <c r="C118" s="70" t="str">
        <f>IF('Ratings worksheet'!C118="NA",VLOOKUP('Ratings worksheet'!B118,'Sovereign Ratings (Moody''s,S&amp;P)'!$F$9:$G$33,2),'Ratings worksheet'!C118)</f>
        <v>Aa3</v>
      </c>
    </row>
    <row r="119" spans="1:3">
      <c r="A119" s="55" t="str">
        <f>'Ratings worksheet'!A119</f>
        <v>Ras Al Khaimah (Emirate of)</v>
      </c>
      <c r="B119" s="70" t="str">
        <f>'Ratings worksheet'!B119</f>
        <v>A</v>
      </c>
      <c r="C119" s="70" t="str">
        <f>IF('Ratings worksheet'!C119="NA",VLOOKUP('Ratings worksheet'!B119,'Sovereign Ratings (Moody''s,S&amp;P)'!$F$9:$G$33,2),'Ratings worksheet'!C119)</f>
        <v>A2</v>
      </c>
    </row>
    <row r="120" spans="1:3">
      <c r="A120" s="55" t="str">
        <f>'Ratings worksheet'!A120</f>
        <v>Romania</v>
      </c>
      <c r="B120" s="70" t="str">
        <f>'Ratings worksheet'!B120</f>
        <v>BBB-</v>
      </c>
      <c r="C120" s="70" t="str">
        <f>IF('Ratings worksheet'!C120="NA",VLOOKUP('Ratings worksheet'!B120,'Sovereign Ratings (Moody''s,S&amp;P)'!$F$9:$G$33,2),'Ratings worksheet'!C120)</f>
        <v>Baa3</v>
      </c>
    </row>
    <row r="121" spans="1:3">
      <c r="A121" s="55" t="str">
        <f>'Ratings worksheet'!A121</f>
        <v>Russia</v>
      </c>
      <c r="B121" s="70" t="str">
        <f>'Ratings worksheet'!B121</f>
        <v>BBB-</v>
      </c>
      <c r="C121" s="70" t="str">
        <f>IF('Ratings worksheet'!C121="NA",VLOOKUP('Ratings worksheet'!B121,'Sovereign Ratings (Moody''s,S&amp;P)'!$F$9:$G$33,2),'Ratings worksheet'!C121)</f>
        <v>Baa3</v>
      </c>
    </row>
    <row r="122" spans="1:3">
      <c r="A122" s="55" t="str">
        <f>'Ratings worksheet'!A122</f>
        <v>Rwanda</v>
      </c>
      <c r="B122" s="70" t="str">
        <f>'Ratings worksheet'!B122</f>
        <v>B+</v>
      </c>
      <c r="C122" s="70" t="str">
        <f>IF('Ratings worksheet'!C122="NA",VLOOKUP('Ratings worksheet'!B122,'Sovereign Ratings (Moody''s,S&amp;P)'!$F$9:$G$33,2),'Ratings worksheet'!C122)</f>
        <v>B2</v>
      </c>
    </row>
    <row r="123" spans="1:3">
      <c r="A123" s="55" t="str">
        <f>'Ratings worksheet'!A123</f>
        <v>Saudi Arabia</v>
      </c>
      <c r="B123" s="70" t="str">
        <f>'Ratings worksheet'!B123</f>
        <v>A-</v>
      </c>
      <c r="C123" s="70" t="str">
        <f>IF('Ratings worksheet'!C123="NA",VLOOKUP('Ratings worksheet'!B123,'Sovereign Ratings (Moody''s,S&amp;P)'!$F$9:$G$33,2),'Ratings worksheet'!C123)</f>
        <v>A1</v>
      </c>
    </row>
    <row r="124" spans="1:3">
      <c r="A124" s="55" t="str">
        <f>'Ratings worksheet'!A124</f>
        <v>Senegal</v>
      </c>
      <c r="B124" s="70" t="str">
        <f>'Ratings worksheet'!B124</f>
        <v>B+</v>
      </c>
      <c r="C124" s="70" t="str">
        <f>IF('Ratings worksheet'!C124="NA",VLOOKUP('Ratings worksheet'!B124,'Sovereign Ratings (Moody''s,S&amp;P)'!$F$9:$G$33,2),'Ratings worksheet'!C124)</f>
        <v>Ba3</v>
      </c>
    </row>
    <row r="125" spans="1:3">
      <c r="A125" s="55" t="str">
        <f>'Ratings worksheet'!A125</f>
        <v>Serbia</v>
      </c>
      <c r="B125" s="70" t="str">
        <f>'Ratings worksheet'!B125</f>
        <v>BB+</v>
      </c>
      <c r="C125" s="70" t="str">
        <f>IF('Ratings worksheet'!C125="NA",VLOOKUP('Ratings worksheet'!B125,'Sovereign Ratings (Moody''s,S&amp;P)'!$F$9:$G$33,2),'Ratings worksheet'!C125)</f>
        <v>Ba3</v>
      </c>
    </row>
    <row r="126" spans="1:3">
      <c r="A126" s="55" t="str">
        <f>'Ratings worksheet'!A126</f>
        <v>Sharjah</v>
      </c>
      <c r="B126" s="70" t="str">
        <f>'Ratings worksheet'!B126</f>
        <v>BBB</v>
      </c>
      <c r="C126" s="70" t="str">
        <f>IF('Ratings worksheet'!C126="NA",VLOOKUP('Ratings worksheet'!B126,'Sovereign Ratings (Moody''s,S&amp;P)'!$F$9:$G$33,2),'Ratings worksheet'!C126)</f>
        <v>Baa2</v>
      </c>
    </row>
    <row r="127" spans="1:3">
      <c r="A127" s="55" t="str">
        <f>'Ratings worksheet'!A127</f>
        <v>Singapore</v>
      </c>
      <c r="B127" s="70" t="str">
        <f>'Ratings worksheet'!B127</f>
        <v>AAA</v>
      </c>
      <c r="C127" s="70" t="str">
        <f>IF('Ratings worksheet'!C127="NA",VLOOKUP('Ratings worksheet'!B127,'Sovereign Ratings (Moody''s,S&amp;P)'!$F$9:$G$33,2),'Ratings worksheet'!C127)</f>
        <v>Aaa</v>
      </c>
    </row>
    <row r="128" spans="1:3">
      <c r="A128" s="55" t="str">
        <f>'Ratings worksheet'!A128</f>
        <v>Slovakia</v>
      </c>
      <c r="B128" s="70" t="str">
        <f>'Ratings worksheet'!B128</f>
        <v>A+</v>
      </c>
      <c r="C128" s="70" t="str">
        <f>IF('Ratings worksheet'!C128="NA",VLOOKUP('Ratings worksheet'!B128,'Sovereign Ratings (Moody''s,S&amp;P)'!$F$9:$G$33,2),'Ratings worksheet'!C128)</f>
        <v>A2</v>
      </c>
    </row>
    <row r="129" spans="1:3">
      <c r="A129" s="55" t="str">
        <f>'Ratings worksheet'!A129</f>
        <v>Slovenia</v>
      </c>
      <c r="B129" s="70" t="str">
        <f>'Ratings worksheet'!B129</f>
        <v>AA-</v>
      </c>
      <c r="C129" s="70" t="str">
        <f>IF('Ratings worksheet'!C129="NA",VLOOKUP('Ratings worksheet'!B129,'Sovereign Ratings (Moody''s,S&amp;P)'!$F$9:$G$33,2),'Ratings worksheet'!C129)</f>
        <v>Baa1</v>
      </c>
    </row>
    <row r="130" spans="1:3">
      <c r="A130" s="55" t="str">
        <f>'Ratings worksheet'!A130</f>
        <v>Solomon Islands</v>
      </c>
      <c r="B130" s="70" t="str">
        <f>'Ratings worksheet'!B130</f>
        <v>NA</v>
      </c>
      <c r="C130" s="70" t="str">
        <f>IF('Ratings worksheet'!C130="NA",VLOOKUP('Ratings worksheet'!B130,'Sovereign Ratings (Moody''s,S&amp;P)'!$F$9:$G$33,2),'Ratings worksheet'!C130)</f>
        <v>B3</v>
      </c>
    </row>
    <row r="131" spans="1:3">
      <c r="A131" s="55" t="str">
        <f>'Ratings worksheet'!A131</f>
        <v>South Africa</v>
      </c>
      <c r="B131" s="70" t="str">
        <f>'Ratings worksheet'!B131</f>
        <v>BB-</v>
      </c>
      <c r="C131" s="70" t="str">
        <f>IF('Ratings worksheet'!C131="NA",VLOOKUP('Ratings worksheet'!B131,'Sovereign Ratings (Moody''s,S&amp;P)'!$F$9:$G$33,2),'Ratings worksheet'!C131)</f>
        <v>Ba1</v>
      </c>
    </row>
    <row r="132" spans="1:3">
      <c r="A132" s="55" t="str">
        <f>'Ratings worksheet'!A132</f>
        <v>Spain</v>
      </c>
      <c r="B132" s="70" t="str">
        <f>'Ratings worksheet'!B132</f>
        <v>A</v>
      </c>
      <c r="C132" s="70" t="str">
        <f>IF('Ratings worksheet'!C132="NA",VLOOKUP('Ratings worksheet'!B132,'Sovereign Ratings (Moody''s,S&amp;P)'!$F$9:$G$33,2),'Ratings worksheet'!C132)</f>
        <v>Baa1</v>
      </c>
    </row>
    <row r="133" spans="1:3">
      <c r="A133" s="55" t="str">
        <f>'Ratings worksheet'!A133</f>
        <v>Sri Lanka</v>
      </c>
      <c r="B133" s="70" t="str">
        <f>'Ratings worksheet'!B133</f>
        <v>B</v>
      </c>
      <c r="C133" s="70" t="str">
        <f>IF('Ratings worksheet'!C133="NA",VLOOKUP('Ratings worksheet'!B133,'Sovereign Ratings (Moody''s,S&amp;P)'!$F$9:$G$33,2),'Ratings worksheet'!C133)</f>
        <v>B2</v>
      </c>
    </row>
    <row r="134" spans="1:3">
      <c r="A134" s="55" t="str">
        <f>'Ratings worksheet'!A134</f>
        <v>St. Maarten</v>
      </c>
      <c r="B134" s="70" t="str">
        <f>'Ratings worksheet'!B134</f>
        <v>NA</v>
      </c>
      <c r="C134" s="70" t="str">
        <f>IF('Ratings worksheet'!C134="NA",VLOOKUP('Ratings worksheet'!B134,'Sovereign Ratings (Moody''s,S&amp;P)'!$F$9:$G$33,2),'Ratings worksheet'!C134)</f>
        <v>Baa3</v>
      </c>
    </row>
    <row r="135" spans="1:3">
      <c r="A135" s="55" t="str">
        <f>'Ratings worksheet'!A135</f>
        <v>St. Vincent &amp; the Grenadines</v>
      </c>
      <c r="B135" s="70" t="str">
        <f>'Ratings worksheet'!B135</f>
        <v>NA</v>
      </c>
      <c r="C135" s="70" t="str">
        <f>IF('Ratings worksheet'!C135="NA",VLOOKUP('Ratings worksheet'!B135,'Sovereign Ratings (Moody''s,S&amp;P)'!$F$9:$G$33,2),'Ratings worksheet'!C135)</f>
        <v>B3</v>
      </c>
    </row>
    <row r="136" spans="1:3">
      <c r="A136" s="55" t="str">
        <f>'Ratings worksheet'!A136</f>
        <v>Suriname</v>
      </c>
      <c r="B136" s="70" t="str">
        <f>'Ratings worksheet'!B136</f>
        <v>CCC+</v>
      </c>
      <c r="C136" s="70" t="str">
        <f>IF('Ratings worksheet'!C136="NA",VLOOKUP('Ratings worksheet'!B136,'Sovereign Ratings (Moody''s,S&amp;P)'!$F$9:$G$33,2),'Ratings worksheet'!C136)</f>
        <v>B3</v>
      </c>
    </row>
    <row r="137" spans="1:3">
      <c r="A137" s="55" t="str">
        <f>'Ratings worksheet'!A137</f>
        <v>Swaziland</v>
      </c>
      <c r="B137" s="70" t="str">
        <f>'Ratings worksheet'!B137</f>
        <v>NA</v>
      </c>
      <c r="C137" s="70" t="str">
        <f>IF('Ratings worksheet'!C137="NA",VLOOKUP('Ratings worksheet'!B137,'Sovereign Ratings (Moody''s,S&amp;P)'!$F$9:$G$33,2),'Ratings worksheet'!C137)</f>
        <v>B2</v>
      </c>
    </row>
    <row r="138" spans="1:3">
      <c r="A138" s="55" t="str">
        <f>'Ratings worksheet'!A138</f>
        <v>Sweden</v>
      </c>
      <c r="B138" s="70" t="str">
        <f>'Ratings worksheet'!B138</f>
        <v>AAA</v>
      </c>
      <c r="C138" s="70" t="str">
        <f>IF('Ratings worksheet'!C138="NA",VLOOKUP('Ratings worksheet'!B138,'Sovereign Ratings (Moody''s,S&amp;P)'!$F$9:$G$33,2),'Ratings worksheet'!C138)</f>
        <v>Aaa</v>
      </c>
    </row>
    <row r="139" spans="1:3">
      <c r="A139" s="55" t="str">
        <f>'Ratings worksheet'!A139</f>
        <v>Switzerland</v>
      </c>
      <c r="B139" s="70" t="str">
        <f>'Ratings worksheet'!B139</f>
        <v>AAA</v>
      </c>
      <c r="C139" s="70" t="str">
        <f>IF('Ratings worksheet'!C139="NA",VLOOKUP('Ratings worksheet'!B139,'Sovereign Ratings (Moody''s,S&amp;P)'!$F$9:$G$33,2),'Ratings worksheet'!C139)</f>
        <v>Aaa</v>
      </c>
    </row>
    <row r="140" spans="1:3">
      <c r="A140" s="55" t="str">
        <f>'Ratings worksheet'!A140</f>
        <v>Taiwan</v>
      </c>
      <c r="B140" s="70" t="str">
        <f>'Ratings worksheet'!B140</f>
        <v>AA-</v>
      </c>
      <c r="C140" s="70" t="str">
        <f>IF('Ratings worksheet'!C140="NA",VLOOKUP('Ratings worksheet'!B140,'Sovereign Ratings (Moody''s,S&amp;P)'!$F$9:$G$33,2),'Ratings worksheet'!C140)</f>
        <v>Aa3</v>
      </c>
    </row>
    <row r="141" spans="1:3">
      <c r="A141" s="55" t="str">
        <f>'Ratings worksheet'!A141</f>
        <v>Tajikistan</v>
      </c>
      <c r="B141" s="70" t="str">
        <f>'Ratings worksheet'!B141</f>
        <v>B-</v>
      </c>
      <c r="C141" s="70" t="str">
        <f>IF('Ratings worksheet'!C141="NA",VLOOKUP('Ratings worksheet'!B141,'Sovereign Ratings (Moody''s,S&amp;P)'!$F$9:$G$33,2),'Ratings worksheet'!C141)</f>
        <v>B3</v>
      </c>
    </row>
    <row r="142" spans="1:3">
      <c r="A142" s="55" t="str">
        <f>'Ratings worksheet'!A142</f>
        <v>Tanzania</v>
      </c>
      <c r="B142" s="70" t="str">
        <f>'Ratings worksheet'!B142</f>
        <v>NA</v>
      </c>
      <c r="C142" s="70" t="str">
        <f>IF('Ratings worksheet'!C142="NA",VLOOKUP('Ratings worksheet'!B142,'Sovereign Ratings (Moody''s,S&amp;P)'!$F$9:$G$33,2),'Ratings worksheet'!C142)</f>
        <v>B1</v>
      </c>
    </row>
    <row r="143" spans="1:3">
      <c r="A143" s="55" t="str">
        <f>'Ratings worksheet'!A143</f>
        <v>Thailand</v>
      </c>
      <c r="B143" s="70" t="str">
        <f>'Ratings worksheet'!B143</f>
        <v>BBB+</v>
      </c>
      <c r="C143" s="70" t="str">
        <f>IF('Ratings worksheet'!C143="NA",VLOOKUP('Ratings worksheet'!B143,'Sovereign Ratings (Moody''s,S&amp;P)'!$F$9:$G$33,2),'Ratings worksheet'!C143)</f>
        <v>Baa1</v>
      </c>
    </row>
    <row r="144" spans="1:3">
      <c r="A144" s="55" t="str">
        <f>'Ratings worksheet'!A144</f>
        <v>Togo</v>
      </c>
      <c r="B144" s="70" t="str">
        <f>'Ratings worksheet'!B144</f>
        <v>B</v>
      </c>
      <c r="C144" s="70" t="str">
        <f>IF('Ratings worksheet'!C144="NA",VLOOKUP('Ratings worksheet'!B144,'Sovereign Ratings (Moody''s,S&amp;P)'!$F$9:$G$33,2),'Ratings worksheet'!C144)</f>
        <v>B3</v>
      </c>
    </row>
    <row r="145" spans="1:3">
      <c r="A145" s="55" t="str">
        <f>'Ratings worksheet'!A145</f>
        <v>Trinidad and Tobago</v>
      </c>
      <c r="B145" s="70" t="str">
        <f>'Ratings worksheet'!B145</f>
        <v>BBB-</v>
      </c>
      <c r="C145" s="70" t="str">
        <f>IF('Ratings worksheet'!C145="NA",VLOOKUP('Ratings worksheet'!B145,'Sovereign Ratings (Moody''s,S&amp;P)'!$F$9:$G$33,2),'Ratings worksheet'!C145)</f>
        <v>Ba1</v>
      </c>
    </row>
    <row r="146" spans="1:3">
      <c r="A146" s="55" t="str">
        <f>'Ratings worksheet'!A146</f>
        <v>Tunisia</v>
      </c>
      <c r="B146" s="70" t="str">
        <f>'Ratings worksheet'!B146</f>
        <v>NA</v>
      </c>
      <c r="C146" s="70" t="str">
        <f>IF('Ratings worksheet'!C146="NA",VLOOKUP('Ratings worksheet'!B146,'Sovereign Ratings (Moody''s,S&amp;P)'!$F$9:$G$33,2),'Ratings worksheet'!C146)</f>
        <v>B2</v>
      </c>
    </row>
    <row r="147" spans="1:3">
      <c r="A147" s="55" t="str">
        <f>'Ratings worksheet'!A147</f>
        <v>Turkey</v>
      </c>
      <c r="B147" s="70" t="str">
        <f>'Ratings worksheet'!B147</f>
        <v>B+</v>
      </c>
      <c r="C147" s="70" t="str">
        <f>IF('Ratings worksheet'!C147="NA",VLOOKUP('Ratings worksheet'!B147,'Sovereign Ratings (Moody''s,S&amp;P)'!$F$9:$G$33,2),'Ratings worksheet'!C147)</f>
        <v>B1</v>
      </c>
    </row>
    <row r="148" spans="1:3">
      <c r="A148" s="55" t="str">
        <f>'Ratings worksheet'!A148</f>
        <v>Turks and Caicos Islands</v>
      </c>
      <c r="B148" s="70" t="str">
        <f>'Ratings worksheet'!B148</f>
        <v>BBB+</v>
      </c>
      <c r="C148" s="70" t="str">
        <f>IF('Ratings worksheet'!C148="NA",VLOOKUP('Ratings worksheet'!B148,'Sovereign Ratings (Moody''s,S&amp;P)'!$F$9:$G$33,2),'Ratings worksheet'!C148)</f>
        <v>Baa1</v>
      </c>
    </row>
    <row r="149" spans="1:3">
      <c r="A149" s="55" t="str">
        <f>'Ratings worksheet'!A149</f>
        <v>Uganda</v>
      </c>
      <c r="B149" s="70" t="str">
        <f>'Ratings worksheet'!B149</f>
        <v>B</v>
      </c>
      <c r="C149" s="70" t="str">
        <f>IF('Ratings worksheet'!C149="NA",VLOOKUP('Ratings worksheet'!B149,'Sovereign Ratings (Moody''s,S&amp;P)'!$F$9:$G$33,2),'Ratings worksheet'!C149)</f>
        <v>B2</v>
      </c>
    </row>
    <row r="150" spans="1:3">
      <c r="A150" s="55" t="str">
        <f>'Ratings worksheet'!A150</f>
        <v>Ukraine</v>
      </c>
      <c r="B150" s="70" t="str">
        <f>'Ratings worksheet'!B150</f>
        <v>B</v>
      </c>
      <c r="C150" s="70" t="str">
        <f>IF('Ratings worksheet'!C150="NA",VLOOKUP('Ratings worksheet'!B150,'Sovereign Ratings (Moody''s,S&amp;P)'!$F$9:$G$33,2),'Ratings worksheet'!C150)</f>
        <v>B3</v>
      </c>
    </row>
    <row r="151" spans="1:3">
      <c r="A151" s="55" t="str">
        <f>'Ratings worksheet'!A151</f>
        <v>United Arab Emirates</v>
      </c>
      <c r="B151" s="70" t="str">
        <f>'Ratings worksheet'!B151</f>
        <v>NA</v>
      </c>
      <c r="C151" s="70" t="str">
        <f>IF('Ratings worksheet'!C151="NA",VLOOKUP('Ratings worksheet'!B151,'Sovereign Ratings (Moody''s,S&amp;P)'!$F$9:$G$33,2),'Ratings worksheet'!C151)</f>
        <v>Aa2</v>
      </c>
    </row>
    <row r="152" spans="1:3">
      <c r="A152" s="55" t="str">
        <f>'Ratings worksheet'!A152</f>
        <v>United Kingdom</v>
      </c>
      <c r="B152" s="70" t="str">
        <f>'Ratings worksheet'!B152</f>
        <v>AA</v>
      </c>
      <c r="C152" s="70" t="str">
        <f>IF('Ratings worksheet'!C152="NA",VLOOKUP('Ratings worksheet'!B152,'Sovereign Ratings (Moody''s,S&amp;P)'!$F$9:$G$33,2),'Ratings worksheet'!C152)</f>
        <v>Aa2</v>
      </c>
    </row>
    <row r="153" spans="1:3">
      <c r="A153" s="55" t="str">
        <f>'Ratings worksheet'!A153</f>
        <v>United States</v>
      </c>
      <c r="B153" s="70" t="str">
        <f>'Ratings worksheet'!B153</f>
        <v>AA+</v>
      </c>
      <c r="C153" s="70" t="str">
        <f>IF('Ratings worksheet'!C153="NA",VLOOKUP('Ratings worksheet'!B153,'Sovereign Ratings (Moody''s,S&amp;P)'!$F$9:$G$33,2),'Ratings worksheet'!C153)</f>
        <v>Aaa</v>
      </c>
    </row>
    <row r="154" spans="1:3">
      <c r="A154" s="55" t="str">
        <f>'Ratings worksheet'!A154</f>
        <v>Uruguay</v>
      </c>
      <c r="B154" s="70" t="str">
        <f>'Ratings worksheet'!B154</f>
        <v>BBB</v>
      </c>
      <c r="C154" s="70" t="str">
        <f>IF('Ratings worksheet'!C154="NA",VLOOKUP('Ratings worksheet'!B154,'Sovereign Ratings (Moody''s,S&amp;P)'!$F$9:$G$33,2),'Ratings worksheet'!C154)</f>
        <v>Baa2</v>
      </c>
    </row>
    <row r="155" spans="1:3">
      <c r="A155" s="55" t="str">
        <f>'Ratings worksheet'!A155</f>
        <v>Uzbekistan</v>
      </c>
      <c r="B155" s="70" t="str">
        <f>'Ratings worksheet'!B155</f>
        <v>BB-</v>
      </c>
      <c r="C155" s="70" t="str">
        <f>IF('Ratings worksheet'!C155="NA",VLOOKUP('Ratings worksheet'!B155,'Sovereign Ratings (Moody''s,S&amp;P)'!$F$9:$G$33,2),'Ratings worksheet'!C155)</f>
        <v>B1</v>
      </c>
    </row>
    <row r="156" spans="1:3">
      <c r="A156" s="55" t="str">
        <f>'Ratings worksheet'!A156</f>
        <v>Venezuela</v>
      </c>
      <c r="B156" s="70" t="str">
        <f>'Ratings worksheet'!B156</f>
        <v>SD</v>
      </c>
      <c r="C156" s="70" t="str">
        <f>IF('Ratings worksheet'!C156="NA",VLOOKUP('Ratings worksheet'!B156,'Sovereign Ratings (Moody''s,S&amp;P)'!$F$9:$G$33,2),'Ratings worksheet'!C156)</f>
        <v>C</v>
      </c>
    </row>
    <row r="157" spans="1:3">
      <c r="A157" s="55" t="str">
        <f>'Ratings worksheet'!A157</f>
        <v>Vietnam</v>
      </c>
      <c r="B157" s="70" t="str">
        <f>'Ratings worksheet'!B157</f>
        <v>BB</v>
      </c>
      <c r="C157" s="70" t="str">
        <f>IF('Ratings worksheet'!C157="NA",VLOOKUP('Ratings worksheet'!B157,'Sovereign Ratings (Moody''s,S&amp;P)'!$F$9:$G$33,2),'Ratings worksheet'!C157)</f>
        <v>Ba3</v>
      </c>
    </row>
    <row r="158" spans="1:3">
      <c r="A158" s="55" t="str">
        <f>'Ratings worksheet'!A158</f>
        <v>Zambia</v>
      </c>
      <c r="B158" s="70" t="str">
        <f>'Ratings worksheet'!B158</f>
        <v>CCC</v>
      </c>
      <c r="C158" s="70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9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84" sqref="B84"/>
    </sheetView>
  </sheetViews>
  <sheetFormatPr baseColWidth="10" defaultRowHeight="12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4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8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8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8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9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4" t="s">
        <v>288</v>
      </c>
      <c r="B35" s="10" t="s">
        <v>128</v>
      </c>
    </row>
    <row r="36" spans="1:2" ht="16">
      <c r="A36" s="54" t="s">
        <v>289</v>
      </c>
      <c r="B36" s="10" t="s">
        <v>128</v>
      </c>
    </row>
    <row r="37" spans="1:2" ht="16">
      <c r="A37" s="39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4" t="s">
        <v>284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8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7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4" t="s">
        <v>285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8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4" t="s">
        <v>290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332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4" t="s">
        <v>291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354</v>
      </c>
      <c r="B82" s="10" t="s">
        <v>125</v>
      </c>
    </row>
    <row r="83" spans="1:2" ht="16">
      <c r="A83" s="246" t="s">
        <v>344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9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9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419</v>
      </c>
      <c r="B92" s="10" t="s">
        <v>129</v>
      </c>
    </row>
    <row r="93" spans="1:2" ht="16">
      <c r="A93" s="10" t="s">
        <v>326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129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8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9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322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7" t="s">
        <v>273</v>
      </c>
      <c r="B120" s="10" t="s">
        <v>127</v>
      </c>
    </row>
    <row r="121" spans="1:2" ht="16">
      <c r="A121" s="47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9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9" t="s">
        <v>147</v>
      </c>
      <c r="B127" s="10" t="s">
        <v>125</v>
      </c>
    </row>
    <row r="128" spans="1:2" ht="16">
      <c r="A128" s="54" t="s">
        <v>286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432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1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418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415</v>
      </c>
      <c r="B143" s="10" t="s">
        <v>125</v>
      </c>
    </row>
    <row r="144" spans="1:2" ht="16">
      <c r="A144" s="10" t="s">
        <v>333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325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299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357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406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Sheet1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2020-07-13T18:22:24Z</dcterms:modified>
</cp:coreProperties>
</file>