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 TCC\A1_IEEE123Bus\Dados do IEEE123B\"/>
    </mc:Choice>
  </mc:AlternateContent>
  <xr:revisionPtr revIDLastSave="0" documentId="13_ncr:1_{C0109A57-A920-4610-91D6-0B429F4F5BA6}" xr6:coauthVersionLast="47" xr6:coauthVersionMax="47" xr10:uidLastSave="{00000000-0000-0000-0000-000000000000}"/>
  <bookViews>
    <workbookView xWindow="20370" yWindow="1995" windowWidth="20730" windowHeight="11160" activeTab="1" xr2:uid="{2C575F3C-8966-42E1-A125-32597DAA7D9C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L76" i="1"/>
  <c r="L77" i="1" s="1"/>
  <c r="H36" i="1"/>
  <c r="N68" i="1"/>
  <c r="N69" i="1"/>
  <c r="N70" i="1"/>
  <c r="N71" i="1"/>
  <c r="N72" i="1"/>
  <c r="N73" i="1"/>
  <c r="N74" i="1"/>
  <c r="N75" i="1"/>
  <c r="N76" i="1"/>
  <c r="N77" i="1"/>
  <c r="N67" i="1"/>
  <c r="L69" i="1"/>
  <c r="L70" i="1" s="1"/>
  <c r="L71" i="1" s="1"/>
  <c r="L72" i="1" s="1"/>
  <c r="L73" i="1" s="1"/>
  <c r="L74" i="1" s="1"/>
  <c r="L75" i="1" s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47" i="1"/>
  <c r="N48" i="1"/>
  <c r="N49" i="1"/>
  <c r="N50" i="1"/>
  <c r="N51" i="1"/>
  <c r="N52" i="1"/>
  <c r="N53" i="1"/>
  <c r="M53" i="1"/>
  <c r="M52" i="1"/>
  <c r="M51" i="1"/>
  <c r="M50" i="1"/>
  <c r="M49" i="1"/>
  <c r="M48" i="1"/>
  <c r="M47" i="1"/>
  <c r="M41" i="1"/>
  <c r="M42" i="1"/>
  <c r="M43" i="1"/>
  <c r="M44" i="1"/>
  <c r="M45" i="1"/>
  <c r="M46" i="1"/>
  <c r="M40" i="1"/>
  <c r="L4" i="1"/>
  <c r="L3" i="1"/>
  <c r="L2" i="1"/>
  <c r="M4" i="1"/>
  <c r="M3" i="1"/>
  <c r="M2" i="1"/>
  <c r="P13" i="1"/>
  <c r="C16" i="1"/>
  <c r="D23" i="1" s="1"/>
  <c r="L5" i="1"/>
  <c r="K5" i="1"/>
  <c r="K4" i="1"/>
  <c r="K3" i="1"/>
  <c r="K2" i="1"/>
  <c r="O52" i="1" l="1"/>
  <c r="O62" i="1"/>
  <c r="E26" i="1"/>
  <c r="G28" i="1"/>
  <c r="E25" i="1"/>
  <c r="G23" i="1"/>
  <c r="O48" i="1"/>
  <c r="O60" i="1"/>
  <c r="G27" i="1"/>
  <c r="D25" i="1"/>
  <c r="F23" i="1"/>
  <c r="G17" i="1" s="1"/>
  <c r="D24" i="1"/>
  <c r="F26" i="1"/>
  <c r="E24" i="1"/>
  <c r="C23" i="1"/>
  <c r="N4" i="1"/>
  <c r="O4" i="1" s="1"/>
  <c r="O51" i="1"/>
  <c r="O47" i="1"/>
  <c r="O50" i="1"/>
  <c r="O57" i="1"/>
  <c r="O58" i="1"/>
  <c r="O53" i="1"/>
  <c r="O49" i="1"/>
  <c r="O59" i="1"/>
  <c r="O61" i="1"/>
  <c r="O63" i="1"/>
  <c r="N3" i="1"/>
  <c r="P3" i="1" s="1"/>
  <c r="P4" i="1"/>
  <c r="B23" i="1"/>
  <c r="B30" i="1" s="1"/>
  <c r="F27" i="1"/>
  <c r="G25" i="1"/>
  <c r="G24" i="1"/>
  <c r="C24" i="1"/>
  <c r="E23" i="1"/>
  <c r="E31" i="1" s="1"/>
  <c r="M5" i="1"/>
  <c r="N5" i="1" s="1"/>
  <c r="N2" i="1"/>
  <c r="G26" i="1"/>
  <c r="G34" i="1" s="1"/>
  <c r="F25" i="1"/>
  <c r="F24" i="1"/>
  <c r="F32" i="1" s="1"/>
  <c r="H23" i="1"/>
  <c r="G33" i="1" l="1"/>
  <c r="F33" i="1"/>
  <c r="E32" i="1"/>
  <c r="F31" i="1"/>
  <c r="G31" i="1"/>
  <c r="I24" i="1"/>
  <c r="G32" i="1"/>
  <c r="D31" i="1"/>
  <c r="D32" i="1"/>
  <c r="C30" i="1"/>
  <c r="F34" i="1"/>
  <c r="I27" i="1"/>
  <c r="G35" i="1"/>
  <c r="E33" i="1"/>
  <c r="E36" i="1" s="1"/>
  <c r="I23" i="1"/>
  <c r="D30" i="1"/>
  <c r="F30" i="1"/>
  <c r="E30" i="1"/>
  <c r="I26" i="1"/>
  <c r="I25" i="1"/>
  <c r="G30" i="1"/>
  <c r="O3" i="1"/>
  <c r="P2" i="1"/>
  <c r="P7" i="1" s="1"/>
  <c r="O2" i="1"/>
  <c r="D36" i="1" l="1"/>
  <c r="G36" i="1"/>
  <c r="F36" i="1"/>
  <c r="O7" i="1"/>
  <c r="I36" i="1" l="1"/>
  <c r="I28" i="1" s="1"/>
  <c r="H25" i="1" s="1"/>
  <c r="H26" i="1" s="1"/>
  <c r="H27" i="1" s="1"/>
  <c r="H28" i="1" s="1"/>
  <c r="H29" i="1" s="1"/>
  <c r="Q77" i="1" l="1"/>
  <c r="Q75" i="1"/>
  <c r="Q74" i="1"/>
  <c r="Q76" i="1"/>
</calcChain>
</file>

<file path=xl/sharedStrings.xml><?xml version="1.0" encoding="utf-8"?>
<sst xmlns="http://schemas.openxmlformats.org/spreadsheetml/2006/main" count="91" uniqueCount="66">
  <si>
    <t>Tipo Cabo</t>
  </si>
  <si>
    <t>-</t>
  </si>
  <si>
    <t>Ampacidade(A)</t>
  </si>
  <si>
    <t>Impedancia Ohm/km</t>
  </si>
  <si>
    <t>Reatancia Ohm/km</t>
  </si>
  <si>
    <t>Taxa de Falha (fail/km.ano)</t>
  </si>
  <si>
    <t>Tempo de Reparo (hour/fail)</t>
  </si>
  <si>
    <t>Custo de Instalação ($/km)</t>
  </si>
  <si>
    <t>Bitola(mm2)</t>
  </si>
  <si>
    <t>1  Aéreo</t>
  </si>
  <si>
    <t>2  Aéreo</t>
  </si>
  <si>
    <t>4  Aéreo</t>
  </si>
  <si>
    <t>9  Subterrâneo</t>
  </si>
  <si>
    <t>7 Aéreo -CAA Grosbeak</t>
  </si>
  <si>
    <t>*Valores de ampacidade dos cabos 5,6,7 e 8 foram tirados do catálogo da INDUSCABOS.</t>
  </si>
  <si>
    <t>* valor do dolar</t>
  </si>
  <si>
    <t>Custo Fixo (R$)</t>
  </si>
  <si>
    <t>https://www.nexans.com.br/products/Transmission.and.Distribution/OHL.AWG/OHL/Aluminium541/product~ID540012771~.html</t>
  </si>
  <si>
    <t>790A a 75°C</t>
  </si>
  <si>
    <t>Temperatura (°C)</t>
  </si>
  <si>
    <t>Custo de Substituição (R$/km)</t>
  </si>
  <si>
    <t>AA1</t>
  </si>
  <si>
    <t>AA2</t>
  </si>
  <si>
    <t>AA3</t>
  </si>
  <si>
    <t>AA4</t>
  </si>
  <si>
    <t>AA5</t>
  </si>
  <si>
    <t>AA6</t>
  </si>
  <si>
    <t>Tipo</t>
  </si>
  <si>
    <t>Nome</t>
  </si>
  <si>
    <t>R (ohm/km)</t>
  </si>
  <si>
    <t>X (ohm/km)</t>
  </si>
  <si>
    <t>Ampacidade (A)</t>
  </si>
  <si>
    <t>X     Y</t>
  </si>
  <si>
    <t>AA7</t>
  </si>
  <si>
    <t>6*</t>
  </si>
  <si>
    <t>IPCA</t>
  </si>
  <si>
    <r>
      <t>Custo(10</t>
    </r>
    <r>
      <rPr>
        <b/>
        <i/>
        <sz val="11"/>
        <color theme="1"/>
        <rFont val="Calibri"/>
        <family val="2"/>
        <scheme val="minor"/>
      </rPr>
      <t xml:space="preserve">³ </t>
    </r>
    <r>
      <rPr>
        <b/>
        <sz val="11"/>
        <color theme="1"/>
        <rFont val="Calibri"/>
        <family val="2"/>
        <scheme val="minor"/>
      </rPr>
      <t>R$/km)</t>
    </r>
  </si>
  <si>
    <t>Proporção</t>
  </si>
  <si>
    <t>Total</t>
  </si>
  <si>
    <t>Variável médio</t>
  </si>
  <si>
    <t>fixo médio</t>
  </si>
  <si>
    <t>RECONDUTORAMENTO</t>
  </si>
  <si>
    <t>CONSTRUÇÃO NOVA LINHA</t>
  </si>
  <si>
    <t>CORRENTE MÁXIMA</t>
  </si>
  <si>
    <t>66% CORRENTE MÁXIMA</t>
  </si>
  <si>
    <t>Icond + InovaLinha</t>
  </si>
  <si>
    <t>0.66*(Icond + InovaLinha)</t>
  </si>
  <si>
    <t>Ampacidade</t>
  </si>
  <si>
    <t>66% ampacidade</t>
  </si>
  <si>
    <t>Execução</t>
  </si>
  <si>
    <t>Rec</t>
  </si>
  <si>
    <t>const</t>
  </si>
  <si>
    <t>AMP</t>
  </si>
  <si>
    <t>%CAR</t>
  </si>
  <si>
    <t>CABO</t>
  </si>
  <si>
    <t>https://www.induscabos.com.br/portfolio-item/fios-e-cabos-de-aluminio-nu-caa-acsr/</t>
  </si>
  <si>
    <t xml:space="preserve">MÉDIA DE REDUÇÃO DE PREÇO </t>
  </si>
  <si>
    <t>CUSTO</t>
  </si>
  <si>
    <t>Parâmetro</t>
  </si>
  <si>
    <t>Valor</t>
  </si>
  <si>
    <t>N° Libélulas</t>
  </si>
  <si>
    <t>N</t>
  </si>
  <si>
    <t>Carregamento Admissível</t>
  </si>
  <si>
    <t>%I</t>
  </si>
  <si>
    <t>Número máximo de iterações</t>
  </si>
  <si>
    <t>max_iter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</si>
</sst>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0"/>
    <numFmt numFmtId="165" formatCode="0.0000"/>
    <numFmt numFmtId="166" formatCode="0.0"/>
  </numFmts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8"/>
      <color theme="10"/>
      <name val="Calibri"/>
      <family val="2"/>
      <scheme val="minor"/>
    </font>
    <font>
      <sz val="18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7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5" xfId="1" applyFont="1" applyBorder="1"/>
    <xf numFmtId="0" fontId="0" fillId="0" borderId="0" xfId="0" applyAlignme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6" fillId="2" borderId="0" xfId="0" applyFont="1" applyFill="1" applyAlignment="1"/>
    <xf numFmtId="0" fontId="9" fillId="0" borderId="0" xfId="0" applyFont="1"/>
    <xf numFmtId="164" fontId="9" fillId="0" borderId="0" xfId="0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9" fillId="0" borderId="0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6" fontId="9" fillId="0" borderId="8" xfId="0" applyNumberFormat="1" applyFon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1" fillId="0" borderId="0" xfId="1"/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1" fontId="11" fillId="0" borderId="0" xfId="2" applyNumberFormat="1" applyFont="1" applyFill="1" applyBorder="1" applyAlignment="1">
      <alignment horizontal="center" vertical="center" wrapText="1"/>
    </xf>
    <xf numFmtId="1" fontId="11" fillId="0" borderId="6" xfId="2" applyNumberFormat="1" applyFont="1" applyBorder="1" applyAlignment="1">
      <alignment horizontal="center" vertical="center" wrapText="1"/>
    </xf>
    <xf numFmtId="165" fontId="11" fillId="0" borderId="6" xfId="2" applyNumberFormat="1" applyFont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 wrapText="1"/>
    </xf>
    <xf numFmtId="165" fontId="11" fillId="0" borderId="0" xfId="0" applyNumberFormat="1" applyFont="1" applyFill="1" applyBorder="1" applyAlignment="1">
      <alignment horizontal="center" vertical="center" wrapText="1"/>
    </xf>
    <xf numFmtId="1" fontId="11" fillId="0" borderId="0" xfId="2" applyNumberFormat="1" applyFont="1" applyBorder="1" applyAlignment="1">
      <alignment horizontal="center" vertical="center" wrapText="1"/>
    </xf>
    <xf numFmtId="165" fontId="11" fillId="0" borderId="0" xfId="2" applyNumberFormat="1" applyFont="1" applyBorder="1" applyAlignment="1">
      <alignment horizontal="center" vertical="center" wrapText="1"/>
    </xf>
    <xf numFmtId="1" fontId="11" fillId="0" borderId="8" xfId="2" applyNumberFormat="1" applyFont="1" applyFill="1" applyBorder="1" applyAlignment="1">
      <alignment horizontal="center" vertical="center" wrapText="1"/>
    </xf>
    <xf numFmtId="1" fontId="11" fillId="0" borderId="8" xfId="2" applyNumberFormat="1" applyFont="1" applyBorder="1" applyAlignment="1">
      <alignment horizontal="center" vertical="center" wrapText="1"/>
    </xf>
    <xf numFmtId="165" fontId="11" fillId="0" borderId="8" xfId="2" applyNumberFormat="1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/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2" fontId="4" fillId="0" borderId="13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2" fontId="4" fillId="0" borderId="15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/>
    <xf numFmtId="0" fontId="13" fillId="0" borderId="0" xfId="0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0" fillId="0" borderId="1" xfId="0" applyBorder="1"/>
    <xf numFmtId="1" fontId="11" fillId="0" borderId="1" xfId="2" applyNumberFormat="1" applyFont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" fontId="11" fillId="0" borderId="16" xfId="2" applyNumberFormat="1" applyFont="1" applyBorder="1" applyAlignment="1">
      <alignment horizontal="center" vertical="center" wrapText="1"/>
    </xf>
    <xf numFmtId="0" fontId="0" fillId="0" borderId="16" xfId="0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6" fontId="9" fillId="0" borderId="0" xfId="0" applyNumberFormat="1" applyFont="1"/>
    <xf numFmtId="0" fontId="11" fillId="0" borderId="6" xfId="0" applyFont="1" applyBorder="1" applyAlignment="1"/>
    <xf numFmtId="166" fontId="11" fillId="0" borderId="6" xfId="0" applyNumberFormat="1" applyFont="1" applyBorder="1" applyAlignment="1"/>
    <xf numFmtId="0" fontId="11" fillId="0" borderId="0" xfId="0" applyFont="1" applyBorder="1" applyAlignment="1"/>
    <xf numFmtId="166" fontId="11" fillId="0" borderId="0" xfId="0" applyNumberFormat="1" applyFont="1" applyBorder="1" applyAlignment="1"/>
    <xf numFmtId="166" fontId="0" fillId="0" borderId="0" xfId="0" applyNumberFormat="1"/>
    <xf numFmtId="0" fontId="11" fillId="0" borderId="7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9" fontId="11" fillId="0" borderId="0" xfId="0" applyNumberFormat="1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" fillId="0" borderId="0" xfId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 vertical="center" textRotation="45"/>
    </xf>
    <xf numFmtId="0" fontId="0" fillId="0" borderId="10" xfId="0" applyBorder="1" applyAlignment="1">
      <alignment horizontal="center" vertical="center" textRotation="45"/>
    </xf>
    <xf numFmtId="0" fontId="8" fillId="0" borderId="1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</cellXfs>
  <cellStyles count="3">
    <cellStyle name="Hiperlink" xfId="1" builtinId="8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nduscabos.com.br/portfolio-item/fios-e-cabos-de-aluminio-nu-caa-acsr/" TargetMode="External"/><Relationship Id="rId1" Type="http://schemas.openxmlformats.org/officeDocument/2006/relationships/hyperlink" Target="https://www.nexans.com.br/products/Transmission.and.Distribution/OHL.AWG/OHL/Aluminium541/product~ID540012771~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6775F-E3DF-42A5-88F6-96CD62A5B82E}">
  <dimension ref="A1:Q81"/>
  <sheetViews>
    <sheetView topLeftCell="A22" zoomScale="85" zoomScaleNormal="85" workbookViewId="0">
      <selection activeCell="J38" sqref="J38"/>
    </sheetView>
  </sheetViews>
  <sheetFormatPr defaultRowHeight="15" x14ac:dyDescent="0.25"/>
  <cols>
    <col min="1" max="1" width="21" customWidth="1"/>
    <col min="2" max="2" width="13.28515625" customWidth="1"/>
    <col min="3" max="4" width="7.7109375" customWidth="1"/>
    <col min="5" max="5" width="12.85546875" style="3" customWidth="1"/>
    <col min="6" max="6" width="13.140625" customWidth="1"/>
    <col min="7" max="7" width="15" customWidth="1"/>
    <col min="8" max="8" width="12.28515625" bestFit="1" customWidth="1"/>
    <col min="9" max="9" width="44" customWidth="1"/>
    <col min="10" max="10" width="42.7109375" customWidth="1"/>
    <col min="11" max="11" width="45.7109375" hidden="1" customWidth="1"/>
    <col min="12" max="12" width="17.7109375" customWidth="1"/>
    <col min="13" max="13" width="23" bestFit="1" customWidth="1"/>
    <col min="14" max="14" width="22.85546875" customWidth="1"/>
    <col min="15" max="15" width="24.7109375" bestFit="1" customWidth="1"/>
    <col min="16" max="16" width="16.42578125" bestFit="1" customWidth="1"/>
  </cols>
  <sheetData>
    <row r="1" spans="1:16" ht="23.25" x14ac:dyDescent="0.35">
      <c r="A1" s="50" t="s">
        <v>0</v>
      </c>
      <c r="B1" s="51" t="s">
        <v>19</v>
      </c>
      <c r="C1" s="50" t="s">
        <v>8</v>
      </c>
      <c r="D1" s="50" t="s">
        <v>2</v>
      </c>
      <c r="E1" s="52" t="s">
        <v>3</v>
      </c>
      <c r="F1" s="50" t="s">
        <v>4</v>
      </c>
      <c r="G1" s="53" t="s">
        <v>5</v>
      </c>
      <c r="H1" s="53"/>
      <c r="I1" s="53" t="s">
        <v>6</v>
      </c>
      <c r="J1" s="53" t="s">
        <v>7</v>
      </c>
      <c r="K1" s="51" t="s">
        <v>20</v>
      </c>
      <c r="L1" s="51" t="s">
        <v>20</v>
      </c>
      <c r="M1" s="51" t="s">
        <v>16</v>
      </c>
      <c r="N1" s="51" t="s">
        <v>38</v>
      </c>
      <c r="O1" s="50" t="s">
        <v>37</v>
      </c>
      <c r="P1" s="50" t="s">
        <v>37</v>
      </c>
    </row>
    <row r="2" spans="1:16" ht="23.25" x14ac:dyDescent="0.35">
      <c r="A2" s="4" t="s">
        <v>9</v>
      </c>
      <c r="B2" s="6">
        <v>75</v>
      </c>
      <c r="C2" s="4" t="s">
        <v>1</v>
      </c>
      <c r="D2" s="4">
        <v>158</v>
      </c>
      <c r="E2" s="5">
        <v>0.10145</v>
      </c>
      <c r="F2" s="5">
        <v>0.46789999999999998</v>
      </c>
      <c r="G2" s="5">
        <v>0.2</v>
      </c>
      <c r="H2" s="5"/>
      <c r="I2" s="6">
        <v>0.33</v>
      </c>
      <c r="J2" s="6">
        <v>29089.18</v>
      </c>
      <c r="K2" s="6">
        <f>5188.22*B9/3</f>
        <v>0</v>
      </c>
      <c r="L2" s="6">
        <f>5188.22</f>
        <v>5188.22</v>
      </c>
      <c r="M2" s="6">
        <f>3232.13</f>
        <v>3232.13</v>
      </c>
      <c r="N2" s="6">
        <f>M2+L2</f>
        <v>8420.35</v>
      </c>
      <c r="O2" s="6">
        <f>L2/N2</f>
        <v>0.61615253522715807</v>
      </c>
      <c r="P2" s="6">
        <f>M2/N2</f>
        <v>0.38384746477284198</v>
      </c>
    </row>
    <row r="3" spans="1:16" ht="23.25" x14ac:dyDescent="0.35">
      <c r="A3" s="4" t="s">
        <v>10</v>
      </c>
      <c r="B3" s="6">
        <v>75</v>
      </c>
      <c r="C3" s="4" t="s">
        <v>1</v>
      </c>
      <c r="D3" s="4">
        <v>250</v>
      </c>
      <c r="E3" s="5">
        <v>0.52049999999999996</v>
      </c>
      <c r="F3" s="5">
        <v>0.44280000000000003</v>
      </c>
      <c r="G3" s="5">
        <v>0.2</v>
      </c>
      <c r="H3" s="5"/>
      <c r="I3" s="6">
        <v>0.33</v>
      </c>
      <c r="J3" s="6">
        <v>29502.73</v>
      </c>
      <c r="K3" s="6">
        <f>5601.78*B9/3</f>
        <v>0</v>
      </c>
      <c r="L3" s="6">
        <f>5601.78</f>
        <v>5601.78</v>
      </c>
      <c r="M3" s="6">
        <f>3278.08</f>
        <v>3278.08</v>
      </c>
      <c r="N3" s="6">
        <f>M3+L3</f>
        <v>8879.86</v>
      </c>
      <c r="O3" s="6">
        <f>L3/N3</f>
        <v>0.63084102677294451</v>
      </c>
      <c r="P3" s="6">
        <f t="shared" ref="P3:P4" si="0">M3/N3</f>
        <v>0.36915897322705538</v>
      </c>
    </row>
    <row r="4" spans="1:16" ht="23.25" x14ac:dyDescent="0.35">
      <c r="A4" s="4" t="s">
        <v>11</v>
      </c>
      <c r="B4" s="6">
        <v>75</v>
      </c>
      <c r="C4" s="4">
        <v>336.4</v>
      </c>
      <c r="D4" s="4">
        <v>453</v>
      </c>
      <c r="E4" s="5">
        <v>0.2006</v>
      </c>
      <c r="F4" s="5">
        <v>0.40260000000000001</v>
      </c>
      <c r="G4" s="5">
        <v>0.2</v>
      </c>
      <c r="H4" s="5"/>
      <c r="I4" s="6">
        <v>0.33</v>
      </c>
      <c r="J4" s="6">
        <v>27990</v>
      </c>
      <c r="K4" s="6">
        <f>7090*B9/3</f>
        <v>0</v>
      </c>
      <c r="L4" s="6">
        <f>7090</f>
        <v>7090</v>
      </c>
      <c r="M4" s="6">
        <f>3110</f>
        <v>3110</v>
      </c>
      <c r="N4" s="6">
        <f t="shared" ref="N4" si="1">M4+L4</f>
        <v>10200</v>
      </c>
      <c r="O4" s="6">
        <f>L4/N4</f>
        <v>0.69509803921568625</v>
      </c>
      <c r="P4" s="6">
        <f t="shared" si="0"/>
        <v>0.30490196078431375</v>
      </c>
    </row>
    <row r="5" spans="1:16" ht="23.25" hidden="1" x14ac:dyDescent="0.35">
      <c r="A5" s="45" t="s">
        <v>13</v>
      </c>
      <c r="B5" s="46">
        <v>75</v>
      </c>
      <c r="C5" s="47" t="s">
        <v>1</v>
      </c>
      <c r="D5" s="47">
        <v>790</v>
      </c>
      <c r="E5" s="48"/>
      <c r="F5" s="47"/>
      <c r="G5" s="47" t="s">
        <v>1</v>
      </c>
      <c r="H5" s="47"/>
      <c r="I5" s="47" t="s">
        <v>1</v>
      </c>
      <c r="J5" s="47" t="s">
        <v>1</v>
      </c>
      <c r="K5" s="49">
        <f>(17.6*1000)</f>
        <v>17600</v>
      </c>
      <c r="L5" s="49">
        <f>(17.6*1000)</f>
        <v>17600</v>
      </c>
      <c r="M5" s="46">
        <f>AVERAGE(M2:M4)</f>
        <v>3206.7366666666662</v>
      </c>
      <c r="N5" s="49">
        <f t="shared" ref="N5" si="2">M5+L5</f>
        <v>20806.736666666668</v>
      </c>
      <c r="O5" s="13"/>
      <c r="P5" s="13"/>
    </row>
    <row r="6" spans="1:16" ht="24" hidden="1" thickBot="1" x14ac:dyDescent="0.4">
      <c r="A6" s="7" t="s">
        <v>12</v>
      </c>
      <c r="B6" s="10" t="s">
        <v>1</v>
      </c>
      <c r="C6" s="8" t="s">
        <v>1</v>
      </c>
      <c r="D6" s="8" t="s">
        <v>1</v>
      </c>
      <c r="E6" s="9"/>
      <c r="F6" s="8"/>
      <c r="G6" s="8" t="s">
        <v>1</v>
      </c>
      <c r="H6" s="8"/>
      <c r="I6" s="8" t="s">
        <v>1</v>
      </c>
      <c r="J6" s="8" t="s">
        <v>1</v>
      </c>
      <c r="K6" s="8" t="s">
        <v>1</v>
      </c>
      <c r="L6" s="8" t="s">
        <v>1</v>
      </c>
      <c r="M6" s="10" t="s">
        <v>1</v>
      </c>
      <c r="N6" s="11"/>
      <c r="O6" s="13"/>
      <c r="P6" s="13"/>
    </row>
    <row r="7" spans="1:16" ht="33.75" x14ac:dyDescent="0.5">
      <c r="A7" s="1"/>
      <c r="B7" s="1"/>
      <c r="C7" s="1"/>
      <c r="D7" s="1"/>
      <c r="E7" s="2"/>
      <c r="F7" s="1"/>
      <c r="G7" s="1"/>
      <c r="H7" s="13"/>
      <c r="I7" s="1"/>
      <c r="J7" s="1"/>
      <c r="K7" s="13"/>
      <c r="L7" s="1"/>
      <c r="M7" s="1"/>
      <c r="O7" s="55">
        <f>AVERAGE(O2:O4)</f>
        <v>0.64736386707192961</v>
      </c>
      <c r="P7" s="55">
        <f>AVERAGE(P2:P4)</f>
        <v>0.35263613292807033</v>
      </c>
    </row>
    <row r="8" spans="1:16" ht="15.75" x14ac:dyDescent="0.25">
      <c r="A8" s="79" t="s">
        <v>14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54" t="s">
        <v>39</v>
      </c>
      <c r="P8" s="54" t="s">
        <v>40</v>
      </c>
    </row>
    <row r="9" spans="1:16" x14ac:dyDescent="0.25">
      <c r="A9" s="1" t="s">
        <v>15</v>
      </c>
      <c r="C9" s="1">
        <v>5.24</v>
      </c>
      <c r="D9" s="14">
        <v>44411</v>
      </c>
      <c r="E9" s="2"/>
      <c r="F9" s="1"/>
      <c r="G9" s="1"/>
      <c r="H9" s="13"/>
    </row>
    <row r="10" spans="1:16" x14ac:dyDescent="0.25">
      <c r="A10" s="1"/>
      <c r="C10" s="1"/>
      <c r="D10" s="1"/>
      <c r="E10" s="2"/>
      <c r="F10" s="1"/>
      <c r="G10" s="1"/>
      <c r="H10" s="13"/>
    </row>
    <row r="11" spans="1:16" ht="15" customHeight="1" x14ac:dyDescent="0.35">
      <c r="A11" s="15" t="s">
        <v>13</v>
      </c>
      <c r="B11" s="15"/>
      <c r="C11" s="15"/>
      <c r="D11" s="15"/>
      <c r="E11" s="15"/>
      <c r="F11" s="15"/>
      <c r="G11" s="15"/>
      <c r="H11" s="15"/>
      <c r="I11" s="15"/>
    </row>
    <row r="12" spans="1:16" ht="23.25" customHeight="1" x14ac:dyDescent="0.35">
      <c r="A12" s="15"/>
      <c r="B12" s="15"/>
      <c r="C12" s="15"/>
      <c r="D12" s="15"/>
      <c r="E12" s="15"/>
      <c r="F12" s="15"/>
      <c r="G12" s="15"/>
      <c r="H12" s="15"/>
      <c r="I12" s="15"/>
      <c r="J12" s="12" t="s">
        <v>18</v>
      </c>
    </row>
    <row r="13" spans="1:16" ht="23.25" customHeight="1" x14ac:dyDescent="0.35">
      <c r="A13" s="15"/>
      <c r="B13" s="15"/>
      <c r="C13" s="15"/>
      <c r="D13" s="15"/>
      <c r="E13" s="15"/>
      <c r="F13" s="15"/>
      <c r="G13" s="15"/>
      <c r="H13" s="15"/>
      <c r="I13" s="15"/>
      <c r="P13">
        <f>1</f>
        <v>1</v>
      </c>
    </row>
    <row r="14" spans="1:16" ht="15" customHeight="1" x14ac:dyDescent="0.35">
      <c r="A14" s="15"/>
      <c r="B14" s="15"/>
      <c r="C14" s="15"/>
      <c r="D14" s="15"/>
      <c r="E14" s="15"/>
      <c r="F14" s="15"/>
      <c r="G14" s="15"/>
      <c r="H14" s="15"/>
      <c r="I14" s="15"/>
      <c r="P14">
        <v>28737</v>
      </c>
    </row>
    <row r="15" spans="1:16" x14ac:dyDescent="0.25">
      <c r="A15" s="1"/>
      <c r="C15" s="1"/>
      <c r="D15" s="1"/>
      <c r="E15" s="2"/>
      <c r="F15" s="1"/>
      <c r="G15" s="1"/>
      <c r="H15" s="13"/>
    </row>
    <row r="16" spans="1:16" ht="18.75" x14ac:dyDescent="0.3">
      <c r="A16" s="1"/>
      <c r="B16" s="43" t="s">
        <v>35</v>
      </c>
      <c r="C16" s="44">
        <f>1+0.7488394</f>
        <v>1.7488394</v>
      </c>
      <c r="D16" s="1"/>
      <c r="E16" s="2"/>
      <c r="F16" s="1"/>
      <c r="G16" s="1"/>
      <c r="H16" s="13"/>
    </row>
    <row r="17" spans="1:16" x14ac:dyDescent="0.25">
      <c r="G17">
        <f>0.35*F23</f>
        <v>41.01028393</v>
      </c>
      <c r="I17" t="s">
        <v>21</v>
      </c>
      <c r="J17" t="s">
        <v>22</v>
      </c>
      <c r="K17" t="s">
        <v>23</v>
      </c>
      <c r="L17" t="s">
        <v>23</v>
      </c>
      <c r="M17" t="s">
        <v>24</v>
      </c>
      <c r="N17" t="s">
        <v>25</v>
      </c>
      <c r="O17" t="s">
        <v>26</v>
      </c>
    </row>
    <row r="19" spans="1:16" x14ac:dyDescent="0.25">
      <c r="A19" s="18"/>
      <c r="B19" s="18"/>
      <c r="C19" s="18"/>
      <c r="D19" s="18"/>
      <c r="E19" s="19"/>
      <c r="F19" s="18"/>
      <c r="G19" s="18"/>
      <c r="H19" s="18"/>
    </row>
    <row r="20" spans="1:16" ht="3.75" customHeight="1" x14ac:dyDescent="0.25">
      <c r="A20" s="18"/>
      <c r="B20" s="18"/>
      <c r="C20" s="18"/>
      <c r="D20" s="18"/>
      <c r="E20" s="19"/>
      <c r="G20" s="18"/>
      <c r="H20" s="18"/>
    </row>
    <row r="21" spans="1:16" ht="39" customHeight="1" x14ac:dyDescent="0.25">
      <c r="A21" s="80" t="s">
        <v>32</v>
      </c>
      <c r="B21" s="82" t="s">
        <v>36</v>
      </c>
      <c r="C21" s="83"/>
      <c r="D21" s="83"/>
      <c r="E21" s="83"/>
      <c r="F21" s="83"/>
      <c r="G21" s="83"/>
      <c r="H21" s="83"/>
      <c r="J21" s="41" t="s">
        <v>27</v>
      </c>
      <c r="K21" s="40" t="s">
        <v>28</v>
      </c>
      <c r="L21" s="40" t="s">
        <v>29</v>
      </c>
      <c r="M21" s="40" t="s">
        <v>30</v>
      </c>
      <c r="N21" s="40" t="s">
        <v>31</v>
      </c>
    </row>
    <row r="22" spans="1:16" ht="15.95" customHeight="1" x14ac:dyDescent="0.25">
      <c r="A22" s="81"/>
      <c r="B22" s="26">
        <v>0</v>
      </c>
      <c r="C22" s="26">
        <v>1</v>
      </c>
      <c r="D22" s="26">
        <v>2</v>
      </c>
      <c r="E22" s="26">
        <v>3</v>
      </c>
      <c r="F22" s="26">
        <v>4</v>
      </c>
      <c r="G22" s="26">
        <v>5</v>
      </c>
      <c r="H22" s="26" t="s">
        <v>34</v>
      </c>
      <c r="I22" s="28" t="s">
        <v>56</v>
      </c>
      <c r="J22" s="30">
        <v>0</v>
      </c>
      <c r="K22" s="31" t="s">
        <v>21</v>
      </c>
      <c r="L22" s="32">
        <v>0.36549999999999999</v>
      </c>
      <c r="M22" s="32">
        <v>0.252</v>
      </c>
      <c r="N22" s="31">
        <v>150</v>
      </c>
    </row>
    <row r="23" spans="1:16" ht="15.95" customHeight="1" x14ac:dyDescent="0.25">
      <c r="A23" s="21">
        <v>0</v>
      </c>
      <c r="B23" s="25">
        <f>20*C16</f>
        <v>34.976787999999999</v>
      </c>
      <c r="C23" s="25">
        <f>30*C16</f>
        <v>52.465181999999999</v>
      </c>
      <c r="D23" s="25">
        <f>42*C16</f>
        <v>73.451254800000001</v>
      </c>
      <c r="E23" s="25">
        <f>50*C16</f>
        <v>87.441969999999998</v>
      </c>
      <c r="F23" s="25">
        <f>67*C16</f>
        <v>117.1722398</v>
      </c>
      <c r="G23" s="25">
        <f>85*C16</f>
        <v>148.65134900000001</v>
      </c>
      <c r="H23" s="25">
        <f>122*C16</f>
        <v>213.35840680000001</v>
      </c>
      <c r="I23" s="66">
        <f>G23-G24</f>
        <v>15.739554600000019</v>
      </c>
      <c r="J23" s="33">
        <v>1</v>
      </c>
      <c r="K23" s="42" t="s">
        <v>22</v>
      </c>
      <c r="L23" s="34">
        <v>0.2359</v>
      </c>
      <c r="M23" s="34">
        <v>0.2402</v>
      </c>
      <c r="N23" s="33">
        <v>250</v>
      </c>
      <c r="O23" s="20"/>
      <c r="P23" s="20"/>
    </row>
    <row r="24" spans="1:16" ht="15.95" customHeight="1" x14ac:dyDescent="0.25">
      <c r="A24" s="21">
        <v>1</v>
      </c>
      <c r="B24" s="22"/>
      <c r="C24" s="22">
        <f>23*C16</f>
        <v>40.223306200000003</v>
      </c>
      <c r="D24" s="22">
        <f>37*C16</f>
        <v>64.707057800000001</v>
      </c>
      <c r="E24" s="22">
        <f>40*C16</f>
        <v>69.953575999999998</v>
      </c>
      <c r="F24" s="22">
        <f>58*C16</f>
        <v>101.43268520000001</v>
      </c>
      <c r="G24" s="22">
        <f>76*C16</f>
        <v>132.91179439999999</v>
      </c>
      <c r="H24" s="22">
        <f>H23-$I$28</f>
        <v>194.87667202080002</v>
      </c>
      <c r="I24" s="66">
        <f t="shared" ref="I24:I26" si="3">G24-G25</f>
        <v>17.488393999999985</v>
      </c>
      <c r="J24" s="35">
        <v>2</v>
      </c>
      <c r="K24" s="35" t="s">
        <v>23</v>
      </c>
      <c r="L24" s="36">
        <v>0.1827</v>
      </c>
      <c r="M24" s="36">
        <v>0.126</v>
      </c>
      <c r="N24" s="35">
        <v>350</v>
      </c>
    </row>
    <row r="25" spans="1:16" ht="15.95" customHeight="1" x14ac:dyDescent="0.25">
      <c r="A25" s="21">
        <v>2</v>
      </c>
      <c r="B25" s="22"/>
      <c r="C25" s="22"/>
      <c r="D25" s="22">
        <f>30*C16</f>
        <v>52.465181999999999</v>
      </c>
      <c r="E25" s="22">
        <f>35*C16</f>
        <v>61.209378999999998</v>
      </c>
      <c r="F25" s="22">
        <f>50*C16</f>
        <v>87.441969999999998</v>
      </c>
      <c r="G25" s="22">
        <f>66*C16</f>
        <v>115.42340040000001</v>
      </c>
      <c r="H25" s="22">
        <f>H24-$I$28</f>
        <v>176.39493724160002</v>
      </c>
      <c r="I25" s="66">
        <f t="shared" si="3"/>
        <v>22.734912199999997</v>
      </c>
      <c r="J25" s="30">
        <v>3</v>
      </c>
      <c r="K25" s="35" t="s">
        <v>24</v>
      </c>
      <c r="L25" s="36">
        <v>0.14599999999999999</v>
      </c>
      <c r="M25" s="36">
        <v>0.12330000000000001</v>
      </c>
      <c r="N25" s="35">
        <v>400</v>
      </c>
    </row>
    <row r="26" spans="1:16" ht="15.95" customHeight="1" x14ac:dyDescent="0.25">
      <c r="A26" s="21">
        <v>3</v>
      </c>
      <c r="B26" s="22"/>
      <c r="C26" s="22"/>
      <c r="D26" s="22"/>
      <c r="E26" s="22">
        <f>29*C16</f>
        <v>50.716342600000004</v>
      </c>
      <c r="F26" s="22">
        <f>43*C16</f>
        <v>75.200094199999995</v>
      </c>
      <c r="G26" s="22">
        <f>53*C16</f>
        <v>92.688488200000009</v>
      </c>
      <c r="H26" s="22">
        <f>H25-$I$28</f>
        <v>157.91320246240002</v>
      </c>
      <c r="I26" s="66">
        <f t="shared" si="3"/>
        <v>13.990715200000011</v>
      </c>
      <c r="J26" s="30">
        <v>4</v>
      </c>
      <c r="K26" s="35" t="s">
        <v>25</v>
      </c>
      <c r="L26" s="36">
        <v>0.11799999999999999</v>
      </c>
      <c r="M26" s="36">
        <v>0.1201</v>
      </c>
      <c r="N26" s="35">
        <v>500</v>
      </c>
    </row>
    <row r="27" spans="1:16" ht="15.95" customHeight="1" x14ac:dyDescent="0.25">
      <c r="A27" s="21">
        <v>4</v>
      </c>
      <c r="B27" s="22"/>
      <c r="C27" s="22"/>
      <c r="D27" s="22"/>
      <c r="E27" s="22"/>
      <c r="F27" s="22">
        <f>35*C16</f>
        <v>61.209378999999998</v>
      </c>
      <c r="G27" s="22">
        <f>45*C16</f>
        <v>78.697772999999998</v>
      </c>
      <c r="H27" s="22">
        <f>H26-$I$28</f>
        <v>139.43146768320003</v>
      </c>
      <c r="I27" s="66">
        <f>G27-G28</f>
        <v>12.241875800000003</v>
      </c>
      <c r="J27" s="42">
        <v>5</v>
      </c>
      <c r="K27" s="42" t="s">
        <v>26</v>
      </c>
      <c r="L27" s="42">
        <v>9.6600000000000005E-2</v>
      </c>
      <c r="M27" s="42">
        <v>0.1201</v>
      </c>
      <c r="N27" s="42">
        <v>600</v>
      </c>
    </row>
    <row r="28" spans="1:16" ht="15.95" customHeight="1" x14ac:dyDescent="0.25">
      <c r="A28" s="23">
        <v>5</v>
      </c>
      <c r="B28" s="24"/>
      <c r="C28" s="24"/>
      <c r="D28" s="24"/>
      <c r="E28" s="24"/>
      <c r="F28" s="24"/>
      <c r="G28" s="24">
        <f>38*C16</f>
        <v>66.455897199999995</v>
      </c>
      <c r="H28" s="24">
        <f>H27-$I$28</f>
        <v>120.94973290400003</v>
      </c>
      <c r="I28" s="66">
        <f>AVERAGE((I23:I27))+I36</f>
        <v>18.481734779200004</v>
      </c>
      <c r="J28" s="37">
        <v>6</v>
      </c>
      <c r="K28" s="38" t="s">
        <v>33</v>
      </c>
      <c r="L28" s="39">
        <v>0.09</v>
      </c>
      <c r="M28" s="39">
        <v>0.34570000000000001</v>
      </c>
      <c r="N28" s="38">
        <v>790</v>
      </c>
    </row>
    <row r="29" spans="1:16" x14ac:dyDescent="0.25">
      <c r="H29" s="71">
        <f>H28-I28</f>
        <v>102.46799812480003</v>
      </c>
    </row>
    <row r="30" spans="1:16" x14ac:dyDescent="0.25">
      <c r="A30" s="67"/>
      <c r="B30" s="68">
        <f>AVERAGE(B23:B28)</f>
        <v>34.976787999999999</v>
      </c>
      <c r="C30" s="68">
        <f>C23-C24</f>
        <v>12.241875799999995</v>
      </c>
      <c r="D30" s="68">
        <f>AVERAGE(D23:D28)</f>
        <v>63.541164866666662</v>
      </c>
      <c r="E30" s="68">
        <f>AVERAGE(E23:E28)</f>
        <v>67.3303169</v>
      </c>
      <c r="F30" s="68">
        <f>AVERAGE(F23:F28)</f>
        <v>88.491273640000003</v>
      </c>
      <c r="G30" s="68">
        <f>AVERAGE(G23:G28)</f>
        <v>105.80478369999999</v>
      </c>
      <c r="H30" s="67">
        <v>15.7395546</v>
      </c>
      <c r="I30" s="16"/>
    </row>
    <row r="31" spans="1:16" x14ac:dyDescent="0.25">
      <c r="A31" s="69"/>
      <c r="B31" s="70"/>
      <c r="C31" s="70"/>
      <c r="D31" s="70">
        <f>D23-D24</f>
        <v>8.7441969999999998</v>
      </c>
      <c r="E31" s="70">
        <f t="shared" ref="E31:G31" si="4">E23-E24</f>
        <v>17.488394</v>
      </c>
      <c r="F31" s="70">
        <f t="shared" si="4"/>
        <v>15.739554599999991</v>
      </c>
      <c r="G31" s="70">
        <f t="shared" si="4"/>
        <v>15.739554600000019</v>
      </c>
      <c r="H31" s="69">
        <v>17.488394</v>
      </c>
      <c r="I31" s="16"/>
    </row>
    <row r="32" spans="1:16" x14ac:dyDescent="0.25">
      <c r="A32" s="69"/>
      <c r="B32" s="70"/>
      <c r="C32" s="70"/>
      <c r="D32" s="70">
        <f>D24-D25</f>
        <v>12.241875800000003</v>
      </c>
      <c r="E32" s="70">
        <f t="shared" ref="E32:G33" si="5">E24-E25</f>
        <v>8.7441969999999998</v>
      </c>
      <c r="F32" s="70">
        <f t="shared" si="5"/>
        <v>13.990715200000011</v>
      </c>
      <c r="G32" s="70">
        <f t="shared" si="5"/>
        <v>17.488393999999985</v>
      </c>
      <c r="H32" s="69">
        <v>22.7349122</v>
      </c>
      <c r="I32" s="16"/>
    </row>
    <row r="33" spans="1:15" x14ac:dyDescent="0.25">
      <c r="A33" s="69"/>
      <c r="B33" s="70"/>
      <c r="C33" s="70"/>
      <c r="D33" s="70"/>
      <c r="E33" s="70">
        <f t="shared" si="5"/>
        <v>10.493036399999994</v>
      </c>
      <c r="F33" s="70">
        <f t="shared" si="5"/>
        <v>12.241875800000003</v>
      </c>
      <c r="G33" s="70">
        <f t="shared" si="5"/>
        <v>22.734912199999997</v>
      </c>
      <c r="H33" s="69">
        <v>13.990715200000011</v>
      </c>
      <c r="I33" s="16"/>
    </row>
    <row r="34" spans="1:15" x14ac:dyDescent="0.25">
      <c r="A34" s="69"/>
      <c r="B34" s="70"/>
      <c r="C34" s="70"/>
      <c r="D34" s="70"/>
      <c r="E34" s="70"/>
      <c r="F34" s="70">
        <f>F26-F27</f>
        <v>13.990715199999997</v>
      </c>
      <c r="G34" s="70">
        <f>G26-G27</f>
        <v>13.990715200000011</v>
      </c>
      <c r="H34" s="69">
        <v>12.241875800000003</v>
      </c>
      <c r="I34" s="16"/>
    </row>
    <row r="35" spans="1:15" x14ac:dyDescent="0.25">
      <c r="A35" s="69"/>
      <c r="B35" s="70"/>
      <c r="C35" s="70"/>
      <c r="D35" s="70"/>
      <c r="E35" s="70"/>
      <c r="F35" s="70"/>
      <c r="G35" s="70">
        <f>G27-G28</f>
        <v>12.241875800000003</v>
      </c>
      <c r="H35" s="69">
        <v>16.439090360000002</v>
      </c>
      <c r="I35" s="16"/>
    </row>
    <row r="36" spans="1:15" x14ac:dyDescent="0.25">
      <c r="B36" s="16"/>
      <c r="C36" s="16"/>
      <c r="D36" s="66">
        <f>AVERAGE(D31:D33)</f>
        <v>10.493036400000001</v>
      </c>
      <c r="E36" s="66">
        <f>AVERAGE(E31:E33)</f>
        <v>12.241875799999997</v>
      </c>
      <c r="F36" s="66">
        <f>AVERAGE(F31:F34)</f>
        <v>13.9907152</v>
      </c>
      <c r="G36" s="66">
        <f>AVERAGE(G31:G35)</f>
        <v>16.439090360000002</v>
      </c>
      <c r="H36" s="16">
        <f>AVERAGE(H30:H35)</f>
        <v>16.439090360000005</v>
      </c>
      <c r="I36" s="16">
        <f>AVEDEV(D36:H36)</f>
        <v>2.0426444192000019</v>
      </c>
    </row>
    <row r="37" spans="1:15" x14ac:dyDescent="0.25">
      <c r="B37" s="16"/>
      <c r="C37" s="16">
        <v>150</v>
      </c>
      <c r="D37" s="16">
        <v>250</v>
      </c>
      <c r="E37" s="17">
        <v>350</v>
      </c>
      <c r="F37" s="16">
        <v>400</v>
      </c>
      <c r="G37" s="16">
        <v>500</v>
      </c>
      <c r="H37" s="16"/>
      <c r="I37" s="16"/>
    </row>
    <row r="38" spans="1:15" x14ac:dyDescent="0.25">
      <c r="B38" s="28"/>
      <c r="C38" s="28">
        <v>0</v>
      </c>
      <c r="D38" s="28">
        <v>1</v>
      </c>
      <c r="E38" s="29">
        <v>2</v>
      </c>
      <c r="F38" s="28">
        <v>3</v>
      </c>
      <c r="G38" s="28">
        <v>4</v>
      </c>
      <c r="H38" s="16"/>
      <c r="I38" s="16"/>
      <c r="J38" s="27" t="s">
        <v>17</v>
      </c>
    </row>
    <row r="39" spans="1:15" x14ac:dyDescent="0.25">
      <c r="B39" s="28">
        <v>0</v>
      </c>
      <c r="C39" s="22">
        <v>23</v>
      </c>
      <c r="D39" s="22">
        <v>37</v>
      </c>
      <c r="E39" s="22">
        <v>40</v>
      </c>
      <c r="F39" s="22">
        <v>58</v>
      </c>
      <c r="G39" s="22">
        <v>76</v>
      </c>
      <c r="H39" s="16"/>
      <c r="I39" s="16"/>
    </row>
    <row r="40" spans="1:15" x14ac:dyDescent="0.25">
      <c r="B40" s="28">
        <v>1</v>
      </c>
      <c r="C40" s="22">
        <v>0</v>
      </c>
      <c r="D40" s="22">
        <v>30</v>
      </c>
      <c r="E40" s="22">
        <v>35</v>
      </c>
      <c r="F40" s="22">
        <v>50</v>
      </c>
      <c r="G40" s="22">
        <v>66</v>
      </c>
      <c r="H40" s="16"/>
      <c r="I40" s="16"/>
      <c r="J40" s="78" t="s">
        <v>41</v>
      </c>
      <c r="K40" s="56"/>
      <c r="L40" s="57">
        <v>150</v>
      </c>
      <c r="M40" s="57">
        <f>0.66*L40</f>
        <v>99</v>
      </c>
    </row>
    <row r="41" spans="1:15" x14ac:dyDescent="0.25">
      <c r="B41" s="28">
        <v>2</v>
      </c>
      <c r="C41" s="22">
        <v>0</v>
      </c>
      <c r="D41" s="22">
        <v>0</v>
      </c>
      <c r="E41" s="22">
        <v>29</v>
      </c>
      <c r="F41" s="22">
        <v>43</v>
      </c>
      <c r="G41" s="22">
        <v>53</v>
      </c>
      <c r="H41" s="16"/>
      <c r="I41" s="16"/>
      <c r="J41" s="78"/>
      <c r="K41" s="56"/>
      <c r="L41" s="58">
        <v>250</v>
      </c>
      <c r="M41" s="57">
        <f t="shared" ref="M41:M63" si="6">0.66*L41</f>
        <v>165</v>
      </c>
    </row>
    <row r="42" spans="1:15" x14ac:dyDescent="0.25">
      <c r="B42" s="28">
        <v>3</v>
      </c>
      <c r="C42" s="22">
        <v>0</v>
      </c>
      <c r="D42" s="22">
        <v>0</v>
      </c>
      <c r="E42" s="22">
        <v>0</v>
      </c>
      <c r="F42" s="22">
        <v>35</v>
      </c>
      <c r="G42" s="22">
        <v>45</v>
      </c>
      <c r="H42" s="16"/>
      <c r="I42" s="16"/>
      <c r="J42" s="78"/>
      <c r="K42" s="56"/>
      <c r="L42" s="57">
        <v>350</v>
      </c>
      <c r="M42" s="57">
        <f t="shared" si="6"/>
        <v>231</v>
      </c>
    </row>
    <row r="43" spans="1:15" x14ac:dyDescent="0.25">
      <c r="B43" s="28">
        <v>4</v>
      </c>
      <c r="C43" s="24">
        <v>0</v>
      </c>
      <c r="D43" s="24">
        <v>0</v>
      </c>
      <c r="E43" s="24">
        <v>0</v>
      </c>
      <c r="F43" s="24">
        <v>0</v>
      </c>
      <c r="G43" s="24">
        <v>38</v>
      </c>
      <c r="J43" s="78"/>
      <c r="K43" s="56"/>
      <c r="L43" s="57">
        <v>400</v>
      </c>
      <c r="M43" s="57">
        <f t="shared" si="6"/>
        <v>264</v>
      </c>
    </row>
    <row r="44" spans="1:15" x14ac:dyDescent="0.25">
      <c r="J44" s="78"/>
      <c r="K44" s="56"/>
      <c r="L44" s="57">
        <v>500</v>
      </c>
      <c r="M44" s="57">
        <f t="shared" si="6"/>
        <v>330</v>
      </c>
    </row>
    <row r="45" spans="1:15" x14ac:dyDescent="0.25">
      <c r="J45" s="78"/>
      <c r="K45" s="56"/>
      <c r="L45" s="59">
        <v>600</v>
      </c>
      <c r="M45" s="57">
        <f t="shared" si="6"/>
        <v>396</v>
      </c>
    </row>
    <row r="46" spans="1:15" x14ac:dyDescent="0.25">
      <c r="J46" s="84"/>
      <c r="K46" s="61"/>
      <c r="L46" s="60">
        <v>790</v>
      </c>
      <c r="M46" s="60">
        <f t="shared" si="6"/>
        <v>521.4</v>
      </c>
      <c r="N46" s="13" t="s">
        <v>43</v>
      </c>
      <c r="O46" s="13" t="s">
        <v>44</v>
      </c>
    </row>
    <row r="47" spans="1:15" x14ac:dyDescent="0.25">
      <c r="J47" s="78" t="s">
        <v>42</v>
      </c>
      <c r="K47" s="56"/>
      <c r="L47" s="57">
        <v>150</v>
      </c>
      <c r="M47" s="57">
        <f>0.66*L47</f>
        <v>99</v>
      </c>
      <c r="N47" s="62">
        <f>$L$53 + L47</f>
        <v>940</v>
      </c>
      <c r="O47" s="62">
        <f>$M$53+M47</f>
        <v>620.4</v>
      </c>
    </row>
    <row r="48" spans="1:15" x14ac:dyDescent="0.25">
      <c r="J48" s="78"/>
      <c r="K48" s="56"/>
      <c r="L48" s="58">
        <v>250</v>
      </c>
      <c r="M48" s="57">
        <f t="shared" si="6"/>
        <v>165</v>
      </c>
      <c r="N48" s="62">
        <f t="shared" ref="N48:N53" si="7">$L$53 + L48</f>
        <v>1040</v>
      </c>
      <c r="O48" s="62">
        <f t="shared" ref="O48:O53" si="8">$M$53+M48</f>
        <v>686.4</v>
      </c>
    </row>
    <row r="49" spans="10:15" x14ac:dyDescent="0.25">
      <c r="J49" s="78"/>
      <c r="K49" s="56"/>
      <c r="L49" s="57">
        <v>350</v>
      </c>
      <c r="M49" s="57">
        <f t="shared" si="6"/>
        <v>231</v>
      </c>
      <c r="N49" s="62">
        <f t="shared" si="7"/>
        <v>1140</v>
      </c>
      <c r="O49" s="62">
        <f t="shared" si="8"/>
        <v>752.4</v>
      </c>
    </row>
    <row r="50" spans="10:15" x14ac:dyDescent="0.25">
      <c r="J50" s="78"/>
      <c r="K50" s="56"/>
      <c r="L50" s="57">
        <v>400</v>
      </c>
      <c r="M50" s="57">
        <f t="shared" si="6"/>
        <v>264</v>
      </c>
      <c r="N50" s="62">
        <f t="shared" si="7"/>
        <v>1190</v>
      </c>
      <c r="O50" s="62">
        <f t="shared" si="8"/>
        <v>785.4</v>
      </c>
    </row>
    <row r="51" spans="10:15" x14ac:dyDescent="0.25">
      <c r="J51" s="78"/>
      <c r="K51" s="56"/>
      <c r="L51" s="57">
        <v>500</v>
      </c>
      <c r="M51" s="57">
        <f t="shared" si="6"/>
        <v>330</v>
      </c>
      <c r="N51" s="62">
        <f t="shared" si="7"/>
        <v>1290</v>
      </c>
      <c r="O51" s="62">
        <f t="shared" si="8"/>
        <v>851.4</v>
      </c>
    </row>
    <row r="52" spans="10:15" x14ac:dyDescent="0.25">
      <c r="J52" s="78"/>
      <c r="K52" s="56"/>
      <c r="L52" s="59">
        <v>600</v>
      </c>
      <c r="M52" s="57">
        <f t="shared" si="6"/>
        <v>396</v>
      </c>
      <c r="N52" s="62">
        <f t="shared" si="7"/>
        <v>1390</v>
      </c>
      <c r="O52" s="62">
        <f t="shared" si="8"/>
        <v>917.4</v>
      </c>
    </row>
    <row r="53" spans="10:15" x14ac:dyDescent="0.25">
      <c r="J53" s="78"/>
      <c r="K53" s="56"/>
      <c r="L53" s="57">
        <v>790</v>
      </c>
      <c r="M53" s="57">
        <f t="shared" si="6"/>
        <v>521.4</v>
      </c>
      <c r="N53" s="62">
        <f t="shared" si="7"/>
        <v>1580</v>
      </c>
      <c r="O53" s="62">
        <f t="shared" si="8"/>
        <v>1042.8</v>
      </c>
    </row>
    <row r="56" spans="10:15" x14ac:dyDescent="0.25">
      <c r="J56" s="65" t="s">
        <v>49</v>
      </c>
      <c r="K56" s="65"/>
      <c r="L56" s="65" t="s">
        <v>47</v>
      </c>
      <c r="M56" s="65" t="s">
        <v>48</v>
      </c>
      <c r="N56" s="65" t="s">
        <v>45</v>
      </c>
      <c r="O56" s="65" t="s">
        <v>46</v>
      </c>
    </row>
    <row r="57" spans="10:15" x14ac:dyDescent="0.25">
      <c r="J57" s="78" t="s">
        <v>42</v>
      </c>
      <c r="K57" s="63"/>
      <c r="L57" s="57">
        <v>150</v>
      </c>
      <c r="M57" s="57">
        <f>0.66*L57</f>
        <v>99</v>
      </c>
      <c r="N57" s="64">
        <f>$L$53 + L57</f>
        <v>940</v>
      </c>
      <c r="O57" s="64">
        <f>$M$53+M57</f>
        <v>620.4</v>
      </c>
    </row>
    <row r="58" spans="10:15" x14ac:dyDescent="0.25">
      <c r="J58" s="78"/>
      <c r="K58" s="63"/>
      <c r="L58" s="58">
        <v>250</v>
      </c>
      <c r="M58" s="57">
        <f t="shared" si="6"/>
        <v>165</v>
      </c>
      <c r="N58" s="64">
        <f t="shared" ref="N58:N63" si="9">$L$53 + L58</f>
        <v>1040</v>
      </c>
      <c r="O58" s="64">
        <f t="shared" ref="O58:O63" si="10">$M$53+M58</f>
        <v>686.4</v>
      </c>
    </row>
    <row r="59" spans="10:15" x14ac:dyDescent="0.25">
      <c r="J59" s="78"/>
      <c r="K59" s="63"/>
      <c r="L59" s="57">
        <v>350</v>
      </c>
      <c r="M59" s="57">
        <f t="shared" si="6"/>
        <v>231</v>
      </c>
      <c r="N59" s="64">
        <f t="shared" si="9"/>
        <v>1140</v>
      </c>
      <c r="O59" s="64">
        <f t="shared" si="10"/>
        <v>752.4</v>
      </c>
    </row>
    <row r="60" spans="10:15" x14ac:dyDescent="0.25">
      <c r="J60" s="78"/>
      <c r="K60" s="63"/>
      <c r="L60" s="57">
        <v>400</v>
      </c>
      <c r="M60" s="57">
        <f t="shared" si="6"/>
        <v>264</v>
      </c>
      <c r="N60" s="64">
        <f t="shared" si="9"/>
        <v>1190</v>
      </c>
      <c r="O60" s="64">
        <f t="shared" si="10"/>
        <v>785.4</v>
      </c>
    </row>
    <row r="61" spans="10:15" x14ac:dyDescent="0.25">
      <c r="J61" s="78"/>
      <c r="K61" s="63"/>
      <c r="L61" s="57">
        <v>500</v>
      </c>
      <c r="M61" s="57">
        <f t="shared" si="6"/>
        <v>330</v>
      </c>
      <c r="N61" s="64">
        <f t="shared" si="9"/>
        <v>1290</v>
      </c>
      <c r="O61" s="64">
        <f t="shared" si="10"/>
        <v>851.4</v>
      </c>
    </row>
    <row r="62" spans="10:15" x14ac:dyDescent="0.25">
      <c r="J62" s="78"/>
      <c r="K62" s="63"/>
      <c r="L62" s="59">
        <v>600</v>
      </c>
      <c r="M62" s="57">
        <f t="shared" si="6"/>
        <v>396</v>
      </c>
      <c r="N62" s="64">
        <f t="shared" si="9"/>
        <v>1390</v>
      </c>
      <c r="O62" s="64">
        <f t="shared" si="10"/>
        <v>917.4</v>
      </c>
    </row>
    <row r="63" spans="10:15" x14ac:dyDescent="0.25">
      <c r="J63" s="78"/>
      <c r="K63" s="63"/>
      <c r="L63" s="57">
        <v>790</v>
      </c>
      <c r="M63" s="57">
        <f t="shared" si="6"/>
        <v>521.4</v>
      </c>
      <c r="N63" s="64">
        <f t="shared" si="9"/>
        <v>1580</v>
      </c>
      <c r="O63" s="64">
        <f t="shared" si="10"/>
        <v>1042.8</v>
      </c>
    </row>
    <row r="66" spans="12:17" x14ac:dyDescent="0.25">
      <c r="L66" s="18" t="s">
        <v>54</v>
      </c>
      <c r="M66" s="18" t="s">
        <v>53</v>
      </c>
      <c r="N66" s="18" t="s">
        <v>52</v>
      </c>
      <c r="O66" s="18" t="s">
        <v>50</v>
      </c>
      <c r="P66" s="18" t="s">
        <v>51</v>
      </c>
      <c r="Q66" s="18" t="s">
        <v>57</v>
      </c>
    </row>
    <row r="67" spans="12:17" x14ac:dyDescent="0.25">
      <c r="L67" s="18">
        <v>0</v>
      </c>
      <c r="M67" s="18">
        <v>99</v>
      </c>
      <c r="N67" s="18">
        <f>M67/0.66</f>
        <v>150</v>
      </c>
      <c r="O67" s="18">
        <v>6</v>
      </c>
      <c r="P67" s="18">
        <v>0</v>
      </c>
    </row>
    <row r="68" spans="12:17" x14ac:dyDescent="0.25">
      <c r="L68" s="18">
        <v>1</v>
      </c>
      <c r="M68" s="18">
        <v>165</v>
      </c>
      <c r="N68" s="18">
        <f t="shared" ref="N68:N77" si="11">M68/0.66</f>
        <v>250</v>
      </c>
      <c r="O68" s="18">
        <v>250</v>
      </c>
      <c r="P68" s="18">
        <v>0</v>
      </c>
    </row>
    <row r="69" spans="12:17" x14ac:dyDescent="0.25">
      <c r="L69" s="18">
        <f>L68+1</f>
        <v>2</v>
      </c>
      <c r="M69" s="18">
        <v>231</v>
      </c>
      <c r="N69" s="18">
        <f t="shared" si="11"/>
        <v>350</v>
      </c>
      <c r="O69" s="18">
        <v>350</v>
      </c>
      <c r="P69" s="18">
        <v>0</v>
      </c>
    </row>
    <row r="70" spans="12:17" x14ac:dyDescent="0.25">
      <c r="L70" s="18">
        <f t="shared" ref="L70:L77" si="12">L69+1</f>
        <v>3</v>
      </c>
      <c r="M70" s="18">
        <v>264</v>
      </c>
      <c r="N70" s="18">
        <f t="shared" si="11"/>
        <v>400</v>
      </c>
      <c r="O70" s="18">
        <v>400</v>
      </c>
      <c r="P70" s="18">
        <v>0</v>
      </c>
    </row>
    <row r="71" spans="12:17" x14ac:dyDescent="0.25">
      <c r="L71" s="18">
        <f t="shared" si="12"/>
        <v>4</v>
      </c>
      <c r="M71" s="18">
        <v>330</v>
      </c>
      <c r="N71" s="18">
        <f t="shared" si="11"/>
        <v>500</v>
      </c>
      <c r="O71" s="18">
        <v>500</v>
      </c>
      <c r="P71" s="18">
        <v>0</v>
      </c>
    </row>
    <row r="72" spans="12:17" x14ac:dyDescent="0.25">
      <c r="L72" s="18">
        <f t="shared" si="12"/>
        <v>5</v>
      </c>
      <c r="M72" s="18">
        <v>396</v>
      </c>
      <c r="N72" s="18">
        <f t="shared" si="11"/>
        <v>600</v>
      </c>
      <c r="O72" s="18">
        <v>600</v>
      </c>
      <c r="P72" s="18">
        <v>0</v>
      </c>
    </row>
    <row r="73" spans="12:17" x14ac:dyDescent="0.25">
      <c r="L73" s="18">
        <f t="shared" si="12"/>
        <v>6</v>
      </c>
      <c r="M73" s="18">
        <v>521.4</v>
      </c>
      <c r="N73" s="18">
        <f t="shared" si="11"/>
        <v>789.99999999999989</v>
      </c>
      <c r="O73" s="18">
        <v>789.99999999999989</v>
      </c>
      <c r="P73" s="18">
        <v>0</v>
      </c>
    </row>
    <row r="74" spans="12:17" x14ac:dyDescent="0.25">
      <c r="L74" s="18">
        <f t="shared" si="12"/>
        <v>7</v>
      </c>
      <c r="M74" s="18">
        <v>620.4</v>
      </c>
      <c r="N74" s="18">
        <f t="shared" si="11"/>
        <v>939.99999999999989</v>
      </c>
      <c r="O74" s="18">
        <v>790</v>
      </c>
      <c r="P74" s="18">
        <v>150</v>
      </c>
      <c r="Q74" s="71">
        <f>$H$29+B23</f>
        <v>137.44478612480003</v>
      </c>
    </row>
    <row r="75" spans="12:17" x14ac:dyDescent="0.25">
      <c r="L75" s="18">
        <f t="shared" si="12"/>
        <v>8</v>
      </c>
      <c r="M75" s="18">
        <v>686.4</v>
      </c>
      <c r="N75" s="18">
        <f t="shared" si="11"/>
        <v>1040</v>
      </c>
      <c r="O75" s="18">
        <v>790</v>
      </c>
      <c r="P75" s="18">
        <v>250</v>
      </c>
      <c r="Q75" s="71">
        <f>$H$29+C23</f>
        <v>154.93318012480003</v>
      </c>
    </row>
    <row r="76" spans="12:17" x14ac:dyDescent="0.25">
      <c r="L76" s="18">
        <f t="shared" si="12"/>
        <v>9</v>
      </c>
      <c r="M76" s="18">
        <v>917.4</v>
      </c>
      <c r="N76" s="18">
        <f t="shared" si="11"/>
        <v>1390</v>
      </c>
      <c r="O76" s="18">
        <v>790</v>
      </c>
      <c r="P76" s="18">
        <v>600</v>
      </c>
      <c r="Q76" s="71">
        <f>$H$29+G23</f>
        <v>251.11934712480004</v>
      </c>
    </row>
    <row r="77" spans="12:17" x14ac:dyDescent="0.25">
      <c r="L77" s="18">
        <f t="shared" si="12"/>
        <v>10</v>
      </c>
      <c r="M77" s="18">
        <v>1042.8</v>
      </c>
      <c r="N77" s="18">
        <f t="shared" si="11"/>
        <v>1579.9999999999998</v>
      </c>
      <c r="O77" s="18">
        <v>790</v>
      </c>
      <c r="P77" s="18">
        <v>789.99999999999989</v>
      </c>
      <c r="Q77" s="71">
        <f>$H$29+H23</f>
        <v>315.82640492480004</v>
      </c>
    </row>
    <row r="81" spans="1:15" x14ac:dyDescent="0.25">
      <c r="A81" s="76" t="s">
        <v>55</v>
      </c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>
        <v>336</v>
      </c>
    </row>
  </sheetData>
  <mergeCells count="7">
    <mergeCell ref="A81:N81"/>
    <mergeCell ref="J47:J53"/>
    <mergeCell ref="J57:J63"/>
    <mergeCell ref="A8:N8"/>
    <mergeCell ref="A21:A22"/>
    <mergeCell ref="B21:H21"/>
    <mergeCell ref="J40:J46"/>
  </mergeCells>
  <phoneticPr fontId="2" type="noConversion"/>
  <hyperlinks>
    <hyperlink ref="J38" r:id="rId1" xr:uid="{F734A702-2B3F-44BD-A142-EA3936EB0627}"/>
    <hyperlink ref="A81" r:id="rId2" xr:uid="{BF173F16-453E-4C3D-A79B-E56E8C4BBE69}"/>
  </hyperlink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192D6-777B-4A50-9EE9-EADF6105DEE2}">
  <dimension ref="C4:E7"/>
  <sheetViews>
    <sheetView tabSelected="1" workbookViewId="0">
      <selection activeCell="G12" sqref="G12"/>
    </sheetView>
  </sheetViews>
  <sheetFormatPr defaultRowHeight="15" x14ac:dyDescent="0.25"/>
  <cols>
    <col min="3" max="3" width="27.7109375" bestFit="1" customWidth="1"/>
  </cols>
  <sheetData>
    <row r="4" spans="3:5" x14ac:dyDescent="0.25">
      <c r="C4" s="85" t="s">
        <v>58</v>
      </c>
      <c r="D4" s="85"/>
      <c r="E4" s="72" t="s">
        <v>59</v>
      </c>
    </row>
    <row r="5" spans="3:5" x14ac:dyDescent="0.25">
      <c r="C5" s="73" t="s">
        <v>60</v>
      </c>
      <c r="D5" s="73" t="s">
        <v>61</v>
      </c>
      <c r="E5" s="73">
        <v>30</v>
      </c>
    </row>
    <row r="6" spans="3:5" x14ac:dyDescent="0.25">
      <c r="C6" s="73" t="s">
        <v>62</v>
      </c>
      <c r="D6" s="73" t="s">
        <v>63</v>
      </c>
      <c r="E6" s="74">
        <v>0.66</v>
      </c>
    </row>
    <row r="7" spans="3:5" x14ac:dyDescent="0.25">
      <c r="C7" s="75" t="s">
        <v>64</v>
      </c>
      <c r="D7" s="75" t="s">
        <v>65</v>
      </c>
      <c r="E7" s="75">
        <v>50</v>
      </c>
    </row>
  </sheetData>
  <mergeCells count="1">
    <mergeCell ref="C4:D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Calenzani</dc:creator>
  <cp:lastModifiedBy>Fernando Calenzani</cp:lastModifiedBy>
  <dcterms:created xsi:type="dcterms:W3CDTF">2020-06-07T19:41:35Z</dcterms:created>
  <dcterms:modified xsi:type="dcterms:W3CDTF">2021-09-16T02:41:33Z</dcterms:modified>
</cp:coreProperties>
</file>