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fernandofigueiredo/Documents/análise-de-dados/projetos_github/manual-do-analista-de-dados/Projeto/excel/"/>
    </mc:Choice>
  </mc:AlternateContent>
  <xr:revisionPtr revIDLastSave="0" documentId="13_ncr:1_{CBA31801-2854-A34E-9A6E-34C2B3613F17}" xr6:coauthVersionLast="47" xr6:coauthVersionMax="47" xr10:uidLastSave="{00000000-0000-0000-0000-000000000000}"/>
  <bookViews>
    <workbookView xWindow="0" yWindow="600" windowWidth="51200" windowHeight="19280" tabRatio="500" activeTab="9" xr2:uid="{00000000-000D-0000-FFFF-FFFF00000000}"/>
  </bookViews>
  <sheets>
    <sheet name="Base_IFData_Original" sheetId="1" r:id="rId1"/>
    <sheet name="Base_IFData" sheetId="9" r:id="rId2"/>
    <sheet name="Totais_Fonte" sheetId="17" r:id="rId3"/>
    <sheet name="Dicionário" sheetId="2" r:id="rId4"/>
    <sheet name="Análises 1" sheetId="5" r:id="rId5"/>
    <sheet name="Análises 2" sheetId="6" r:id="rId6"/>
    <sheet name="Tabela_TCB" sheetId="19" r:id="rId7"/>
    <sheet name="Cálculos_Apoio" sheetId="20" r:id="rId8"/>
    <sheet name="Gráficos_Análise" sheetId="21" r:id="rId9"/>
    <sheet name="ANÁLISE_FINAL" sheetId="7" r:id="rId10"/>
  </sheets>
  <definedNames>
    <definedName name="_xlnm._FilterDatabase" localSheetId="1" hidden="1">Base_IFData!$A$1:$W$1626</definedName>
    <definedName name="_xlnm._FilterDatabase" localSheetId="0" hidden="1">Base_IFData_Original!$A$4:$T$1626</definedName>
    <definedName name="_xlnm.Print_Titles" localSheetId="1">Base_IFData!$4:$4</definedName>
    <definedName name="_xlnm.Print_Titles" localSheetId="0">Base_IFData_Original!$4:$4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24" i="20" l="1"/>
  <c r="X23" i="20"/>
  <c r="X22" i="20"/>
  <c r="X21" i="20"/>
  <c r="X20" i="20"/>
  <c r="X19" i="20"/>
  <c r="X18" i="20"/>
  <c r="X17" i="20"/>
  <c r="X16" i="20"/>
  <c r="X15" i="20"/>
  <c r="Z11" i="20"/>
  <c r="Y11" i="20"/>
  <c r="X11" i="20"/>
  <c r="Z10" i="20"/>
  <c r="Y10" i="20"/>
  <c r="X10" i="20"/>
  <c r="Z9" i="20"/>
  <c r="Y9" i="20"/>
  <c r="X9" i="20"/>
  <c r="Z8" i="20"/>
  <c r="Y8" i="20"/>
  <c r="X8" i="20"/>
  <c r="Z7" i="20"/>
  <c r="Y7" i="20"/>
  <c r="X7" i="20"/>
  <c r="Z6" i="20"/>
  <c r="Y6" i="20"/>
  <c r="X6" i="20"/>
  <c r="Z5" i="20"/>
  <c r="Y5" i="20"/>
  <c r="X5" i="20"/>
  <c r="X4" i="20"/>
  <c r="Y4" i="20"/>
  <c r="Z4" i="20"/>
  <c r="U33" i="20"/>
  <c r="U32" i="20"/>
  <c r="U31" i="20"/>
  <c r="U30" i="20"/>
  <c r="U29" i="20"/>
  <c r="U28" i="20"/>
  <c r="U27" i="20"/>
  <c r="U26" i="20"/>
  <c r="U25" i="20"/>
  <c r="U24" i="20"/>
  <c r="U23" i="20"/>
  <c r="U22" i="20"/>
  <c r="U21" i="20"/>
  <c r="U20" i="20"/>
  <c r="U19" i="20"/>
  <c r="U18" i="20"/>
  <c r="U17" i="20"/>
  <c r="U16" i="20"/>
  <c r="U15" i="20"/>
  <c r="U14" i="20"/>
  <c r="U13" i="20"/>
  <c r="U12" i="20"/>
  <c r="U11" i="20"/>
  <c r="U10" i="20"/>
  <c r="U9" i="20"/>
  <c r="U8" i="20"/>
  <c r="U7" i="20"/>
  <c r="U6" i="20"/>
  <c r="U5" i="20"/>
  <c r="U4" i="20"/>
  <c r="B93" i="20"/>
  <c r="B91" i="20"/>
  <c r="C91" i="20" s="1"/>
  <c r="B90" i="20"/>
  <c r="C90" i="20" s="1"/>
  <c r="B89" i="20"/>
  <c r="C89" i="20" s="1"/>
  <c r="B88" i="20"/>
  <c r="C88" i="20" s="1"/>
  <c r="B87" i="20"/>
  <c r="E82" i="20"/>
  <c r="C82" i="20"/>
  <c r="B82" i="20"/>
  <c r="D82" i="20" s="1"/>
  <c r="E81" i="20"/>
  <c r="C81" i="20"/>
  <c r="B81" i="20"/>
  <c r="D81" i="20" s="1"/>
  <c r="E80" i="20"/>
  <c r="C80" i="20"/>
  <c r="B80" i="20"/>
  <c r="D80" i="20" s="1"/>
  <c r="E79" i="20"/>
  <c r="C79" i="20"/>
  <c r="B79" i="20"/>
  <c r="E78" i="20"/>
  <c r="C78" i="20"/>
  <c r="B78" i="20"/>
  <c r="E77" i="20"/>
  <c r="C77" i="20"/>
  <c r="B77" i="20"/>
  <c r="D77" i="20" s="1"/>
  <c r="E76" i="20"/>
  <c r="C76" i="20"/>
  <c r="B76" i="20"/>
  <c r="D76" i="20" s="1"/>
  <c r="B75" i="20"/>
  <c r="C75" i="20"/>
  <c r="C83" i="20" s="1"/>
  <c r="E75" i="20"/>
  <c r="B71" i="20"/>
  <c r="B72" i="20"/>
  <c r="B73" i="20" s="1"/>
  <c r="B66" i="20"/>
  <c r="B67" i="20"/>
  <c r="A33" i="20"/>
  <c r="E20" i="20"/>
  <c r="C20" i="20"/>
  <c r="B20" i="20"/>
  <c r="E19" i="20"/>
  <c r="C19" i="20"/>
  <c r="B19" i="20"/>
  <c r="C18" i="20"/>
  <c r="E18" i="20"/>
  <c r="F13" i="20"/>
  <c r="E13" i="20"/>
  <c r="G13" i="20" s="1"/>
  <c r="C13" i="20"/>
  <c r="B13" i="20"/>
  <c r="F12" i="20"/>
  <c r="E12" i="20"/>
  <c r="G12" i="20" s="1"/>
  <c r="C12" i="20"/>
  <c r="B12" i="20"/>
  <c r="B11" i="20"/>
  <c r="C11" i="20"/>
  <c r="C14" i="20" s="1"/>
  <c r="E11" i="20"/>
  <c r="F11" i="20"/>
  <c r="F14" i="20" s="1"/>
  <c r="O1625" i="20"/>
  <c r="N1625" i="20"/>
  <c r="M1625" i="20"/>
  <c r="L1625" i="20"/>
  <c r="K1625" i="20"/>
  <c r="O1624" i="20"/>
  <c r="N1624" i="20"/>
  <c r="M1624" i="20"/>
  <c r="L1624" i="20"/>
  <c r="K1624" i="20"/>
  <c r="O1623" i="20"/>
  <c r="N1623" i="20"/>
  <c r="M1623" i="20"/>
  <c r="L1623" i="20"/>
  <c r="K1623" i="20"/>
  <c r="O1622" i="20"/>
  <c r="N1622" i="20"/>
  <c r="M1622" i="20"/>
  <c r="L1622" i="20"/>
  <c r="K1622" i="20"/>
  <c r="O1621" i="20"/>
  <c r="N1621" i="20"/>
  <c r="M1621" i="20"/>
  <c r="L1621" i="20"/>
  <c r="K1621" i="20"/>
  <c r="O1620" i="20"/>
  <c r="N1620" i="20"/>
  <c r="M1620" i="20"/>
  <c r="L1620" i="20"/>
  <c r="K1620" i="20"/>
  <c r="O1619" i="20"/>
  <c r="N1619" i="20"/>
  <c r="M1619" i="20"/>
  <c r="L1619" i="20"/>
  <c r="K1619" i="20"/>
  <c r="O1618" i="20"/>
  <c r="N1618" i="20"/>
  <c r="M1618" i="20"/>
  <c r="L1618" i="20"/>
  <c r="K1618" i="20"/>
  <c r="O1617" i="20"/>
  <c r="N1617" i="20"/>
  <c r="M1617" i="20"/>
  <c r="L1617" i="20"/>
  <c r="K1617" i="20"/>
  <c r="O1616" i="20"/>
  <c r="N1616" i="20"/>
  <c r="M1616" i="20"/>
  <c r="L1616" i="20"/>
  <c r="K1616" i="20"/>
  <c r="O1615" i="20"/>
  <c r="N1615" i="20"/>
  <c r="M1615" i="20"/>
  <c r="L1615" i="20"/>
  <c r="K1615" i="20"/>
  <c r="O1614" i="20"/>
  <c r="N1614" i="20"/>
  <c r="M1614" i="20"/>
  <c r="L1614" i="20"/>
  <c r="K1614" i="20"/>
  <c r="O1613" i="20"/>
  <c r="N1613" i="20"/>
  <c r="M1613" i="20"/>
  <c r="L1613" i="20"/>
  <c r="K1613" i="20"/>
  <c r="O1612" i="20"/>
  <c r="N1612" i="20"/>
  <c r="M1612" i="20"/>
  <c r="L1612" i="20"/>
  <c r="K1612" i="20"/>
  <c r="O1611" i="20"/>
  <c r="N1611" i="20"/>
  <c r="M1611" i="20"/>
  <c r="L1611" i="20"/>
  <c r="K1611" i="20"/>
  <c r="O1610" i="20"/>
  <c r="N1610" i="20"/>
  <c r="M1610" i="20"/>
  <c r="L1610" i="20"/>
  <c r="K1610" i="20"/>
  <c r="O1609" i="20"/>
  <c r="N1609" i="20"/>
  <c r="M1609" i="20"/>
  <c r="L1609" i="20"/>
  <c r="K1609" i="20"/>
  <c r="O1608" i="20"/>
  <c r="N1608" i="20"/>
  <c r="M1608" i="20"/>
  <c r="L1608" i="20"/>
  <c r="K1608" i="20"/>
  <c r="O1607" i="20"/>
  <c r="N1607" i="20"/>
  <c r="M1607" i="20"/>
  <c r="L1607" i="20"/>
  <c r="K1607" i="20"/>
  <c r="O1606" i="20"/>
  <c r="N1606" i="20"/>
  <c r="M1606" i="20"/>
  <c r="L1606" i="20"/>
  <c r="K1606" i="20"/>
  <c r="O1605" i="20"/>
  <c r="N1605" i="20"/>
  <c r="M1605" i="20"/>
  <c r="L1605" i="20"/>
  <c r="K1605" i="20"/>
  <c r="O1604" i="20"/>
  <c r="N1604" i="20"/>
  <c r="M1604" i="20"/>
  <c r="L1604" i="20"/>
  <c r="K1604" i="20"/>
  <c r="O1603" i="20"/>
  <c r="N1603" i="20"/>
  <c r="M1603" i="20"/>
  <c r="L1603" i="20"/>
  <c r="K1603" i="20"/>
  <c r="O1602" i="20"/>
  <c r="N1602" i="20"/>
  <c r="M1602" i="20"/>
  <c r="L1602" i="20"/>
  <c r="K1602" i="20"/>
  <c r="O1601" i="20"/>
  <c r="N1601" i="20"/>
  <c r="M1601" i="20"/>
  <c r="L1601" i="20"/>
  <c r="K1601" i="20"/>
  <c r="O1600" i="20"/>
  <c r="N1600" i="20"/>
  <c r="M1600" i="20"/>
  <c r="L1600" i="20"/>
  <c r="K1600" i="20"/>
  <c r="O1599" i="20"/>
  <c r="N1599" i="20"/>
  <c r="M1599" i="20"/>
  <c r="L1599" i="20"/>
  <c r="K1599" i="20"/>
  <c r="O1598" i="20"/>
  <c r="N1598" i="20"/>
  <c r="M1598" i="20"/>
  <c r="L1598" i="20"/>
  <c r="K1598" i="20"/>
  <c r="O1597" i="20"/>
  <c r="N1597" i="20"/>
  <c r="M1597" i="20"/>
  <c r="L1597" i="20"/>
  <c r="K1597" i="20"/>
  <c r="O1596" i="20"/>
  <c r="N1596" i="20"/>
  <c r="M1596" i="20"/>
  <c r="L1596" i="20"/>
  <c r="K1596" i="20"/>
  <c r="O1595" i="20"/>
  <c r="N1595" i="20"/>
  <c r="M1595" i="20"/>
  <c r="L1595" i="20"/>
  <c r="K1595" i="20"/>
  <c r="O1594" i="20"/>
  <c r="N1594" i="20"/>
  <c r="M1594" i="20"/>
  <c r="L1594" i="20"/>
  <c r="K1594" i="20"/>
  <c r="O1593" i="20"/>
  <c r="N1593" i="20"/>
  <c r="M1593" i="20"/>
  <c r="L1593" i="20"/>
  <c r="K1593" i="20"/>
  <c r="O1592" i="20"/>
  <c r="N1592" i="20"/>
  <c r="M1592" i="20"/>
  <c r="L1592" i="20"/>
  <c r="K1592" i="20"/>
  <c r="O1591" i="20"/>
  <c r="N1591" i="20"/>
  <c r="M1591" i="20"/>
  <c r="L1591" i="20"/>
  <c r="K1591" i="20"/>
  <c r="O1590" i="20"/>
  <c r="N1590" i="20"/>
  <c r="M1590" i="20"/>
  <c r="L1590" i="20"/>
  <c r="K1590" i="20"/>
  <c r="O1589" i="20"/>
  <c r="N1589" i="20"/>
  <c r="M1589" i="20"/>
  <c r="L1589" i="20"/>
  <c r="K1589" i="20"/>
  <c r="O1588" i="20"/>
  <c r="N1588" i="20"/>
  <c r="M1588" i="20"/>
  <c r="L1588" i="20"/>
  <c r="K1588" i="20"/>
  <c r="O1587" i="20"/>
  <c r="N1587" i="20"/>
  <c r="M1587" i="20"/>
  <c r="L1587" i="20"/>
  <c r="K1587" i="20"/>
  <c r="O1586" i="20"/>
  <c r="N1586" i="20"/>
  <c r="M1586" i="20"/>
  <c r="L1586" i="20"/>
  <c r="K1586" i="20"/>
  <c r="O1585" i="20"/>
  <c r="N1585" i="20"/>
  <c r="M1585" i="20"/>
  <c r="L1585" i="20"/>
  <c r="K1585" i="20"/>
  <c r="O1584" i="20"/>
  <c r="N1584" i="20"/>
  <c r="M1584" i="20"/>
  <c r="L1584" i="20"/>
  <c r="K1584" i="20"/>
  <c r="O1583" i="20"/>
  <c r="N1583" i="20"/>
  <c r="M1583" i="20"/>
  <c r="L1583" i="20"/>
  <c r="K1583" i="20"/>
  <c r="O1582" i="20"/>
  <c r="N1582" i="20"/>
  <c r="M1582" i="20"/>
  <c r="L1582" i="20"/>
  <c r="K1582" i="20"/>
  <c r="O1581" i="20"/>
  <c r="N1581" i="20"/>
  <c r="M1581" i="20"/>
  <c r="L1581" i="20"/>
  <c r="K1581" i="20"/>
  <c r="O1580" i="20"/>
  <c r="N1580" i="20"/>
  <c r="M1580" i="20"/>
  <c r="L1580" i="20"/>
  <c r="K1580" i="20"/>
  <c r="O1579" i="20"/>
  <c r="N1579" i="20"/>
  <c r="M1579" i="20"/>
  <c r="L1579" i="20"/>
  <c r="K1579" i="20"/>
  <c r="O1578" i="20"/>
  <c r="N1578" i="20"/>
  <c r="M1578" i="20"/>
  <c r="L1578" i="20"/>
  <c r="K1578" i="20"/>
  <c r="O1577" i="20"/>
  <c r="N1577" i="20"/>
  <c r="M1577" i="20"/>
  <c r="L1577" i="20"/>
  <c r="K1577" i="20"/>
  <c r="O1576" i="20"/>
  <c r="N1576" i="20"/>
  <c r="M1576" i="20"/>
  <c r="L1576" i="20"/>
  <c r="K1576" i="20"/>
  <c r="O1575" i="20"/>
  <c r="N1575" i="20"/>
  <c r="M1575" i="20"/>
  <c r="L1575" i="20"/>
  <c r="K1575" i="20"/>
  <c r="O1574" i="20"/>
  <c r="N1574" i="20"/>
  <c r="M1574" i="20"/>
  <c r="L1574" i="20"/>
  <c r="K1574" i="20"/>
  <c r="O1573" i="20"/>
  <c r="N1573" i="20"/>
  <c r="M1573" i="20"/>
  <c r="L1573" i="20"/>
  <c r="K1573" i="20"/>
  <c r="O1572" i="20"/>
  <c r="N1572" i="20"/>
  <c r="M1572" i="20"/>
  <c r="L1572" i="20"/>
  <c r="K1572" i="20"/>
  <c r="O1571" i="20"/>
  <c r="N1571" i="20"/>
  <c r="M1571" i="20"/>
  <c r="L1571" i="20"/>
  <c r="K1571" i="20"/>
  <c r="O1570" i="20"/>
  <c r="N1570" i="20"/>
  <c r="M1570" i="20"/>
  <c r="L1570" i="20"/>
  <c r="K1570" i="20"/>
  <c r="O1569" i="20"/>
  <c r="N1569" i="20"/>
  <c r="M1569" i="20"/>
  <c r="L1569" i="20"/>
  <c r="K1569" i="20"/>
  <c r="O1568" i="20"/>
  <c r="N1568" i="20"/>
  <c r="M1568" i="20"/>
  <c r="L1568" i="20"/>
  <c r="K1568" i="20"/>
  <c r="O1567" i="20"/>
  <c r="N1567" i="20"/>
  <c r="M1567" i="20"/>
  <c r="L1567" i="20"/>
  <c r="K1567" i="20"/>
  <c r="O1566" i="20"/>
  <c r="N1566" i="20"/>
  <c r="M1566" i="20"/>
  <c r="L1566" i="20"/>
  <c r="K1566" i="20"/>
  <c r="O1565" i="20"/>
  <c r="N1565" i="20"/>
  <c r="M1565" i="20"/>
  <c r="L1565" i="20"/>
  <c r="K1565" i="20"/>
  <c r="O1564" i="20"/>
  <c r="N1564" i="20"/>
  <c r="M1564" i="20"/>
  <c r="L1564" i="20"/>
  <c r="K1564" i="20"/>
  <c r="O1563" i="20"/>
  <c r="N1563" i="20"/>
  <c r="M1563" i="20"/>
  <c r="L1563" i="20"/>
  <c r="K1563" i="20"/>
  <c r="O1562" i="20"/>
  <c r="N1562" i="20"/>
  <c r="M1562" i="20"/>
  <c r="L1562" i="20"/>
  <c r="K1562" i="20"/>
  <c r="O1561" i="20"/>
  <c r="N1561" i="20"/>
  <c r="M1561" i="20"/>
  <c r="L1561" i="20"/>
  <c r="K1561" i="20"/>
  <c r="O1560" i="20"/>
  <c r="N1560" i="20"/>
  <c r="M1560" i="20"/>
  <c r="L1560" i="20"/>
  <c r="K1560" i="20"/>
  <c r="O1559" i="20"/>
  <c r="N1559" i="20"/>
  <c r="M1559" i="20"/>
  <c r="L1559" i="20"/>
  <c r="K1559" i="20"/>
  <c r="O1558" i="20"/>
  <c r="N1558" i="20"/>
  <c r="M1558" i="20"/>
  <c r="L1558" i="20"/>
  <c r="K1558" i="20"/>
  <c r="O1557" i="20"/>
  <c r="N1557" i="20"/>
  <c r="M1557" i="20"/>
  <c r="L1557" i="20"/>
  <c r="K1557" i="20"/>
  <c r="O1556" i="20"/>
  <c r="N1556" i="20"/>
  <c r="M1556" i="20"/>
  <c r="L1556" i="20"/>
  <c r="K1556" i="20"/>
  <c r="O1555" i="20"/>
  <c r="N1555" i="20"/>
  <c r="M1555" i="20"/>
  <c r="L1555" i="20"/>
  <c r="K1555" i="20"/>
  <c r="O1554" i="20"/>
  <c r="N1554" i="20"/>
  <c r="M1554" i="20"/>
  <c r="L1554" i="20"/>
  <c r="K1554" i="20"/>
  <c r="O1553" i="20"/>
  <c r="N1553" i="20"/>
  <c r="M1553" i="20"/>
  <c r="L1553" i="20"/>
  <c r="K1553" i="20"/>
  <c r="O1552" i="20"/>
  <c r="N1552" i="20"/>
  <c r="M1552" i="20"/>
  <c r="L1552" i="20"/>
  <c r="K1552" i="20"/>
  <c r="O1551" i="20"/>
  <c r="N1551" i="20"/>
  <c r="M1551" i="20"/>
  <c r="L1551" i="20"/>
  <c r="K1551" i="20"/>
  <c r="O1550" i="20"/>
  <c r="N1550" i="20"/>
  <c r="M1550" i="20"/>
  <c r="L1550" i="20"/>
  <c r="K1550" i="20"/>
  <c r="O1549" i="20"/>
  <c r="N1549" i="20"/>
  <c r="M1549" i="20"/>
  <c r="L1549" i="20"/>
  <c r="K1549" i="20"/>
  <c r="O1548" i="20"/>
  <c r="N1548" i="20"/>
  <c r="M1548" i="20"/>
  <c r="L1548" i="20"/>
  <c r="K1548" i="20"/>
  <c r="O1547" i="20"/>
  <c r="N1547" i="20"/>
  <c r="M1547" i="20"/>
  <c r="L1547" i="20"/>
  <c r="K1547" i="20"/>
  <c r="O1546" i="20"/>
  <c r="N1546" i="20"/>
  <c r="M1546" i="20"/>
  <c r="L1546" i="20"/>
  <c r="K1546" i="20"/>
  <c r="O1545" i="20"/>
  <c r="N1545" i="20"/>
  <c r="M1545" i="20"/>
  <c r="L1545" i="20"/>
  <c r="K1545" i="20"/>
  <c r="O1544" i="20"/>
  <c r="N1544" i="20"/>
  <c r="M1544" i="20"/>
  <c r="L1544" i="20"/>
  <c r="K1544" i="20"/>
  <c r="O1543" i="20"/>
  <c r="N1543" i="20"/>
  <c r="M1543" i="20"/>
  <c r="L1543" i="20"/>
  <c r="K1543" i="20"/>
  <c r="O1542" i="20"/>
  <c r="N1542" i="20"/>
  <c r="M1542" i="20"/>
  <c r="L1542" i="20"/>
  <c r="K1542" i="20"/>
  <c r="O1541" i="20"/>
  <c r="N1541" i="20"/>
  <c r="M1541" i="20"/>
  <c r="L1541" i="20"/>
  <c r="K1541" i="20"/>
  <c r="O1540" i="20"/>
  <c r="N1540" i="20"/>
  <c r="M1540" i="20"/>
  <c r="L1540" i="20"/>
  <c r="K1540" i="20"/>
  <c r="O1539" i="20"/>
  <c r="N1539" i="20"/>
  <c r="M1539" i="20"/>
  <c r="L1539" i="20"/>
  <c r="K1539" i="20"/>
  <c r="O1538" i="20"/>
  <c r="N1538" i="20"/>
  <c r="M1538" i="20"/>
  <c r="L1538" i="20"/>
  <c r="K1538" i="20"/>
  <c r="O1537" i="20"/>
  <c r="N1537" i="20"/>
  <c r="M1537" i="20"/>
  <c r="L1537" i="20"/>
  <c r="K1537" i="20"/>
  <c r="O1536" i="20"/>
  <c r="N1536" i="20"/>
  <c r="M1536" i="20"/>
  <c r="L1536" i="20"/>
  <c r="K1536" i="20"/>
  <c r="O1535" i="20"/>
  <c r="N1535" i="20"/>
  <c r="M1535" i="20"/>
  <c r="L1535" i="20"/>
  <c r="K1535" i="20"/>
  <c r="O1534" i="20"/>
  <c r="N1534" i="20"/>
  <c r="M1534" i="20"/>
  <c r="L1534" i="20"/>
  <c r="K1534" i="20"/>
  <c r="O1533" i="20"/>
  <c r="N1533" i="20"/>
  <c r="M1533" i="20"/>
  <c r="L1533" i="20"/>
  <c r="K1533" i="20"/>
  <c r="O1532" i="20"/>
  <c r="N1532" i="20"/>
  <c r="M1532" i="20"/>
  <c r="L1532" i="20"/>
  <c r="K1532" i="20"/>
  <c r="O1531" i="20"/>
  <c r="N1531" i="20"/>
  <c r="M1531" i="20"/>
  <c r="L1531" i="20"/>
  <c r="K1531" i="20"/>
  <c r="O1530" i="20"/>
  <c r="N1530" i="20"/>
  <c r="M1530" i="20"/>
  <c r="L1530" i="20"/>
  <c r="K1530" i="20"/>
  <c r="O1529" i="20"/>
  <c r="N1529" i="20"/>
  <c r="M1529" i="20"/>
  <c r="L1529" i="20"/>
  <c r="K1529" i="20"/>
  <c r="O1528" i="20"/>
  <c r="N1528" i="20"/>
  <c r="M1528" i="20"/>
  <c r="L1528" i="20"/>
  <c r="K1528" i="20"/>
  <c r="O1527" i="20"/>
  <c r="N1527" i="20"/>
  <c r="M1527" i="20"/>
  <c r="L1527" i="20"/>
  <c r="K1527" i="20"/>
  <c r="O1526" i="20"/>
  <c r="N1526" i="20"/>
  <c r="M1526" i="20"/>
  <c r="L1526" i="20"/>
  <c r="K1526" i="20"/>
  <c r="O1525" i="20"/>
  <c r="N1525" i="20"/>
  <c r="M1525" i="20"/>
  <c r="L1525" i="20"/>
  <c r="K1525" i="20"/>
  <c r="O1524" i="20"/>
  <c r="N1524" i="20"/>
  <c r="M1524" i="20"/>
  <c r="L1524" i="20"/>
  <c r="K1524" i="20"/>
  <c r="O1523" i="20"/>
  <c r="N1523" i="20"/>
  <c r="M1523" i="20"/>
  <c r="L1523" i="20"/>
  <c r="K1523" i="20"/>
  <c r="O1522" i="20"/>
  <c r="N1522" i="20"/>
  <c r="M1522" i="20"/>
  <c r="L1522" i="20"/>
  <c r="K1522" i="20"/>
  <c r="O1521" i="20"/>
  <c r="N1521" i="20"/>
  <c r="M1521" i="20"/>
  <c r="L1521" i="20"/>
  <c r="K1521" i="20"/>
  <c r="O1520" i="20"/>
  <c r="N1520" i="20"/>
  <c r="M1520" i="20"/>
  <c r="L1520" i="20"/>
  <c r="K1520" i="20"/>
  <c r="O1519" i="20"/>
  <c r="N1519" i="20"/>
  <c r="M1519" i="20"/>
  <c r="L1519" i="20"/>
  <c r="K1519" i="20"/>
  <c r="O1518" i="20"/>
  <c r="N1518" i="20"/>
  <c r="M1518" i="20"/>
  <c r="L1518" i="20"/>
  <c r="K1518" i="20"/>
  <c r="O1517" i="20"/>
  <c r="N1517" i="20"/>
  <c r="M1517" i="20"/>
  <c r="L1517" i="20"/>
  <c r="K1517" i="20"/>
  <c r="O1516" i="20"/>
  <c r="N1516" i="20"/>
  <c r="M1516" i="20"/>
  <c r="L1516" i="20"/>
  <c r="K1516" i="20"/>
  <c r="O1515" i="20"/>
  <c r="N1515" i="20"/>
  <c r="M1515" i="20"/>
  <c r="L1515" i="20"/>
  <c r="K1515" i="20"/>
  <c r="O1514" i="20"/>
  <c r="N1514" i="20"/>
  <c r="M1514" i="20"/>
  <c r="L1514" i="20"/>
  <c r="K1514" i="20"/>
  <c r="O1513" i="20"/>
  <c r="N1513" i="20"/>
  <c r="M1513" i="20"/>
  <c r="L1513" i="20"/>
  <c r="K1513" i="20"/>
  <c r="O1512" i="20"/>
  <c r="N1512" i="20"/>
  <c r="M1512" i="20"/>
  <c r="L1512" i="20"/>
  <c r="K1512" i="20"/>
  <c r="O1511" i="20"/>
  <c r="N1511" i="20"/>
  <c r="M1511" i="20"/>
  <c r="L1511" i="20"/>
  <c r="K1511" i="20"/>
  <c r="O1510" i="20"/>
  <c r="N1510" i="20"/>
  <c r="M1510" i="20"/>
  <c r="L1510" i="20"/>
  <c r="K1510" i="20"/>
  <c r="O1509" i="20"/>
  <c r="N1509" i="20"/>
  <c r="M1509" i="20"/>
  <c r="L1509" i="20"/>
  <c r="K1509" i="20"/>
  <c r="O1508" i="20"/>
  <c r="N1508" i="20"/>
  <c r="M1508" i="20"/>
  <c r="L1508" i="20"/>
  <c r="K1508" i="20"/>
  <c r="O1507" i="20"/>
  <c r="N1507" i="20"/>
  <c r="M1507" i="20"/>
  <c r="L1507" i="20"/>
  <c r="K1507" i="20"/>
  <c r="O1506" i="20"/>
  <c r="N1506" i="20"/>
  <c r="M1506" i="20"/>
  <c r="L1506" i="20"/>
  <c r="K1506" i="20"/>
  <c r="O1505" i="20"/>
  <c r="N1505" i="20"/>
  <c r="M1505" i="20"/>
  <c r="L1505" i="20"/>
  <c r="K1505" i="20"/>
  <c r="O1504" i="20"/>
  <c r="N1504" i="20"/>
  <c r="M1504" i="20"/>
  <c r="L1504" i="20"/>
  <c r="K1504" i="20"/>
  <c r="O1503" i="20"/>
  <c r="N1503" i="20"/>
  <c r="M1503" i="20"/>
  <c r="L1503" i="20"/>
  <c r="K1503" i="20"/>
  <c r="O1502" i="20"/>
  <c r="N1502" i="20"/>
  <c r="M1502" i="20"/>
  <c r="L1502" i="20"/>
  <c r="K1502" i="20"/>
  <c r="O1501" i="20"/>
  <c r="N1501" i="20"/>
  <c r="M1501" i="20"/>
  <c r="L1501" i="20"/>
  <c r="K1501" i="20"/>
  <c r="O1500" i="20"/>
  <c r="N1500" i="20"/>
  <c r="M1500" i="20"/>
  <c r="L1500" i="20"/>
  <c r="K1500" i="20"/>
  <c r="O1499" i="20"/>
  <c r="N1499" i="20"/>
  <c r="M1499" i="20"/>
  <c r="L1499" i="20"/>
  <c r="K1499" i="20"/>
  <c r="O1498" i="20"/>
  <c r="N1498" i="20"/>
  <c r="M1498" i="20"/>
  <c r="L1498" i="20"/>
  <c r="K1498" i="20"/>
  <c r="O1497" i="20"/>
  <c r="N1497" i="20"/>
  <c r="M1497" i="20"/>
  <c r="L1497" i="20"/>
  <c r="K1497" i="20"/>
  <c r="O1496" i="20"/>
  <c r="N1496" i="20"/>
  <c r="M1496" i="20"/>
  <c r="L1496" i="20"/>
  <c r="K1496" i="20"/>
  <c r="O1495" i="20"/>
  <c r="N1495" i="20"/>
  <c r="M1495" i="20"/>
  <c r="L1495" i="20"/>
  <c r="K1495" i="20"/>
  <c r="O1494" i="20"/>
  <c r="N1494" i="20"/>
  <c r="M1494" i="20"/>
  <c r="L1494" i="20"/>
  <c r="K1494" i="20"/>
  <c r="O1493" i="20"/>
  <c r="N1493" i="20"/>
  <c r="M1493" i="20"/>
  <c r="L1493" i="20"/>
  <c r="K1493" i="20"/>
  <c r="O1492" i="20"/>
  <c r="N1492" i="20"/>
  <c r="M1492" i="20"/>
  <c r="L1492" i="20"/>
  <c r="K1492" i="20"/>
  <c r="O1491" i="20"/>
  <c r="N1491" i="20"/>
  <c r="M1491" i="20"/>
  <c r="L1491" i="20"/>
  <c r="K1491" i="20"/>
  <c r="O1490" i="20"/>
  <c r="N1490" i="20"/>
  <c r="M1490" i="20"/>
  <c r="L1490" i="20"/>
  <c r="K1490" i="20"/>
  <c r="O1489" i="20"/>
  <c r="N1489" i="20"/>
  <c r="M1489" i="20"/>
  <c r="L1489" i="20"/>
  <c r="K1489" i="20"/>
  <c r="O1488" i="20"/>
  <c r="N1488" i="20"/>
  <c r="M1488" i="20"/>
  <c r="L1488" i="20"/>
  <c r="K1488" i="20"/>
  <c r="O1487" i="20"/>
  <c r="N1487" i="20"/>
  <c r="M1487" i="20"/>
  <c r="L1487" i="20"/>
  <c r="K1487" i="20"/>
  <c r="O1486" i="20"/>
  <c r="N1486" i="20"/>
  <c r="M1486" i="20"/>
  <c r="L1486" i="20"/>
  <c r="K1486" i="20"/>
  <c r="O1485" i="20"/>
  <c r="N1485" i="20"/>
  <c r="M1485" i="20"/>
  <c r="L1485" i="20"/>
  <c r="K1485" i="20"/>
  <c r="O1484" i="20"/>
  <c r="N1484" i="20"/>
  <c r="M1484" i="20"/>
  <c r="L1484" i="20"/>
  <c r="K1484" i="20"/>
  <c r="O1483" i="20"/>
  <c r="N1483" i="20"/>
  <c r="M1483" i="20"/>
  <c r="L1483" i="20"/>
  <c r="K1483" i="20"/>
  <c r="O1482" i="20"/>
  <c r="N1482" i="20"/>
  <c r="M1482" i="20"/>
  <c r="L1482" i="20"/>
  <c r="K1482" i="20"/>
  <c r="O1481" i="20"/>
  <c r="N1481" i="20"/>
  <c r="M1481" i="20"/>
  <c r="L1481" i="20"/>
  <c r="K1481" i="20"/>
  <c r="O1480" i="20"/>
  <c r="N1480" i="20"/>
  <c r="M1480" i="20"/>
  <c r="L1480" i="20"/>
  <c r="K1480" i="20"/>
  <c r="O1479" i="20"/>
  <c r="N1479" i="20"/>
  <c r="M1479" i="20"/>
  <c r="L1479" i="20"/>
  <c r="K1479" i="20"/>
  <c r="O1478" i="20"/>
  <c r="N1478" i="20"/>
  <c r="M1478" i="20"/>
  <c r="L1478" i="20"/>
  <c r="K1478" i="20"/>
  <c r="O1477" i="20"/>
  <c r="N1477" i="20"/>
  <c r="M1477" i="20"/>
  <c r="L1477" i="20"/>
  <c r="K1477" i="20"/>
  <c r="O1476" i="20"/>
  <c r="N1476" i="20"/>
  <c r="M1476" i="20"/>
  <c r="L1476" i="20"/>
  <c r="K1476" i="20"/>
  <c r="O1475" i="20"/>
  <c r="N1475" i="20"/>
  <c r="M1475" i="20"/>
  <c r="L1475" i="20"/>
  <c r="K1475" i="20"/>
  <c r="O1474" i="20"/>
  <c r="N1474" i="20"/>
  <c r="M1474" i="20"/>
  <c r="L1474" i="20"/>
  <c r="K1474" i="20"/>
  <c r="O1473" i="20"/>
  <c r="N1473" i="20"/>
  <c r="M1473" i="20"/>
  <c r="L1473" i="20"/>
  <c r="K1473" i="20"/>
  <c r="O1472" i="20"/>
  <c r="N1472" i="20"/>
  <c r="M1472" i="20"/>
  <c r="L1472" i="20"/>
  <c r="K1472" i="20"/>
  <c r="O1471" i="20"/>
  <c r="N1471" i="20"/>
  <c r="M1471" i="20"/>
  <c r="L1471" i="20"/>
  <c r="K1471" i="20"/>
  <c r="O1470" i="20"/>
  <c r="N1470" i="20"/>
  <c r="M1470" i="20"/>
  <c r="L1470" i="20"/>
  <c r="K1470" i="20"/>
  <c r="O1469" i="20"/>
  <c r="N1469" i="20"/>
  <c r="M1469" i="20"/>
  <c r="L1469" i="20"/>
  <c r="K1469" i="20"/>
  <c r="O1468" i="20"/>
  <c r="N1468" i="20"/>
  <c r="M1468" i="20"/>
  <c r="L1468" i="20"/>
  <c r="K1468" i="20"/>
  <c r="O1467" i="20"/>
  <c r="N1467" i="20"/>
  <c r="M1467" i="20"/>
  <c r="L1467" i="20"/>
  <c r="K1467" i="20"/>
  <c r="O1466" i="20"/>
  <c r="N1466" i="20"/>
  <c r="M1466" i="20"/>
  <c r="L1466" i="20"/>
  <c r="K1466" i="20"/>
  <c r="O1465" i="20"/>
  <c r="N1465" i="20"/>
  <c r="M1465" i="20"/>
  <c r="L1465" i="20"/>
  <c r="K1465" i="20"/>
  <c r="O1464" i="20"/>
  <c r="N1464" i="20"/>
  <c r="M1464" i="20"/>
  <c r="L1464" i="20"/>
  <c r="K1464" i="20"/>
  <c r="O1463" i="20"/>
  <c r="N1463" i="20"/>
  <c r="M1463" i="20"/>
  <c r="L1463" i="20"/>
  <c r="K1463" i="20"/>
  <c r="O1462" i="20"/>
  <c r="N1462" i="20"/>
  <c r="M1462" i="20"/>
  <c r="L1462" i="20"/>
  <c r="K1462" i="20"/>
  <c r="O1461" i="20"/>
  <c r="N1461" i="20"/>
  <c r="M1461" i="20"/>
  <c r="L1461" i="20"/>
  <c r="K1461" i="20"/>
  <c r="O1460" i="20"/>
  <c r="N1460" i="20"/>
  <c r="M1460" i="20"/>
  <c r="L1460" i="20"/>
  <c r="K1460" i="20"/>
  <c r="O1459" i="20"/>
  <c r="N1459" i="20"/>
  <c r="M1459" i="20"/>
  <c r="L1459" i="20"/>
  <c r="K1459" i="20"/>
  <c r="O1458" i="20"/>
  <c r="N1458" i="20"/>
  <c r="M1458" i="20"/>
  <c r="L1458" i="20"/>
  <c r="K1458" i="20"/>
  <c r="O1457" i="20"/>
  <c r="N1457" i="20"/>
  <c r="M1457" i="20"/>
  <c r="L1457" i="20"/>
  <c r="K1457" i="20"/>
  <c r="O1456" i="20"/>
  <c r="N1456" i="20"/>
  <c r="M1456" i="20"/>
  <c r="L1456" i="20"/>
  <c r="K1456" i="20"/>
  <c r="O1455" i="20"/>
  <c r="N1455" i="20"/>
  <c r="M1455" i="20"/>
  <c r="L1455" i="20"/>
  <c r="K1455" i="20"/>
  <c r="O1454" i="20"/>
  <c r="N1454" i="20"/>
  <c r="M1454" i="20"/>
  <c r="L1454" i="20"/>
  <c r="K1454" i="20"/>
  <c r="O1453" i="20"/>
  <c r="N1453" i="20"/>
  <c r="M1453" i="20"/>
  <c r="L1453" i="20"/>
  <c r="K1453" i="20"/>
  <c r="O1452" i="20"/>
  <c r="N1452" i="20"/>
  <c r="M1452" i="20"/>
  <c r="L1452" i="20"/>
  <c r="K1452" i="20"/>
  <c r="O1451" i="20"/>
  <c r="N1451" i="20"/>
  <c r="M1451" i="20"/>
  <c r="L1451" i="20"/>
  <c r="K1451" i="20"/>
  <c r="O1450" i="20"/>
  <c r="N1450" i="20"/>
  <c r="M1450" i="20"/>
  <c r="L1450" i="20"/>
  <c r="K1450" i="20"/>
  <c r="O1449" i="20"/>
  <c r="N1449" i="20"/>
  <c r="M1449" i="20"/>
  <c r="L1449" i="20"/>
  <c r="K1449" i="20"/>
  <c r="O1448" i="20"/>
  <c r="N1448" i="20"/>
  <c r="M1448" i="20"/>
  <c r="L1448" i="20"/>
  <c r="K1448" i="20"/>
  <c r="O1447" i="20"/>
  <c r="N1447" i="20"/>
  <c r="M1447" i="20"/>
  <c r="L1447" i="20"/>
  <c r="K1447" i="20"/>
  <c r="O1446" i="20"/>
  <c r="N1446" i="20"/>
  <c r="M1446" i="20"/>
  <c r="L1446" i="20"/>
  <c r="K1446" i="20"/>
  <c r="O1445" i="20"/>
  <c r="N1445" i="20"/>
  <c r="M1445" i="20"/>
  <c r="L1445" i="20"/>
  <c r="K1445" i="20"/>
  <c r="O1444" i="20"/>
  <c r="N1444" i="20"/>
  <c r="M1444" i="20"/>
  <c r="L1444" i="20"/>
  <c r="K1444" i="20"/>
  <c r="O1443" i="20"/>
  <c r="N1443" i="20"/>
  <c r="M1443" i="20"/>
  <c r="L1443" i="20"/>
  <c r="K1443" i="20"/>
  <c r="O1442" i="20"/>
  <c r="N1442" i="20"/>
  <c r="M1442" i="20"/>
  <c r="L1442" i="20"/>
  <c r="K1442" i="20"/>
  <c r="O1441" i="20"/>
  <c r="N1441" i="20"/>
  <c r="M1441" i="20"/>
  <c r="L1441" i="20"/>
  <c r="K1441" i="20"/>
  <c r="O1440" i="20"/>
  <c r="N1440" i="20"/>
  <c r="M1440" i="20"/>
  <c r="L1440" i="20"/>
  <c r="K1440" i="20"/>
  <c r="O1439" i="20"/>
  <c r="N1439" i="20"/>
  <c r="M1439" i="20"/>
  <c r="L1439" i="20"/>
  <c r="K1439" i="20"/>
  <c r="O1438" i="20"/>
  <c r="N1438" i="20"/>
  <c r="M1438" i="20"/>
  <c r="L1438" i="20"/>
  <c r="K1438" i="20"/>
  <c r="O1437" i="20"/>
  <c r="N1437" i="20"/>
  <c r="M1437" i="20"/>
  <c r="L1437" i="20"/>
  <c r="K1437" i="20"/>
  <c r="O1436" i="20"/>
  <c r="N1436" i="20"/>
  <c r="M1436" i="20"/>
  <c r="L1436" i="20"/>
  <c r="K1436" i="20"/>
  <c r="O1435" i="20"/>
  <c r="N1435" i="20"/>
  <c r="M1435" i="20"/>
  <c r="L1435" i="20"/>
  <c r="K1435" i="20"/>
  <c r="O1434" i="20"/>
  <c r="N1434" i="20"/>
  <c r="M1434" i="20"/>
  <c r="L1434" i="20"/>
  <c r="K1434" i="20"/>
  <c r="O1433" i="20"/>
  <c r="N1433" i="20"/>
  <c r="M1433" i="20"/>
  <c r="L1433" i="20"/>
  <c r="K1433" i="20"/>
  <c r="O1432" i="20"/>
  <c r="N1432" i="20"/>
  <c r="M1432" i="20"/>
  <c r="L1432" i="20"/>
  <c r="K1432" i="20"/>
  <c r="O1431" i="20"/>
  <c r="N1431" i="20"/>
  <c r="M1431" i="20"/>
  <c r="L1431" i="20"/>
  <c r="K1431" i="20"/>
  <c r="O1430" i="20"/>
  <c r="N1430" i="20"/>
  <c r="M1430" i="20"/>
  <c r="L1430" i="20"/>
  <c r="K1430" i="20"/>
  <c r="O1429" i="20"/>
  <c r="N1429" i="20"/>
  <c r="M1429" i="20"/>
  <c r="L1429" i="20"/>
  <c r="K1429" i="20"/>
  <c r="O1428" i="20"/>
  <c r="N1428" i="20"/>
  <c r="M1428" i="20"/>
  <c r="L1428" i="20"/>
  <c r="K1428" i="20"/>
  <c r="O1427" i="20"/>
  <c r="N1427" i="20"/>
  <c r="M1427" i="20"/>
  <c r="L1427" i="20"/>
  <c r="K1427" i="20"/>
  <c r="O1426" i="20"/>
  <c r="N1426" i="20"/>
  <c r="M1426" i="20"/>
  <c r="L1426" i="20"/>
  <c r="K1426" i="20"/>
  <c r="O1425" i="20"/>
  <c r="N1425" i="20"/>
  <c r="M1425" i="20"/>
  <c r="L1425" i="20"/>
  <c r="K1425" i="20"/>
  <c r="O1424" i="20"/>
  <c r="N1424" i="20"/>
  <c r="M1424" i="20"/>
  <c r="L1424" i="20"/>
  <c r="K1424" i="20"/>
  <c r="O1423" i="20"/>
  <c r="N1423" i="20"/>
  <c r="M1423" i="20"/>
  <c r="L1423" i="20"/>
  <c r="K1423" i="20"/>
  <c r="O1422" i="20"/>
  <c r="N1422" i="20"/>
  <c r="M1422" i="20"/>
  <c r="L1422" i="20"/>
  <c r="K1422" i="20"/>
  <c r="O1421" i="20"/>
  <c r="N1421" i="20"/>
  <c r="M1421" i="20"/>
  <c r="L1421" i="20"/>
  <c r="K1421" i="20"/>
  <c r="O1420" i="20"/>
  <c r="N1420" i="20"/>
  <c r="M1420" i="20"/>
  <c r="L1420" i="20"/>
  <c r="K1420" i="20"/>
  <c r="O1419" i="20"/>
  <c r="N1419" i="20"/>
  <c r="M1419" i="20"/>
  <c r="L1419" i="20"/>
  <c r="K1419" i="20"/>
  <c r="O1418" i="20"/>
  <c r="N1418" i="20"/>
  <c r="M1418" i="20"/>
  <c r="L1418" i="20"/>
  <c r="K1418" i="20"/>
  <c r="O1417" i="20"/>
  <c r="N1417" i="20"/>
  <c r="M1417" i="20"/>
  <c r="L1417" i="20"/>
  <c r="K1417" i="20"/>
  <c r="O1416" i="20"/>
  <c r="N1416" i="20"/>
  <c r="M1416" i="20"/>
  <c r="L1416" i="20"/>
  <c r="K1416" i="20"/>
  <c r="O1415" i="20"/>
  <c r="N1415" i="20"/>
  <c r="M1415" i="20"/>
  <c r="L1415" i="20"/>
  <c r="K1415" i="20"/>
  <c r="O1414" i="20"/>
  <c r="N1414" i="20"/>
  <c r="M1414" i="20"/>
  <c r="L1414" i="20"/>
  <c r="K1414" i="20"/>
  <c r="O1413" i="20"/>
  <c r="N1413" i="20"/>
  <c r="M1413" i="20"/>
  <c r="L1413" i="20"/>
  <c r="K1413" i="20"/>
  <c r="O1412" i="20"/>
  <c r="N1412" i="20"/>
  <c r="M1412" i="20"/>
  <c r="L1412" i="20"/>
  <c r="K1412" i="20"/>
  <c r="O1411" i="20"/>
  <c r="N1411" i="20"/>
  <c r="M1411" i="20"/>
  <c r="L1411" i="20"/>
  <c r="K1411" i="20"/>
  <c r="O1410" i="20"/>
  <c r="N1410" i="20"/>
  <c r="M1410" i="20"/>
  <c r="L1410" i="20"/>
  <c r="K1410" i="20"/>
  <c r="O1409" i="20"/>
  <c r="N1409" i="20"/>
  <c r="M1409" i="20"/>
  <c r="L1409" i="20"/>
  <c r="K1409" i="20"/>
  <c r="O1408" i="20"/>
  <c r="N1408" i="20"/>
  <c r="M1408" i="20"/>
  <c r="L1408" i="20"/>
  <c r="K1408" i="20"/>
  <c r="O1407" i="20"/>
  <c r="N1407" i="20"/>
  <c r="M1407" i="20"/>
  <c r="L1407" i="20"/>
  <c r="K1407" i="20"/>
  <c r="O1406" i="20"/>
  <c r="N1406" i="20"/>
  <c r="M1406" i="20"/>
  <c r="L1406" i="20"/>
  <c r="K1406" i="20"/>
  <c r="O1405" i="20"/>
  <c r="N1405" i="20"/>
  <c r="M1405" i="20"/>
  <c r="L1405" i="20"/>
  <c r="K1405" i="20"/>
  <c r="O1404" i="20"/>
  <c r="N1404" i="20"/>
  <c r="M1404" i="20"/>
  <c r="L1404" i="20"/>
  <c r="K1404" i="20"/>
  <c r="O1403" i="20"/>
  <c r="N1403" i="20"/>
  <c r="M1403" i="20"/>
  <c r="L1403" i="20"/>
  <c r="K1403" i="20"/>
  <c r="O1402" i="20"/>
  <c r="N1402" i="20"/>
  <c r="M1402" i="20"/>
  <c r="L1402" i="20"/>
  <c r="K1402" i="20"/>
  <c r="O1401" i="20"/>
  <c r="N1401" i="20"/>
  <c r="M1401" i="20"/>
  <c r="L1401" i="20"/>
  <c r="K1401" i="20"/>
  <c r="O1400" i="20"/>
  <c r="N1400" i="20"/>
  <c r="M1400" i="20"/>
  <c r="L1400" i="20"/>
  <c r="K1400" i="20"/>
  <c r="O1399" i="20"/>
  <c r="N1399" i="20"/>
  <c r="M1399" i="20"/>
  <c r="L1399" i="20"/>
  <c r="K1399" i="20"/>
  <c r="O1398" i="20"/>
  <c r="N1398" i="20"/>
  <c r="M1398" i="20"/>
  <c r="L1398" i="20"/>
  <c r="K1398" i="20"/>
  <c r="O1397" i="20"/>
  <c r="N1397" i="20"/>
  <c r="M1397" i="20"/>
  <c r="L1397" i="20"/>
  <c r="K1397" i="20"/>
  <c r="O1396" i="20"/>
  <c r="N1396" i="20"/>
  <c r="M1396" i="20"/>
  <c r="L1396" i="20"/>
  <c r="K1396" i="20"/>
  <c r="O1395" i="20"/>
  <c r="N1395" i="20"/>
  <c r="M1395" i="20"/>
  <c r="L1395" i="20"/>
  <c r="K1395" i="20"/>
  <c r="O1394" i="20"/>
  <c r="N1394" i="20"/>
  <c r="M1394" i="20"/>
  <c r="L1394" i="20"/>
  <c r="K1394" i="20"/>
  <c r="O1393" i="20"/>
  <c r="N1393" i="20"/>
  <c r="M1393" i="20"/>
  <c r="L1393" i="20"/>
  <c r="K1393" i="20"/>
  <c r="O1392" i="20"/>
  <c r="N1392" i="20"/>
  <c r="M1392" i="20"/>
  <c r="L1392" i="20"/>
  <c r="K1392" i="20"/>
  <c r="O1391" i="20"/>
  <c r="N1391" i="20"/>
  <c r="M1391" i="20"/>
  <c r="L1391" i="20"/>
  <c r="K1391" i="20"/>
  <c r="O1390" i="20"/>
  <c r="N1390" i="20"/>
  <c r="M1390" i="20"/>
  <c r="L1390" i="20"/>
  <c r="K1390" i="20"/>
  <c r="O1389" i="20"/>
  <c r="N1389" i="20"/>
  <c r="M1389" i="20"/>
  <c r="L1389" i="20"/>
  <c r="K1389" i="20"/>
  <c r="O1388" i="20"/>
  <c r="N1388" i="20"/>
  <c r="M1388" i="20"/>
  <c r="L1388" i="20"/>
  <c r="K1388" i="20"/>
  <c r="O1387" i="20"/>
  <c r="N1387" i="20"/>
  <c r="M1387" i="20"/>
  <c r="L1387" i="20"/>
  <c r="K1387" i="20"/>
  <c r="O1386" i="20"/>
  <c r="N1386" i="20"/>
  <c r="M1386" i="20"/>
  <c r="L1386" i="20"/>
  <c r="K1386" i="20"/>
  <c r="O1385" i="20"/>
  <c r="N1385" i="20"/>
  <c r="M1385" i="20"/>
  <c r="L1385" i="20"/>
  <c r="K1385" i="20"/>
  <c r="O1384" i="20"/>
  <c r="N1384" i="20"/>
  <c r="M1384" i="20"/>
  <c r="L1384" i="20"/>
  <c r="K1384" i="20"/>
  <c r="O1383" i="20"/>
  <c r="N1383" i="20"/>
  <c r="M1383" i="20"/>
  <c r="L1383" i="20"/>
  <c r="K1383" i="20"/>
  <c r="O1382" i="20"/>
  <c r="N1382" i="20"/>
  <c r="M1382" i="20"/>
  <c r="L1382" i="20"/>
  <c r="K1382" i="20"/>
  <c r="O1381" i="20"/>
  <c r="N1381" i="20"/>
  <c r="M1381" i="20"/>
  <c r="L1381" i="20"/>
  <c r="K1381" i="20"/>
  <c r="O1380" i="20"/>
  <c r="N1380" i="20"/>
  <c r="M1380" i="20"/>
  <c r="L1380" i="20"/>
  <c r="K1380" i="20"/>
  <c r="O1379" i="20"/>
  <c r="N1379" i="20"/>
  <c r="M1379" i="20"/>
  <c r="L1379" i="20"/>
  <c r="K1379" i="20"/>
  <c r="O1378" i="20"/>
  <c r="N1378" i="20"/>
  <c r="M1378" i="20"/>
  <c r="L1378" i="20"/>
  <c r="K1378" i="20"/>
  <c r="O1377" i="20"/>
  <c r="N1377" i="20"/>
  <c r="M1377" i="20"/>
  <c r="L1377" i="20"/>
  <c r="K1377" i="20"/>
  <c r="O1376" i="20"/>
  <c r="N1376" i="20"/>
  <c r="M1376" i="20"/>
  <c r="L1376" i="20"/>
  <c r="K1376" i="20"/>
  <c r="O1375" i="20"/>
  <c r="N1375" i="20"/>
  <c r="M1375" i="20"/>
  <c r="L1375" i="20"/>
  <c r="K1375" i="20"/>
  <c r="O1374" i="20"/>
  <c r="N1374" i="20"/>
  <c r="M1374" i="20"/>
  <c r="L1374" i="20"/>
  <c r="K1374" i="20"/>
  <c r="O1373" i="20"/>
  <c r="N1373" i="20"/>
  <c r="M1373" i="20"/>
  <c r="L1373" i="20"/>
  <c r="K1373" i="20"/>
  <c r="O1372" i="20"/>
  <c r="N1372" i="20"/>
  <c r="M1372" i="20"/>
  <c r="L1372" i="20"/>
  <c r="K1372" i="20"/>
  <c r="O1371" i="20"/>
  <c r="N1371" i="20"/>
  <c r="M1371" i="20"/>
  <c r="L1371" i="20"/>
  <c r="K1371" i="20"/>
  <c r="O1370" i="20"/>
  <c r="N1370" i="20"/>
  <c r="M1370" i="20"/>
  <c r="L1370" i="20"/>
  <c r="K1370" i="20"/>
  <c r="O1369" i="20"/>
  <c r="N1369" i="20"/>
  <c r="M1369" i="20"/>
  <c r="L1369" i="20"/>
  <c r="K1369" i="20"/>
  <c r="O1368" i="20"/>
  <c r="N1368" i="20"/>
  <c r="M1368" i="20"/>
  <c r="L1368" i="20"/>
  <c r="K1368" i="20"/>
  <c r="O1367" i="20"/>
  <c r="N1367" i="20"/>
  <c r="M1367" i="20"/>
  <c r="L1367" i="20"/>
  <c r="K1367" i="20"/>
  <c r="O1366" i="20"/>
  <c r="N1366" i="20"/>
  <c r="M1366" i="20"/>
  <c r="L1366" i="20"/>
  <c r="K1366" i="20"/>
  <c r="O1365" i="20"/>
  <c r="N1365" i="20"/>
  <c r="M1365" i="20"/>
  <c r="L1365" i="20"/>
  <c r="K1365" i="20"/>
  <c r="O1364" i="20"/>
  <c r="N1364" i="20"/>
  <c r="M1364" i="20"/>
  <c r="L1364" i="20"/>
  <c r="K1364" i="20"/>
  <c r="O1363" i="20"/>
  <c r="N1363" i="20"/>
  <c r="M1363" i="20"/>
  <c r="L1363" i="20"/>
  <c r="K1363" i="20"/>
  <c r="O1362" i="20"/>
  <c r="N1362" i="20"/>
  <c r="M1362" i="20"/>
  <c r="L1362" i="20"/>
  <c r="K1362" i="20"/>
  <c r="O1361" i="20"/>
  <c r="N1361" i="20"/>
  <c r="M1361" i="20"/>
  <c r="L1361" i="20"/>
  <c r="K1361" i="20"/>
  <c r="O1360" i="20"/>
  <c r="N1360" i="20"/>
  <c r="M1360" i="20"/>
  <c r="L1360" i="20"/>
  <c r="K1360" i="20"/>
  <c r="O1359" i="20"/>
  <c r="N1359" i="20"/>
  <c r="M1359" i="20"/>
  <c r="L1359" i="20"/>
  <c r="K1359" i="20"/>
  <c r="O1358" i="20"/>
  <c r="N1358" i="20"/>
  <c r="M1358" i="20"/>
  <c r="L1358" i="20"/>
  <c r="K1358" i="20"/>
  <c r="O1357" i="20"/>
  <c r="N1357" i="20"/>
  <c r="M1357" i="20"/>
  <c r="L1357" i="20"/>
  <c r="K1357" i="20"/>
  <c r="O1356" i="20"/>
  <c r="N1356" i="20"/>
  <c r="M1356" i="20"/>
  <c r="L1356" i="20"/>
  <c r="K1356" i="20"/>
  <c r="O1355" i="20"/>
  <c r="N1355" i="20"/>
  <c r="M1355" i="20"/>
  <c r="L1355" i="20"/>
  <c r="K1355" i="20"/>
  <c r="O1354" i="20"/>
  <c r="N1354" i="20"/>
  <c r="M1354" i="20"/>
  <c r="L1354" i="20"/>
  <c r="K1354" i="20"/>
  <c r="O1353" i="20"/>
  <c r="N1353" i="20"/>
  <c r="M1353" i="20"/>
  <c r="L1353" i="20"/>
  <c r="K1353" i="20"/>
  <c r="O1352" i="20"/>
  <c r="N1352" i="20"/>
  <c r="M1352" i="20"/>
  <c r="L1352" i="20"/>
  <c r="K1352" i="20"/>
  <c r="O1351" i="20"/>
  <c r="N1351" i="20"/>
  <c r="M1351" i="20"/>
  <c r="L1351" i="20"/>
  <c r="K1351" i="20"/>
  <c r="O1350" i="20"/>
  <c r="N1350" i="20"/>
  <c r="M1350" i="20"/>
  <c r="L1350" i="20"/>
  <c r="K1350" i="20"/>
  <c r="O1349" i="20"/>
  <c r="N1349" i="20"/>
  <c r="M1349" i="20"/>
  <c r="L1349" i="20"/>
  <c r="K1349" i="20"/>
  <c r="O1348" i="20"/>
  <c r="N1348" i="20"/>
  <c r="M1348" i="20"/>
  <c r="L1348" i="20"/>
  <c r="K1348" i="20"/>
  <c r="O1347" i="20"/>
  <c r="N1347" i="20"/>
  <c r="M1347" i="20"/>
  <c r="L1347" i="20"/>
  <c r="K1347" i="20"/>
  <c r="O1346" i="20"/>
  <c r="N1346" i="20"/>
  <c r="M1346" i="20"/>
  <c r="L1346" i="20"/>
  <c r="K1346" i="20"/>
  <c r="O1345" i="20"/>
  <c r="N1345" i="20"/>
  <c r="M1345" i="20"/>
  <c r="L1345" i="20"/>
  <c r="K1345" i="20"/>
  <c r="O1344" i="20"/>
  <c r="N1344" i="20"/>
  <c r="M1344" i="20"/>
  <c r="L1344" i="20"/>
  <c r="K1344" i="20"/>
  <c r="O1343" i="20"/>
  <c r="N1343" i="20"/>
  <c r="M1343" i="20"/>
  <c r="L1343" i="20"/>
  <c r="K1343" i="20"/>
  <c r="O1342" i="20"/>
  <c r="N1342" i="20"/>
  <c r="M1342" i="20"/>
  <c r="L1342" i="20"/>
  <c r="K1342" i="20"/>
  <c r="O1341" i="20"/>
  <c r="N1341" i="20"/>
  <c r="M1341" i="20"/>
  <c r="L1341" i="20"/>
  <c r="K1341" i="20"/>
  <c r="O1340" i="20"/>
  <c r="N1340" i="20"/>
  <c r="M1340" i="20"/>
  <c r="L1340" i="20"/>
  <c r="K1340" i="20"/>
  <c r="O1339" i="20"/>
  <c r="N1339" i="20"/>
  <c r="M1339" i="20"/>
  <c r="L1339" i="20"/>
  <c r="K1339" i="20"/>
  <c r="O1338" i="20"/>
  <c r="N1338" i="20"/>
  <c r="M1338" i="20"/>
  <c r="L1338" i="20"/>
  <c r="K1338" i="20"/>
  <c r="O1337" i="20"/>
  <c r="N1337" i="20"/>
  <c r="M1337" i="20"/>
  <c r="L1337" i="20"/>
  <c r="K1337" i="20"/>
  <c r="O1336" i="20"/>
  <c r="N1336" i="20"/>
  <c r="M1336" i="20"/>
  <c r="L1336" i="20"/>
  <c r="K1336" i="20"/>
  <c r="O1335" i="20"/>
  <c r="N1335" i="20"/>
  <c r="M1335" i="20"/>
  <c r="L1335" i="20"/>
  <c r="K1335" i="20"/>
  <c r="O1334" i="20"/>
  <c r="N1334" i="20"/>
  <c r="M1334" i="20"/>
  <c r="L1334" i="20"/>
  <c r="K1334" i="20"/>
  <c r="O1333" i="20"/>
  <c r="N1333" i="20"/>
  <c r="M1333" i="20"/>
  <c r="L1333" i="20"/>
  <c r="K1333" i="20"/>
  <c r="O1332" i="20"/>
  <c r="N1332" i="20"/>
  <c r="M1332" i="20"/>
  <c r="L1332" i="20"/>
  <c r="K1332" i="20"/>
  <c r="O1331" i="20"/>
  <c r="N1331" i="20"/>
  <c r="M1331" i="20"/>
  <c r="L1331" i="20"/>
  <c r="K1331" i="20"/>
  <c r="O1330" i="20"/>
  <c r="N1330" i="20"/>
  <c r="M1330" i="20"/>
  <c r="L1330" i="20"/>
  <c r="K1330" i="20"/>
  <c r="O1329" i="20"/>
  <c r="N1329" i="20"/>
  <c r="M1329" i="20"/>
  <c r="L1329" i="20"/>
  <c r="K1329" i="20"/>
  <c r="O1328" i="20"/>
  <c r="N1328" i="20"/>
  <c r="M1328" i="20"/>
  <c r="L1328" i="20"/>
  <c r="K1328" i="20"/>
  <c r="O1327" i="20"/>
  <c r="N1327" i="20"/>
  <c r="M1327" i="20"/>
  <c r="L1327" i="20"/>
  <c r="K1327" i="20"/>
  <c r="O1326" i="20"/>
  <c r="N1326" i="20"/>
  <c r="M1326" i="20"/>
  <c r="L1326" i="20"/>
  <c r="K1326" i="20"/>
  <c r="O1325" i="20"/>
  <c r="N1325" i="20"/>
  <c r="M1325" i="20"/>
  <c r="L1325" i="20"/>
  <c r="K1325" i="20"/>
  <c r="O1324" i="20"/>
  <c r="N1324" i="20"/>
  <c r="M1324" i="20"/>
  <c r="L1324" i="20"/>
  <c r="K1324" i="20"/>
  <c r="O1323" i="20"/>
  <c r="N1323" i="20"/>
  <c r="M1323" i="20"/>
  <c r="L1323" i="20"/>
  <c r="K1323" i="20"/>
  <c r="O1322" i="20"/>
  <c r="N1322" i="20"/>
  <c r="M1322" i="20"/>
  <c r="L1322" i="20"/>
  <c r="K1322" i="20"/>
  <c r="O1321" i="20"/>
  <c r="N1321" i="20"/>
  <c r="M1321" i="20"/>
  <c r="L1321" i="20"/>
  <c r="K1321" i="20"/>
  <c r="O1320" i="20"/>
  <c r="N1320" i="20"/>
  <c r="M1320" i="20"/>
  <c r="L1320" i="20"/>
  <c r="K1320" i="20"/>
  <c r="O1319" i="20"/>
  <c r="N1319" i="20"/>
  <c r="M1319" i="20"/>
  <c r="L1319" i="20"/>
  <c r="K1319" i="20"/>
  <c r="O1318" i="20"/>
  <c r="N1318" i="20"/>
  <c r="M1318" i="20"/>
  <c r="L1318" i="20"/>
  <c r="K1318" i="20"/>
  <c r="O1317" i="20"/>
  <c r="N1317" i="20"/>
  <c r="M1317" i="20"/>
  <c r="L1317" i="20"/>
  <c r="K1317" i="20"/>
  <c r="O1316" i="20"/>
  <c r="N1316" i="20"/>
  <c r="M1316" i="20"/>
  <c r="L1316" i="20"/>
  <c r="K1316" i="20"/>
  <c r="O1315" i="20"/>
  <c r="N1315" i="20"/>
  <c r="M1315" i="20"/>
  <c r="L1315" i="20"/>
  <c r="K1315" i="20"/>
  <c r="O1314" i="20"/>
  <c r="N1314" i="20"/>
  <c r="M1314" i="20"/>
  <c r="L1314" i="20"/>
  <c r="K1314" i="20"/>
  <c r="O1313" i="20"/>
  <c r="N1313" i="20"/>
  <c r="M1313" i="20"/>
  <c r="L1313" i="20"/>
  <c r="K1313" i="20"/>
  <c r="O1312" i="20"/>
  <c r="N1312" i="20"/>
  <c r="M1312" i="20"/>
  <c r="L1312" i="20"/>
  <c r="K1312" i="20"/>
  <c r="O1311" i="20"/>
  <c r="N1311" i="20"/>
  <c r="M1311" i="20"/>
  <c r="L1311" i="20"/>
  <c r="K1311" i="20"/>
  <c r="O1310" i="20"/>
  <c r="N1310" i="20"/>
  <c r="M1310" i="20"/>
  <c r="L1310" i="20"/>
  <c r="K1310" i="20"/>
  <c r="O1309" i="20"/>
  <c r="N1309" i="20"/>
  <c r="M1309" i="20"/>
  <c r="L1309" i="20"/>
  <c r="K1309" i="20"/>
  <c r="O1308" i="20"/>
  <c r="N1308" i="20"/>
  <c r="M1308" i="20"/>
  <c r="L1308" i="20"/>
  <c r="K1308" i="20"/>
  <c r="O1307" i="20"/>
  <c r="N1307" i="20"/>
  <c r="M1307" i="20"/>
  <c r="L1307" i="20"/>
  <c r="K1307" i="20"/>
  <c r="O1306" i="20"/>
  <c r="N1306" i="20"/>
  <c r="M1306" i="20"/>
  <c r="L1306" i="20"/>
  <c r="K1306" i="20"/>
  <c r="O1305" i="20"/>
  <c r="N1305" i="20"/>
  <c r="M1305" i="20"/>
  <c r="L1305" i="20"/>
  <c r="K1305" i="20"/>
  <c r="O1304" i="20"/>
  <c r="N1304" i="20"/>
  <c r="M1304" i="20"/>
  <c r="L1304" i="20"/>
  <c r="K1304" i="20"/>
  <c r="O1303" i="20"/>
  <c r="N1303" i="20"/>
  <c r="M1303" i="20"/>
  <c r="L1303" i="20"/>
  <c r="K1303" i="20"/>
  <c r="O1302" i="20"/>
  <c r="N1302" i="20"/>
  <c r="M1302" i="20"/>
  <c r="L1302" i="20"/>
  <c r="K1302" i="20"/>
  <c r="O1301" i="20"/>
  <c r="N1301" i="20"/>
  <c r="M1301" i="20"/>
  <c r="L1301" i="20"/>
  <c r="K1301" i="20"/>
  <c r="O1300" i="20"/>
  <c r="N1300" i="20"/>
  <c r="M1300" i="20"/>
  <c r="L1300" i="20"/>
  <c r="K1300" i="20"/>
  <c r="O1299" i="20"/>
  <c r="N1299" i="20"/>
  <c r="M1299" i="20"/>
  <c r="L1299" i="20"/>
  <c r="K1299" i="20"/>
  <c r="O1298" i="20"/>
  <c r="N1298" i="20"/>
  <c r="M1298" i="20"/>
  <c r="L1298" i="20"/>
  <c r="K1298" i="20"/>
  <c r="O1297" i="20"/>
  <c r="N1297" i="20"/>
  <c r="M1297" i="20"/>
  <c r="L1297" i="20"/>
  <c r="K1297" i="20"/>
  <c r="O1296" i="20"/>
  <c r="N1296" i="20"/>
  <c r="M1296" i="20"/>
  <c r="L1296" i="20"/>
  <c r="K1296" i="20"/>
  <c r="O1295" i="20"/>
  <c r="N1295" i="20"/>
  <c r="M1295" i="20"/>
  <c r="L1295" i="20"/>
  <c r="K1295" i="20"/>
  <c r="O1294" i="20"/>
  <c r="N1294" i="20"/>
  <c r="M1294" i="20"/>
  <c r="L1294" i="20"/>
  <c r="K1294" i="20"/>
  <c r="O1293" i="20"/>
  <c r="N1293" i="20"/>
  <c r="M1293" i="20"/>
  <c r="L1293" i="20"/>
  <c r="K1293" i="20"/>
  <c r="O1292" i="20"/>
  <c r="N1292" i="20"/>
  <c r="M1292" i="20"/>
  <c r="L1292" i="20"/>
  <c r="K1292" i="20"/>
  <c r="O1291" i="20"/>
  <c r="N1291" i="20"/>
  <c r="M1291" i="20"/>
  <c r="L1291" i="20"/>
  <c r="K1291" i="20"/>
  <c r="O1290" i="20"/>
  <c r="N1290" i="20"/>
  <c r="M1290" i="20"/>
  <c r="L1290" i="20"/>
  <c r="K1290" i="20"/>
  <c r="O1289" i="20"/>
  <c r="N1289" i="20"/>
  <c r="M1289" i="20"/>
  <c r="L1289" i="20"/>
  <c r="K1289" i="20"/>
  <c r="O1288" i="20"/>
  <c r="N1288" i="20"/>
  <c r="M1288" i="20"/>
  <c r="L1288" i="20"/>
  <c r="K1288" i="20"/>
  <c r="O1287" i="20"/>
  <c r="N1287" i="20"/>
  <c r="M1287" i="20"/>
  <c r="L1287" i="20"/>
  <c r="K1287" i="20"/>
  <c r="O1286" i="20"/>
  <c r="N1286" i="20"/>
  <c r="M1286" i="20"/>
  <c r="L1286" i="20"/>
  <c r="K1286" i="20"/>
  <c r="O1285" i="20"/>
  <c r="N1285" i="20"/>
  <c r="M1285" i="20"/>
  <c r="L1285" i="20"/>
  <c r="K1285" i="20"/>
  <c r="O1284" i="20"/>
  <c r="N1284" i="20"/>
  <c r="M1284" i="20"/>
  <c r="L1284" i="20"/>
  <c r="K1284" i="20"/>
  <c r="O1283" i="20"/>
  <c r="N1283" i="20"/>
  <c r="M1283" i="20"/>
  <c r="L1283" i="20"/>
  <c r="K1283" i="20"/>
  <c r="O1282" i="20"/>
  <c r="N1282" i="20"/>
  <c r="M1282" i="20"/>
  <c r="L1282" i="20"/>
  <c r="K1282" i="20"/>
  <c r="O1281" i="20"/>
  <c r="N1281" i="20"/>
  <c r="L1281" i="20"/>
  <c r="K1281" i="20"/>
  <c r="O1280" i="20"/>
  <c r="N1280" i="20"/>
  <c r="L1280" i="20"/>
  <c r="K1280" i="20"/>
  <c r="O1279" i="20"/>
  <c r="N1279" i="20"/>
  <c r="L1279" i="20"/>
  <c r="K1279" i="20"/>
  <c r="O1278" i="20"/>
  <c r="N1278" i="20"/>
  <c r="L1278" i="20"/>
  <c r="K1278" i="20"/>
  <c r="O1277" i="20"/>
  <c r="N1277" i="20"/>
  <c r="L1277" i="20"/>
  <c r="K1277" i="20"/>
  <c r="O1276" i="20"/>
  <c r="N1276" i="20"/>
  <c r="L1276" i="20"/>
  <c r="K1276" i="20"/>
  <c r="O1275" i="20"/>
  <c r="N1275" i="20"/>
  <c r="L1275" i="20"/>
  <c r="K1275" i="20"/>
  <c r="O1274" i="20"/>
  <c r="N1274" i="20"/>
  <c r="L1274" i="20"/>
  <c r="K1274" i="20"/>
  <c r="O1273" i="20"/>
  <c r="N1273" i="20"/>
  <c r="L1273" i="20"/>
  <c r="K1273" i="20"/>
  <c r="O1272" i="20"/>
  <c r="N1272" i="20"/>
  <c r="L1272" i="20"/>
  <c r="K1272" i="20"/>
  <c r="O1271" i="20"/>
  <c r="N1271" i="20"/>
  <c r="L1271" i="20"/>
  <c r="K1271" i="20"/>
  <c r="O1270" i="20"/>
  <c r="N1270" i="20"/>
  <c r="L1270" i="20"/>
  <c r="K1270" i="20"/>
  <c r="O1269" i="20"/>
  <c r="N1269" i="20"/>
  <c r="L1269" i="20"/>
  <c r="K1269" i="20"/>
  <c r="O1268" i="20"/>
  <c r="N1268" i="20"/>
  <c r="L1268" i="20"/>
  <c r="K1268" i="20"/>
  <c r="O1267" i="20"/>
  <c r="N1267" i="20"/>
  <c r="L1267" i="20"/>
  <c r="K1267" i="20"/>
  <c r="O1266" i="20"/>
  <c r="N1266" i="20"/>
  <c r="L1266" i="20"/>
  <c r="K1266" i="20"/>
  <c r="O1265" i="20"/>
  <c r="N1265" i="20"/>
  <c r="L1265" i="20"/>
  <c r="K1265" i="20"/>
  <c r="O1264" i="20"/>
  <c r="N1264" i="20"/>
  <c r="L1264" i="20"/>
  <c r="K1264" i="20"/>
  <c r="O1263" i="20"/>
  <c r="N1263" i="20"/>
  <c r="L1263" i="20"/>
  <c r="K1263" i="20"/>
  <c r="O1262" i="20"/>
  <c r="N1262" i="20"/>
  <c r="L1262" i="20"/>
  <c r="K1262" i="20"/>
  <c r="O1261" i="20"/>
  <c r="N1261" i="20"/>
  <c r="L1261" i="20"/>
  <c r="K1261" i="20"/>
  <c r="O1260" i="20"/>
  <c r="N1260" i="20"/>
  <c r="L1260" i="20"/>
  <c r="K1260" i="20"/>
  <c r="O1259" i="20"/>
  <c r="N1259" i="20"/>
  <c r="L1259" i="20"/>
  <c r="K1259" i="20"/>
  <c r="O1258" i="20"/>
  <c r="N1258" i="20"/>
  <c r="L1258" i="20"/>
  <c r="K1258" i="20"/>
  <c r="O1257" i="20"/>
  <c r="N1257" i="20"/>
  <c r="L1257" i="20"/>
  <c r="K1257" i="20"/>
  <c r="O1256" i="20"/>
  <c r="N1256" i="20"/>
  <c r="L1256" i="20"/>
  <c r="K1256" i="20"/>
  <c r="O1255" i="20"/>
  <c r="N1255" i="20"/>
  <c r="L1255" i="20"/>
  <c r="K1255" i="20"/>
  <c r="O1254" i="20"/>
  <c r="N1254" i="20"/>
  <c r="L1254" i="20"/>
  <c r="K1254" i="20"/>
  <c r="O1253" i="20"/>
  <c r="N1253" i="20"/>
  <c r="L1253" i="20"/>
  <c r="K1253" i="20"/>
  <c r="O1252" i="20"/>
  <c r="N1252" i="20"/>
  <c r="L1252" i="20"/>
  <c r="K1252" i="20"/>
  <c r="O1251" i="20"/>
  <c r="N1251" i="20"/>
  <c r="L1251" i="20"/>
  <c r="K1251" i="20"/>
  <c r="O1250" i="20"/>
  <c r="N1250" i="20"/>
  <c r="L1250" i="20"/>
  <c r="K1250" i="20"/>
  <c r="O1249" i="20"/>
  <c r="N1249" i="20"/>
  <c r="L1249" i="20"/>
  <c r="K1249" i="20"/>
  <c r="O1248" i="20"/>
  <c r="N1248" i="20"/>
  <c r="L1248" i="20"/>
  <c r="K1248" i="20"/>
  <c r="O1247" i="20"/>
  <c r="N1247" i="20"/>
  <c r="L1247" i="20"/>
  <c r="K1247" i="20"/>
  <c r="O1246" i="20"/>
  <c r="N1246" i="20"/>
  <c r="L1246" i="20"/>
  <c r="K1246" i="20"/>
  <c r="O1245" i="20"/>
  <c r="N1245" i="20"/>
  <c r="L1245" i="20"/>
  <c r="K1245" i="20"/>
  <c r="O1244" i="20"/>
  <c r="N1244" i="20"/>
  <c r="L1244" i="20"/>
  <c r="K1244" i="20"/>
  <c r="O1243" i="20"/>
  <c r="N1243" i="20"/>
  <c r="L1243" i="20"/>
  <c r="K1243" i="20"/>
  <c r="O1242" i="20"/>
  <c r="N1242" i="20"/>
  <c r="L1242" i="20"/>
  <c r="K1242" i="20"/>
  <c r="O1241" i="20"/>
  <c r="N1241" i="20"/>
  <c r="L1241" i="20"/>
  <c r="K1241" i="20"/>
  <c r="O1240" i="20"/>
  <c r="N1240" i="20"/>
  <c r="L1240" i="20"/>
  <c r="K1240" i="20"/>
  <c r="O1239" i="20"/>
  <c r="N1239" i="20"/>
  <c r="L1239" i="20"/>
  <c r="K1239" i="20"/>
  <c r="O1238" i="20"/>
  <c r="N1238" i="20"/>
  <c r="L1238" i="20"/>
  <c r="K1238" i="20"/>
  <c r="O1237" i="20"/>
  <c r="N1237" i="20"/>
  <c r="L1237" i="20"/>
  <c r="K1237" i="20"/>
  <c r="O1236" i="20"/>
  <c r="N1236" i="20"/>
  <c r="L1236" i="20"/>
  <c r="K1236" i="20"/>
  <c r="O1235" i="20"/>
  <c r="N1235" i="20"/>
  <c r="L1235" i="20"/>
  <c r="K1235" i="20"/>
  <c r="O1234" i="20"/>
  <c r="N1234" i="20"/>
  <c r="L1234" i="20"/>
  <c r="K1234" i="20"/>
  <c r="O1233" i="20"/>
  <c r="N1233" i="20"/>
  <c r="L1233" i="20"/>
  <c r="K1233" i="20"/>
  <c r="O1232" i="20"/>
  <c r="N1232" i="20"/>
  <c r="L1232" i="20"/>
  <c r="K1232" i="20"/>
  <c r="O1231" i="20"/>
  <c r="N1231" i="20"/>
  <c r="L1231" i="20"/>
  <c r="K1231" i="20"/>
  <c r="O1230" i="20"/>
  <c r="N1230" i="20"/>
  <c r="L1230" i="20"/>
  <c r="K1230" i="20"/>
  <c r="O1229" i="20"/>
  <c r="N1229" i="20"/>
  <c r="L1229" i="20"/>
  <c r="K1229" i="20"/>
  <c r="O1228" i="20"/>
  <c r="N1228" i="20"/>
  <c r="L1228" i="20"/>
  <c r="K1228" i="20"/>
  <c r="O1227" i="20"/>
  <c r="N1227" i="20"/>
  <c r="L1227" i="20"/>
  <c r="K1227" i="20"/>
  <c r="O1226" i="20"/>
  <c r="N1226" i="20"/>
  <c r="L1226" i="20"/>
  <c r="K1226" i="20"/>
  <c r="O1225" i="20"/>
  <c r="N1225" i="20"/>
  <c r="L1225" i="20"/>
  <c r="K1225" i="20"/>
  <c r="O1224" i="20"/>
  <c r="N1224" i="20"/>
  <c r="L1224" i="20"/>
  <c r="K1224" i="20"/>
  <c r="O1223" i="20"/>
  <c r="N1223" i="20"/>
  <c r="L1223" i="20"/>
  <c r="K1223" i="20"/>
  <c r="O1222" i="20"/>
  <c r="N1222" i="20"/>
  <c r="L1222" i="20"/>
  <c r="K1222" i="20"/>
  <c r="O1221" i="20"/>
  <c r="N1221" i="20"/>
  <c r="L1221" i="20"/>
  <c r="K1221" i="20"/>
  <c r="O1220" i="20"/>
  <c r="N1220" i="20"/>
  <c r="L1220" i="20"/>
  <c r="K1220" i="20"/>
  <c r="O1219" i="20"/>
  <c r="N1219" i="20"/>
  <c r="L1219" i="20"/>
  <c r="K1219" i="20"/>
  <c r="O1218" i="20"/>
  <c r="N1218" i="20"/>
  <c r="L1218" i="20"/>
  <c r="K1218" i="20"/>
  <c r="O1217" i="20"/>
  <c r="N1217" i="20"/>
  <c r="L1217" i="20"/>
  <c r="K1217" i="20"/>
  <c r="O1216" i="20"/>
  <c r="N1216" i="20"/>
  <c r="L1216" i="20"/>
  <c r="K1216" i="20"/>
  <c r="O1215" i="20"/>
  <c r="N1215" i="20"/>
  <c r="L1215" i="20"/>
  <c r="K1215" i="20"/>
  <c r="O1214" i="20"/>
  <c r="N1214" i="20"/>
  <c r="L1214" i="20"/>
  <c r="K1214" i="20"/>
  <c r="O1213" i="20"/>
  <c r="N1213" i="20"/>
  <c r="L1213" i="20"/>
  <c r="K1213" i="20"/>
  <c r="O1212" i="20"/>
  <c r="N1212" i="20"/>
  <c r="L1212" i="20"/>
  <c r="K1212" i="20"/>
  <c r="O1211" i="20"/>
  <c r="N1211" i="20"/>
  <c r="L1211" i="20"/>
  <c r="K1211" i="20"/>
  <c r="O1210" i="20"/>
  <c r="N1210" i="20"/>
  <c r="L1210" i="20"/>
  <c r="K1210" i="20"/>
  <c r="O1209" i="20"/>
  <c r="N1209" i="20"/>
  <c r="L1209" i="20"/>
  <c r="K1209" i="20"/>
  <c r="O1208" i="20"/>
  <c r="N1208" i="20"/>
  <c r="L1208" i="20"/>
  <c r="K1208" i="20"/>
  <c r="O1207" i="20"/>
  <c r="N1207" i="20"/>
  <c r="L1207" i="20"/>
  <c r="K1207" i="20"/>
  <c r="O1206" i="20"/>
  <c r="N1206" i="20"/>
  <c r="L1206" i="20"/>
  <c r="K1206" i="20"/>
  <c r="O1205" i="20"/>
  <c r="N1205" i="20"/>
  <c r="L1205" i="20"/>
  <c r="K1205" i="20"/>
  <c r="O1204" i="20"/>
  <c r="N1204" i="20"/>
  <c r="L1204" i="20"/>
  <c r="K1204" i="20"/>
  <c r="O1203" i="20"/>
  <c r="N1203" i="20"/>
  <c r="L1203" i="20"/>
  <c r="K1203" i="20"/>
  <c r="O1202" i="20"/>
  <c r="N1202" i="20"/>
  <c r="L1202" i="20"/>
  <c r="K1202" i="20"/>
  <c r="O1201" i="20"/>
  <c r="N1201" i="20"/>
  <c r="L1201" i="20"/>
  <c r="K1201" i="20"/>
  <c r="O1200" i="20"/>
  <c r="N1200" i="20"/>
  <c r="L1200" i="20"/>
  <c r="K1200" i="20"/>
  <c r="O1199" i="20"/>
  <c r="N1199" i="20"/>
  <c r="L1199" i="20"/>
  <c r="K1199" i="20"/>
  <c r="O1198" i="20"/>
  <c r="N1198" i="20"/>
  <c r="L1198" i="20"/>
  <c r="K1198" i="20"/>
  <c r="O1197" i="20"/>
  <c r="N1197" i="20"/>
  <c r="L1197" i="20"/>
  <c r="K1197" i="20"/>
  <c r="O1196" i="20"/>
  <c r="N1196" i="20"/>
  <c r="L1196" i="20"/>
  <c r="K1196" i="20"/>
  <c r="O1195" i="20"/>
  <c r="N1195" i="20"/>
  <c r="L1195" i="20"/>
  <c r="K1195" i="20"/>
  <c r="O1194" i="20"/>
  <c r="N1194" i="20"/>
  <c r="L1194" i="20"/>
  <c r="K1194" i="20"/>
  <c r="O1193" i="20"/>
  <c r="N1193" i="20"/>
  <c r="L1193" i="20"/>
  <c r="K1193" i="20"/>
  <c r="O1192" i="20"/>
  <c r="N1192" i="20"/>
  <c r="L1192" i="20"/>
  <c r="K1192" i="20"/>
  <c r="O1191" i="20"/>
  <c r="N1191" i="20"/>
  <c r="L1191" i="20"/>
  <c r="K1191" i="20"/>
  <c r="O1190" i="20"/>
  <c r="N1190" i="20"/>
  <c r="L1190" i="20"/>
  <c r="K1190" i="20"/>
  <c r="O1189" i="20"/>
  <c r="N1189" i="20"/>
  <c r="L1189" i="20"/>
  <c r="K1189" i="20"/>
  <c r="O1188" i="20"/>
  <c r="N1188" i="20"/>
  <c r="L1188" i="20"/>
  <c r="K1188" i="20"/>
  <c r="O1187" i="20"/>
  <c r="N1187" i="20"/>
  <c r="L1187" i="20"/>
  <c r="K1187" i="20"/>
  <c r="O1186" i="20"/>
  <c r="N1186" i="20"/>
  <c r="L1186" i="20"/>
  <c r="K1186" i="20"/>
  <c r="O1185" i="20"/>
  <c r="N1185" i="20"/>
  <c r="L1185" i="20"/>
  <c r="K1185" i="20"/>
  <c r="O1184" i="20"/>
  <c r="N1184" i="20"/>
  <c r="L1184" i="20"/>
  <c r="K1184" i="20"/>
  <c r="O1183" i="20"/>
  <c r="N1183" i="20"/>
  <c r="L1183" i="20"/>
  <c r="K1183" i="20"/>
  <c r="O1182" i="20"/>
  <c r="N1182" i="20"/>
  <c r="L1182" i="20"/>
  <c r="K1182" i="20"/>
  <c r="O1181" i="20"/>
  <c r="N1181" i="20"/>
  <c r="L1181" i="20"/>
  <c r="K1181" i="20"/>
  <c r="O1180" i="20"/>
  <c r="N1180" i="20"/>
  <c r="L1180" i="20"/>
  <c r="K1180" i="20"/>
  <c r="O1179" i="20"/>
  <c r="N1179" i="20"/>
  <c r="L1179" i="20"/>
  <c r="K1179" i="20"/>
  <c r="O1178" i="20"/>
  <c r="N1178" i="20"/>
  <c r="L1178" i="20"/>
  <c r="K1178" i="20"/>
  <c r="O1177" i="20"/>
  <c r="N1177" i="20"/>
  <c r="L1177" i="20"/>
  <c r="K1177" i="20"/>
  <c r="O1176" i="20"/>
  <c r="N1176" i="20"/>
  <c r="L1176" i="20"/>
  <c r="K1176" i="20"/>
  <c r="O1175" i="20"/>
  <c r="N1175" i="20"/>
  <c r="L1175" i="20"/>
  <c r="K1175" i="20"/>
  <c r="O1174" i="20"/>
  <c r="N1174" i="20"/>
  <c r="L1174" i="20"/>
  <c r="K1174" i="20"/>
  <c r="O1173" i="20"/>
  <c r="N1173" i="20"/>
  <c r="L1173" i="20"/>
  <c r="K1173" i="20"/>
  <c r="O1172" i="20"/>
  <c r="N1172" i="20"/>
  <c r="L1172" i="20"/>
  <c r="K1172" i="20"/>
  <c r="O1171" i="20"/>
  <c r="N1171" i="20"/>
  <c r="L1171" i="20"/>
  <c r="K1171" i="20"/>
  <c r="O1170" i="20"/>
  <c r="N1170" i="20"/>
  <c r="L1170" i="20"/>
  <c r="K1170" i="20"/>
  <c r="O1169" i="20"/>
  <c r="N1169" i="20"/>
  <c r="L1169" i="20"/>
  <c r="K1169" i="20"/>
  <c r="O1168" i="20"/>
  <c r="N1168" i="20"/>
  <c r="L1168" i="20"/>
  <c r="K1168" i="20"/>
  <c r="O1167" i="20"/>
  <c r="N1167" i="20"/>
  <c r="L1167" i="20"/>
  <c r="K1167" i="20"/>
  <c r="O1166" i="20"/>
  <c r="N1166" i="20"/>
  <c r="L1166" i="20"/>
  <c r="K1166" i="20"/>
  <c r="O1165" i="20"/>
  <c r="N1165" i="20"/>
  <c r="L1165" i="20"/>
  <c r="K1165" i="20"/>
  <c r="O1164" i="20"/>
  <c r="N1164" i="20"/>
  <c r="L1164" i="20"/>
  <c r="K1164" i="20"/>
  <c r="O1163" i="20"/>
  <c r="N1163" i="20"/>
  <c r="L1163" i="20"/>
  <c r="K1163" i="20"/>
  <c r="O1162" i="20"/>
  <c r="N1162" i="20"/>
  <c r="L1162" i="20"/>
  <c r="K1162" i="20"/>
  <c r="O1161" i="20"/>
  <c r="N1161" i="20"/>
  <c r="L1161" i="20"/>
  <c r="K1161" i="20"/>
  <c r="O1160" i="20"/>
  <c r="N1160" i="20"/>
  <c r="L1160" i="20"/>
  <c r="K1160" i="20"/>
  <c r="O1159" i="20"/>
  <c r="N1159" i="20"/>
  <c r="L1159" i="20"/>
  <c r="K1159" i="20"/>
  <c r="O1158" i="20"/>
  <c r="N1158" i="20"/>
  <c r="L1158" i="20"/>
  <c r="K1158" i="20"/>
  <c r="O1157" i="20"/>
  <c r="N1157" i="20"/>
  <c r="L1157" i="20"/>
  <c r="K1157" i="20"/>
  <c r="O1156" i="20"/>
  <c r="N1156" i="20"/>
  <c r="L1156" i="20"/>
  <c r="K1156" i="20"/>
  <c r="O1155" i="20"/>
  <c r="N1155" i="20"/>
  <c r="L1155" i="20"/>
  <c r="K1155" i="20"/>
  <c r="O1154" i="20"/>
  <c r="N1154" i="20"/>
  <c r="L1154" i="20"/>
  <c r="K1154" i="20"/>
  <c r="O1153" i="20"/>
  <c r="N1153" i="20"/>
  <c r="L1153" i="20"/>
  <c r="K1153" i="20"/>
  <c r="O1152" i="20"/>
  <c r="N1152" i="20"/>
  <c r="M1152" i="20"/>
  <c r="L1152" i="20"/>
  <c r="K1152" i="20"/>
  <c r="O1151" i="20"/>
  <c r="N1151" i="20"/>
  <c r="M1151" i="20"/>
  <c r="L1151" i="20"/>
  <c r="K1151" i="20"/>
  <c r="O1150" i="20"/>
  <c r="N1150" i="20"/>
  <c r="M1150" i="20"/>
  <c r="L1150" i="20"/>
  <c r="K1150" i="20"/>
  <c r="O1149" i="20"/>
  <c r="N1149" i="20"/>
  <c r="M1149" i="20"/>
  <c r="L1149" i="20"/>
  <c r="K1149" i="20"/>
  <c r="O1148" i="20"/>
  <c r="N1148" i="20"/>
  <c r="M1148" i="20"/>
  <c r="L1148" i="20"/>
  <c r="K1148" i="20"/>
  <c r="O1147" i="20"/>
  <c r="N1147" i="20"/>
  <c r="M1147" i="20"/>
  <c r="L1147" i="20"/>
  <c r="K1147" i="20"/>
  <c r="O1146" i="20"/>
  <c r="N1146" i="20"/>
  <c r="M1146" i="20"/>
  <c r="L1146" i="20"/>
  <c r="K1146" i="20"/>
  <c r="O1145" i="20"/>
  <c r="N1145" i="20"/>
  <c r="M1145" i="20"/>
  <c r="L1145" i="20"/>
  <c r="K1145" i="20"/>
  <c r="O1144" i="20"/>
  <c r="N1144" i="20"/>
  <c r="M1144" i="20"/>
  <c r="L1144" i="20"/>
  <c r="K1144" i="20"/>
  <c r="O1143" i="20"/>
  <c r="N1143" i="20"/>
  <c r="M1143" i="20"/>
  <c r="L1143" i="20"/>
  <c r="K1143" i="20"/>
  <c r="O1142" i="20"/>
  <c r="N1142" i="20"/>
  <c r="M1142" i="20"/>
  <c r="L1142" i="20"/>
  <c r="K1142" i="20"/>
  <c r="O1141" i="20"/>
  <c r="N1141" i="20"/>
  <c r="M1141" i="20"/>
  <c r="L1141" i="20"/>
  <c r="K1141" i="20"/>
  <c r="O1140" i="20"/>
  <c r="N1140" i="20"/>
  <c r="M1140" i="20"/>
  <c r="L1140" i="20"/>
  <c r="K1140" i="20"/>
  <c r="O1139" i="20"/>
  <c r="N1139" i="20"/>
  <c r="M1139" i="20"/>
  <c r="L1139" i="20"/>
  <c r="K1139" i="20"/>
  <c r="O1138" i="20"/>
  <c r="N1138" i="20"/>
  <c r="M1138" i="20"/>
  <c r="L1138" i="20"/>
  <c r="K1138" i="20"/>
  <c r="O1137" i="20"/>
  <c r="N1137" i="20"/>
  <c r="M1137" i="20"/>
  <c r="L1137" i="20"/>
  <c r="K1137" i="20"/>
  <c r="O1136" i="20"/>
  <c r="N1136" i="20"/>
  <c r="M1136" i="20"/>
  <c r="L1136" i="20"/>
  <c r="K1136" i="20"/>
  <c r="O1135" i="20"/>
  <c r="N1135" i="20"/>
  <c r="M1135" i="20"/>
  <c r="L1135" i="20"/>
  <c r="K1135" i="20"/>
  <c r="O1134" i="20"/>
  <c r="N1134" i="20"/>
  <c r="L1134" i="20"/>
  <c r="K1134" i="20"/>
  <c r="O1133" i="20"/>
  <c r="N1133" i="20"/>
  <c r="L1133" i="20"/>
  <c r="K1133" i="20"/>
  <c r="O1132" i="20"/>
  <c r="N1132" i="20"/>
  <c r="L1132" i="20"/>
  <c r="K1132" i="20"/>
  <c r="O1131" i="20"/>
  <c r="N1131" i="20"/>
  <c r="L1131" i="20"/>
  <c r="K1131" i="20"/>
  <c r="O1130" i="20"/>
  <c r="N1130" i="20"/>
  <c r="L1130" i="20"/>
  <c r="K1130" i="20"/>
  <c r="O1129" i="20"/>
  <c r="N1129" i="20"/>
  <c r="L1129" i="20"/>
  <c r="K1129" i="20"/>
  <c r="O1128" i="20"/>
  <c r="N1128" i="20"/>
  <c r="L1128" i="20"/>
  <c r="K1128" i="20"/>
  <c r="O1127" i="20"/>
  <c r="N1127" i="20"/>
  <c r="L1127" i="20"/>
  <c r="K1127" i="20"/>
  <c r="O1126" i="20"/>
  <c r="N1126" i="20"/>
  <c r="L1126" i="20"/>
  <c r="K1126" i="20"/>
  <c r="O1125" i="20"/>
  <c r="N1125" i="20"/>
  <c r="L1125" i="20"/>
  <c r="K1125" i="20"/>
  <c r="O1124" i="20"/>
  <c r="N1124" i="20"/>
  <c r="L1124" i="20"/>
  <c r="K1124" i="20"/>
  <c r="O1123" i="20"/>
  <c r="N1123" i="20"/>
  <c r="L1123" i="20"/>
  <c r="K1123" i="20"/>
  <c r="O1122" i="20"/>
  <c r="N1122" i="20"/>
  <c r="L1122" i="20"/>
  <c r="K1122" i="20"/>
  <c r="O1121" i="20"/>
  <c r="N1121" i="20"/>
  <c r="L1121" i="20"/>
  <c r="K1121" i="20"/>
  <c r="O1120" i="20"/>
  <c r="N1120" i="20"/>
  <c r="L1120" i="20"/>
  <c r="K1120" i="20"/>
  <c r="O1119" i="20"/>
  <c r="N1119" i="20"/>
  <c r="L1119" i="20"/>
  <c r="K1119" i="20"/>
  <c r="O1118" i="20"/>
  <c r="N1118" i="20"/>
  <c r="L1118" i="20"/>
  <c r="K1118" i="20"/>
  <c r="O1117" i="20"/>
  <c r="N1117" i="20"/>
  <c r="L1117" i="20"/>
  <c r="K1117" i="20"/>
  <c r="O1116" i="20"/>
  <c r="N1116" i="20"/>
  <c r="L1116" i="20"/>
  <c r="K1116" i="20"/>
  <c r="O1115" i="20"/>
  <c r="N1115" i="20"/>
  <c r="L1115" i="20"/>
  <c r="K1115" i="20"/>
  <c r="O1114" i="20"/>
  <c r="N1114" i="20"/>
  <c r="L1114" i="20"/>
  <c r="K1114" i="20"/>
  <c r="O1113" i="20"/>
  <c r="N1113" i="20"/>
  <c r="L1113" i="20"/>
  <c r="K1113" i="20"/>
  <c r="O1112" i="20"/>
  <c r="N1112" i="20"/>
  <c r="L1112" i="20"/>
  <c r="K1112" i="20"/>
  <c r="O1111" i="20"/>
  <c r="N1111" i="20"/>
  <c r="L1111" i="20"/>
  <c r="K1111" i="20"/>
  <c r="O1110" i="20"/>
  <c r="N1110" i="20"/>
  <c r="L1110" i="20"/>
  <c r="K1110" i="20"/>
  <c r="O1109" i="20"/>
  <c r="N1109" i="20"/>
  <c r="L1109" i="20"/>
  <c r="K1109" i="20"/>
  <c r="O1108" i="20"/>
  <c r="N1108" i="20"/>
  <c r="L1108" i="20"/>
  <c r="K1108" i="20"/>
  <c r="O1107" i="20"/>
  <c r="N1107" i="20"/>
  <c r="L1107" i="20"/>
  <c r="K1107" i="20"/>
  <c r="O1106" i="20"/>
  <c r="N1106" i="20"/>
  <c r="L1106" i="20"/>
  <c r="K1106" i="20"/>
  <c r="O1105" i="20"/>
  <c r="N1105" i="20"/>
  <c r="L1105" i="20"/>
  <c r="K1105" i="20"/>
  <c r="O1104" i="20"/>
  <c r="N1104" i="20"/>
  <c r="L1104" i="20"/>
  <c r="K1104" i="20"/>
  <c r="O1103" i="20"/>
  <c r="N1103" i="20"/>
  <c r="L1103" i="20"/>
  <c r="K1103" i="20"/>
  <c r="O1102" i="20"/>
  <c r="N1102" i="20"/>
  <c r="L1102" i="20"/>
  <c r="K1102" i="20"/>
  <c r="O1101" i="20"/>
  <c r="N1101" i="20"/>
  <c r="L1101" i="20"/>
  <c r="K1101" i="20"/>
  <c r="O1100" i="20"/>
  <c r="N1100" i="20"/>
  <c r="L1100" i="20"/>
  <c r="K1100" i="20"/>
  <c r="O1099" i="20"/>
  <c r="N1099" i="20"/>
  <c r="L1099" i="20"/>
  <c r="K1099" i="20"/>
  <c r="O1098" i="20"/>
  <c r="N1098" i="20"/>
  <c r="L1098" i="20"/>
  <c r="K1098" i="20"/>
  <c r="O1097" i="20"/>
  <c r="N1097" i="20"/>
  <c r="L1097" i="20"/>
  <c r="K1097" i="20"/>
  <c r="O1096" i="20"/>
  <c r="N1096" i="20"/>
  <c r="L1096" i="20"/>
  <c r="K1096" i="20"/>
  <c r="O1095" i="20"/>
  <c r="N1095" i="20"/>
  <c r="L1095" i="20"/>
  <c r="K1095" i="20"/>
  <c r="O1094" i="20"/>
  <c r="N1094" i="20"/>
  <c r="L1094" i="20"/>
  <c r="K1094" i="20"/>
  <c r="O1093" i="20"/>
  <c r="N1093" i="20"/>
  <c r="L1093" i="20"/>
  <c r="K1093" i="20"/>
  <c r="O1092" i="20"/>
  <c r="N1092" i="20"/>
  <c r="L1092" i="20"/>
  <c r="K1092" i="20"/>
  <c r="O1091" i="20"/>
  <c r="N1091" i="20"/>
  <c r="L1091" i="20"/>
  <c r="K1091" i="20"/>
  <c r="O1090" i="20"/>
  <c r="N1090" i="20"/>
  <c r="L1090" i="20"/>
  <c r="K1090" i="20"/>
  <c r="O1089" i="20"/>
  <c r="N1089" i="20"/>
  <c r="L1089" i="20"/>
  <c r="K1089" i="20"/>
  <c r="O1088" i="20"/>
  <c r="N1088" i="20"/>
  <c r="L1088" i="20"/>
  <c r="K1088" i="20"/>
  <c r="O1087" i="20"/>
  <c r="N1087" i="20"/>
  <c r="L1087" i="20"/>
  <c r="K1087" i="20"/>
  <c r="O1086" i="20"/>
  <c r="N1086" i="20"/>
  <c r="L1086" i="20"/>
  <c r="K1086" i="20"/>
  <c r="O1085" i="20"/>
  <c r="N1085" i="20"/>
  <c r="L1085" i="20"/>
  <c r="K1085" i="20"/>
  <c r="O1084" i="20"/>
  <c r="N1084" i="20"/>
  <c r="L1084" i="20"/>
  <c r="K1084" i="20"/>
  <c r="O1083" i="20"/>
  <c r="N1083" i="20"/>
  <c r="L1083" i="20"/>
  <c r="K1083" i="20"/>
  <c r="O1082" i="20"/>
  <c r="N1082" i="20"/>
  <c r="L1082" i="20"/>
  <c r="K1082" i="20"/>
  <c r="O1081" i="20"/>
  <c r="N1081" i="20"/>
  <c r="L1081" i="20"/>
  <c r="K1081" i="20"/>
  <c r="O1080" i="20"/>
  <c r="N1080" i="20"/>
  <c r="L1080" i="20"/>
  <c r="K1080" i="20"/>
  <c r="O1079" i="20"/>
  <c r="N1079" i="20"/>
  <c r="L1079" i="20"/>
  <c r="K1079" i="20"/>
  <c r="O1078" i="20"/>
  <c r="N1078" i="20"/>
  <c r="L1078" i="20"/>
  <c r="K1078" i="20"/>
  <c r="O1077" i="20"/>
  <c r="N1077" i="20"/>
  <c r="L1077" i="20"/>
  <c r="K1077" i="20"/>
  <c r="O1076" i="20"/>
  <c r="N1076" i="20"/>
  <c r="L1076" i="20"/>
  <c r="K1076" i="20"/>
  <c r="O1075" i="20"/>
  <c r="N1075" i="20"/>
  <c r="L1075" i="20"/>
  <c r="K1075" i="20"/>
  <c r="O1074" i="20"/>
  <c r="N1074" i="20"/>
  <c r="L1074" i="20"/>
  <c r="K1074" i="20"/>
  <c r="O1073" i="20"/>
  <c r="N1073" i="20"/>
  <c r="L1073" i="20"/>
  <c r="K1073" i="20"/>
  <c r="O1072" i="20"/>
  <c r="N1072" i="20"/>
  <c r="L1072" i="20"/>
  <c r="K1072" i="20"/>
  <c r="O1071" i="20"/>
  <c r="N1071" i="20"/>
  <c r="L1071" i="20"/>
  <c r="K1071" i="20"/>
  <c r="O1070" i="20"/>
  <c r="N1070" i="20"/>
  <c r="L1070" i="20"/>
  <c r="K1070" i="20"/>
  <c r="O1069" i="20"/>
  <c r="N1069" i="20"/>
  <c r="L1069" i="20"/>
  <c r="K1069" i="20"/>
  <c r="O1068" i="20"/>
  <c r="N1068" i="20"/>
  <c r="L1068" i="20"/>
  <c r="K1068" i="20"/>
  <c r="O1067" i="20"/>
  <c r="N1067" i="20"/>
  <c r="L1067" i="20"/>
  <c r="K1067" i="20"/>
  <c r="O1066" i="20"/>
  <c r="N1066" i="20"/>
  <c r="L1066" i="20"/>
  <c r="K1066" i="20"/>
  <c r="O1065" i="20"/>
  <c r="N1065" i="20"/>
  <c r="L1065" i="20"/>
  <c r="K1065" i="20"/>
  <c r="O1064" i="20"/>
  <c r="N1064" i="20"/>
  <c r="L1064" i="20"/>
  <c r="K1064" i="20"/>
  <c r="O1063" i="20"/>
  <c r="N1063" i="20"/>
  <c r="L1063" i="20"/>
  <c r="K1063" i="20"/>
  <c r="O1062" i="20"/>
  <c r="N1062" i="20"/>
  <c r="L1062" i="20"/>
  <c r="K1062" i="20"/>
  <c r="O1061" i="20"/>
  <c r="N1061" i="20"/>
  <c r="L1061" i="20"/>
  <c r="K1061" i="20"/>
  <c r="O1060" i="20"/>
  <c r="N1060" i="20"/>
  <c r="L1060" i="20"/>
  <c r="K1060" i="20"/>
  <c r="O1059" i="20"/>
  <c r="N1059" i="20"/>
  <c r="L1059" i="20"/>
  <c r="K1059" i="20"/>
  <c r="O1058" i="20"/>
  <c r="N1058" i="20"/>
  <c r="L1058" i="20"/>
  <c r="K1058" i="20"/>
  <c r="O1057" i="20"/>
  <c r="N1057" i="20"/>
  <c r="L1057" i="20"/>
  <c r="K1057" i="20"/>
  <c r="O1056" i="20"/>
  <c r="N1056" i="20"/>
  <c r="L1056" i="20"/>
  <c r="K1056" i="20"/>
  <c r="O1055" i="20"/>
  <c r="N1055" i="20"/>
  <c r="L1055" i="20"/>
  <c r="K1055" i="20"/>
  <c r="O1054" i="20"/>
  <c r="N1054" i="20"/>
  <c r="L1054" i="20"/>
  <c r="K1054" i="20"/>
  <c r="O1053" i="20"/>
  <c r="N1053" i="20"/>
  <c r="L1053" i="20"/>
  <c r="K1053" i="20"/>
  <c r="O1052" i="20"/>
  <c r="N1052" i="20"/>
  <c r="L1052" i="20"/>
  <c r="K1052" i="20"/>
  <c r="O1051" i="20"/>
  <c r="N1051" i="20"/>
  <c r="L1051" i="20"/>
  <c r="K1051" i="20"/>
  <c r="O1050" i="20"/>
  <c r="N1050" i="20"/>
  <c r="L1050" i="20"/>
  <c r="K1050" i="20"/>
  <c r="O1049" i="20"/>
  <c r="N1049" i="20"/>
  <c r="L1049" i="20"/>
  <c r="K1049" i="20"/>
  <c r="O1048" i="20"/>
  <c r="N1048" i="20"/>
  <c r="L1048" i="20"/>
  <c r="K1048" i="20"/>
  <c r="O1047" i="20"/>
  <c r="N1047" i="20"/>
  <c r="L1047" i="20"/>
  <c r="K1047" i="20"/>
  <c r="O1046" i="20"/>
  <c r="N1046" i="20"/>
  <c r="L1046" i="20"/>
  <c r="K1046" i="20"/>
  <c r="O1045" i="20"/>
  <c r="N1045" i="20"/>
  <c r="L1045" i="20"/>
  <c r="K1045" i="20"/>
  <c r="O1044" i="20"/>
  <c r="N1044" i="20"/>
  <c r="L1044" i="20"/>
  <c r="K1044" i="20"/>
  <c r="O1043" i="20"/>
  <c r="N1043" i="20"/>
  <c r="L1043" i="20"/>
  <c r="K1043" i="20"/>
  <c r="O1042" i="20"/>
  <c r="N1042" i="20"/>
  <c r="L1042" i="20"/>
  <c r="K1042" i="20"/>
  <c r="O1041" i="20"/>
  <c r="N1041" i="20"/>
  <c r="L1041" i="20"/>
  <c r="K1041" i="20"/>
  <c r="O1040" i="20"/>
  <c r="N1040" i="20"/>
  <c r="L1040" i="20"/>
  <c r="K1040" i="20"/>
  <c r="O1039" i="20"/>
  <c r="N1039" i="20"/>
  <c r="L1039" i="20"/>
  <c r="K1039" i="20"/>
  <c r="O1038" i="20"/>
  <c r="N1038" i="20"/>
  <c r="L1038" i="20"/>
  <c r="K1038" i="20"/>
  <c r="O1037" i="20"/>
  <c r="N1037" i="20"/>
  <c r="L1037" i="20"/>
  <c r="K1037" i="20"/>
  <c r="O1036" i="20"/>
  <c r="N1036" i="20"/>
  <c r="L1036" i="20"/>
  <c r="K1036" i="20"/>
  <c r="O1035" i="20"/>
  <c r="N1035" i="20"/>
  <c r="L1035" i="20"/>
  <c r="K1035" i="20"/>
  <c r="O1034" i="20"/>
  <c r="N1034" i="20"/>
  <c r="L1034" i="20"/>
  <c r="K1034" i="20"/>
  <c r="O1033" i="20"/>
  <c r="N1033" i="20"/>
  <c r="L1033" i="20"/>
  <c r="K1033" i="20"/>
  <c r="O1032" i="20"/>
  <c r="N1032" i="20"/>
  <c r="L1032" i="20"/>
  <c r="K1032" i="20"/>
  <c r="O1031" i="20"/>
  <c r="N1031" i="20"/>
  <c r="L1031" i="20"/>
  <c r="K1031" i="20"/>
  <c r="O1030" i="20"/>
  <c r="N1030" i="20"/>
  <c r="L1030" i="20"/>
  <c r="K1030" i="20"/>
  <c r="O1029" i="20"/>
  <c r="N1029" i="20"/>
  <c r="L1029" i="20"/>
  <c r="K1029" i="20"/>
  <c r="O1028" i="20"/>
  <c r="N1028" i="20"/>
  <c r="L1028" i="20"/>
  <c r="K1028" i="20"/>
  <c r="O1027" i="20"/>
  <c r="N1027" i="20"/>
  <c r="L1027" i="20"/>
  <c r="K1027" i="20"/>
  <c r="O1026" i="20"/>
  <c r="N1026" i="20"/>
  <c r="L1026" i="20"/>
  <c r="K1026" i="20"/>
  <c r="O1025" i="20"/>
  <c r="N1025" i="20"/>
  <c r="L1025" i="20"/>
  <c r="K1025" i="20"/>
  <c r="O1024" i="20"/>
  <c r="N1024" i="20"/>
  <c r="L1024" i="20"/>
  <c r="K1024" i="20"/>
  <c r="O1023" i="20"/>
  <c r="N1023" i="20"/>
  <c r="L1023" i="20"/>
  <c r="K1023" i="20"/>
  <c r="O1022" i="20"/>
  <c r="N1022" i="20"/>
  <c r="L1022" i="20"/>
  <c r="K1022" i="20"/>
  <c r="O1021" i="20"/>
  <c r="N1021" i="20"/>
  <c r="L1021" i="20"/>
  <c r="K1021" i="20"/>
  <c r="O1020" i="20"/>
  <c r="N1020" i="20"/>
  <c r="L1020" i="20"/>
  <c r="K1020" i="20"/>
  <c r="O1019" i="20"/>
  <c r="N1019" i="20"/>
  <c r="L1019" i="20"/>
  <c r="K1019" i="20"/>
  <c r="O1018" i="20"/>
  <c r="N1018" i="20"/>
  <c r="L1018" i="20"/>
  <c r="K1018" i="20"/>
  <c r="O1017" i="20"/>
  <c r="N1017" i="20"/>
  <c r="L1017" i="20"/>
  <c r="K1017" i="20"/>
  <c r="O1016" i="20"/>
  <c r="N1016" i="20"/>
  <c r="L1016" i="20"/>
  <c r="K1016" i="20"/>
  <c r="O1015" i="20"/>
  <c r="N1015" i="20"/>
  <c r="L1015" i="20"/>
  <c r="K1015" i="20"/>
  <c r="O1014" i="20"/>
  <c r="N1014" i="20"/>
  <c r="L1014" i="20"/>
  <c r="K1014" i="20"/>
  <c r="O1013" i="20"/>
  <c r="N1013" i="20"/>
  <c r="L1013" i="20"/>
  <c r="K1013" i="20"/>
  <c r="O1012" i="20"/>
  <c r="N1012" i="20"/>
  <c r="L1012" i="20"/>
  <c r="K1012" i="20"/>
  <c r="O1011" i="20"/>
  <c r="N1011" i="20"/>
  <c r="L1011" i="20"/>
  <c r="K1011" i="20"/>
  <c r="O1010" i="20"/>
  <c r="N1010" i="20"/>
  <c r="L1010" i="20"/>
  <c r="K1010" i="20"/>
  <c r="O1009" i="20"/>
  <c r="N1009" i="20"/>
  <c r="L1009" i="20"/>
  <c r="K1009" i="20"/>
  <c r="O1008" i="20"/>
  <c r="N1008" i="20"/>
  <c r="L1008" i="20"/>
  <c r="K1008" i="20"/>
  <c r="O1007" i="20"/>
  <c r="N1007" i="20"/>
  <c r="L1007" i="20"/>
  <c r="K1007" i="20"/>
  <c r="O1006" i="20"/>
  <c r="N1006" i="20"/>
  <c r="L1006" i="20"/>
  <c r="K1006" i="20"/>
  <c r="O1005" i="20"/>
  <c r="N1005" i="20"/>
  <c r="L1005" i="20"/>
  <c r="K1005" i="20"/>
  <c r="O1004" i="20"/>
  <c r="N1004" i="20"/>
  <c r="L1004" i="20"/>
  <c r="K1004" i="20"/>
  <c r="O1003" i="20"/>
  <c r="N1003" i="20"/>
  <c r="L1003" i="20"/>
  <c r="K1003" i="20"/>
  <c r="O1002" i="20"/>
  <c r="N1002" i="20"/>
  <c r="L1002" i="20"/>
  <c r="K1002" i="20"/>
  <c r="O1001" i="20"/>
  <c r="N1001" i="20"/>
  <c r="L1001" i="20"/>
  <c r="K1001" i="20"/>
  <c r="O1000" i="20"/>
  <c r="N1000" i="20"/>
  <c r="L1000" i="20"/>
  <c r="K1000" i="20"/>
  <c r="O999" i="20"/>
  <c r="N999" i="20"/>
  <c r="L999" i="20"/>
  <c r="K999" i="20"/>
  <c r="O998" i="20"/>
  <c r="N998" i="20"/>
  <c r="L998" i="20"/>
  <c r="K998" i="20"/>
  <c r="O997" i="20"/>
  <c r="N997" i="20"/>
  <c r="L997" i="20"/>
  <c r="K997" i="20"/>
  <c r="O996" i="20"/>
  <c r="N996" i="20"/>
  <c r="L996" i="20"/>
  <c r="K996" i="20"/>
  <c r="O995" i="20"/>
  <c r="N995" i="20"/>
  <c r="L995" i="20"/>
  <c r="K995" i="20"/>
  <c r="O994" i="20"/>
  <c r="N994" i="20"/>
  <c r="L994" i="20"/>
  <c r="K994" i="20"/>
  <c r="O993" i="20"/>
  <c r="N993" i="20"/>
  <c r="L993" i="20"/>
  <c r="K993" i="20"/>
  <c r="O992" i="20"/>
  <c r="N992" i="20"/>
  <c r="L992" i="20"/>
  <c r="K992" i="20"/>
  <c r="O991" i="20"/>
  <c r="N991" i="20"/>
  <c r="L991" i="20"/>
  <c r="K991" i="20"/>
  <c r="O990" i="20"/>
  <c r="N990" i="20"/>
  <c r="L990" i="20"/>
  <c r="K990" i="20"/>
  <c r="O989" i="20"/>
  <c r="N989" i="20"/>
  <c r="L989" i="20"/>
  <c r="K989" i="20"/>
  <c r="O988" i="20"/>
  <c r="N988" i="20"/>
  <c r="L988" i="20"/>
  <c r="K988" i="20"/>
  <c r="O987" i="20"/>
  <c r="N987" i="20"/>
  <c r="L987" i="20"/>
  <c r="K987" i="20"/>
  <c r="O986" i="20"/>
  <c r="N986" i="20"/>
  <c r="L986" i="20"/>
  <c r="K986" i="20"/>
  <c r="O985" i="20"/>
  <c r="N985" i="20"/>
  <c r="L985" i="20"/>
  <c r="K985" i="20"/>
  <c r="O984" i="20"/>
  <c r="N984" i="20"/>
  <c r="L984" i="20"/>
  <c r="K984" i="20"/>
  <c r="O983" i="20"/>
  <c r="N983" i="20"/>
  <c r="L983" i="20"/>
  <c r="K983" i="20"/>
  <c r="O982" i="20"/>
  <c r="N982" i="20"/>
  <c r="L982" i="20"/>
  <c r="K982" i="20"/>
  <c r="O981" i="20"/>
  <c r="N981" i="20"/>
  <c r="L981" i="20"/>
  <c r="K981" i="20"/>
  <c r="O980" i="20"/>
  <c r="N980" i="20"/>
  <c r="L980" i="20"/>
  <c r="K980" i="20"/>
  <c r="O979" i="20"/>
  <c r="N979" i="20"/>
  <c r="L979" i="20"/>
  <c r="K979" i="20"/>
  <c r="O978" i="20"/>
  <c r="N978" i="20"/>
  <c r="L978" i="20"/>
  <c r="K978" i="20"/>
  <c r="O977" i="20"/>
  <c r="N977" i="20"/>
  <c r="L977" i="20"/>
  <c r="K977" i="20"/>
  <c r="O976" i="20"/>
  <c r="N976" i="20"/>
  <c r="L976" i="20"/>
  <c r="K976" i="20"/>
  <c r="O975" i="20"/>
  <c r="N975" i="20"/>
  <c r="L975" i="20"/>
  <c r="K975" i="20"/>
  <c r="O974" i="20"/>
  <c r="N974" i="20"/>
  <c r="L974" i="20"/>
  <c r="K974" i="20"/>
  <c r="O973" i="20"/>
  <c r="N973" i="20"/>
  <c r="L973" i="20"/>
  <c r="K973" i="20"/>
  <c r="O972" i="20"/>
  <c r="N972" i="20"/>
  <c r="L972" i="20"/>
  <c r="K972" i="20"/>
  <c r="O971" i="20"/>
  <c r="N971" i="20"/>
  <c r="L971" i="20"/>
  <c r="K971" i="20"/>
  <c r="O970" i="20"/>
  <c r="N970" i="20"/>
  <c r="L970" i="20"/>
  <c r="K970" i="20"/>
  <c r="O969" i="20"/>
  <c r="N969" i="20"/>
  <c r="L969" i="20"/>
  <c r="K969" i="20"/>
  <c r="O968" i="20"/>
  <c r="N968" i="20"/>
  <c r="L968" i="20"/>
  <c r="K968" i="20"/>
  <c r="O967" i="20"/>
  <c r="N967" i="20"/>
  <c r="L967" i="20"/>
  <c r="K967" i="20"/>
  <c r="O966" i="20"/>
  <c r="N966" i="20"/>
  <c r="L966" i="20"/>
  <c r="K966" i="20"/>
  <c r="O965" i="20"/>
  <c r="N965" i="20"/>
  <c r="L965" i="20"/>
  <c r="K965" i="20"/>
  <c r="O964" i="20"/>
  <c r="N964" i="20"/>
  <c r="L964" i="20"/>
  <c r="K964" i="20"/>
  <c r="O963" i="20"/>
  <c r="N963" i="20"/>
  <c r="L963" i="20"/>
  <c r="K963" i="20"/>
  <c r="O962" i="20"/>
  <c r="N962" i="20"/>
  <c r="L962" i="20"/>
  <c r="K962" i="20"/>
  <c r="O961" i="20"/>
  <c r="N961" i="20"/>
  <c r="L961" i="20"/>
  <c r="K961" i="20"/>
  <c r="O960" i="20"/>
  <c r="N960" i="20"/>
  <c r="L960" i="20"/>
  <c r="K960" i="20"/>
  <c r="O959" i="20"/>
  <c r="N959" i="20"/>
  <c r="L959" i="20"/>
  <c r="K959" i="20"/>
  <c r="O958" i="20"/>
  <c r="N958" i="20"/>
  <c r="L958" i="20"/>
  <c r="K958" i="20"/>
  <c r="O957" i="20"/>
  <c r="N957" i="20"/>
  <c r="L957" i="20"/>
  <c r="K957" i="20"/>
  <c r="O956" i="20"/>
  <c r="N956" i="20"/>
  <c r="L956" i="20"/>
  <c r="K956" i="20"/>
  <c r="O955" i="20"/>
  <c r="N955" i="20"/>
  <c r="L955" i="20"/>
  <c r="K955" i="20"/>
  <c r="O954" i="20"/>
  <c r="N954" i="20"/>
  <c r="L954" i="20"/>
  <c r="K954" i="20"/>
  <c r="O953" i="20"/>
  <c r="N953" i="20"/>
  <c r="L953" i="20"/>
  <c r="K953" i="20"/>
  <c r="O952" i="20"/>
  <c r="N952" i="20"/>
  <c r="L952" i="20"/>
  <c r="K952" i="20"/>
  <c r="O951" i="20"/>
  <c r="N951" i="20"/>
  <c r="L951" i="20"/>
  <c r="K951" i="20"/>
  <c r="O950" i="20"/>
  <c r="N950" i="20"/>
  <c r="L950" i="20"/>
  <c r="K950" i="20"/>
  <c r="O949" i="20"/>
  <c r="N949" i="20"/>
  <c r="L949" i="20"/>
  <c r="K949" i="20"/>
  <c r="O948" i="20"/>
  <c r="N948" i="20"/>
  <c r="L948" i="20"/>
  <c r="K948" i="20"/>
  <c r="O947" i="20"/>
  <c r="N947" i="20"/>
  <c r="L947" i="20"/>
  <c r="K947" i="20"/>
  <c r="O946" i="20"/>
  <c r="N946" i="20"/>
  <c r="L946" i="20"/>
  <c r="K946" i="20"/>
  <c r="O945" i="20"/>
  <c r="N945" i="20"/>
  <c r="L945" i="20"/>
  <c r="K945" i="20"/>
  <c r="O944" i="20"/>
  <c r="N944" i="20"/>
  <c r="L944" i="20"/>
  <c r="K944" i="20"/>
  <c r="O943" i="20"/>
  <c r="N943" i="20"/>
  <c r="L943" i="20"/>
  <c r="K943" i="20"/>
  <c r="O942" i="20"/>
  <c r="N942" i="20"/>
  <c r="L942" i="20"/>
  <c r="K942" i="20"/>
  <c r="O941" i="20"/>
  <c r="N941" i="20"/>
  <c r="L941" i="20"/>
  <c r="K941" i="20"/>
  <c r="O940" i="20"/>
  <c r="N940" i="20"/>
  <c r="L940" i="20"/>
  <c r="K940" i="20"/>
  <c r="O939" i="20"/>
  <c r="N939" i="20"/>
  <c r="L939" i="20"/>
  <c r="K939" i="20"/>
  <c r="O938" i="20"/>
  <c r="N938" i="20"/>
  <c r="L938" i="20"/>
  <c r="K938" i="20"/>
  <c r="O937" i="20"/>
  <c r="N937" i="20"/>
  <c r="L937" i="20"/>
  <c r="K937" i="20"/>
  <c r="O936" i="20"/>
  <c r="N936" i="20"/>
  <c r="L936" i="20"/>
  <c r="K936" i="20"/>
  <c r="O935" i="20"/>
  <c r="N935" i="20"/>
  <c r="L935" i="20"/>
  <c r="K935" i="20"/>
  <c r="O934" i="20"/>
  <c r="N934" i="20"/>
  <c r="L934" i="20"/>
  <c r="K934" i="20"/>
  <c r="O933" i="20"/>
  <c r="N933" i="20"/>
  <c r="L933" i="20"/>
  <c r="K933" i="20"/>
  <c r="O932" i="20"/>
  <c r="N932" i="20"/>
  <c r="L932" i="20"/>
  <c r="K932" i="20"/>
  <c r="O931" i="20"/>
  <c r="N931" i="20"/>
  <c r="L931" i="20"/>
  <c r="K931" i="20"/>
  <c r="O930" i="20"/>
  <c r="N930" i="20"/>
  <c r="L930" i="20"/>
  <c r="K930" i="20"/>
  <c r="O929" i="20"/>
  <c r="N929" i="20"/>
  <c r="L929" i="20"/>
  <c r="K929" i="20"/>
  <c r="O928" i="20"/>
  <c r="N928" i="20"/>
  <c r="L928" i="20"/>
  <c r="K928" i="20"/>
  <c r="O927" i="20"/>
  <c r="N927" i="20"/>
  <c r="L927" i="20"/>
  <c r="K927" i="20"/>
  <c r="O926" i="20"/>
  <c r="N926" i="20"/>
  <c r="L926" i="20"/>
  <c r="K926" i="20"/>
  <c r="O925" i="20"/>
  <c r="N925" i="20"/>
  <c r="L925" i="20"/>
  <c r="K925" i="20"/>
  <c r="O924" i="20"/>
  <c r="N924" i="20"/>
  <c r="L924" i="20"/>
  <c r="K924" i="20"/>
  <c r="O923" i="20"/>
  <c r="N923" i="20"/>
  <c r="L923" i="20"/>
  <c r="K923" i="20"/>
  <c r="O922" i="20"/>
  <c r="N922" i="20"/>
  <c r="L922" i="20"/>
  <c r="K922" i="20"/>
  <c r="O921" i="20"/>
  <c r="N921" i="20"/>
  <c r="L921" i="20"/>
  <c r="K921" i="20"/>
  <c r="O920" i="20"/>
  <c r="N920" i="20"/>
  <c r="L920" i="20"/>
  <c r="K920" i="20"/>
  <c r="O919" i="20"/>
  <c r="N919" i="20"/>
  <c r="L919" i="20"/>
  <c r="K919" i="20"/>
  <c r="O918" i="20"/>
  <c r="N918" i="20"/>
  <c r="L918" i="20"/>
  <c r="K918" i="20"/>
  <c r="O917" i="20"/>
  <c r="N917" i="20"/>
  <c r="L917" i="20"/>
  <c r="K917" i="20"/>
  <c r="O916" i="20"/>
  <c r="N916" i="20"/>
  <c r="L916" i="20"/>
  <c r="K916" i="20"/>
  <c r="O915" i="20"/>
  <c r="N915" i="20"/>
  <c r="L915" i="20"/>
  <c r="K915" i="20"/>
  <c r="O914" i="20"/>
  <c r="N914" i="20"/>
  <c r="L914" i="20"/>
  <c r="K914" i="20"/>
  <c r="O913" i="20"/>
  <c r="N913" i="20"/>
  <c r="L913" i="20"/>
  <c r="K913" i="20"/>
  <c r="O912" i="20"/>
  <c r="N912" i="20"/>
  <c r="L912" i="20"/>
  <c r="K912" i="20"/>
  <c r="O911" i="20"/>
  <c r="N911" i="20"/>
  <c r="L911" i="20"/>
  <c r="K911" i="20"/>
  <c r="O910" i="20"/>
  <c r="N910" i="20"/>
  <c r="L910" i="20"/>
  <c r="K910" i="20"/>
  <c r="O909" i="20"/>
  <c r="N909" i="20"/>
  <c r="L909" i="20"/>
  <c r="K909" i="20"/>
  <c r="O908" i="20"/>
  <c r="N908" i="20"/>
  <c r="L908" i="20"/>
  <c r="K908" i="20"/>
  <c r="O907" i="20"/>
  <c r="N907" i="20"/>
  <c r="L907" i="20"/>
  <c r="K907" i="20"/>
  <c r="O906" i="20"/>
  <c r="N906" i="20"/>
  <c r="L906" i="20"/>
  <c r="K906" i="20"/>
  <c r="O905" i="20"/>
  <c r="N905" i="20"/>
  <c r="L905" i="20"/>
  <c r="K905" i="20"/>
  <c r="O904" i="20"/>
  <c r="N904" i="20"/>
  <c r="L904" i="20"/>
  <c r="K904" i="20"/>
  <c r="O903" i="20"/>
  <c r="N903" i="20"/>
  <c r="L903" i="20"/>
  <c r="K903" i="20"/>
  <c r="O902" i="20"/>
  <c r="N902" i="20"/>
  <c r="L902" i="20"/>
  <c r="K902" i="20"/>
  <c r="O901" i="20"/>
  <c r="N901" i="20"/>
  <c r="L901" i="20"/>
  <c r="K901" i="20"/>
  <c r="O900" i="20"/>
  <c r="N900" i="20"/>
  <c r="L900" i="20"/>
  <c r="K900" i="20"/>
  <c r="O899" i="20"/>
  <c r="N899" i="20"/>
  <c r="L899" i="20"/>
  <c r="K899" i="20"/>
  <c r="O898" i="20"/>
  <c r="N898" i="20"/>
  <c r="L898" i="20"/>
  <c r="K898" i="20"/>
  <c r="O897" i="20"/>
  <c r="N897" i="20"/>
  <c r="L897" i="20"/>
  <c r="K897" i="20"/>
  <c r="O896" i="20"/>
  <c r="N896" i="20"/>
  <c r="L896" i="20"/>
  <c r="K896" i="20"/>
  <c r="O895" i="20"/>
  <c r="N895" i="20"/>
  <c r="L895" i="20"/>
  <c r="K895" i="20"/>
  <c r="O894" i="20"/>
  <c r="N894" i="20"/>
  <c r="L894" i="20"/>
  <c r="K894" i="20"/>
  <c r="O893" i="20"/>
  <c r="N893" i="20"/>
  <c r="L893" i="20"/>
  <c r="K893" i="20"/>
  <c r="O892" i="20"/>
  <c r="N892" i="20"/>
  <c r="L892" i="20"/>
  <c r="K892" i="20"/>
  <c r="O891" i="20"/>
  <c r="N891" i="20"/>
  <c r="L891" i="20"/>
  <c r="K891" i="20"/>
  <c r="O890" i="20"/>
  <c r="N890" i="20"/>
  <c r="L890" i="20"/>
  <c r="K890" i="20"/>
  <c r="O889" i="20"/>
  <c r="N889" i="20"/>
  <c r="L889" i="20"/>
  <c r="K889" i="20"/>
  <c r="O888" i="20"/>
  <c r="N888" i="20"/>
  <c r="L888" i="20"/>
  <c r="K888" i="20"/>
  <c r="O887" i="20"/>
  <c r="N887" i="20"/>
  <c r="L887" i="20"/>
  <c r="K887" i="20"/>
  <c r="O886" i="20"/>
  <c r="N886" i="20"/>
  <c r="L886" i="20"/>
  <c r="K886" i="20"/>
  <c r="O885" i="20"/>
  <c r="N885" i="20"/>
  <c r="L885" i="20"/>
  <c r="K885" i="20"/>
  <c r="O884" i="20"/>
  <c r="N884" i="20"/>
  <c r="L884" i="20"/>
  <c r="K884" i="20"/>
  <c r="O883" i="20"/>
  <c r="N883" i="20"/>
  <c r="L883" i="20"/>
  <c r="K883" i="20"/>
  <c r="O882" i="20"/>
  <c r="N882" i="20"/>
  <c r="L882" i="20"/>
  <c r="K882" i="20"/>
  <c r="O881" i="20"/>
  <c r="N881" i="20"/>
  <c r="L881" i="20"/>
  <c r="K881" i="20"/>
  <c r="O880" i="20"/>
  <c r="N880" i="20"/>
  <c r="L880" i="20"/>
  <c r="K880" i="20"/>
  <c r="O879" i="20"/>
  <c r="N879" i="20"/>
  <c r="L879" i="20"/>
  <c r="K879" i="20"/>
  <c r="O878" i="20"/>
  <c r="N878" i="20"/>
  <c r="L878" i="20"/>
  <c r="K878" i="20"/>
  <c r="O877" i="20"/>
  <c r="N877" i="20"/>
  <c r="L877" i="20"/>
  <c r="K877" i="20"/>
  <c r="O876" i="20"/>
  <c r="N876" i="20"/>
  <c r="L876" i="20"/>
  <c r="K876" i="20"/>
  <c r="O875" i="20"/>
  <c r="N875" i="20"/>
  <c r="L875" i="20"/>
  <c r="K875" i="20"/>
  <c r="O874" i="20"/>
  <c r="N874" i="20"/>
  <c r="L874" i="20"/>
  <c r="K874" i="20"/>
  <c r="O873" i="20"/>
  <c r="N873" i="20"/>
  <c r="L873" i="20"/>
  <c r="K873" i="20"/>
  <c r="O872" i="20"/>
  <c r="N872" i="20"/>
  <c r="L872" i="20"/>
  <c r="K872" i="20"/>
  <c r="O871" i="20"/>
  <c r="N871" i="20"/>
  <c r="L871" i="20"/>
  <c r="K871" i="20"/>
  <c r="O870" i="20"/>
  <c r="N870" i="20"/>
  <c r="L870" i="20"/>
  <c r="K870" i="20"/>
  <c r="O869" i="20"/>
  <c r="N869" i="20"/>
  <c r="L869" i="20"/>
  <c r="K869" i="20"/>
  <c r="O868" i="20"/>
  <c r="N868" i="20"/>
  <c r="L868" i="20"/>
  <c r="K868" i="20"/>
  <c r="O867" i="20"/>
  <c r="N867" i="20"/>
  <c r="L867" i="20"/>
  <c r="K867" i="20"/>
  <c r="O866" i="20"/>
  <c r="N866" i="20"/>
  <c r="L866" i="20"/>
  <c r="K866" i="20"/>
  <c r="O865" i="20"/>
  <c r="N865" i="20"/>
  <c r="L865" i="20"/>
  <c r="K865" i="20"/>
  <c r="O864" i="20"/>
  <c r="N864" i="20"/>
  <c r="L864" i="20"/>
  <c r="K864" i="20"/>
  <c r="O863" i="20"/>
  <c r="N863" i="20"/>
  <c r="L863" i="20"/>
  <c r="K863" i="20"/>
  <c r="O862" i="20"/>
  <c r="N862" i="20"/>
  <c r="L862" i="20"/>
  <c r="K862" i="20"/>
  <c r="O861" i="20"/>
  <c r="N861" i="20"/>
  <c r="L861" i="20"/>
  <c r="K861" i="20"/>
  <c r="O860" i="20"/>
  <c r="N860" i="20"/>
  <c r="L860" i="20"/>
  <c r="K860" i="20"/>
  <c r="O859" i="20"/>
  <c r="N859" i="20"/>
  <c r="L859" i="20"/>
  <c r="K859" i="20"/>
  <c r="O858" i="20"/>
  <c r="N858" i="20"/>
  <c r="L858" i="20"/>
  <c r="K858" i="20"/>
  <c r="O857" i="20"/>
  <c r="N857" i="20"/>
  <c r="L857" i="20"/>
  <c r="K857" i="20"/>
  <c r="O856" i="20"/>
  <c r="N856" i="20"/>
  <c r="L856" i="20"/>
  <c r="K856" i="20"/>
  <c r="O855" i="20"/>
  <c r="N855" i="20"/>
  <c r="L855" i="20"/>
  <c r="K855" i="20"/>
  <c r="O854" i="20"/>
  <c r="N854" i="20"/>
  <c r="L854" i="20"/>
  <c r="K854" i="20"/>
  <c r="O853" i="20"/>
  <c r="N853" i="20"/>
  <c r="L853" i="20"/>
  <c r="K853" i="20"/>
  <c r="O852" i="20"/>
  <c r="N852" i="20"/>
  <c r="L852" i="20"/>
  <c r="K852" i="20"/>
  <c r="O851" i="20"/>
  <c r="N851" i="20"/>
  <c r="L851" i="20"/>
  <c r="K851" i="20"/>
  <c r="O850" i="20"/>
  <c r="N850" i="20"/>
  <c r="L850" i="20"/>
  <c r="K850" i="20"/>
  <c r="O849" i="20"/>
  <c r="N849" i="20"/>
  <c r="L849" i="20"/>
  <c r="K849" i="20"/>
  <c r="O848" i="20"/>
  <c r="N848" i="20"/>
  <c r="L848" i="20"/>
  <c r="K848" i="20"/>
  <c r="O847" i="20"/>
  <c r="N847" i="20"/>
  <c r="L847" i="20"/>
  <c r="K847" i="20"/>
  <c r="O846" i="20"/>
  <c r="N846" i="20"/>
  <c r="L846" i="20"/>
  <c r="K846" i="20"/>
  <c r="O845" i="20"/>
  <c r="N845" i="20"/>
  <c r="L845" i="20"/>
  <c r="K845" i="20"/>
  <c r="O844" i="20"/>
  <c r="N844" i="20"/>
  <c r="L844" i="20"/>
  <c r="K844" i="20"/>
  <c r="O843" i="20"/>
  <c r="N843" i="20"/>
  <c r="L843" i="20"/>
  <c r="K843" i="20"/>
  <c r="O842" i="20"/>
  <c r="N842" i="20"/>
  <c r="L842" i="20"/>
  <c r="K842" i="20"/>
  <c r="O841" i="20"/>
  <c r="N841" i="20"/>
  <c r="L841" i="20"/>
  <c r="K841" i="20"/>
  <c r="O840" i="20"/>
  <c r="N840" i="20"/>
  <c r="L840" i="20"/>
  <c r="K840" i="20"/>
  <c r="O839" i="20"/>
  <c r="N839" i="20"/>
  <c r="L839" i="20"/>
  <c r="K839" i="20"/>
  <c r="O838" i="20"/>
  <c r="N838" i="20"/>
  <c r="L838" i="20"/>
  <c r="K838" i="20"/>
  <c r="O837" i="20"/>
  <c r="N837" i="20"/>
  <c r="L837" i="20"/>
  <c r="K837" i="20"/>
  <c r="O836" i="20"/>
  <c r="N836" i="20"/>
  <c r="L836" i="20"/>
  <c r="K836" i="20"/>
  <c r="O835" i="20"/>
  <c r="N835" i="20"/>
  <c r="L835" i="20"/>
  <c r="K835" i="20"/>
  <c r="O834" i="20"/>
  <c r="N834" i="20"/>
  <c r="L834" i="20"/>
  <c r="K834" i="20"/>
  <c r="O833" i="20"/>
  <c r="N833" i="20"/>
  <c r="L833" i="20"/>
  <c r="K833" i="20"/>
  <c r="O832" i="20"/>
  <c r="N832" i="20"/>
  <c r="L832" i="20"/>
  <c r="K832" i="20"/>
  <c r="O831" i="20"/>
  <c r="N831" i="20"/>
  <c r="L831" i="20"/>
  <c r="K831" i="20"/>
  <c r="O830" i="20"/>
  <c r="N830" i="20"/>
  <c r="L830" i="20"/>
  <c r="K830" i="20"/>
  <c r="O829" i="20"/>
  <c r="N829" i="20"/>
  <c r="L829" i="20"/>
  <c r="K829" i="20"/>
  <c r="O828" i="20"/>
  <c r="N828" i="20"/>
  <c r="L828" i="20"/>
  <c r="K828" i="20"/>
  <c r="O827" i="20"/>
  <c r="N827" i="20"/>
  <c r="L827" i="20"/>
  <c r="K827" i="20"/>
  <c r="O826" i="20"/>
  <c r="N826" i="20"/>
  <c r="L826" i="20"/>
  <c r="K826" i="20"/>
  <c r="O825" i="20"/>
  <c r="N825" i="20"/>
  <c r="L825" i="20"/>
  <c r="K825" i="20"/>
  <c r="O824" i="20"/>
  <c r="N824" i="20"/>
  <c r="L824" i="20"/>
  <c r="K824" i="20"/>
  <c r="O823" i="20"/>
  <c r="N823" i="20"/>
  <c r="L823" i="20"/>
  <c r="K823" i="20"/>
  <c r="O822" i="20"/>
  <c r="N822" i="20"/>
  <c r="L822" i="20"/>
  <c r="K822" i="20"/>
  <c r="O821" i="20"/>
  <c r="N821" i="20"/>
  <c r="L821" i="20"/>
  <c r="K821" i="20"/>
  <c r="O820" i="20"/>
  <c r="N820" i="20"/>
  <c r="L820" i="20"/>
  <c r="K820" i="20"/>
  <c r="O819" i="20"/>
  <c r="N819" i="20"/>
  <c r="L819" i="20"/>
  <c r="K819" i="20"/>
  <c r="O818" i="20"/>
  <c r="N818" i="20"/>
  <c r="L818" i="20"/>
  <c r="K818" i="20"/>
  <c r="O817" i="20"/>
  <c r="N817" i="20"/>
  <c r="L817" i="20"/>
  <c r="K817" i="20"/>
  <c r="O816" i="20"/>
  <c r="N816" i="20"/>
  <c r="L816" i="20"/>
  <c r="K816" i="20"/>
  <c r="O815" i="20"/>
  <c r="N815" i="20"/>
  <c r="L815" i="20"/>
  <c r="K815" i="20"/>
  <c r="O814" i="20"/>
  <c r="N814" i="20"/>
  <c r="L814" i="20"/>
  <c r="K814" i="20"/>
  <c r="O813" i="20"/>
  <c r="N813" i="20"/>
  <c r="L813" i="20"/>
  <c r="K813" i="20"/>
  <c r="O812" i="20"/>
  <c r="N812" i="20"/>
  <c r="L812" i="20"/>
  <c r="K812" i="20"/>
  <c r="O811" i="20"/>
  <c r="N811" i="20"/>
  <c r="L811" i="20"/>
  <c r="K811" i="20"/>
  <c r="O810" i="20"/>
  <c r="N810" i="20"/>
  <c r="L810" i="20"/>
  <c r="K810" i="20"/>
  <c r="O809" i="20"/>
  <c r="N809" i="20"/>
  <c r="L809" i="20"/>
  <c r="K809" i="20"/>
  <c r="O808" i="20"/>
  <c r="N808" i="20"/>
  <c r="L808" i="20"/>
  <c r="K808" i="20"/>
  <c r="O807" i="20"/>
  <c r="N807" i="20"/>
  <c r="L807" i="20"/>
  <c r="K807" i="20"/>
  <c r="O806" i="20"/>
  <c r="N806" i="20"/>
  <c r="L806" i="20"/>
  <c r="K806" i="20"/>
  <c r="O805" i="20"/>
  <c r="N805" i="20"/>
  <c r="L805" i="20"/>
  <c r="K805" i="20"/>
  <c r="O804" i="20"/>
  <c r="N804" i="20"/>
  <c r="L804" i="20"/>
  <c r="K804" i="20"/>
  <c r="O803" i="20"/>
  <c r="N803" i="20"/>
  <c r="L803" i="20"/>
  <c r="K803" i="20"/>
  <c r="O802" i="20"/>
  <c r="N802" i="20"/>
  <c r="L802" i="20"/>
  <c r="K802" i="20"/>
  <c r="O801" i="20"/>
  <c r="N801" i="20"/>
  <c r="L801" i="20"/>
  <c r="K801" i="20"/>
  <c r="O800" i="20"/>
  <c r="N800" i="20"/>
  <c r="L800" i="20"/>
  <c r="K800" i="20"/>
  <c r="O799" i="20"/>
  <c r="N799" i="20"/>
  <c r="L799" i="20"/>
  <c r="K799" i="20"/>
  <c r="O798" i="20"/>
  <c r="N798" i="20"/>
  <c r="L798" i="20"/>
  <c r="K798" i="20"/>
  <c r="O797" i="20"/>
  <c r="N797" i="20"/>
  <c r="L797" i="20"/>
  <c r="K797" i="20"/>
  <c r="O796" i="20"/>
  <c r="N796" i="20"/>
  <c r="L796" i="20"/>
  <c r="K796" i="20"/>
  <c r="O795" i="20"/>
  <c r="N795" i="20"/>
  <c r="L795" i="20"/>
  <c r="K795" i="20"/>
  <c r="O794" i="20"/>
  <c r="N794" i="20"/>
  <c r="L794" i="20"/>
  <c r="K794" i="20"/>
  <c r="O793" i="20"/>
  <c r="N793" i="20"/>
  <c r="L793" i="20"/>
  <c r="K793" i="20"/>
  <c r="O792" i="20"/>
  <c r="N792" i="20"/>
  <c r="L792" i="20"/>
  <c r="K792" i="20"/>
  <c r="O791" i="20"/>
  <c r="N791" i="20"/>
  <c r="L791" i="20"/>
  <c r="K791" i="20"/>
  <c r="O790" i="20"/>
  <c r="N790" i="20"/>
  <c r="L790" i="20"/>
  <c r="K790" i="20"/>
  <c r="O789" i="20"/>
  <c r="N789" i="20"/>
  <c r="L789" i="20"/>
  <c r="K789" i="20"/>
  <c r="O788" i="20"/>
  <c r="N788" i="20"/>
  <c r="L788" i="20"/>
  <c r="K788" i="20"/>
  <c r="O787" i="20"/>
  <c r="N787" i="20"/>
  <c r="L787" i="20"/>
  <c r="K787" i="20"/>
  <c r="O786" i="20"/>
  <c r="N786" i="20"/>
  <c r="L786" i="20"/>
  <c r="K786" i="20"/>
  <c r="O785" i="20"/>
  <c r="N785" i="20"/>
  <c r="L785" i="20"/>
  <c r="K785" i="20"/>
  <c r="O784" i="20"/>
  <c r="N784" i="20"/>
  <c r="L784" i="20"/>
  <c r="K784" i="20"/>
  <c r="O783" i="20"/>
  <c r="N783" i="20"/>
  <c r="L783" i="20"/>
  <c r="K783" i="20"/>
  <c r="O782" i="20"/>
  <c r="N782" i="20"/>
  <c r="L782" i="20"/>
  <c r="K782" i="20"/>
  <c r="O781" i="20"/>
  <c r="N781" i="20"/>
  <c r="L781" i="20"/>
  <c r="K781" i="20"/>
  <c r="O780" i="20"/>
  <c r="N780" i="20"/>
  <c r="L780" i="20"/>
  <c r="K780" i="20"/>
  <c r="O779" i="20"/>
  <c r="N779" i="20"/>
  <c r="L779" i="20"/>
  <c r="K779" i="20"/>
  <c r="O778" i="20"/>
  <c r="N778" i="20"/>
  <c r="L778" i="20"/>
  <c r="K778" i="20"/>
  <c r="O777" i="20"/>
  <c r="N777" i="20"/>
  <c r="L777" i="20"/>
  <c r="K777" i="20"/>
  <c r="O776" i="20"/>
  <c r="N776" i="20"/>
  <c r="L776" i="20"/>
  <c r="K776" i="20"/>
  <c r="O775" i="20"/>
  <c r="N775" i="20"/>
  <c r="L775" i="20"/>
  <c r="K775" i="20"/>
  <c r="O774" i="20"/>
  <c r="N774" i="20"/>
  <c r="L774" i="20"/>
  <c r="K774" i="20"/>
  <c r="O773" i="20"/>
  <c r="N773" i="20"/>
  <c r="L773" i="20"/>
  <c r="K773" i="20"/>
  <c r="O772" i="20"/>
  <c r="N772" i="20"/>
  <c r="L772" i="20"/>
  <c r="K772" i="20"/>
  <c r="O771" i="20"/>
  <c r="N771" i="20"/>
  <c r="L771" i="20"/>
  <c r="K771" i="20"/>
  <c r="O770" i="20"/>
  <c r="N770" i="20"/>
  <c r="L770" i="20"/>
  <c r="K770" i="20"/>
  <c r="O769" i="20"/>
  <c r="N769" i="20"/>
  <c r="L769" i="20"/>
  <c r="K769" i="20"/>
  <c r="O768" i="20"/>
  <c r="N768" i="20"/>
  <c r="L768" i="20"/>
  <c r="K768" i="20"/>
  <c r="O767" i="20"/>
  <c r="N767" i="20"/>
  <c r="L767" i="20"/>
  <c r="K767" i="20"/>
  <c r="O766" i="20"/>
  <c r="N766" i="20"/>
  <c r="L766" i="20"/>
  <c r="K766" i="20"/>
  <c r="O765" i="20"/>
  <c r="N765" i="20"/>
  <c r="L765" i="20"/>
  <c r="K765" i="20"/>
  <c r="O764" i="20"/>
  <c r="N764" i="20"/>
  <c r="L764" i="20"/>
  <c r="K764" i="20"/>
  <c r="O763" i="20"/>
  <c r="N763" i="20"/>
  <c r="L763" i="20"/>
  <c r="K763" i="20"/>
  <c r="O762" i="20"/>
  <c r="N762" i="20"/>
  <c r="L762" i="20"/>
  <c r="K762" i="20"/>
  <c r="O761" i="20"/>
  <c r="N761" i="20"/>
  <c r="L761" i="20"/>
  <c r="K761" i="20"/>
  <c r="O760" i="20"/>
  <c r="N760" i="20"/>
  <c r="L760" i="20"/>
  <c r="K760" i="20"/>
  <c r="O759" i="20"/>
  <c r="N759" i="20"/>
  <c r="L759" i="20"/>
  <c r="K759" i="20"/>
  <c r="O758" i="20"/>
  <c r="N758" i="20"/>
  <c r="L758" i="20"/>
  <c r="K758" i="20"/>
  <c r="O757" i="20"/>
  <c r="N757" i="20"/>
  <c r="L757" i="20"/>
  <c r="K757" i="20"/>
  <c r="O756" i="20"/>
  <c r="N756" i="20"/>
  <c r="L756" i="20"/>
  <c r="K756" i="20"/>
  <c r="O755" i="20"/>
  <c r="N755" i="20"/>
  <c r="L755" i="20"/>
  <c r="K755" i="20"/>
  <c r="O754" i="20"/>
  <c r="N754" i="20"/>
  <c r="L754" i="20"/>
  <c r="K754" i="20"/>
  <c r="O753" i="20"/>
  <c r="N753" i="20"/>
  <c r="L753" i="20"/>
  <c r="K753" i="20"/>
  <c r="O752" i="20"/>
  <c r="N752" i="20"/>
  <c r="L752" i="20"/>
  <c r="K752" i="20"/>
  <c r="O751" i="20"/>
  <c r="N751" i="20"/>
  <c r="L751" i="20"/>
  <c r="K751" i="20"/>
  <c r="O750" i="20"/>
  <c r="N750" i="20"/>
  <c r="L750" i="20"/>
  <c r="K750" i="20"/>
  <c r="O749" i="20"/>
  <c r="N749" i="20"/>
  <c r="L749" i="20"/>
  <c r="K749" i="20"/>
  <c r="O748" i="20"/>
  <c r="N748" i="20"/>
  <c r="L748" i="20"/>
  <c r="K748" i="20"/>
  <c r="O747" i="20"/>
  <c r="N747" i="20"/>
  <c r="L747" i="20"/>
  <c r="K747" i="20"/>
  <c r="O746" i="20"/>
  <c r="N746" i="20"/>
  <c r="L746" i="20"/>
  <c r="K746" i="20"/>
  <c r="O745" i="20"/>
  <c r="N745" i="20"/>
  <c r="L745" i="20"/>
  <c r="K745" i="20"/>
  <c r="O744" i="20"/>
  <c r="N744" i="20"/>
  <c r="L744" i="20"/>
  <c r="K744" i="20"/>
  <c r="O743" i="20"/>
  <c r="N743" i="20"/>
  <c r="L743" i="20"/>
  <c r="K743" i="20"/>
  <c r="O742" i="20"/>
  <c r="N742" i="20"/>
  <c r="L742" i="20"/>
  <c r="K742" i="20"/>
  <c r="O741" i="20"/>
  <c r="N741" i="20"/>
  <c r="L741" i="20"/>
  <c r="K741" i="20"/>
  <c r="O740" i="20"/>
  <c r="N740" i="20"/>
  <c r="L740" i="20"/>
  <c r="K740" i="20"/>
  <c r="O739" i="20"/>
  <c r="N739" i="20"/>
  <c r="L739" i="20"/>
  <c r="K739" i="20"/>
  <c r="O738" i="20"/>
  <c r="N738" i="20"/>
  <c r="L738" i="20"/>
  <c r="K738" i="20"/>
  <c r="O737" i="20"/>
  <c r="N737" i="20"/>
  <c r="L737" i="20"/>
  <c r="K737" i="20"/>
  <c r="O736" i="20"/>
  <c r="N736" i="20"/>
  <c r="L736" i="20"/>
  <c r="K736" i="20"/>
  <c r="O735" i="20"/>
  <c r="N735" i="20"/>
  <c r="L735" i="20"/>
  <c r="K735" i="20"/>
  <c r="O734" i="20"/>
  <c r="N734" i="20"/>
  <c r="L734" i="20"/>
  <c r="K734" i="20"/>
  <c r="O733" i="20"/>
  <c r="N733" i="20"/>
  <c r="L733" i="20"/>
  <c r="K733" i="20"/>
  <c r="O732" i="20"/>
  <c r="N732" i="20"/>
  <c r="L732" i="20"/>
  <c r="K732" i="20"/>
  <c r="O731" i="20"/>
  <c r="N731" i="20"/>
  <c r="L731" i="20"/>
  <c r="K731" i="20"/>
  <c r="O730" i="20"/>
  <c r="N730" i="20"/>
  <c r="L730" i="20"/>
  <c r="K730" i="20"/>
  <c r="O729" i="20"/>
  <c r="N729" i="20"/>
  <c r="L729" i="20"/>
  <c r="K729" i="20"/>
  <c r="O728" i="20"/>
  <c r="N728" i="20"/>
  <c r="L728" i="20"/>
  <c r="K728" i="20"/>
  <c r="O727" i="20"/>
  <c r="N727" i="20"/>
  <c r="L727" i="20"/>
  <c r="K727" i="20"/>
  <c r="O726" i="20"/>
  <c r="N726" i="20"/>
  <c r="L726" i="20"/>
  <c r="K726" i="20"/>
  <c r="O725" i="20"/>
  <c r="N725" i="20"/>
  <c r="L725" i="20"/>
  <c r="K725" i="20"/>
  <c r="O724" i="20"/>
  <c r="N724" i="20"/>
  <c r="L724" i="20"/>
  <c r="K724" i="20"/>
  <c r="O723" i="20"/>
  <c r="N723" i="20"/>
  <c r="L723" i="20"/>
  <c r="K723" i="20"/>
  <c r="O722" i="20"/>
  <c r="N722" i="20"/>
  <c r="L722" i="20"/>
  <c r="K722" i="20"/>
  <c r="O721" i="20"/>
  <c r="N721" i="20"/>
  <c r="L721" i="20"/>
  <c r="K721" i="20"/>
  <c r="O720" i="20"/>
  <c r="N720" i="20"/>
  <c r="L720" i="20"/>
  <c r="K720" i="20"/>
  <c r="O719" i="20"/>
  <c r="N719" i="20"/>
  <c r="L719" i="20"/>
  <c r="K719" i="20"/>
  <c r="O718" i="20"/>
  <c r="N718" i="20"/>
  <c r="L718" i="20"/>
  <c r="K718" i="20"/>
  <c r="O717" i="20"/>
  <c r="N717" i="20"/>
  <c r="L717" i="20"/>
  <c r="K717" i="20"/>
  <c r="O716" i="20"/>
  <c r="N716" i="20"/>
  <c r="L716" i="20"/>
  <c r="K716" i="20"/>
  <c r="O715" i="20"/>
  <c r="N715" i="20"/>
  <c r="L715" i="20"/>
  <c r="K715" i="20"/>
  <c r="O714" i="20"/>
  <c r="N714" i="20"/>
  <c r="L714" i="20"/>
  <c r="K714" i="20"/>
  <c r="O713" i="20"/>
  <c r="N713" i="20"/>
  <c r="L713" i="20"/>
  <c r="K713" i="20"/>
  <c r="O712" i="20"/>
  <c r="N712" i="20"/>
  <c r="L712" i="20"/>
  <c r="K712" i="20"/>
  <c r="O711" i="20"/>
  <c r="N711" i="20"/>
  <c r="L711" i="20"/>
  <c r="K711" i="20"/>
  <c r="O710" i="20"/>
  <c r="N710" i="20"/>
  <c r="L710" i="20"/>
  <c r="K710" i="20"/>
  <c r="O709" i="20"/>
  <c r="N709" i="20"/>
  <c r="L709" i="20"/>
  <c r="K709" i="20"/>
  <c r="O708" i="20"/>
  <c r="N708" i="20"/>
  <c r="L708" i="20"/>
  <c r="K708" i="20"/>
  <c r="O707" i="20"/>
  <c r="N707" i="20"/>
  <c r="L707" i="20"/>
  <c r="K707" i="20"/>
  <c r="O706" i="20"/>
  <c r="N706" i="20"/>
  <c r="L706" i="20"/>
  <c r="K706" i="20"/>
  <c r="O705" i="20"/>
  <c r="N705" i="20"/>
  <c r="L705" i="20"/>
  <c r="K705" i="20"/>
  <c r="O704" i="20"/>
  <c r="N704" i="20"/>
  <c r="L704" i="20"/>
  <c r="K704" i="20"/>
  <c r="O703" i="20"/>
  <c r="N703" i="20"/>
  <c r="L703" i="20"/>
  <c r="K703" i="20"/>
  <c r="O702" i="20"/>
  <c r="N702" i="20"/>
  <c r="L702" i="20"/>
  <c r="K702" i="20"/>
  <c r="O701" i="20"/>
  <c r="N701" i="20"/>
  <c r="L701" i="20"/>
  <c r="K701" i="20"/>
  <c r="O700" i="20"/>
  <c r="N700" i="20"/>
  <c r="L700" i="20"/>
  <c r="K700" i="20"/>
  <c r="O699" i="20"/>
  <c r="N699" i="20"/>
  <c r="L699" i="20"/>
  <c r="K699" i="20"/>
  <c r="O698" i="20"/>
  <c r="N698" i="20"/>
  <c r="L698" i="20"/>
  <c r="K698" i="20"/>
  <c r="O697" i="20"/>
  <c r="N697" i="20"/>
  <c r="L697" i="20"/>
  <c r="K697" i="20"/>
  <c r="O696" i="20"/>
  <c r="N696" i="20"/>
  <c r="L696" i="20"/>
  <c r="K696" i="20"/>
  <c r="O695" i="20"/>
  <c r="N695" i="20"/>
  <c r="L695" i="20"/>
  <c r="K695" i="20"/>
  <c r="O694" i="20"/>
  <c r="N694" i="20"/>
  <c r="L694" i="20"/>
  <c r="K694" i="20"/>
  <c r="O693" i="20"/>
  <c r="N693" i="20"/>
  <c r="L693" i="20"/>
  <c r="K693" i="20"/>
  <c r="O692" i="20"/>
  <c r="N692" i="20"/>
  <c r="L692" i="20"/>
  <c r="K692" i="20"/>
  <c r="O691" i="20"/>
  <c r="N691" i="20"/>
  <c r="L691" i="20"/>
  <c r="K691" i="20"/>
  <c r="O690" i="20"/>
  <c r="N690" i="20"/>
  <c r="L690" i="20"/>
  <c r="K690" i="20"/>
  <c r="O689" i="20"/>
  <c r="N689" i="20"/>
  <c r="L689" i="20"/>
  <c r="K689" i="20"/>
  <c r="O688" i="20"/>
  <c r="N688" i="20"/>
  <c r="L688" i="20"/>
  <c r="K688" i="20"/>
  <c r="O687" i="20"/>
  <c r="N687" i="20"/>
  <c r="L687" i="20"/>
  <c r="K687" i="20"/>
  <c r="O686" i="20"/>
  <c r="N686" i="20"/>
  <c r="L686" i="20"/>
  <c r="K686" i="20"/>
  <c r="O685" i="20"/>
  <c r="N685" i="20"/>
  <c r="L685" i="20"/>
  <c r="K685" i="20"/>
  <c r="O684" i="20"/>
  <c r="N684" i="20"/>
  <c r="L684" i="20"/>
  <c r="K684" i="20"/>
  <c r="O683" i="20"/>
  <c r="N683" i="20"/>
  <c r="L683" i="20"/>
  <c r="K683" i="20"/>
  <c r="O682" i="20"/>
  <c r="N682" i="20"/>
  <c r="L682" i="20"/>
  <c r="K682" i="20"/>
  <c r="O681" i="20"/>
  <c r="N681" i="20"/>
  <c r="L681" i="20"/>
  <c r="K681" i="20"/>
  <c r="O680" i="20"/>
  <c r="N680" i="20"/>
  <c r="L680" i="20"/>
  <c r="K680" i="20"/>
  <c r="O679" i="20"/>
  <c r="N679" i="20"/>
  <c r="L679" i="20"/>
  <c r="K679" i="20"/>
  <c r="O678" i="20"/>
  <c r="N678" i="20"/>
  <c r="L678" i="20"/>
  <c r="K678" i="20"/>
  <c r="O677" i="20"/>
  <c r="N677" i="20"/>
  <c r="L677" i="20"/>
  <c r="K677" i="20"/>
  <c r="O676" i="20"/>
  <c r="N676" i="20"/>
  <c r="L676" i="20"/>
  <c r="K676" i="20"/>
  <c r="O675" i="20"/>
  <c r="N675" i="20"/>
  <c r="L675" i="20"/>
  <c r="K675" i="20"/>
  <c r="O674" i="20"/>
  <c r="N674" i="20"/>
  <c r="L674" i="20"/>
  <c r="K674" i="20"/>
  <c r="O673" i="20"/>
  <c r="N673" i="20"/>
  <c r="L673" i="20"/>
  <c r="K673" i="20"/>
  <c r="O672" i="20"/>
  <c r="N672" i="20"/>
  <c r="L672" i="20"/>
  <c r="K672" i="20"/>
  <c r="O671" i="20"/>
  <c r="N671" i="20"/>
  <c r="L671" i="20"/>
  <c r="K671" i="20"/>
  <c r="O670" i="20"/>
  <c r="N670" i="20"/>
  <c r="L670" i="20"/>
  <c r="K670" i="20"/>
  <c r="O669" i="20"/>
  <c r="N669" i="20"/>
  <c r="L669" i="20"/>
  <c r="K669" i="20"/>
  <c r="O668" i="20"/>
  <c r="N668" i="20"/>
  <c r="L668" i="20"/>
  <c r="K668" i="20"/>
  <c r="O667" i="20"/>
  <c r="N667" i="20"/>
  <c r="L667" i="20"/>
  <c r="K667" i="20"/>
  <c r="O666" i="20"/>
  <c r="N666" i="20"/>
  <c r="L666" i="20"/>
  <c r="K666" i="20"/>
  <c r="O665" i="20"/>
  <c r="N665" i="20"/>
  <c r="L665" i="20"/>
  <c r="K665" i="20"/>
  <c r="O664" i="20"/>
  <c r="N664" i="20"/>
  <c r="L664" i="20"/>
  <c r="K664" i="20"/>
  <c r="O663" i="20"/>
  <c r="N663" i="20"/>
  <c r="L663" i="20"/>
  <c r="K663" i="20"/>
  <c r="O662" i="20"/>
  <c r="N662" i="20"/>
  <c r="L662" i="20"/>
  <c r="K662" i="20"/>
  <c r="O661" i="20"/>
  <c r="N661" i="20"/>
  <c r="L661" i="20"/>
  <c r="K661" i="20"/>
  <c r="O660" i="20"/>
  <c r="N660" i="20"/>
  <c r="L660" i="20"/>
  <c r="K660" i="20"/>
  <c r="O659" i="20"/>
  <c r="N659" i="20"/>
  <c r="L659" i="20"/>
  <c r="K659" i="20"/>
  <c r="O658" i="20"/>
  <c r="N658" i="20"/>
  <c r="L658" i="20"/>
  <c r="K658" i="20"/>
  <c r="O657" i="20"/>
  <c r="N657" i="20"/>
  <c r="L657" i="20"/>
  <c r="K657" i="20"/>
  <c r="O656" i="20"/>
  <c r="N656" i="20"/>
  <c r="L656" i="20"/>
  <c r="K656" i="20"/>
  <c r="O655" i="20"/>
  <c r="N655" i="20"/>
  <c r="L655" i="20"/>
  <c r="K655" i="20"/>
  <c r="O654" i="20"/>
  <c r="N654" i="20"/>
  <c r="L654" i="20"/>
  <c r="K654" i="20"/>
  <c r="O653" i="20"/>
  <c r="N653" i="20"/>
  <c r="L653" i="20"/>
  <c r="K653" i="20"/>
  <c r="O652" i="20"/>
  <c r="N652" i="20"/>
  <c r="L652" i="20"/>
  <c r="K652" i="20"/>
  <c r="O651" i="20"/>
  <c r="N651" i="20"/>
  <c r="L651" i="20"/>
  <c r="K651" i="20"/>
  <c r="O650" i="20"/>
  <c r="N650" i="20"/>
  <c r="L650" i="20"/>
  <c r="K650" i="20"/>
  <c r="O649" i="20"/>
  <c r="N649" i="20"/>
  <c r="L649" i="20"/>
  <c r="K649" i="20"/>
  <c r="O648" i="20"/>
  <c r="N648" i="20"/>
  <c r="L648" i="20"/>
  <c r="K648" i="20"/>
  <c r="O647" i="20"/>
  <c r="N647" i="20"/>
  <c r="L647" i="20"/>
  <c r="K647" i="20"/>
  <c r="O646" i="20"/>
  <c r="N646" i="20"/>
  <c r="L646" i="20"/>
  <c r="K646" i="20"/>
  <c r="O645" i="20"/>
  <c r="N645" i="20"/>
  <c r="L645" i="20"/>
  <c r="K645" i="20"/>
  <c r="O644" i="20"/>
  <c r="N644" i="20"/>
  <c r="L644" i="20"/>
  <c r="K644" i="20"/>
  <c r="O643" i="20"/>
  <c r="N643" i="20"/>
  <c r="L643" i="20"/>
  <c r="K643" i="20"/>
  <c r="O642" i="20"/>
  <c r="N642" i="20"/>
  <c r="L642" i="20"/>
  <c r="K642" i="20"/>
  <c r="O641" i="20"/>
  <c r="N641" i="20"/>
  <c r="L641" i="20"/>
  <c r="K641" i="20"/>
  <c r="O640" i="20"/>
  <c r="N640" i="20"/>
  <c r="L640" i="20"/>
  <c r="K640" i="20"/>
  <c r="O639" i="20"/>
  <c r="N639" i="20"/>
  <c r="L639" i="20"/>
  <c r="K639" i="20"/>
  <c r="O638" i="20"/>
  <c r="N638" i="20"/>
  <c r="L638" i="20"/>
  <c r="K638" i="20"/>
  <c r="O637" i="20"/>
  <c r="N637" i="20"/>
  <c r="L637" i="20"/>
  <c r="K637" i="20"/>
  <c r="O636" i="20"/>
  <c r="N636" i="20"/>
  <c r="L636" i="20"/>
  <c r="K636" i="20"/>
  <c r="O635" i="20"/>
  <c r="N635" i="20"/>
  <c r="L635" i="20"/>
  <c r="K635" i="20"/>
  <c r="O634" i="20"/>
  <c r="N634" i="20"/>
  <c r="L634" i="20"/>
  <c r="K634" i="20"/>
  <c r="O633" i="20"/>
  <c r="N633" i="20"/>
  <c r="L633" i="20"/>
  <c r="K633" i="20"/>
  <c r="O632" i="20"/>
  <c r="N632" i="20"/>
  <c r="L632" i="20"/>
  <c r="K632" i="20"/>
  <c r="O631" i="20"/>
  <c r="N631" i="20"/>
  <c r="L631" i="20"/>
  <c r="K631" i="20"/>
  <c r="O630" i="20"/>
  <c r="N630" i="20"/>
  <c r="L630" i="20"/>
  <c r="K630" i="20"/>
  <c r="O629" i="20"/>
  <c r="N629" i="20"/>
  <c r="L629" i="20"/>
  <c r="K629" i="20"/>
  <c r="O628" i="20"/>
  <c r="N628" i="20"/>
  <c r="L628" i="20"/>
  <c r="K628" i="20"/>
  <c r="O627" i="20"/>
  <c r="N627" i="20"/>
  <c r="L627" i="20"/>
  <c r="K627" i="20"/>
  <c r="O626" i="20"/>
  <c r="N626" i="20"/>
  <c r="L626" i="20"/>
  <c r="K626" i="20"/>
  <c r="O625" i="20"/>
  <c r="N625" i="20"/>
  <c r="L625" i="20"/>
  <c r="K625" i="20"/>
  <c r="O624" i="20"/>
  <c r="N624" i="20"/>
  <c r="L624" i="20"/>
  <c r="K624" i="20"/>
  <c r="O623" i="20"/>
  <c r="N623" i="20"/>
  <c r="L623" i="20"/>
  <c r="K623" i="20"/>
  <c r="O622" i="20"/>
  <c r="N622" i="20"/>
  <c r="L622" i="20"/>
  <c r="K622" i="20"/>
  <c r="O621" i="20"/>
  <c r="N621" i="20"/>
  <c r="L621" i="20"/>
  <c r="K621" i="20"/>
  <c r="O620" i="20"/>
  <c r="N620" i="20"/>
  <c r="L620" i="20"/>
  <c r="K620" i="20"/>
  <c r="O619" i="20"/>
  <c r="N619" i="20"/>
  <c r="L619" i="20"/>
  <c r="K619" i="20"/>
  <c r="O618" i="20"/>
  <c r="N618" i="20"/>
  <c r="L618" i="20"/>
  <c r="K618" i="20"/>
  <c r="O617" i="20"/>
  <c r="N617" i="20"/>
  <c r="L617" i="20"/>
  <c r="K617" i="20"/>
  <c r="O616" i="20"/>
  <c r="N616" i="20"/>
  <c r="L616" i="20"/>
  <c r="K616" i="20"/>
  <c r="O615" i="20"/>
  <c r="N615" i="20"/>
  <c r="L615" i="20"/>
  <c r="K615" i="20"/>
  <c r="O614" i="20"/>
  <c r="N614" i="20"/>
  <c r="L614" i="20"/>
  <c r="K614" i="20"/>
  <c r="O613" i="20"/>
  <c r="N613" i="20"/>
  <c r="L613" i="20"/>
  <c r="K613" i="20"/>
  <c r="O612" i="20"/>
  <c r="N612" i="20"/>
  <c r="L612" i="20"/>
  <c r="K612" i="20"/>
  <c r="O611" i="20"/>
  <c r="N611" i="20"/>
  <c r="L611" i="20"/>
  <c r="K611" i="20"/>
  <c r="O610" i="20"/>
  <c r="N610" i="20"/>
  <c r="L610" i="20"/>
  <c r="K610" i="20"/>
  <c r="O609" i="20"/>
  <c r="N609" i="20"/>
  <c r="L609" i="20"/>
  <c r="K609" i="20"/>
  <c r="O608" i="20"/>
  <c r="N608" i="20"/>
  <c r="L608" i="20"/>
  <c r="K608" i="20"/>
  <c r="O607" i="20"/>
  <c r="N607" i="20"/>
  <c r="L607" i="20"/>
  <c r="K607" i="20"/>
  <c r="O606" i="20"/>
  <c r="N606" i="20"/>
  <c r="L606" i="20"/>
  <c r="K606" i="20"/>
  <c r="O605" i="20"/>
  <c r="N605" i="20"/>
  <c r="L605" i="20"/>
  <c r="K605" i="20"/>
  <c r="O604" i="20"/>
  <c r="N604" i="20"/>
  <c r="L604" i="20"/>
  <c r="K604" i="20"/>
  <c r="O603" i="20"/>
  <c r="N603" i="20"/>
  <c r="L603" i="20"/>
  <c r="K603" i="20"/>
  <c r="O602" i="20"/>
  <c r="N602" i="20"/>
  <c r="L602" i="20"/>
  <c r="K602" i="20"/>
  <c r="O601" i="20"/>
  <c r="N601" i="20"/>
  <c r="L601" i="20"/>
  <c r="K601" i="20"/>
  <c r="O600" i="20"/>
  <c r="N600" i="20"/>
  <c r="L600" i="20"/>
  <c r="K600" i="20"/>
  <c r="O599" i="20"/>
  <c r="N599" i="20"/>
  <c r="L599" i="20"/>
  <c r="K599" i="20"/>
  <c r="O598" i="20"/>
  <c r="N598" i="20"/>
  <c r="L598" i="20"/>
  <c r="K598" i="20"/>
  <c r="O597" i="20"/>
  <c r="N597" i="20"/>
  <c r="L597" i="20"/>
  <c r="K597" i="20"/>
  <c r="O596" i="20"/>
  <c r="N596" i="20"/>
  <c r="L596" i="20"/>
  <c r="K596" i="20"/>
  <c r="O595" i="20"/>
  <c r="N595" i="20"/>
  <c r="L595" i="20"/>
  <c r="K595" i="20"/>
  <c r="O594" i="20"/>
  <c r="N594" i="20"/>
  <c r="L594" i="20"/>
  <c r="K594" i="20"/>
  <c r="O593" i="20"/>
  <c r="N593" i="20"/>
  <c r="L593" i="20"/>
  <c r="K593" i="20"/>
  <c r="O592" i="20"/>
  <c r="N592" i="20"/>
  <c r="L592" i="20"/>
  <c r="K592" i="20"/>
  <c r="O591" i="20"/>
  <c r="N591" i="20"/>
  <c r="L591" i="20"/>
  <c r="K591" i="20"/>
  <c r="O590" i="20"/>
  <c r="N590" i="20"/>
  <c r="L590" i="20"/>
  <c r="K590" i="20"/>
  <c r="O589" i="20"/>
  <c r="N589" i="20"/>
  <c r="L589" i="20"/>
  <c r="K589" i="20"/>
  <c r="O588" i="20"/>
  <c r="N588" i="20"/>
  <c r="L588" i="20"/>
  <c r="K588" i="20"/>
  <c r="O587" i="20"/>
  <c r="N587" i="20"/>
  <c r="L587" i="20"/>
  <c r="K587" i="20"/>
  <c r="O586" i="20"/>
  <c r="N586" i="20"/>
  <c r="L586" i="20"/>
  <c r="K586" i="20"/>
  <c r="O585" i="20"/>
  <c r="N585" i="20"/>
  <c r="L585" i="20"/>
  <c r="K585" i="20"/>
  <c r="O584" i="20"/>
  <c r="N584" i="20"/>
  <c r="L584" i="20"/>
  <c r="K584" i="20"/>
  <c r="O583" i="20"/>
  <c r="N583" i="20"/>
  <c r="L583" i="20"/>
  <c r="K583" i="20"/>
  <c r="O582" i="20"/>
  <c r="N582" i="20"/>
  <c r="L582" i="20"/>
  <c r="K582" i="20"/>
  <c r="O581" i="20"/>
  <c r="N581" i="20"/>
  <c r="L581" i="20"/>
  <c r="K581" i="20"/>
  <c r="O580" i="20"/>
  <c r="N580" i="20"/>
  <c r="L580" i="20"/>
  <c r="K580" i="20"/>
  <c r="O579" i="20"/>
  <c r="N579" i="20"/>
  <c r="L579" i="20"/>
  <c r="K579" i="20"/>
  <c r="O578" i="20"/>
  <c r="N578" i="20"/>
  <c r="L578" i="20"/>
  <c r="K578" i="20"/>
  <c r="O577" i="20"/>
  <c r="N577" i="20"/>
  <c r="L577" i="20"/>
  <c r="K577" i="20"/>
  <c r="O576" i="20"/>
  <c r="N576" i="20"/>
  <c r="L576" i="20"/>
  <c r="K576" i="20"/>
  <c r="O575" i="20"/>
  <c r="N575" i="20"/>
  <c r="L575" i="20"/>
  <c r="K575" i="20"/>
  <c r="O574" i="20"/>
  <c r="N574" i="20"/>
  <c r="L574" i="20"/>
  <c r="K574" i="20"/>
  <c r="O573" i="20"/>
  <c r="N573" i="20"/>
  <c r="L573" i="20"/>
  <c r="K573" i="20"/>
  <c r="O572" i="20"/>
  <c r="N572" i="20"/>
  <c r="L572" i="20"/>
  <c r="K572" i="20"/>
  <c r="O571" i="20"/>
  <c r="N571" i="20"/>
  <c r="L571" i="20"/>
  <c r="K571" i="20"/>
  <c r="O570" i="20"/>
  <c r="N570" i="20"/>
  <c r="L570" i="20"/>
  <c r="K570" i="20"/>
  <c r="O569" i="20"/>
  <c r="N569" i="20"/>
  <c r="L569" i="20"/>
  <c r="K569" i="20"/>
  <c r="O568" i="20"/>
  <c r="N568" i="20"/>
  <c r="L568" i="20"/>
  <c r="K568" i="20"/>
  <c r="O567" i="20"/>
  <c r="N567" i="20"/>
  <c r="L567" i="20"/>
  <c r="K567" i="20"/>
  <c r="O566" i="20"/>
  <c r="N566" i="20"/>
  <c r="L566" i="20"/>
  <c r="K566" i="20"/>
  <c r="O565" i="20"/>
  <c r="N565" i="20"/>
  <c r="L565" i="20"/>
  <c r="K565" i="20"/>
  <c r="O564" i="20"/>
  <c r="N564" i="20"/>
  <c r="L564" i="20"/>
  <c r="K564" i="20"/>
  <c r="O563" i="20"/>
  <c r="N563" i="20"/>
  <c r="L563" i="20"/>
  <c r="K563" i="20"/>
  <c r="O562" i="20"/>
  <c r="N562" i="20"/>
  <c r="L562" i="20"/>
  <c r="K562" i="20"/>
  <c r="O561" i="20"/>
  <c r="N561" i="20"/>
  <c r="L561" i="20"/>
  <c r="K561" i="20"/>
  <c r="O560" i="20"/>
  <c r="N560" i="20"/>
  <c r="L560" i="20"/>
  <c r="K560" i="20"/>
  <c r="O559" i="20"/>
  <c r="N559" i="20"/>
  <c r="L559" i="20"/>
  <c r="K559" i="20"/>
  <c r="O558" i="20"/>
  <c r="N558" i="20"/>
  <c r="L558" i="20"/>
  <c r="K558" i="20"/>
  <c r="O557" i="20"/>
  <c r="N557" i="20"/>
  <c r="L557" i="20"/>
  <c r="K557" i="20"/>
  <c r="O556" i="20"/>
  <c r="N556" i="20"/>
  <c r="L556" i="20"/>
  <c r="K556" i="20"/>
  <c r="O555" i="20"/>
  <c r="N555" i="20"/>
  <c r="L555" i="20"/>
  <c r="K555" i="20"/>
  <c r="O554" i="20"/>
  <c r="N554" i="20"/>
  <c r="L554" i="20"/>
  <c r="K554" i="20"/>
  <c r="O553" i="20"/>
  <c r="N553" i="20"/>
  <c r="L553" i="20"/>
  <c r="K553" i="20"/>
  <c r="O552" i="20"/>
  <c r="N552" i="20"/>
  <c r="L552" i="20"/>
  <c r="K552" i="20"/>
  <c r="O551" i="20"/>
  <c r="N551" i="20"/>
  <c r="L551" i="20"/>
  <c r="K551" i="20"/>
  <c r="O550" i="20"/>
  <c r="N550" i="20"/>
  <c r="L550" i="20"/>
  <c r="K550" i="20"/>
  <c r="O549" i="20"/>
  <c r="N549" i="20"/>
  <c r="L549" i="20"/>
  <c r="K549" i="20"/>
  <c r="O548" i="20"/>
  <c r="N548" i="20"/>
  <c r="L548" i="20"/>
  <c r="K548" i="20"/>
  <c r="O547" i="20"/>
  <c r="N547" i="20"/>
  <c r="L547" i="20"/>
  <c r="K547" i="20"/>
  <c r="O546" i="20"/>
  <c r="N546" i="20"/>
  <c r="L546" i="20"/>
  <c r="K546" i="20"/>
  <c r="O545" i="20"/>
  <c r="N545" i="20"/>
  <c r="L545" i="20"/>
  <c r="K545" i="20"/>
  <c r="O544" i="20"/>
  <c r="N544" i="20"/>
  <c r="L544" i="20"/>
  <c r="K544" i="20"/>
  <c r="O543" i="20"/>
  <c r="N543" i="20"/>
  <c r="L543" i="20"/>
  <c r="K543" i="20"/>
  <c r="O542" i="20"/>
  <c r="N542" i="20"/>
  <c r="L542" i="20"/>
  <c r="K542" i="20"/>
  <c r="O541" i="20"/>
  <c r="N541" i="20"/>
  <c r="L541" i="20"/>
  <c r="K541" i="20"/>
  <c r="O540" i="20"/>
  <c r="N540" i="20"/>
  <c r="L540" i="20"/>
  <c r="K540" i="20"/>
  <c r="O539" i="20"/>
  <c r="N539" i="20"/>
  <c r="L539" i="20"/>
  <c r="K539" i="20"/>
  <c r="O538" i="20"/>
  <c r="N538" i="20"/>
  <c r="L538" i="20"/>
  <c r="K538" i="20"/>
  <c r="O537" i="20"/>
  <c r="N537" i="20"/>
  <c r="L537" i="20"/>
  <c r="K537" i="20"/>
  <c r="O536" i="20"/>
  <c r="N536" i="20"/>
  <c r="L536" i="20"/>
  <c r="K536" i="20"/>
  <c r="O535" i="20"/>
  <c r="N535" i="20"/>
  <c r="L535" i="20"/>
  <c r="K535" i="20"/>
  <c r="O534" i="20"/>
  <c r="N534" i="20"/>
  <c r="L534" i="20"/>
  <c r="K534" i="20"/>
  <c r="O533" i="20"/>
  <c r="N533" i="20"/>
  <c r="L533" i="20"/>
  <c r="K533" i="20"/>
  <c r="O532" i="20"/>
  <c r="N532" i="20"/>
  <c r="L532" i="20"/>
  <c r="K532" i="20"/>
  <c r="O531" i="20"/>
  <c r="N531" i="20"/>
  <c r="L531" i="20"/>
  <c r="K531" i="20"/>
  <c r="O530" i="20"/>
  <c r="N530" i="20"/>
  <c r="L530" i="20"/>
  <c r="K530" i="20"/>
  <c r="O529" i="20"/>
  <c r="N529" i="20"/>
  <c r="L529" i="20"/>
  <c r="K529" i="20"/>
  <c r="O528" i="20"/>
  <c r="N528" i="20"/>
  <c r="L528" i="20"/>
  <c r="K528" i="20"/>
  <c r="O527" i="20"/>
  <c r="N527" i="20"/>
  <c r="L527" i="20"/>
  <c r="K527" i="20"/>
  <c r="O526" i="20"/>
  <c r="N526" i="20"/>
  <c r="L526" i="20"/>
  <c r="K526" i="20"/>
  <c r="O525" i="20"/>
  <c r="N525" i="20"/>
  <c r="L525" i="20"/>
  <c r="K525" i="20"/>
  <c r="O524" i="20"/>
  <c r="N524" i="20"/>
  <c r="L524" i="20"/>
  <c r="K524" i="20"/>
  <c r="O523" i="20"/>
  <c r="N523" i="20"/>
  <c r="L523" i="20"/>
  <c r="K523" i="20"/>
  <c r="O522" i="20"/>
  <c r="N522" i="20"/>
  <c r="L522" i="20"/>
  <c r="K522" i="20"/>
  <c r="O521" i="20"/>
  <c r="N521" i="20"/>
  <c r="L521" i="20"/>
  <c r="K521" i="20"/>
  <c r="O520" i="20"/>
  <c r="N520" i="20"/>
  <c r="L520" i="20"/>
  <c r="K520" i="20"/>
  <c r="O519" i="20"/>
  <c r="N519" i="20"/>
  <c r="L519" i="20"/>
  <c r="K519" i="20"/>
  <c r="O518" i="20"/>
  <c r="N518" i="20"/>
  <c r="L518" i="20"/>
  <c r="K518" i="20"/>
  <c r="O517" i="20"/>
  <c r="N517" i="20"/>
  <c r="L517" i="20"/>
  <c r="K517" i="20"/>
  <c r="O516" i="20"/>
  <c r="N516" i="20"/>
  <c r="L516" i="20"/>
  <c r="K516" i="20"/>
  <c r="O515" i="20"/>
  <c r="N515" i="20"/>
  <c r="L515" i="20"/>
  <c r="K515" i="20"/>
  <c r="O514" i="20"/>
  <c r="N514" i="20"/>
  <c r="L514" i="20"/>
  <c r="K514" i="20"/>
  <c r="O513" i="20"/>
  <c r="N513" i="20"/>
  <c r="L513" i="20"/>
  <c r="K513" i="20"/>
  <c r="O512" i="20"/>
  <c r="N512" i="20"/>
  <c r="L512" i="20"/>
  <c r="K512" i="20"/>
  <c r="O511" i="20"/>
  <c r="N511" i="20"/>
  <c r="L511" i="20"/>
  <c r="K511" i="20"/>
  <c r="O510" i="20"/>
  <c r="N510" i="20"/>
  <c r="L510" i="20"/>
  <c r="K510" i="20"/>
  <c r="O509" i="20"/>
  <c r="N509" i="20"/>
  <c r="L509" i="20"/>
  <c r="K509" i="20"/>
  <c r="O508" i="20"/>
  <c r="N508" i="20"/>
  <c r="L508" i="20"/>
  <c r="K508" i="20"/>
  <c r="O507" i="20"/>
  <c r="N507" i="20"/>
  <c r="L507" i="20"/>
  <c r="K507" i="20"/>
  <c r="O506" i="20"/>
  <c r="N506" i="20"/>
  <c r="L506" i="20"/>
  <c r="K506" i="20"/>
  <c r="O505" i="20"/>
  <c r="N505" i="20"/>
  <c r="L505" i="20"/>
  <c r="K505" i="20"/>
  <c r="O504" i="20"/>
  <c r="N504" i="20"/>
  <c r="L504" i="20"/>
  <c r="K504" i="20"/>
  <c r="O503" i="20"/>
  <c r="N503" i="20"/>
  <c r="L503" i="20"/>
  <c r="K503" i="20"/>
  <c r="O502" i="20"/>
  <c r="N502" i="20"/>
  <c r="L502" i="20"/>
  <c r="K502" i="20"/>
  <c r="O501" i="20"/>
  <c r="N501" i="20"/>
  <c r="L501" i="20"/>
  <c r="K501" i="20"/>
  <c r="O500" i="20"/>
  <c r="N500" i="20"/>
  <c r="L500" i="20"/>
  <c r="K500" i="20"/>
  <c r="O499" i="20"/>
  <c r="N499" i="20"/>
  <c r="L499" i="20"/>
  <c r="K499" i="20"/>
  <c r="O498" i="20"/>
  <c r="N498" i="20"/>
  <c r="L498" i="20"/>
  <c r="K498" i="20"/>
  <c r="O497" i="20"/>
  <c r="N497" i="20"/>
  <c r="L497" i="20"/>
  <c r="K497" i="20"/>
  <c r="O496" i="20"/>
  <c r="N496" i="20"/>
  <c r="L496" i="20"/>
  <c r="K496" i="20"/>
  <c r="O495" i="20"/>
  <c r="N495" i="20"/>
  <c r="L495" i="20"/>
  <c r="K495" i="20"/>
  <c r="O494" i="20"/>
  <c r="N494" i="20"/>
  <c r="L494" i="20"/>
  <c r="K494" i="20"/>
  <c r="O493" i="20"/>
  <c r="N493" i="20"/>
  <c r="L493" i="20"/>
  <c r="K493" i="20"/>
  <c r="O492" i="20"/>
  <c r="N492" i="20"/>
  <c r="L492" i="20"/>
  <c r="K492" i="20"/>
  <c r="O491" i="20"/>
  <c r="N491" i="20"/>
  <c r="L491" i="20"/>
  <c r="K491" i="20"/>
  <c r="O490" i="20"/>
  <c r="N490" i="20"/>
  <c r="L490" i="20"/>
  <c r="K490" i="20"/>
  <c r="O489" i="20"/>
  <c r="N489" i="20"/>
  <c r="L489" i="20"/>
  <c r="K489" i="20"/>
  <c r="O488" i="20"/>
  <c r="N488" i="20"/>
  <c r="L488" i="20"/>
  <c r="K488" i="20"/>
  <c r="O487" i="20"/>
  <c r="N487" i="20"/>
  <c r="L487" i="20"/>
  <c r="K487" i="20"/>
  <c r="O486" i="20"/>
  <c r="N486" i="20"/>
  <c r="L486" i="20"/>
  <c r="K486" i="20"/>
  <c r="O485" i="20"/>
  <c r="N485" i="20"/>
  <c r="L485" i="20"/>
  <c r="K485" i="20"/>
  <c r="O484" i="20"/>
  <c r="N484" i="20"/>
  <c r="L484" i="20"/>
  <c r="K484" i="20"/>
  <c r="O483" i="20"/>
  <c r="N483" i="20"/>
  <c r="L483" i="20"/>
  <c r="K483" i="20"/>
  <c r="O482" i="20"/>
  <c r="N482" i="20"/>
  <c r="L482" i="20"/>
  <c r="K482" i="20"/>
  <c r="O481" i="20"/>
  <c r="N481" i="20"/>
  <c r="L481" i="20"/>
  <c r="K481" i="20"/>
  <c r="O480" i="20"/>
  <c r="N480" i="20"/>
  <c r="L480" i="20"/>
  <c r="K480" i="20"/>
  <c r="O479" i="20"/>
  <c r="N479" i="20"/>
  <c r="L479" i="20"/>
  <c r="K479" i="20"/>
  <c r="O478" i="20"/>
  <c r="N478" i="20"/>
  <c r="L478" i="20"/>
  <c r="K478" i="20"/>
  <c r="O477" i="20"/>
  <c r="N477" i="20"/>
  <c r="L477" i="20"/>
  <c r="K477" i="20"/>
  <c r="O476" i="20"/>
  <c r="N476" i="20"/>
  <c r="L476" i="20"/>
  <c r="K476" i="20"/>
  <c r="O475" i="20"/>
  <c r="N475" i="20"/>
  <c r="L475" i="20"/>
  <c r="K475" i="20"/>
  <c r="O474" i="20"/>
  <c r="N474" i="20"/>
  <c r="L474" i="20"/>
  <c r="K474" i="20"/>
  <c r="O473" i="20"/>
  <c r="N473" i="20"/>
  <c r="L473" i="20"/>
  <c r="K473" i="20"/>
  <c r="O472" i="20"/>
  <c r="N472" i="20"/>
  <c r="L472" i="20"/>
  <c r="K472" i="20"/>
  <c r="O471" i="20"/>
  <c r="N471" i="20"/>
  <c r="L471" i="20"/>
  <c r="K471" i="20"/>
  <c r="O470" i="20"/>
  <c r="N470" i="20"/>
  <c r="L470" i="20"/>
  <c r="K470" i="20"/>
  <c r="O469" i="20"/>
  <c r="N469" i="20"/>
  <c r="L469" i="20"/>
  <c r="K469" i="20"/>
  <c r="O468" i="20"/>
  <c r="N468" i="20"/>
  <c r="L468" i="20"/>
  <c r="K468" i="20"/>
  <c r="O467" i="20"/>
  <c r="N467" i="20"/>
  <c r="L467" i="20"/>
  <c r="K467" i="20"/>
  <c r="O466" i="20"/>
  <c r="N466" i="20"/>
  <c r="L466" i="20"/>
  <c r="K466" i="20"/>
  <c r="O465" i="20"/>
  <c r="N465" i="20"/>
  <c r="L465" i="20"/>
  <c r="K465" i="20"/>
  <c r="O464" i="20"/>
  <c r="N464" i="20"/>
  <c r="L464" i="20"/>
  <c r="K464" i="20"/>
  <c r="O463" i="20"/>
  <c r="N463" i="20"/>
  <c r="L463" i="20"/>
  <c r="K463" i="20"/>
  <c r="O462" i="20"/>
  <c r="N462" i="20"/>
  <c r="L462" i="20"/>
  <c r="K462" i="20"/>
  <c r="O461" i="20"/>
  <c r="N461" i="20"/>
  <c r="L461" i="20"/>
  <c r="K461" i="20"/>
  <c r="O460" i="20"/>
  <c r="N460" i="20"/>
  <c r="L460" i="20"/>
  <c r="K460" i="20"/>
  <c r="O459" i="20"/>
  <c r="N459" i="20"/>
  <c r="L459" i="20"/>
  <c r="K459" i="20"/>
  <c r="O458" i="20"/>
  <c r="N458" i="20"/>
  <c r="L458" i="20"/>
  <c r="K458" i="20"/>
  <c r="O457" i="20"/>
  <c r="N457" i="20"/>
  <c r="L457" i="20"/>
  <c r="K457" i="20"/>
  <c r="O456" i="20"/>
  <c r="N456" i="20"/>
  <c r="L456" i="20"/>
  <c r="K456" i="20"/>
  <c r="O455" i="20"/>
  <c r="N455" i="20"/>
  <c r="L455" i="20"/>
  <c r="K455" i="20"/>
  <c r="O454" i="20"/>
  <c r="N454" i="20"/>
  <c r="L454" i="20"/>
  <c r="K454" i="20"/>
  <c r="O453" i="20"/>
  <c r="N453" i="20"/>
  <c r="L453" i="20"/>
  <c r="K453" i="20"/>
  <c r="O452" i="20"/>
  <c r="N452" i="20"/>
  <c r="L452" i="20"/>
  <c r="K452" i="20"/>
  <c r="O451" i="20"/>
  <c r="N451" i="20"/>
  <c r="L451" i="20"/>
  <c r="K451" i="20"/>
  <c r="O450" i="20"/>
  <c r="N450" i="20"/>
  <c r="L450" i="20"/>
  <c r="K450" i="20"/>
  <c r="O449" i="20"/>
  <c r="N449" i="20"/>
  <c r="L449" i="20"/>
  <c r="K449" i="20"/>
  <c r="O448" i="20"/>
  <c r="N448" i="20"/>
  <c r="L448" i="20"/>
  <c r="K448" i="20"/>
  <c r="O447" i="20"/>
  <c r="N447" i="20"/>
  <c r="L447" i="20"/>
  <c r="K447" i="20"/>
  <c r="O446" i="20"/>
  <c r="N446" i="20"/>
  <c r="L446" i="20"/>
  <c r="K446" i="20"/>
  <c r="O445" i="20"/>
  <c r="N445" i="20"/>
  <c r="L445" i="20"/>
  <c r="K445" i="20"/>
  <c r="O444" i="20"/>
  <c r="N444" i="20"/>
  <c r="L444" i="20"/>
  <c r="K444" i="20"/>
  <c r="O443" i="20"/>
  <c r="N443" i="20"/>
  <c r="L443" i="20"/>
  <c r="K443" i="20"/>
  <c r="O442" i="20"/>
  <c r="N442" i="20"/>
  <c r="L442" i="20"/>
  <c r="K442" i="20"/>
  <c r="O441" i="20"/>
  <c r="N441" i="20"/>
  <c r="L441" i="20"/>
  <c r="K441" i="20"/>
  <c r="O440" i="20"/>
  <c r="N440" i="20"/>
  <c r="L440" i="20"/>
  <c r="K440" i="20"/>
  <c r="O439" i="20"/>
  <c r="N439" i="20"/>
  <c r="L439" i="20"/>
  <c r="K439" i="20"/>
  <c r="O438" i="20"/>
  <c r="N438" i="20"/>
  <c r="L438" i="20"/>
  <c r="K438" i="20"/>
  <c r="O437" i="20"/>
  <c r="N437" i="20"/>
  <c r="L437" i="20"/>
  <c r="K437" i="20"/>
  <c r="O436" i="20"/>
  <c r="N436" i="20"/>
  <c r="L436" i="20"/>
  <c r="K436" i="20"/>
  <c r="O435" i="20"/>
  <c r="N435" i="20"/>
  <c r="L435" i="20"/>
  <c r="K435" i="20"/>
  <c r="O434" i="20"/>
  <c r="N434" i="20"/>
  <c r="L434" i="20"/>
  <c r="K434" i="20"/>
  <c r="O433" i="20"/>
  <c r="N433" i="20"/>
  <c r="L433" i="20"/>
  <c r="K433" i="20"/>
  <c r="O432" i="20"/>
  <c r="N432" i="20"/>
  <c r="L432" i="20"/>
  <c r="K432" i="20"/>
  <c r="O431" i="20"/>
  <c r="N431" i="20"/>
  <c r="L431" i="20"/>
  <c r="K431" i="20"/>
  <c r="O430" i="20"/>
  <c r="N430" i="20"/>
  <c r="L430" i="20"/>
  <c r="K430" i="20"/>
  <c r="O429" i="20"/>
  <c r="N429" i="20"/>
  <c r="L429" i="20"/>
  <c r="K429" i="20"/>
  <c r="O428" i="20"/>
  <c r="N428" i="20"/>
  <c r="L428" i="20"/>
  <c r="K428" i="20"/>
  <c r="O427" i="20"/>
  <c r="N427" i="20"/>
  <c r="L427" i="20"/>
  <c r="K427" i="20"/>
  <c r="O426" i="20"/>
  <c r="N426" i="20"/>
  <c r="L426" i="20"/>
  <c r="K426" i="20"/>
  <c r="O425" i="20"/>
  <c r="N425" i="20"/>
  <c r="L425" i="20"/>
  <c r="K425" i="20"/>
  <c r="O424" i="20"/>
  <c r="N424" i="20"/>
  <c r="L424" i="20"/>
  <c r="K424" i="20"/>
  <c r="O423" i="20"/>
  <c r="N423" i="20"/>
  <c r="L423" i="20"/>
  <c r="K423" i="20"/>
  <c r="O422" i="20"/>
  <c r="N422" i="20"/>
  <c r="L422" i="20"/>
  <c r="K422" i="20"/>
  <c r="O421" i="20"/>
  <c r="N421" i="20"/>
  <c r="L421" i="20"/>
  <c r="K421" i="20"/>
  <c r="O420" i="20"/>
  <c r="N420" i="20"/>
  <c r="L420" i="20"/>
  <c r="K420" i="20"/>
  <c r="O419" i="20"/>
  <c r="N419" i="20"/>
  <c r="L419" i="20"/>
  <c r="K419" i="20"/>
  <c r="O418" i="20"/>
  <c r="N418" i="20"/>
  <c r="L418" i="20"/>
  <c r="K418" i="20"/>
  <c r="O417" i="20"/>
  <c r="N417" i="20"/>
  <c r="L417" i="20"/>
  <c r="K417" i="20"/>
  <c r="O416" i="20"/>
  <c r="N416" i="20"/>
  <c r="L416" i="20"/>
  <c r="K416" i="20"/>
  <c r="O415" i="20"/>
  <c r="N415" i="20"/>
  <c r="L415" i="20"/>
  <c r="K415" i="20"/>
  <c r="O414" i="20"/>
  <c r="N414" i="20"/>
  <c r="L414" i="20"/>
  <c r="K414" i="20"/>
  <c r="O413" i="20"/>
  <c r="N413" i="20"/>
  <c r="L413" i="20"/>
  <c r="K413" i="20"/>
  <c r="O412" i="20"/>
  <c r="N412" i="20"/>
  <c r="L412" i="20"/>
  <c r="K412" i="20"/>
  <c r="O411" i="20"/>
  <c r="N411" i="20"/>
  <c r="L411" i="20"/>
  <c r="K411" i="20"/>
  <c r="O410" i="20"/>
  <c r="N410" i="20"/>
  <c r="L410" i="20"/>
  <c r="K410" i="20"/>
  <c r="O409" i="20"/>
  <c r="N409" i="20"/>
  <c r="L409" i="20"/>
  <c r="K409" i="20"/>
  <c r="O408" i="20"/>
  <c r="N408" i="20"/>
  <c r="L408" i="20"/>
  <c r="K408" i="20"/>
  <c r="O407" i="20"/>
  <c r="N407" i="20"/>
  <c r="L407" i="20"/>
  <c r="K407" i="20"/>
  <c r="O406" i="20"/>
  <c r="N406" i="20"/>
  <c r="L406" i="20"/>
  <c r="K406" i="20"/>
  <c r="O405" i="20"/>
  <c r="N405" i="20"/>
  <c r="L405" i="20"/>
  <c r="K405" i="20"/>
  <c r="O404" i="20"/>
  <c r="N404" i="20"/>
  <c r="L404" i="20"/>
  <c r="K404" i="20"/>
  <c r="O403" i="20"/>
  <c r="N403" i="20"/>
  <c r="L403" i="20"/>
  <c r="K403" i="20"/>
  <c r="O402" i="20"/>
  <c r="N402" i="20"/>
  <c r="L402" i="20"/>
  <c r="K402" i="20"/>
  <c r="O401" i="20"/>
  <c r="N401" i="20"/>
  <c r="L401" i="20"/>
  <c r="K401" i="20"/>
  <c r="O400" i="20"/>
  <c r="N400" i="20"/>
  <c r="L400" i="20"/>
  <c r="K400" i="20"/>
  <c r="O399" i="20"/>
  <c r="N399" i="20"/>
  <c r="L399" i="20"/>
  <c r="K399" i="20"/>
  <c r="O398" i="20"/>
  <c r="N398" i="20"/>
  <c r="L398" i="20"/>
  <c r="K398" i="20"/>
  <c r="O397" i="20"/>
  <c r="N397" i="20"/>
  <c r="L397" i="20"/>
  <c r="K397" i="20"/>
  <c r="O396" i="20"/>
  <c r="N396" i="20"/>
  <c r="L396" i="20"/>
  <c r="K396" i="20"/>
  <c r="O395" i="20"/>
  <c r="N395" i="20"/>
  <c r="L395" i="20"/>
  <c r="K395" i="20"/>
  <c r="O394" i="20"/>
  <c r="N394" i="20"/>
  <c r="L394" i="20"/>
  <c r="K394" i="20"/>
  <c r="O393" i="20"/>
  <c r="N393" i="20"/>
  <c r="L393" i="20"/>
  <c r="K393" i="20"/>
  <c r="O392" i="20"/>
  <c r="N392" i="20"/>
  <c r="L392" i="20"/>
  <c r="K392" i="20"/>
  <c r="O391" i="20"/>
  <c r="N391" i="20"/>
  <c r="L391" i="20"/>
  <c r="K391" i="20"/>
  <c r="O390" i="20"/>
  <c r="N390" i="20"/>
  <c r="L390" i="20"/>
  <c r="K390" i="20"/>
  <c r="O389" i="20"/>
  <c r="N389" i="20"/>
  <c r="L389" i="20"/>
  <c r="K389" i="20"/>
  <c r="O388" i="20"/>
  <c r="N388" i="20"/>
  <c r="L388" i="20"/>
  <c r="K388" i="20"/>
  <c r="O387" i="20"/>
  <c r="N387" i="20"/>
  <c r="L387" i="20"/>
  <c r="K387" i="20"/>
  <c r="O386" i="20"/>
  <c r="N386" i="20"/>
  <c r="L386" i="20"/>
  <c r="K386" i="20"/>
  <c r="O385" i="20"/>
  <c r="N385" i="20"/>
  <c r="L385" i="20"/>
  <c r="K385" i="20"/>
  <c r="O384" i="20"/>
  <c r="N384" i="20"/>
  <c r="L384" i="20"/>
  <c r="K384" i="20"/>
  <c r="O383" i="20"/>
  <c r="N383" i="20"/>
  <c r="L383" i="20"/>
  <c r="K383" i="20"/>
  <c r="O382" i="20"/>
  <c r="N382" i="20"/>
  <c r="L382" i="20"/>
  <c r="K382" i="20"/>
  <c r="O381" i="20"/>
  <c r="N381" i="20"/>
  <c r="L381" i="20"/>
  <c r="K381" i="20"/>
  <c r="O380" i="20"/>
  <c r="N380" i="20"/>
  <c r="L380" i="20"/>
  <c r="K380" i="20"/>
  <c r="O379" i="20"/>
  <c r="N379" i="20"/>
  <c r="L379" i="20"/>
  <c r="K379" i="20"/>
  <c r="O378" i="20"/>
  <c r="N378" i="20"/>
  <c r="L378" i="20"/>
  <c r="K378" i="20"/>
  <c r="O377" i="20"/>
  <c r="N377" i="20"/>
  <c r="L377" i="20"/>
  <c r="K377" i="20"/>
  <c r="O376" i="20"/>
  <c r="N376" i="20"/>
  <c r="L376" i="20"/>
  <c r="K376" i="20"/>
  <c r="O375" i="20"/>
  <c r="N375" i="20"/>
  <c r="L375" i="20"/>
  <c r="K375" i="20"/>
  <c r="O374" i="20"/>
  <c r="N374" i="20"/>
  <c r="L374" i="20"/>
  <c r="K374" i="20"/>
  <c r="O373" i="20"/>
  <c r="N373" i="20"/>
  <c r="L373" i="20"/>
  <c r="K373" i="20"/>
  <c r="O372" i="20"/>
  <c r="N372" i="20"/>
  <c r="L372" i="20"/>
  <c r="K372" i="20"/>
  <c r="O371" i="20"/>
  <c r="N371" i="20"/>
  <c r="L371" i="20"/>
  <c r="K371" i="20"/>
  <c r="O370" i="20"/>
  <c r="N370" i="20"/>
  <c r="L370" i="20"/>
  <c r="K370" i="20"/>
  <c r="O369" i="20"/>
  <c r="N369" i="20"/>
  <c r="L369" i="20"/>
  <c r="K369" i="20"/>
  <c r="O368" i="20"/>
  <c r="N368" i="20"/>
  <c r="L368" i="20"/>
  <c r="K368" i="20"/>
  <c r="O367" i="20"/>
  <c r="N367" i="20"/>
  <c r="L367" i="20"/>
  <c r="K367" i="20"/>
  <c r="O366" i="20"/>
  <c r="N366" i="20"/>
  <c r="L366" i="20"/>
  <c r="K366" i="20"/>
  <c r="O365" i="20"/>
  <c r="N365" i="20"/>
  <c r="L365" i="20"/>
  <c r="K365" i="20"/>
  <c r="O364" i="20"/>
  <c r="N364" i="20"/>
  <c r="L364" i="20"/>
  <c r="K364" i="20"/>
  <c r="O363" i="20"/>
  <c r="N363" i="20"/>
  <c r="L363" i="20"/>
  <c r="K363" i="20"/>
  <c r="O362" i="20"/>
  <c r="N362" i="20"/>
  <c r="L362" i="20"/>
  <c r="K362" i="20"/>
  <c r="O361" i="20"/>
  <c r="N361" i="20"/>
  <c r="L361" i="20"/>
  <c r="K361" i="20"/>
  <c r="O360" i="20"/>
  <c r="N360" i="20"/>
  <c r="L360" i="20"/>
  <c r="K360" i="20"/>
  <c r="O359" i="20"/>
  <c r="N359" i="20"/>
  <c r="L359" i="20"/>
  <c r="K359" i="20"/>
  <c r="O358" i="20"/>
  <c r="N358" i="20"/>
  <c r="L358" i="20"/>
  <c r="K358" i="20"/>
  <c r="O357" i="20"/>
  <c r="N357" i="20"/>
  <c r="L357" i="20"/>
  <c r="K357" i="20"/>
  <c r="O356" i="20"/>
  <c r="N356" i="20"/>
  <c r="L356" i="20"/>
  <c r="K356" i="20"/>
  <c r="O355" i="20"/>
  <c r="N355" i="20"/>
  <c r="L355" i="20"/>
  <c r="K355" i="20"/>
  <c r="O354" i="20"/>
  <c r="N354" i="20"/>
  <c r="L354" i="20"/>
  <c r="K354" i="20"/>
  <c r="O353" i="20"/>
  <c r="N353" i="20"/>
  <c r="L353" i="20"/>
  <c r="K353" i="20"/>
  <c r="O352" i="20"/>
  <c r="N352" i="20"/>
  <c r="L352" i="20"/>
  <c r="K352" i="20"/>
  <c r="O351" i="20"/>
  <c r="N351" i="20"/>
  <c r="L351" i="20"/>
  <c r="K351" i="20"/>
  <c r="O350" i="20"/>
  <c r="N350" i="20"/>
  <c r="L350" i="20"/>
  <c r="K350" i="20"/>
  <c r="O349" i="20"/>
  <c r="N349" i="20"/>
  <c r="L349" i="20"/>
  <c r="K349" i="20"/>
  <c r="O348" i="20"/>
  <c r="N348" i="20"/>
  <c r="L348" i="20"/>
  <c r="K348" i="20"/>
  <c r="O347" i="20"/>
  <c r="N347" i="20"/>
  <c r="L347" i="20"/>
  <c r="K347" i="20"/>
  <c r="O346" i="20"/>
  <c r="N346" i="20"/>
  <c r="L346" i="20"/>
  <c r="K346" i="20"/>
  <c r="O345" i="20"/>
  <c r="N345" i="20"/>
  <c r="L345" i="20"/>
  <c r="K345" i="20"/>
  <c r="O344" i="20"/>
  <c r="N344" i="20"/>
  <c r="L344" i="20"/>
  <c r="K344" i="20"/>
  <c r="O343" i="20"/>
  <c r="N343" i="20"/>
  <c r="L343" i="20"/>
  <c r="K343" i="20"/>
  <c r="O342" i="20"/>
  <c r="N342" i="20"/>
  <c r="L342" i="20"/>
  <c r="K342" i="20"/>
  <c r="O341" i="20"/>
  <c r="N341" i="20"/>
  <c r="L341" i="20"/>
  <c r="K341" i="20"/>
  <c r="O340" i="20"/>
  <c r="N340" i="20"/>
  <c r="L340" i="20"/>
  <c r="K340" i="20"/>
  <c r="O339" i="20"/>
  <c r="N339" i="20"/>
  <c r="L339" i="20"/>
  <c r="K339" i="20"/>
  <c r="O338" i="20"/>
  <c r="N338" i="20"/>
  <c r="L338" i="20"/>
  <c r="K338" i="20"/>
  <c r="O337" i="20"/>
  <c r="N337" i="20"/>
  <c r="L337" i="20"/>
  <c r="K337" i="20"/>
  <c r="O336" i="20"/>
  <c r="N336" i="20"/>
  <c r="L336" i="20"/>
  <c r="K336" i="20"/>
  <c r="O335" i="20"/>
  <c r="N335" i="20"/>
  <c r="L335" i="20"/>
  <c r="K335" i="20"/>
  <c r="O334" i="20"/>
  <c r="N334" i="20"/>
  <c r="L334" i="20"/>
  <c r="K334" i="20"/>
  <c r="O333" i="20"/>
  <c r="N333" i="20"/>
  <c r="L333" i="20"/>
  <c r="K333" i="20"/>
  <c r="O332" i="20"/>
  <c r="N332" i="20"/>
  <c r="L332" i="20"/>
  <c r="K332" i="20"/>
  <c r="O331" i="20"/>
  <c r="N331" i="20"/>
  <c r="L331" i="20"/>
  <c r="K331" i="20"/>
  <c r="O330" i="20"/>
  <c r="N330" i="20"/>
  <c r="L330" i="20"/>
  <c r="K330" i="20"/>
  <c r="O329" i="20"/>
  <c r="N329" i="20"/>
  <c r="L329" i="20"/>
  <c r="K329" i="20"/>
  <c r="O328" i="20"/>
  <c r="N328" i="20"/>
  <c r="L328" i="20"/>
  <c r="K328" i="20"/>
  <c r="O327" i="20"/>
  <c r="N327" i="20"/>
  <c r="L327" i="20"/>
  <c r="K327" i="20"/>
  <c r="O326" i="20"/>
  <c r="N326" i="20"/>
  <c r="L326" i="20"/>
  <c r="K326" i="20"/>
  <c r="O325" i="20"/>
  <c r="N325" i="20"/>
  <c r="L325" i="20"/>
  <c r="K325" i="20"/>
  <c r="O324" i="20"/>
  <c r="N324" i="20"/>
  <c r="L324" i="20"/>
  <c r="K324" i="20"/>
  <c r="O323" i="20"/>
  <c r="N323" i="20"/>
  <c r="L323" i="20"/>
  <c r="K323" i="20"/>
  <c r="O322" i="20"/>
  <c r="N322" i="20"/>
  <c r="L322" i="20"/>
  <c r="K322" i="20"/>
  <c r="O321" i="20"/>
  <c r="N321" i="20"/>
  <c r="L321" i="20"/>
  <c r="K321" i="20"/>
  <c r="O320" i="20"/>
  <c r="N320" i="20"/>
  <c r="L320" i="20"/>
  <c r="K320" i="20"/>
  <c r="O319" i="20"/>
  <c r="N319" i="20"/>
  <c r="L319" i="20"/>
  <c r="K319" i="20"/>
  <c r="O318" i="20"/>
  <c r="N318" i="20"/>
  <c r="L318" i="20"/>
  <c r="K318" i="20"/>
  <c r="O317" i="20"/>
  <c r="N317" i="20"/>
  <c r="L317" i="20"/>
  <c r="K317" i="20"/>
  <c r="O316" i="20"/>
  <c r="N316" i="20"/>
  <c r="L316" i="20"/>
  <c r="K316" i="20"/>
  <c r="O315" i="20"/>
  <c r="N315" i="20"/>
  <c r="L315" i="20"/>
  <c r="K315" i="20"/>
  <c r="O314" i="20"/>
  <c r="N314" i="20"/>
  <c r="L314" i="20"/>
  <c r="K314" i="20"/>
  <c r="O313" i="20"/>
  <c r="N313" i="20"/>
  <c r="L313" i="20"/>
  <c r="K313" i="20"/>
  <c r="O312" i="20"/>
  <c r="N312" i="20"/>
  <c r="L312" i="20"/>
  <c r="K312" i="20"/>
  <c r="O311" i="20"/>
  <c r="N311" i="20"/>
  <c r="L311" i="20"/>
  <c r="K311" i="20"/>
  <c r="O310" i="20"/>
  <c r="N310" i="20"/>
  <c r="L310" i="20"/>
  <c r="K310" i="20"/>
  <c r="O309" i="20"/>
  <c r="N309" i="20"/>
  <c r="L309" i="20"/>
  <c r="K309" i="20"/>
  <c r="O308" i="20"/>
  <c r="N308" i="20"/>
  <c r="L308" i="20"/>
  <c r="K308" i="20"/>
  <c r="O307" i="20"/>
  <c r="N307" i="20"/>
  <c r="L307" i="20"/>
  <c r="K307" i="20"/>
  <c r="O306" i="20"/>
  <c r="N306" i="20"/>
  <c r="L306" i="20"/>
  <c r="K306" i="20"/>
  <c r="O305" i="20"/>
  <c r="N305" i="20"/>
  <c r="L305" i="20"/>
  <c r="K305" i="20"/>
  <c r="O304" i="20"/>
  <c r="N304" i="20"/>
  <c r="L304" i="20"/>
  <c r="K304" i="20"/>
  <c r="O303" i="20"/>
  <c r="N303" i="20"/>
  <c r="L303" i="20"/>
  <c r="K303" i="20"/>
  <c r="O302" i="20"/>
  <c r="N302" i="20"/>
  <c r="L302" i="20"/>
  <c r="K302" i="20"/>
  <c r="O301" i="20"/>
  <c r="N301" i="20"/>
  <c r="L301" i="20"/>
  <c r="K301" i="20"/>
  <c r="O300" i="20"/>
  <c r="N300" i="20"/>
  <c r="L300" i="20"/>
  <c r="K300" i="20"/>
  <c r="O299" i="20"/>
  <c r="N299" i="20"/>
  <c r="L299" i="20"/>
  <c r="K299" i="20"/>
  <c r="O298" i="20"/>
  <c r="N298" i="20"/>
  <c r="L298" i="20"/>
  <c r="K298" i="20"/>
  <c r="O297" i="20"/>
  <c r="N297" i="20"/>
  <c r="L297" i="20"/>
  <c r="K297" i="20"/>
  <c r="O296" i="20"/>
  <c r="N296" i="20"/>
  <c r="L296" i="20"/>
  <c r="K296" i="20"/>
  <c r="O295" i="20"/>
  <c r="N295" i="20"/>
  <c r="L295" i="20"/>
  <c r="K295" i="20"/>
  <c r="O294" i="20"/>
  <c r="N294" i="20"/>
  <c r="L294" i="20"/>
  <c r="K294" i="20"/>
  <c r="O293" i="20"/>
  <c r="N293" i="20"/>
  <c r="L293" i="20"/>
  <c r="K293" i="20"/>
  <c r="O292" i="20"/>
  <c r="N292" i="20"/>
  <c r="L292" i="20"/>
  <c r="K292" i="20"/>
  <c r="O291" i="20"/>
  <c r="N291" i="20"/>
  <c r="L291" i="20"/>
  <c r="K291" i="20"/>
  <c r="O290" i="20"/>
  <c r="N290" i="20"/>
  <c r="L290" i="20"/>
  <c r="K290" i="20"/>
  <c r="O289" i="20"/>
  <c r="N289" i="20"/>
  <c r="L289" i="20"/>
  <c r="K289" i="20"/>
  <c r="O288" i="20"/>
  <c r="N288" i="20"/>
  <c r="L288" i="20"/>
  <c r="K288" i="20"/>
  <c r="O287" i="20"/>
  <c r="N287" i="20"/>
  <c r="L287" i="20"/>
  <c r="K287" i="20"/>
  <c r="O286" i="20"/>
  <c r="N286" i="20"/>
  <c r="L286" i="20"/>
  <c r="K286" i="20"/>
  <c r="O285" i="20"/>
  <c r="N285" i="20"/>
  <c r="L285" i="20"/>
  <c r="K285" i="20"/>
  <c r="O284" i="20"/>
  <c r="N284" i="20"/>
  <c r="L284" i="20"/>
  <c r="K284" i="20"/>
  <c r="O283" i="20"/>
  <c r="N283" i="20"/>
  <c r="L283" i="20"/>
  <c r="K283" i="20"/>
  <c r="O282" i="20"/>
  <c r="N282" i="20"/>
  <c r="L282" i="20"/>
  <c r="K282" i="20"/>
  <c r="O281" i="20"/>
  <c r="N281" i="20"/>
  <c r="L281" i="20"/>
  <c r="K281" i="20"/>
  <c r="O280" i="20"/>
  <c r="N280" i="20"/>
  <c r="L280" i="20"/>
  <c r="K280" i="20"/>
  <c r="O279" i="20"/>
  <c r="N279" i="20"/>
  <c r="L279" i="20"/>
  <c r="K279" i="20"/>
  <c r="O278" i="20"/>
  <c r="N278" i="20"/>
  <c r="L278" i="20"/>
  <c r="K278" i="20"/>
  <c r="O277" i="20"/>
  <c r="N277" i="20"/>
  <c r="L277" i="20"/>
  <c r="K277" i="20"/>
  <c r="O276" i="20"/>
  <c r="N276" i="20"/>
  <c r="L276" i="20"/>
  <c r="K276" i="20"/>
  <c r="O275" i="20"/>
  <c r="N275" i="20"/>
  <c r="L275" i="20"/>
  <c r="K275" i="20"/>
  <c r="O274" i="20"/>
  <c r="N274" i="20"/>
  <c r="L274" i="20"/>
  <c r="K274" i="20"/>
  <c r="O273" i="20"/>
  <c r="N273" i="20"/>
  <c r="L273" i="20"/>
  <c r="K273" i="20"/>
  <c r="O272" i="20"/>
  <c r="N272" i="20"/>
  <c r="L272" i="20"/>
  <c r="K272" i="20"/>
  <c r="O271" i="20"/>
  <c r="N271" i="20"/>
  <c r="L271" i="20"/>
  <c r="K271" i="20"/>
  <c r="O270" i="20"/>
  <c r="N270" i="20"/>
  <c r="L270" i="20"/>
  <c r="K270" i="20"/>
  <c r="O269" i="20"/>
  <c r="N269" i="20"/>
  <c r="L269" i="20"/>
  <c r="K269" i="20"/>
  <c r="O268" i="20"/>
  <c r="N268" i="20"/>
  <c r="L268" i="20"/>
  <c r="K268" i="20"/>
  <c r="O267" i="20"/>
  <c r="N267" i="20"/>
  <c r="L267" i="20"/>
  <c r="K267" i="20"/>
  <c r="O266" i="20"/>
  <c r="N266" i="20"/>
  <c r="L266" i="20"/>
  <c r="K266" i="20"/>
  <c r="O265" i="20"/>
  <c r="N265" i="20"/>
  <c r="L265" i="20"/>
  <c r="K265" i="20"/>
  <c r="O264" i="20"/>
  <c r="N264" i="20"/>
  <c r="L264" i="20"/>
  <c r="K264" i="20"/>
  <c r="O263" i="20"/>
  <c r="N263" i="20"/>
  <c r="L263" i="20"/>
  <c r="K263" i="20"/>
  <c r="O262" i="20"/>
  <c r="N262" i="20"/>
  <c r="L262" i="20"/>
  <c r="K262" i="20"/>
  <c r="O261" i="20"/>
  <c r="N261" i="20"/>
  <c r="L261" i="20"/>
  <c r="K261" i="20"/>
  <c r="O260" i="20"/>
  <c r="N260" i="20"/>
  <c r="L260" i="20"/>
  <c r="K260" i="20"/>
  <c r="O259" i="20"/>
  <c r="N259" i="20"/>
  <c r="L259" i="20"/>
  <c r="K259" i="20"/>
  <c r="O258" i="20"/>
  <c r="N258" i="20"/>
  <c r="L258" i="20"/>
  <c r="K258" i="20"/>
  <c r="O257" i="20"/>
  <c r="N257" i="20"/>
  <c r="L257" i="20"/>
  <c r="K257" i="20"/>
  <c r="O256" i="20"/>
  <c r="N256" i="20"/>
  <c r="L256" i="20"/>
  <c r="K256" i="20"/>
  <c r="O255" i="20"/>
  <c r="N255" i="20"/>
  <c r="L255" i="20"/>
  <c r="K255" i="20"/>
  <c r="O254" i="20"/>
  <c r="N254" i="20"/>
  <c r="L254" i="20"/>
  <c r="K254" i="20"/>
  <c r="O253" i="20"/>
  <c r="N253" i="20"/>
  <c r="L253" i="20"/>
  <c r="K253" i="20"/>
  <c r="O252" i="20"/>
  <c r="N252" i="20"/>
  <c r="L252" i="20"/>
  <c r="K252" i="20"/>
  <c r="O251" i="20"/>
  <c r="N251" i="20"/>
  <c r="L251" i="20"/>
  <c r="K251" i="20"/>
  <c r="O250" i="20"/>
  <c r="N250" i="20"/>
  <c r="L250" i="20"/>
  <c r="K250" i="20"/>
  <c r="O249" i="20"/>
  <c r="N249" i="20"/>
  <c r="L249" i="20"/>
  <c r="K249" i="20"/>
  <c r="O248" i="20"/>
  <c r="N248" i="20"/>
  <c r="L248" i="20"/>
  <c r="K248" i="20"/>
  <c r="O247" i="20"/>
  <c r="N247" i="20"/>
  <c r="L247" i="20"/>
  <c r="K247" i="20"/>
  <c r="O246" i="20"/>
  <c r="N246" i="20"/>
  <c r="L246" i="20"/>
  <c r="K246" i="20"/>
  <c r="O245" i="20"/>
  <c r="N245" i="20"/>
  <c r="L245" i="20"/>
  <c r="K245" i="20"/>
  <c r="O244" i="20"/>
  <c r="N244" i="20"/>
  <c r="L244" i="20"/>
  <c r="K244" i="20"/>
  <c r="O243" i="20"/>
  <c r="N243" i="20"/>
  <c r="L243" i="20"/>
  <c r="K243" i="20"/>
  <c r="O242" i="20"/>
  <c r="N242" i="20"/>
  <c r="L242" i="20"/>
  <c r="K242" i="20"/>
  <c r="O241" i="20"/>
  <c r="N241" i="20"/>
  <c r="L241" i="20"/>
  <c r="K241" i="20"/>
  <c r="O240" i="20"/>
  <c r="N240" i="20"/>
  <c r="L240" i="20"/>
  <c r="K240" i="20"/>
  <c r="O239" i="20"/>
  <c r="N239" i="20"/>
  <c r="L239" i="20"/>
  <c r="K239" i="20"/>
  <c r="O238" i="20"/>
  <c r="N238" i="20"/>
  <c r="L238" i="20"/>
  <c r="K238" i="20"/>
  <c r="O237" i="20"/>
  <c r="N237" i="20"/>
  <c r="L237" i="20"/>
  <c r="K237" i="20"/>
  <c r="O236" i="20"/>
  <c r="N236" i="20"/>
  <c r="L236" i="20"/>
  <c r="K236" i="20"/>
  <c r="O235" i="20"/>
  <c r="N235" i="20"/>
  <c r="L235" i="20"/>
  <c r="K235" i="20"/>
  <c r="O234" i="20"/>
  <c r="N234" i="20"/>
  <c r="L234" i="20"/>
  <c r="K234" i="20"/>
  <c r="O233" i="20"/>
  <c r="N233" i="20"/>
  <c r="L233" i="20"/>
  <c r="K233" i="20"/>
  <c r="O232" i="20"/>
  <c r="N232" i="20"/>
  <c r="L232" i="20"/>
  <c r="K232" i="20"/>
  <c r="O231" i="20"/>
  <c r="N231" i="20"/>
  <c r="L231" i="20"/>
  <c r="K231" i="20"/>
  <c r="O230" i="20"/>
  <c r="N230" i="20"/>
  <c r="L230" i="20"/>
  <c r="K230" i="20"/>
  <c r="O229" i="20"/>
  <c r="N229" i="20"/>
  <c r="L229" i="20"/>
  <c r="K229" i="20"/>
  <c r="O228" i="20"/>
  <c r="N228" i="20"/>
  <c r="L228" i="20"/>
  <c r="K228" i="20"/>
  <c r="O227" i="20"/>
  <c r="N227" i="20"/>
  <c r="L227" i="20"/>
  <c r="K227" i="20"/>
  <c r="O226" i="20"/>
  <c r="N226" i="20"/>
  <c r="L226" i="20"/>
  <c r="K226" i="20"/>
  <c r="O225" i="20"/>
  <c r="N225" i="20"/>
  <c r="L225" i="20"/>
  <c r="K225" i="20"/>
  <c r="O224" i="20"/>
  <c r="N224" i="20"/>
  <c r="L224" i="20"/>
  <c r="K224" i="20"/>
  <c r="O223" i="20"/>
  <c r="N223" i="20"/>
  <c r="L223" i="20"/>
  <c r="K223" i="20"/>
  <c r="O222" i="20"/>
  <c r="N222" i="20"/>
  <c r="L222" i="20"/>
  <c r="K222" i="20"/>
  <c r="O221" i="20"/>
  <c r="N221" i="20"/>
  <c r="L221" i="20"/>
  <c r="K221" i="20"/>
  <c r="O220" i="20"/>
  <c r="N220" i="20"/>
  <c r="L220" i="20"/>
  <c r="K220" i="20"/>
  <c r="O219" i="20"/>
  <c r="N219" i="20"/>
  <c r="L219" i="20"/>
  <c r="K219" i="20"/>
  <c r="O218" i="20"/>
  <c r="N218" i="20"/>
  <c r="L218" i="20"/>
  <c r="K218" i="20"/>
  <c r="O217" i="20"/>
  <c r="N217" i="20"/>
  <c r="L217" i="20"/>
  <c r="K217" i="20"/>
  <c r="O216" i="20"/>
  <c r="N216" i="20"/>
  <c r="L216" i="20"/>
  <c r="K216" i="20"/>
  <c r="O215" i="20"/>
  <c r="N215" i="20"/>
  <c r="L215" i="20"/>
  <c r="K215" i="20"/>
  <c r="O214" i="20"/>
  <c r="N214" i="20"/>
  <c r="L214" i="20"/>
  <c r="K214" i="20"/>
  <c r="O213" i="20"/>
  <c r="N213" i="20"/>
  <c r="L213" i="20"/>
  <c r="K213" i="20"/>
  <c r="O212" i="20"/>
  <c r="N212" i="20"/>
  <c r="L212" i="20"/>
  <c r="K212" i="20"/>
  <c r="O211" i="20"/>
  <c r="N211" i="20"/>
  <c r="L211" i="20"/>
  <c r="K211" i="20"/>
  <c r="O210" i="20"/>
  <c r="N210" i="20"/>
  <c r="L210" i="20"/>
  <c r="K210" i="20"/>
  <c r="O209" i="20"/>
  <c r="N209" i="20"/>
  <c r="L209" i="20"/>
  <c r="K209" i="20"/>
  <c r="O208" i="20"/>
  <c r="N208" i="20"/>
  <c r="L208" i="20"/>
  <c r="K208" i="20"/>
  <c r="O207" i="20"/>
  <c r="N207" i="20"/>
  <c r="L207" i="20"/>
  <c r="K207" i="20"/>
  <c r="O206" i="20"/>
  <c r="N206" i="20"/>
  <c r="L206" i="20"/>
  <c r="K206" i="20"/>
  <c r="O205" i="20"/>
  <c r="N205" i="20"/>
  <c r="L205" i="20"/>
  <c r="K205" i="20"/>
  <c r="O204" i="20"/>
  <c r="N204" i="20"/>
  <c r="L204" i="20"/>
  <c r="K204" i="20"/>
  <c r="O203" i="20"/>
  <c r="N203" i="20"/>
  <c r="L203" i="20"/>
  <c r="K203" i="20"/>
  <c r="O202" i="20"/>
  <c r="N202" i="20"/>
  <c r="L202" i="20"/>
  <c r="K202" i="20"/>
  <c r="O201" i="20"/>
  <c r="N201" i="20"/>
  <c r="L201" i="20"/>
  <c r="K201" i="20"/>
  <c r="O200" i="20"/>
  <c r="N200" i="20"/>
  <c r="L200" i="20"/>
  <c r="K200" i="20"/>
  <c r="O199" i="20"/>
  <c r="N199" i="20"/>
  <c r="L199" i="20"/>
  <c r="K199" i="20"/>
  <c r="O198" i="20"/>
  <c r="N198" i="20"/>
  <c r="L198" i="20"/>
  <c r="K198" i="20"/>
  <c r="O197" i="20"/>
  <c r="N197" i="20"/>
  <c r="L197" i="20"/>
  <c r="K197" i="20"/>
  <c r="O196" i="20"/>
  <c r="N196" i="20"/>
  <c r="L196" i="20"/>
  <c r="K196" i="20"/>
  <c r="O195" i="20"/>
  <c r="N195" i="20"/>
  <c r="L195" i="20"/>
  <c r="K195" i="20"/>
  <c r="O194" i="20"/>
  <c r="N194" i="20"/>
  <c r="L194" i="20"/>
  <c r="K194" i="20"/>
  <c r="O193" i="20"/>
  <c r="N193" i="20"/>
  <c r="L193" i="20"/>
  <c r="K193" i="20"/>
  <c r="O192" i="20"/>
  <c r="N192" i="20"/>
  <c r="L192" i="20"/>
  <c r="K192" i="20"/>
  <c r="O191" i="20"/>
  <c r="N191" i="20"/>
  <c r="L191" i="20"/>
  <c r="K191" i="20"/>
  <c r="O190" i="20"/>
  <c r="N190" i="20"/>
  <c r="L190" i="20"/>
  <c r="K190" i="20"/>
  <c r="O189" i="20"/>
  <c r="N189" i="20"/>
  <c r="L189" i="20"/>
  <c r="K189" i="20"/>
  <c r="O188" i="20"/>
  <c r="N188" i="20"/>
  <c r="L188" i="20"/>
  <c r="K188" i="20"/>
  <c r="O187" i="20"/>
  <c r="N187" i="20"/>
  <c r="L187" i="20"/>
  <c r="K187" i="20"/>
  <c r="O186" i="20"/>
  <c r="N186" i="20"/>
  <c r="L186" i="20"/>
  <c r="K186" i="20"/>
  <c r="O185" i="20"/>
  <c r="N185" i="20"/>
  <c r="L185" i="20"/>
  <c r="K185" i="20"/>
  <c r="O184" i="20"/>
  <c r="N184" i="20"/>
  <c r="L184" i="20"/>
  <c r="K184" i="20"/>
  <c r="O183" i="20"/>
  <c r="N183" i="20"/>
  <c r="L183" i="20"/>
  <c r="K183" i="20"/>
  <c r="O182" i="20"/>
  <c r="N182" i="20"/>
  <c r="L182" i="20"/>
  <c r="K182" i="20"/>
  <c r="O181" i="20"/>
  <c r="N181" i="20"/>
  <c r="L181" i="20"/>
  <c r="K181" i="20"/>
  <c r="O180" i="20"/>
  <c r="N180" i="20"/>
  <c r="L180" i="20"/>
  <c r="K180" i="20"/>
  <c r="O179" i="20"/>
  <c r="N179" i="20"/>
  <c r="L179" i="20"/>
  <c r="K179" i="20"/>
  <c r="O178" i="20"/>
  <c r="N178" i="20"/>
  <c r="L178" i="20"/>
  <c r="K178" i="20"/>
  <c r="O177" i="20"/>
  <c r="N177" i="20"/>
  <c r="L177" i="20"/>
  <c r="K177" i="20"/>
  <c r="O176" i="20"/>
  <c r="N176" i="20"/>
  <c r="L176" i="20"/>
  <c r="K176" i="20"/>
  <c r="O175" i="20"/>
  <c r="N175" i="20"/>
  <c r="L175" i="20"/>
  <c r="K175" i="20"/>
  <c r="O174" i="20"/>
  <c r="N174" i="20"/>
  <c r="L174" i="20"/>
  <c r="K174" i="20"/>
  <c r="O173" i="20"/>
  <c r="N173" i="20"/>
  <c r="L173" i="20"/>
  <c r="K173" i="20"/>
  <c r="O172" i="20"/>
  <c r="N172" i="20"/>
  <c r="L172" i="20"/>
  <c r="K172" i="20"/>
  <c r="O171" i="20"/>
  <c r="N171" i="20"/>
  <c r="L171" i="20"/>
  <c r="K171" i="20"/>
  <c r="O170" i="20"/>
  <c r="N170" i="20"/>
  <c r="L170" i="20"/>
  <c r="K170" i="20"/>
  <c r="O169" i="20"/>
  <c r="N169" i="20"/>
  <c r="L169" i="20"/>
  <c r="K169" i="20"/>
  <c r="O168" i="20"/>
  <c r="N168" i="20"/>
  <c r="L168" i="20"/>
  <c r="K168" i="20"/>
  <c r="O167" i="20"/>
  <c r="N167" i="20"/>
  <c r="L167" i="20"/>
  <c r="K167" i="20"/>
  <c r="O166" i="20"/>
  <c r="N166" i="20"/>
  <c r="L166" i="20"/>
  <c r="K166" i="20"/>
  <c r="O165" i="20"/>
  <c r="N165" i="20"/>
  <c r="L165" i="20"/>
  <c r="K165" i="20"/>
  <c r="O164" i="20"/>
  <c r="N164" i="20"/>
  <c r="L164" i="20"/>
  <c r="K164" i="20"/>
  <c r="O163" i="20"/>
  <c r="N163" i="20"/>
  <c r="L163" i="20"/>
  <c r="K163" i="20"/>
  <c r="O162" i="20"/>
  <c r="N162" i="20"/>
  <c r="L162" i="20"/>
  <c r="K162" i="20"/>
  <c r="O161" i="20"/>
  <c r="N161" i="20"/>
  <c r="L161" i="20"/>
  <c r="K161" i="20"/>
  <c r="O160" i="20"/>
  <c r="N160" i="20"/>
  <c r="L160" i="20"/>
  <c r="K160" i="20"/>
  <c r="O159" i="20"/>
  <c r="N159" i="20"/>
  <c r="L159" i="20"/>
  <c r="K159" i="20"/>
  <c r="O158" i="20"/>
  <c r="N158" i="20"/>
  <c r="L158" i="20"/>
  <c r="K158" i="20"/>
  <c r="O157" i="20"/>
  <c r="N157" i="20"/>
  <c r="L157" i="20"/>
  <c r="K157" i="20"/>
  <c r="O156" i="20"/>
  <c r="N156" i="20"/>
  <c r="L156" i="20"/>
  <c r="K156" i="20"/>
  <c r="O155" i="20"/>
  <c r="N155" i="20"/>
  <c r="L155" i="20"/>
  <c r="K155" i="20"/>
  <c r="O154" i="20"/>
  <c r="N154" i="20"/>
  <c r="L154" i="20"/>
  <c r="K154" i="20"/>
  <c r="O153" i="20"/>
  <c r="N153" i="20"/>
  <c r="L153" i="20"/>
  <c r="K153" i="20"/>
  <c r="O152" i="20"/>
  <c r="N152" i="20"/>
  <c r="L152" i="20"/>
  <c r="K152" i="20"/>
  <c r="O151" i="20"/>
  <c r="N151" i="20"/>
  <c r="L151" i="20"/>
  <c r="K151" i="20"/>
  <c r="O150" i="20"/>
  <c r="N150" i="20"/>
  <c r="L150" i="20"/>
  <c r="K150" i="20"/>
  <c r="O149" i="20"/>
  <c r="N149" i="20"/>
  <c r="L149" i="20"/>
  <c r="K149" i="20"/>
  <c r="O148" i="20"/>
  <c r="N148" i="20"/>
  <c r="L148" i="20"/>
  <c r="K148" i="20"/>
  <c r="O147" i="20"/>
  <c r="N147" i="20"/>
  <c r="L147" i="20"/>
  <c r="K147" i="20"/>
  <c r="O146" i="20"/>
  <c r="N146" i="20"/>
  <c r="L146" i="20"/>
  <c r="K146" i="20"/>
  <c r="O145" i="20"/>
  <c r="N145" i="20"/>
  <c r="L145" i="20"/>
  <c r="K145" i="20"/>
  <c r="O144" i="20"/>
  <c r="N144" i="20"/>
  <c r="L144" i="20"/>
  <c r="K144" i="20"/>
  <c r="O143" i="20"/>
  <c r="N143" i="20"/>
  <c r="L143" i="20"/>
  <c r="K143" i="20"/>
  <c r="O142" i="20"/>
  <c r="N142" i="20"/>
  <c r="L142" i="20"/>
  <c r="K142" i="20"/>
  <c r="O141" i="20"/>
  <c r="N141" i="20"/>
  <c r="L141" i="20"/>
  <c r="K141" i="20"/>
  <c r="O140" i="20"/>
  <c r="N140" i="20"/>
  <c r="L140" i="20"/>
  <c r="K140" i="20"/>
  <c r="O139" i="20"/>
  <c r="N139" i="20"/>
  <c r="L139" i="20"/>
  <c r="K139" i="20"/>
  <c r="O138" i="20"/>
  <c r="N138" i="20"/>
  <c r="L138" i="20"/>
  <c r="K138" i="20"/>
  <c r="O137" i="20"/>
  <c r="N137" i="20"/>
  <c r="L137" i="20"/>
  <c r="K137" i="20"/>
  <c r="O136" i="20"/>
  <c r="N136" i="20"/>
  <c r="L136" i="20"/>
  <c r="K136" i="20"/>
  <c r="O135" i="20"/>
  <c r="N135" i="20"/>
  <c r="L135" i="20"/>
  <c r="K135" i="20"/>
  <c r="O134" i="20"/>
  <c r="N134" i="20"/>
  <c r="L134" i="20"/>
  <c r="K134" i="20"/>
  <c r="O133" i="20"/>
  <c r="N133" i="20"/>
  <c r="L133" i="20"/>
  <c r="K133" i="20"/>
  <c r="O132" i="20"/>
  <c r="N132" i="20"/>
  <c r="L132" i="20"/>
  <c r="K132" i="20"/>
  <c r="O131" i="20"/>
  <c r="N131" i="20"/>
  <c r="L131" i="20"/>
  <c r="K131" i="20"/>
  <c r="O130" i="20"/>
  <c r="N130" i="20"/>
  <c r="L130" i="20"/>
  <c r="K130" i="20"/>
  <c r="O129" i="20"/>
  <c r="N129" i="20"/>
  <c r="L129" i="20"/>
  <c r="K129" i="20"/>
  <c r="O128" i="20"/>
  <c r="N128" i="20"/>
  <c r="L128" i="20"/>
  <c r="K128" i="20"/>
  <c r="O127" i="20"/>
  <c r="N127" i="20"/>
  <c r="L127" i="20"/>
  <c r="K127" i="20"/>
  <c r="O126" i="20"/>
  <c r="N126" i="20"/>
  <c r="L126" i="20"/>
  <c r="K126" i="20"/>
  <c r="O125" i="20"/>
  <c r="N125" i="20"/>
  <c r="L125" i="20"/>
  <c r="K125" i="20"/>
  <c r="O124" i="20"/>
  <c r="N124" i="20"/>
  <c r="L124" i="20"/>
  <c r="K124" i="20"/>
  <c r="O123" i="20"/>
  <c r="N123" i="20"/>
  <c r="L123" i="20"/>
  <c r="K123" i="20"/>
  <c r="O122" i="20"/>
  <c r="N122" i="20"/>
  <c r="L122" i="20"/>
  <c r="K122" i="20"/>
  <c r="O121" i="20"/>
  <c r="N121" i="20"/>
  <c r="L121" i="20"/>
  <c r="K121" i="20"/>
  <c r="O120" i="20"/>
  <c r="N120" i="20"/>
  <c r="L120" i="20"/>
  <c r="K120" i="20"/>
  <c r="O119" i="20"/>
  <c r="N119" i="20"/>
  <c r="L119" i="20"/>
  <c r="K119" i="20"/>
  <c r="O118" i="20"/>
  <c r="N118" i="20"/>
  <c r="L118" i="20"/>
  <c r="K118" i="20"/>
  <c r="O117" i="20"/>
  <c r="N117" i="20"/>
  <c r="L117" i="20"/>
  <c r="K117" i="20"/>
  <c r="O116" i="20"/>
  <c r="N116" i="20"/>
  <c r="L116" i="20"/>
  <c r="K116" i="20"/>
  <c r="O115" i="20"/>
  <c r="N115" i="20"/>
  <c r="L115" i="20"/>
  <c r="K115" i="20"/>
  <c r="O114" i="20"/>
  <c r="N114" i="20"/>
  <c r="L114" i="20"/>
  <c r="K114" i="20"/>
  <c r="O113" i="20"/>
  <c r="N113" i="20"/>
  <c r="L113" i="20"/>
  <c r="K113" i="20"/>
  <c r="O112" i="20"/>
  <c r="N112" i="20"/>
  <c r="L112" i="20"/>
  <c r="K112" i="20"/>
  <c r="O111" i="20"/>
  <c r="N111" i="20"/>
  <c r="L111" i="20"/>
  <c r="K111" i="20"/>
  <c r="O110" i="20"/>
  <c r="N110" i="20"/>
  <c r="L110" i="20"/>
  <c r="K110" i="20"/>
  <c r="O109" i="20"/>
  <c r="N109" i="20"/>
  <c r="L109" i="20"/>
  <c r="K109" i="20"/>
  <c r="O108" i="20"/>
  <c r="N108" i="20"/>
  <c r="L108" i="20"/>
  <c r="K108" i="20"/>
  <c r="O107" i="20"/>
  <c r="N107" i="20"/>
  <c r="L107" i="20"/>
  <c r="K107" i="20"/>
  <c r="O106" i="20"/>
  <c r="N106" i="20"/>
  <c r="L106" i="20"/>
  <c r="K106" i="20"/>
  <c r="O105" i="20"/>
  <c r="N105" i="20"/>
  <c r="L105" i="20"/>
  <c r="K105" i="20"/>
  <c r="O104" i="20"/>
  <c r="N104" i="20"/>
  <c r="L104" i="20"/>
  <c r="K104" i="20"/>
  <c r="O103" i="20"/>
  <c r="N103" i="20"/>
  <c r="L103" i="20"/>
  <c r="K103" i="20"/>
  <c r="O102" i="20"/>
  <c r="N102" i="20"/>
  <c r="L102" i="20"/>
  <c r="K102" i="20"/>
  <c r="O101" i="20"/>
  <c r="N101" i="20"/>
  <c r="L101" i="20"/>
  <c r="K101" i="20"/>
  <c r="O100" i="20"/>
  <c r="N100" i="20"/>
  <c r="M100" i="20"/>
  <c r="L100" i="20"/>
  <c r="K100" i="20"/>
  <c r="O99" i="20"/>
  <c r="N99" i="20"/>
  <c r="M99" i="20"/>
  <c r="L99" i="20"/>
  <c r="K99" i="20"/>
  <c r="O98" i="20"/>
  <c r="N98" i="20"/>
  <c r="M98" i="20"/>
  <c r="L98" i="20"/>
  <c r="K98" i="20"/>
  <c r="O97" i="20"/>
  <c r="N97" i="20"/>
  <c r="M97" i="20"/>
  <c r="L97" i="20"/>
  <c r="K97" i="20"/>
  <c r="O96" i="20"/>
  <c r="N96" i="20"/>
  <c r="M96" i="20"/>
  <c r="L96" i="20"/>
  <c r="K96" i="20"/>
  <c r="O95" i="20"/>
  <c r="N95" i="20"/>
  <c r="M95" i="20"/>
  <c r="L95" i="20"/>
  <c r="K95" i="20"/>
  <c r="O94" i="20"/>
  <c r="N94" i="20"/>
  <c r="M94" i="20"/>
  <c r="L94" i="20"/>
  <c r="K94" i="20"/>
  <c r="O93" i="20"/>
  <c r="N93" i="20"/>
  <c r="M93" i="20"/>
  <c r="L93" i="20"/>
  <c r="K93" i="20"/>
  <c r="O92" i="20"/>
  <c r="N92" i="20"/>
  <c r="M92" i="20"/>
  <c r="L92" i="20"/>
  <c r="K92" i="20"/>
  <c r="O91" i="20"/>
  <c r="N91" i="20"/>
  <c r="M91" i="20"/>
  <c r="L91" i="20"/>
  <c r="K91" i="20"/>
  <c r="O90" i="20"/>
  <c r="N90" i="20"/>
  <c r="M90" i="20"/>
  <c r="L90" i="20"/>
  <c r="K90" i="20"/>
  <c r="O89" i="20"/>
  <c r="N89" i="20"/>
  <c r="M89" i="20"/>
  <c r="L89" i="20"/>
  <c r="K89" i="20"/>
  <c r="O88" i="20"/>
  <c r="N88" i="20"/>
  <c r="M88" i="20"/>
  <c r="L88" i="20"/>
  <c r="K88" i="20"/>
  <c r="O87" i="20"/>
  <c r="N87" i="20"/>
  <c r="M87" i="20"/>
  <c r="L87" i="20"/>
  <c r="K87" i="20"/>
  <c r="O86" i="20"/>
  <c r="N86" i="20"/>
  <c r="M86" i="20"/>
  <c r="L86" i="20"/>
  <c r="K86" i="20"/>
  <c r="O85" i="20"/>
  <c r="N85" i="20"/>
  <c r="M85" i="20"/>
  <c r="L85" i="20"/>
  <c r="K85" i="20"/>
  <c r="O84" i="20"/>
  <c r="N84" i="20"/>
  <c r="M84" i="20"/>
  <c r="L84" i="20"/>
  <c r="K84" i="20"/>
  <c r="O83" i="20"/>
  <c r="N83" i="20"/>
  <c r="M83" i="20"/>
  <c r="L83" i="20"/>
  <c r="K83" i="20"/>
  <c r="O82" i="20"/>
  <c r="N82" i="20"/>
  <c r="M82" i="20"/>
  <c r="L82" i="20"/>
  <c r="K82" i="20"/>
  <c r="O81" i="20"/>
  <c r="N81" i="20"/>
  <c r="M81" i="20"/>
  <c r="L81" i="20"/>
  <c r="K81" i="20"/>
  <c r="O80" i="20"/>
  <c r="N80" i="20"/>
  <c r="M80" i="20"/>
  <c r="L80" i="20"/>
  <c r="K80" i="20"/>
  <c r="O79" i="20"/>
  <c r="N79" i="20"/>
  <c r="M79" i="20"/>
  <c r="L79" i="20"/>
  <c r="K79" i="20"/>
  <c r="O78" i="20"/>
  <c r="N78" i="20"/>
  <c r="M78" i="20"/>
  <c r="L78" i="20"/>
  <c r="K78" i="20"/>
  <c r="O77" i="20"/>
  <c r="N77" i="20"/>
  <c r="M77" i="20"/>
  <c r="L77" i="20"/>
  <c r="K77" i="20"/>
  <c r="O76" i="20"/>
  <c r="N76" i="20"/>
  <c r="M76" i="20"/>
  <c r="L76" i="20"/>
  <c r="K76" i="20"/>
  <c r="O75" i="20"/>
  <c r="N75" i="20"/>
  <c r="M75" i="20"/>
  <c r="L75" i="20"/>
  <c r="K75" i="20"/>
  <c r="O74" i="20"/>
  <c r="N74" i="20"/>
  <c r="M74" i="20"/>
  <c r="L74" i="20"/>
  <c r="K74" i="20"/>
  <c r="O73" i="20"/>
  <c r="N73" i="20"/>
  <c r="M73" i="20"/>
  <c r="L73" i="20"/>
  <c r="K73" i="20"/>
  <c r="O72" i="20"/>
  <c r="N72" i="20"/>
  <c r="M72" i="20"/>
  <c r="L72" i="20"/>
  <c r="K72" i="20"/>
  <c r="O71" i="20"/>
  <c r="N71" i="20"/>
  <c r="M71" i="20"/>
  <c r="L71" i="20"/>
  <c r="K71" i="20"/>
  <c r="O70" i="20"/>
  <c r="N70" i="20"/>
  <c r="M70" i="20"/>
  <c r="L70" i="20"/>
  <c r="K70" i="20"/>
  <c r="O69" i="20"/>
  <c r="N69" i="20"/>
  <c r="M69" i="20"/>
  <c r="L69" i="20"/>
  <c r="K69" i="20"/>
  <c r="O68" i="20"/>
  <c r="N68" i="20"/>
  <c r="M68" i="20"/>
  <c r="L68" i="20"/>
  <c r="K68" i="20"/>
  <c r="O67" i="20"/>
  <c r="N67" i="20"/>
  <c r="M67" i="20"/>
  <c r="L67" i="20"/>
  <c r="K67" i="20"/>
  <c r="O66" i="20"/>
  <c r="N66" i="20"/>
  <c r="M66" i="20"/>
  <c r="L66" i="20"/>
  <c r="K66" i="20"/>
  <c r="O65" i="20"/>
  <c r="N65" i="20"/>
  <c r="M65" i="20"/>
  <c r="L65" i="20"/>
  <c r="K65" i="20"/>
  <c r="O64" i="20"/>
  <c r="N64" i="20"/>
  <c r="M64" i="20"/>
  <c r="L64" i="20"/>
  <c r="K64" i="20"/>
  <c r="O63" i="20"/>
  <c r="N63" i="20"/>
  <c r="M63" i="20"/>
  <c r="L63" i="20"/>
  <c r="K63" i="20"/>
  <c r="O62" i="20"/>
  <c r="N62" i="20"/>
  <c r="L62" i="20"/>
  <c r="K62" i="20"/>
  <c r="O61" i="20"/>
  <c r="N61" i="20"/>
  <c r="L61" i="20"/>
  <c r="K61" i="20"/>
  <c r="O60" i="20"/>
  <c r="N60" i="20"/>
  <c r="L60" i="20"/>
  <c r="K60" i="20"/>
  <c r="O59" i="20"/>
  <c r="N59" i="20"/>
  <c r="L59" i="20"/>
  <c r="K59" i="20"/>
  <c r="O58" i="20"/>
  <c r="N58" i="20"/>
  <c r="L58" i="20"/>
  <c r="K58" i="20"/>
  <c r="O57" i="20"/>
  <c r="N57" i="20"/>
  <c r="L57" i="20"/>
  <c r="K57" i="20"/>
  <c r="O56" i="20"/>
  <c r="N56" i="20"/>
  <c r="L56" i="20"/>
  <c r="K56" i="20"/>
  <c r="O55" i="20"/>
  <c r="N55" i="20"/>
  <c r="L55" i="20"/>
  <c r="K55" i="20"/>
  <c r="O54" i="20"/>
  <c r="N54" i="20"/>
  <c r="L54" i="20"/>
  <c r="K54" i="20"/>
  <c r="O53" i="20"/>
  <c r="N53" i="20"/>
  <c r="L53" i="20"/>
  <c r="K53" i="20"/>
  <c r="O52" i="20"/>
  <c r="N52" i="20"/>
  <c r="L52" i="20"/>
  <c r="K52" i="20"/>
  <c r="O51" i="20"/>
  <c r="N51" i="20"/>
  <c r="L51" i="20"/>
  <c r="K51" i="20"/>
  <c r="O50" i="20"/>
  <c r="N50" i="20"/>
  <c r="L50" i="20"/>
  <c r="K50" i="20"/>
  <c r="O49" i="20"/>
  <c r="N49" i="20"/>
  <c r="L49" i="20"/>
  <c r="K49" i="20"/>
  <c r="O48" i="20"/>
  <c r="N48" i="20"/>
  <c r="L48" i="20"/>
  <c r="K48" i="20"/>
  <c r="O47" i="20"/>
  <c r="N47" i="20"/>
  <c r="L47" i="20"/>
  <c r="K47" i="20"/>
  <c r="O46" i="20"/>
  <c r="N46" i="20"/>
  <c r="L46" i="20"/>
  <c r="K46" i="20"/>
  <c r="O45" i="20"/>
  <c r="N45" i="20"/>
  <c r="L45" i="20"/>
  <c r="K45" i="20"/>
  <c r="O44" i="20"/>
  <c r="N44" i="20"/>
  <c r="L44" i="20"/>
  <c r="K44" i="20"/>
  <c r="O43" i="20"/>
  <c r="N43" i="20"/>
  <c r="L43" i="20"/>
  <c r="K43" i="20"/>
  <c r="O42" i="20"/>
  <c r="N42" i="20"/>
  <c r="L42" i="20"/>
  <c r="K42" i="20"/>
  <c r="O41" i="20"/>
  <c r="N41" i="20"/>
  <c r="L41" i="20"/>
  <c r="K41" i="20"/>
  <c r="O40" i="20"/>
  <c r="N40" i="20"/>
  <c r="L40" i="20"/>
  <c r="K40" i="20"/>
  <c r="O39" i="20"/>
  <c r="N39" i="20"/>
  <c r="L39" i="20"/>
  <c r="K39" i="20"/>
  <c r="O38" i="20"/>
  <c r="N38" i="20"/>
  <c r="L38" i="20"/>
  <c r="K38" i="20"/>
  <c r="O37" i="20"/>
  <c r="N37" i="20"/>
  <c r="L37" i="20"/>
  <c r="K37" i="20"/>
  <c r="O36" i="20"/>
  <c r="N36" i="20"/>
  <c r="L36" i="20"/>
  <c r="K36" i="20"/>
  <c r="O35" i="20"/>
  <c r="N35" i="20"/>
  <c r="L35" i="20"/>
  <c r="K35" i="20"/>
  <c r="O34" i="20"/>
  <c r="N34" i="20"/>
  <c r="L34" i="20"/>
  <c r="K34" i="20"/>
  <c r="O33" i="20"/>
  <c r="N33" i="20"/>
  <c r="L33" i="20"/>
  <c r="K33" i="20"/>
  <c r="O32" i="20"/>
  <c r="N32" i="20"/>
  <c r="L32" i="20"/>
  <c r="K32" i="20"/>
  <c r="O31" i="20"/>
  <c r="N31" i="20"/>
  <c r="L31" i="20"/>
  <c r="K31" i="20"/>
  <c r="O30" i="20"/>
  <c r="N30" i="20"/>
  <c r="L30" i="20"/>
  <c r="K30" i="20"/>
  <c r="O29" i="20"/>
  <c r="N29" i="20"/>
  <c r="L29" i="20"/>
  <c r="K29" i="20"/>
  <c r="O28" i="20"/>
  <c r="N28" i="20"/>
  <c r="L28" i="20"/>
  <c r="K28" i="20"/>
  <c r="O27" i="20"/>
  <c r="N27" i="20"/>
  <c r="L27" i="20"/>
  <c r="K27" i="20"/>
  <c r="O26" i="20"/>
  <c r="N26" i="20"/>
  <c r="L26" i="20"/>
  <c r="K26" i="20"/>
  <c r="O25" i="20"/>
  <c r="N25" i="20"/>
  <c r="L25" i="20"/>
  <c r="K25" i="20"/>
  <c r="O24" i="20"/>
  <c r="N24" i="20"/>
  <c r="L24" i="20"/>
  <c r="K24" i="20"/>
  <c r="O23" i="20"/>
  <c r="N23" i="20"/>
  <c r="L23" i="20"/>
  <c r="K23" i="20"/>
  <c r="O22" i="20"/>
  <c r="N22" i="20"/>
  <c r="L22" i="20"/>
  <c r="K22" i="20"/>
  <c r="O21" i="20"/>
  <c r="N21" i="20"/>
  <c r="L21" i="20"/>
  <c r="K21" i="20"/>
  <c r="O20" i="20"/>
  <c r="N20" i="20"/>
  <c r="L20" i="20"/>
  <c r="K20" i="20"/>
  <c r="O19" i="20"/>
  <c r="N19" i="20"/>
  <c r="L19" i="20"/>
  <c r="K19" i="20"/>
  <c r="O18" i="20"/>
  <c r="N18" i="20"/>
  <c r="L18" i="20"/>
  <c r="K18" i="20"/>
  <c r="O17" i="20"/>
  <c r="N17" i="20"/>
  <c r="L17" i="20"/>
  <c r="K17" i="20"/>
  <c r="O16" i="20"/>
  <c r="N16" i="20"/>
  <c r="L16" i="20"/>
  <c r="K16" i="20"/>
  <c r="O15" i="20"/>
  <c r="N15" i="20"/>
  <c r="L15" i="20"/>
  <c r="K15" i="20"/>
  <c r="O14" i="20"/>
  <c r="N14" i="20"/>
  <c r="L14" i="20"/>
  <c r="K14" i="20"/>
  <c r="O13" i="20"/>
  <c r="N13" i="20"/>
  <c r="L13" i="20"/>
  <c r="K13" i="20"/>
  <c r="O12" i="20"/>
  <c r="N12" i="20"/>
  <c r="L12" i="20"/>
  <c r="K12" i="20"/>
  <c r="O11" i="20"/>
  <c r="N11" i="20"/>
  <c r="L11" i="20"/>
  <c r="K11" i="20"/>
  <c r="O10" i="20"/>
  <c r="N10" i="20"/>
  <c r="L10" i="20"/>
  <c r="K10" i="20"/>
  <c r="O9" i="20"/>
  <c r="N9" i="20"/>
  <c r="L9" i="20"/>
  <c r="K9" i="20"/>
  <c r="O8" i="20"/>
  <c r="N8" i="20"/>
  <c r="L8" i="20"/>
  <c r="K8" i="20"/>
  <c r="O7" i="20"/>
  <c r="N7" i="20"/>
  <c r="L7" i="20"/>
  <c r="K7" i="20"/>
  <c r="O6" i="20"/>
  <c r="N6" i="20"/>
  <c r="L6" i="20"/>
  <c r="K6" i="20"/>
  <c r="O5" i="20"/>
  <c r="N5" i="20"/>
  <c r="L5" i="20"/>
  <c r="K5" i="20"/>
  <c r="K4" i="20"/>
  <c r="L4" i="20"/>
  <c r="N4" i="20"/>
  <c r="O4" i="20"/>
  <c r="D13" i="19"/>
  <c r="E12" i="19"/>
  <c r="D12" i="19"/>
  <c r="C12" i="19"/>
  <c r="B12" i="19"/>
  <c r="E11" i="19"/>
  <c r="D11" i="19"/>
  <c r="C11" i="19"/>
  <c r="B11" i="19"/>
  <c r="E10" i="19"/>
  <c r="D10" i="19"/>
  <c r="C10" i="19"/>
  <c r="B10" i="19"/>
  <c r="E9" i="19"/>
  <c r="D9" i="19"/>
  <c r="C9" i="19"/>
  <c r="B9" i="19"/>
  <c r="E8" i="19"/>
  <c r="D8" i="19"/>
  <c r="C8" i="19"/>
  <c r="B8" i="19"/>
  <c r="E7" i="19"/>
  <c r="D7" i="19"/>
  <c r="C7" i="19"/>
  <c r="B7" i="19"/>
  <c r="E6" i="19"/>
  <c r="D6" i="19"/>
  <c r="C6" i="19"/>
  <c r="B6" i="19"/>
  <c r="B5" i="19"/>
  <c r="B13" i="19" s="1"/>
  <c r="C5" i="19"/>
  <c r="C13" i="19" s="1"/>
  <c r="B16" i="19" s="1"/>
  <c r="D5" i="19"/>
  <c r="E5" i="19"/>
  <c r="E13" i="19" s="1"/>
  <c r="D25" i="5"/>
  <c r="Y6" i="9" a="1"/>
  <c r="Y7" i="9" a="1"/>
  <c r="Y8" i="9" a="1"/>
  <c r="Y9" i="9" a="1"/>
  <c r="Y10" i="9" a="1"/>
  <c r="Y11" i="9" a="1"/>
  <c r="Y12" i="9" a="1"/>
  <c r="Y13" i="9" a="1"/>
  <c r="Y14" i="9" a="1"/>
  <c r="Y15" i="9" a="1"/>
  <c r="Y16" i="9" a="1"/>
  <c r="Y17" i="9" a="1"/>
  <c r="Y18" i="9" a="1"/>
  <c r="Y19" i="9" a="1"/>
  <c r="Y20" i="9" a="1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501" i="9"/>
  <c r="X502" i="9"/>
  <c r="X503" i="9"/>
  <c r="X504" i="9"/>
  <c r="X505" i="9"/>
  <c r="X506" i="9"/>
  <c r="X507" i="9"/>
  <c r="X508" i="9"/>
  <c r="X509" i="9"/>
  <c r="X510" i="9"/>
  <c r="X511" i="9"/>
  <c r="X512" i="9"/>
  <c r="X513" i="9"/>
  <c r="X514" i="9"/>
  <c r="X515" i="9"/>
  <c r="X516" i="9"/>
  <c r="X517" i="9"/>
  <c r="X518" i="9"/>
  <c r="X519" i="9"/>
  <c r="X520" i="9"/>
  <c r="X521" i="9"/>
  <c r="X522" i="9"/>
  <c r="X523" i="9"/>
  <c r="X524" i="9"/>
  <c r="X525" i="9"/>
  <c r="X526" i="9"/>
  <c r="X527" i="9"/>
  <c r="X528" i="9"/>
  <c r="X529" i="9"/>
  <c r="X530" i="9"/>
  <c r="X531" i="9"/>
  <c r="X532" i="9"/>
  <c r="X533" i="9"/>
  <c r="X534" i="9"/>
  <c r="X535" i="9"/>
  <c r="X536" i="9"/>
  <c r="X537" i="9"/>
  <c r="X538" i="9"/>
  <c r="X539" i="9"/>
  <c r="X540" i="9"/>
  <c r="X541" i="9"/>
  <c r="X542" i="9"/>
  <c r="X543" i="9"/>
  <c r="X544" i="9"/>
  <c r="X545" i="9"/>
  <c r="X546" i="9"/>
  <c r="X547" i="9"/>
  <c r="X548" i="9"/>
  <c r="X549" i="9"/>
  <c r="X550" i="9"/>
  <c r="X551" i="9"/>
  <c r="X552" i="9"/>
  <c r="X553" i="9"/>
  <c r="X554" i="9"/>
  <c r="X555" i="9"/>
  <c r="X556" i="9"/>
  <c r="X557" i="9"/>
  <c r="X558" i="9"/>
  <c r="X559" i="9"/>
  <c r="X560" i="9"/>
  <c r="X561" i="9"/>
  <c r="X562" i="9"/>
  <c r="X563" i="9"/>
  <c r="X564" i="9"/>
  <c r="X565" i="9"/>
  <c r="X566" i="9"/>
  <c r="X567" i="9"/>
  <c r="X568" i="9"/>
  <c r="X569" i="9"/>
  <c r="X570" i="9"/>
  <c r="X571" i="9"/>
  <c r="X572" i="9"/>
  <c r="X573" i="9"/>
  <c r="X574" i="9"/>
  <c r="X575" i="9"/>
  <c r="X576" i="9"/>
  <c r="X577" i="9"/>
  <c r="X578" i="9"/>
  <c r="X579" i="9"/>
  <c r="X580" i="9"/>
  <c r="X581" i="9"/>
  <c r="X582" i="9"/>
  <c r="X583" i="9"/>
  <c r="X584" i="9"/>
  <c r="X585" i="9"/>
  <c r="X586" i="9"/>
  <c r="X587" i="9"/>
  <c r="X588" i="9"/>
  <c r="X589" i="9"/>
  <c r="X590" i="9"/>
  <c r="X591" i="9"/>
  <c r="X592" i="9"/>
  <c r="X593" i="9"/>
  <c r="X594" i="9"/>
  <c r="X595" i="9"/>
  <c r="X596" i="9"/>
  <c r="X597" i="9"/>
  <c r="X598" i="9"/>
  <c r="X599" i="9"/>
  <c r="X600" i="9"/>
  <c r="X601" i="9"/>
  <c r="X602" i="9"/>
  <c r="X603" i="9"/>
  <c r="X604" i="9"/>
  <c r="X605" i="9"/>
  <c r="X606" i="9"/>
  <c r="X607" i="9"/>
  <c r="X608" i="9"/>
  <c r="X609" i="9"/>
  <c r="X610" i="9"/>
  <c r="X611" i="9"/>
  <c r="X612" i="9"/>
  <c r="X613" i="9"/>
  <c r="X614" i="9"/>
  <c r="X615" i="9"/>
  <c r="X616" i="9"/>
  <c r="X617" i="9"/>
  <c r="X618" i="9"/>
  <c r="X619" i="9"/>
  <c r="X620" i="9"/>
  <c r="X621" i="9"/>
  <c r="X622" i="9"/>
  <c r="X623" i="9"/>
  <c r="X624" i="9"/>
  <c r="X625" i="9"/>
  <c r="X626" i="9"/>
  <c r="X627" i="9"/>
  <c r="X628" i="9"/>
  <c r="X629" i="9"/>
  <c r="X630" i="9"/>
  <c r="X631" i="9"/>
  <c r="X632" i="9"/>
  <c r="X633" i="9"/>
  <c r="X634" i="9"/>
  <c r="X635" i="9"/>
  <c r="X636" i="9"/>
  <c r="X637" i="9"/>
  <c r="X638" i="9"/>
  <c r="X639" i="9"/>
  <c r="X640" i="9"/>
  <c r="X641" i="9"/>
  <c r="X642" i="9"/>
  <c r="X643" i="9"/>
  <c r="X644" i="9"/>
  <c r="X645" i="9"/>
  <c r="X646" i="9"/>
  <c r="X647" i="9"/>
  <c r="X648" i="9"/>
  <c r="X649" i="9"/>
  <c r="X650" i="9"/>
  <c r="X651" i="9"/>
  <c r="X652" i="9"/>
  <c r="X653" i="9"/>
  <c r="X654" i="9"/>
  <c r="X655" i="9"/>
  <c r="X656" i="9"/>
  <c r="X657" i="9"/>
  <c r="X658" i="9"/>
  <c r="X659" i="9"/>
  <c r="X660" i="9"/>
  <c r="X661" i="9"/>
  <c r="X662" i="9"/>
  <c r="X663" i="9"/>
  <c r="X664" i="9"/>
  <c r="X665" i="9"/>
  <c r="X666" i="9"/>
  <c r="X667" i="9"/>
  <c r="X668" i="9"/>
  <c r="X669" i="9"/>
  <c r="X670" i="9"/>
  <c r="X671" i="9"/>
  <c r="X672" i="9"/>
  <c r="X673" i="9"/>
  <c r="X674" i="9"/>
  <c r="X675" i="9"/>
  <c r="X676" i="9"/>
  <c r="X677" i="9"/>
  <c r="X678" i="9"/>
  <c r="X679" i="9"/>
  <c r="X680" i="9"/>
  <c r="X681" i="9"/>
  <c r="X682" i="9"/>
  <c r="X683" i="9"/>
  <c r="X684" i="9"/>
  <c r="X685" i="9"/>
  <c r="X686" i="9"/>
  <c r="X687" i="9"/>
  <c r="X688" i="9"/>
  <c r="X689" i="9"/>
  <c r="X690" i="9"/>
  <c r="X691" i="9"/>
  <c r="X692" i="9"/>
  <c r="X693" i="9"/>
  <c r="X694" i="9"/>
  <c r="X695" i="9"/>
  <c r="X696" i="9"/>
  <c r="X697" i="9"/>
  <c r="X698" i="9"/>
  <c r="X699" i="9"/>
  <c r="X700" i="9"/>
  <c r="X701" i="9"/>
  <c r="X702" i="9"/>
  <c r="X703" i="9"/>
  <c r="X704" i="9"/>
  <c r="X705" i="9"/>
  <c r="X706" i="9"/>
  <c r="X707" i="9"/>
  <c r="X708" i="9"/>
  <c r="X709" i="9"/>
  <c r="X710" i="9"/>
  <c r="X711" i="9"/>
  <c r="X712" i="9"/>
  <c r="X713" i="9"/>
  <c r="X714" i="9"/>
  <c r="X715" i="9"/>
  <c r="X716" i="9"/>
  <c r="X717" i="9"/>
  <c r="X718" i="9"/>
  <c r="X719" i="9"/>
  <c r="X720" i="9"/>
  <c r="X721" i="9"/>
  <c r="X722" i="9"/>
  <c r="X723" i="9"/>
  <c r="X724" i="9"/>
  <c r="X725" i="9"/>
  <c r="X726" i="9"/>
  <c r="X727" i="9"/>
  <c r="X728" i="9"/>
  <c r="X729" i="9"/>
  <c r="X730" i="9"/>
  <c r="X731" i="9"/>
  <c r="X732" i="9"/>
  <c r="X733" i="9"/>
  <c r="X734" i="9"/>
  <c r="X735" i="9"/>
  <c r="X736" i="9"/>
  <c r="X737" i="9"/>
  <c r="X738" i="9"/>
  <c r="X739" i="9"/>
  <c r="X740" i="9"/>
  <c r="X741" i="9"/>
  <c r="X742" i="9"/>
  <c r="X743" i="9"/>
  <c r="X744" i="9"/>
  <c r="X745" i="9"/>
  <c r="X746" i="9"/>
  <c r="X747" i="9"/>
  <c r="X748" i="9"/>
  <c r="X749" i="9"/>
  <c r="X750" i="9"/>
  <c r="X751" i="9"/>
  <c r="X752" i="9"/>
  <c r="X753" i="9"/>
  <c r="X754" i="9"/>
  <c r="X755" i="9"/>
  <c r="X756" i="9"/>
  <c r="X757" i="9"/>
  <c r="X758" i="9"/>
  <c r="X759" i="9"/>
  <c r="X760" i="9"/>
  <c r="X761" i="9"/>
  <c r="X762" i="9"/>
  <c r="X763" i="9"/>
  <c r="X764" i="9"/>
  <c r="X765" i="9"/>
  <c r="X766" i="9"/>
  <c r="X767" i="9"/>
  <c r="X768" i="9"/>
  <c r="X769" i="9"/>
  <c r="X770" i="9"/>
  <c r="X771" i="9"/>
  <c r="X772" i="9"/>
  <c r="X773" i="9"/>
  <c r="X774" i="9"/>
  <c r="X775" i="9"/>
  <c r="X776" i="9"/>
  <c r="X777" i="9"/>
  <c r="X778" i="9"/>
  <c r="X779" i="9"/>
  <c r="X780" i="9"/>
  <c r="X781" i="9"/>
  <c r="X782" i="9"/>
  <c r="X783" i="9"/>
  <c r="X784" i="9"/>
  <c r="X785" i="9"/>
  <c r="X786" i="9"/>
  <c r="X787" i="9"/>
  <c r="X788" i="9"/>
  <c r="X789" i="9"/>
  <c r="X790" i="9"/>
  <c r="X791" i="9"/>
  <c r="X792" i="9"/>
  <c r="X793" i="9"/>
  <c r="X794" i="9"/>
  <c r="X795" i="9"/>
  <c r="X796" i="9"/>
  <c r="X797" i="9"/>
  <c r="X798" i="9"/>
  <c r="X799" i="9"/>
  <c r="X800" i="9"/>
  <c r="X801" i="9"/>
  <c r="X802" i="9"/>
  <c r="X803" i="9"/>
  <c r="X804" i="9"/>
  <c r="X805" i="9"/>
  <c r="X806" i="9"/>
  <c r="X807" i="9"/>
  <c r="X808" i="9"/>
  <c r="X809" i="9"/>
  <c r="X810" i="9"/>
  <c r="X811" i="9"/>
  <c r="X812" i="9"/>
  <c r="X813" i="9"/>
  <c r="X814" i="9"/>
  <c r="X815" i="9"/>
  <c r="X816" i="9"/>
  <c r="X817" i="9"/>
  <c r="X818" i="9"/>
  <c r="X819" i="9"/>
  <c r="X820" i="9"/>
  <c r="X821" i="9"/>
  <c r="X822" i="9"/>
  <c r="X823" i="9"/>
  <c r="X824" i="9"/>
  <c r="X825" i="9"/>
  <c r="X826" i="9"/>
  <c r="X827" i="9"/>
  <c r="X828" i="9"/>
  <c r="X829" i="9"/>
  <c r="X830" i="9"/>
  <c r="X831" i="9"/>
  <c r="X832" i="9"/>
  <c r="X833" i="9"/>
  <c r="X834" i="9"/>
  <c r="X835" i="9"/>
  <c r="X836" i="9"/>
  <c r="X837" i="9"/>
  <c r="X838" i="9"/>
  <c r="X839" i="9"/>
  <c r="X840" i="9"/>
  <c r="X841" i="9"/>
  <c r="X842" i="9"/>
  <c r="X843" i="9"/>
  <c r="X844" i="9"/>
  <c r="X845" i="9"/>
  <c r="X846" i="9"/>
  <c r="X847" i="9"/>
  <c r="X848" i="9"/>
  <c r="X849" i="9"/>
  <c r="X850" i="9"/>
  <c r="X851" i="9"/>
  <c r="X852" i="9"/>
  <c r="X853" i="9"/>
  <c r="X854" i="9"/>
  <c r="X855" i="9"/>
  <c r="X856" i="9"/>
  <c r="X857" i="9"/>
  <c r="X858" i="9"/>
  <c r="X859" i="9"/>
  <c r="X860" i="9"/>
  <c r="X861" i="9"/>
  <c r="X862" i="9"/>
  <c r="X863" i="9"/>
  <c r="X864" i="9"/>
  <c r="X865" i="9"/>
  <c r="X866" i="9"/>
  <c r="X867" i="9"/>
  <c r="X868" i="9"/>
  <c r="X869" i="9"/>
  <c r="X870" i="9"/>
  <c r="X871" i="9"/>
  <c r="X872" i="9"/>
  <c r="X873" i="9"/>
  <c r="X874" i="9"/>
  <c r="X875" i="9"/>
  <c r="X876" i="9"/>
  <c r="X877" i="9"/>
  <c r="X878" i="9"/>
  <c r="X879" i="9"/>
  <c r="X880" i="9"/>
  <c r="X881" i="9"/>
  <c r="X882" i="9"/>
  <c r="X883" i="9"/>
  <c r="X884" i="9"/>
  <c r="X885" i="9"/>
  <c r="X886" i="9"/>
  <c r="X887" i="9"/>
  <c r="X888" i="9"/>
  <c r="X889" i="9"/>
  <c r="X890" i="9"/>
  <c r="X891" i="9"/>
  <c r="X892" i="9"/>
  <c r="X893" i="9"/>
  <c r="X894" i="9"/>
  <c r="X895" i="9"/>
  <c r="X896" i="9"/>
  <c r="X897" i="9"/>
  <c r="X898" i="9"/>
  <c r="X899" i="9"/>
  <c r="X900" i="9"/>
  <c r="X901" i="9"/>
  <c r="X902" i="9"/>
  <c r="X903" i="9"/>
  <c r="X904" i="9"/>
  <c r="X905" i="9"/>
  <c r="X906" i="9"/>
  <c r="X907" i="9"/>
  <c r="X908" i="9"/>
  <c r="X909" i="9"/>
  <c r="X910" i="9"/>
  <c r="X911" i="9"/>
  <c r="X912" i="9"/>
  <c r="X913" i="9"/>
  <c r="X914" i="9"/>
  <c r="X915" i="9"/>
  <c r="X916" i="9"/>
  <c r="X917" i="9"/>
  <c r="X918" i="9"/>
  <c r="X919" i="9"/>
  <c r="X920" i="9"/>
  <c r="X921" i="9"/>
  <c r="X922" i="9"/>
  <c r="X923" i="9"/>
  <c r="X924" i="9"/>
  <c r="X925" i="9"/>
  <c r="X926" i="9"/>
  <c r="X927" i="9"/>
  <c r="X928" i="9"/>
  <c r="X929" i="9"/>
  <c r="X930" i="9"/>
  <c r="X931" i="9"/>
  <c r="X932" i="9"/>
  <c r="X933" i="9"/>
  <c r="X934" i="9"/>
  <c r="X935" i="9"/>
  <c r="X936" i="9"/>
  <c r="X937" i="9"/>
  <c r="X938" i="9"/>
  <c r="X939" i="9"/>
  <c r="X940" i="9"/>
  <c r="X941" i="9"/>
  <c r="X942" i="9"/>
  <c r="X943" i="9"/>
  <c r="X944" i="9"/>
  <c r="X945" i="9"/>
  <c r="X946" i="9"/>
  <c r="X947" i="9"/>
  <c r="X948" i="9"/>
  <c r="X949" i="9"/>
  <c r="X950" i="9"/>
  <c r="X951" i="9"/>
  <c r="X952" i="9"/>
  <c r="X953" i="9"/>
  <c r="X954" i="9"/>
  <c r="X955" i="9"/>
  <c r="X956" i="9"/>
  <c r="X957" i="9"/>
  <c r="X958" i="9"/>
  <c r="X959" i="9"/>
  <c r="X960" i="9"/>
  <c r="X961" i="9"/>
  <c r="X962" i="9"/>
  <c r="X963" i="9"/>
  <c r="X964" i="9"/>
  <c r="X965" i="9"/>
  <c r="X966" i="9"/>
  <c r="X967" i="9"/>
  <c r="X968" i="9"/>
  <c r="X969" i="9"/>
  <c r="X970" i="9"/>
  <c r="X971" i="9"/>
  <c r="X972" i="9"/>
  <c r="X973" i="9"/>
  <c r="X974" i="9"/>
  <c r="X975" i="9"/>
  <c r="X976" i="9"/>
  <c r="X977" i="9"/>
  <c r="X978" i="9"/>
  <c r="X979" i="9"/>
  <c r="X980" i="9"/>
  <c r="X981" i="9"/>
  <c r="X982" i="9"/>
  <c r="X983" i="9"/>
  <c r="X984" i="9"/>
  <c r="X985" i="9"/>
  <c r="X986" i="9"/>
  <c r="X987" i="9"/>
  <c r="X988" i="9"/>
  <c r="X989" i="9"/>
  <c r="X990" i="9"/>
  <c r="X991" i="9"/>
  <c r="X992" i="9"/>
  <c r="X993" i="9"/>
  <c r="X994" i="9"/>
  <c r="X995" i="9"/>
  <c r="X996" i="9"/>
  <c r="X997" i="9"/>
  <c r="X998" i="9"/>
  <c r="X999" i="9"/>
  <c r="X1000" i="9"/>
  <c r="X1001" i="9"/>
  <c r="X1002" i="9"/>
  <c r="X1003" i="9"/>
  <c r="X1004" i="9"/>
  <c r="X1005" i="9"/>
  <c r="X1006" i="9"/>
  <c r="X1007" i="9"/>
  <c r="X1008" i="9"/>
  <c r="X1009" i="9"/>
  <c r="X1010" i="9"/>
  <c r="X1011" i="9"/>
  <c r="X1012" i="9"/>
  <c r="X1013" i="9"/>
  <c r="X1014" i="9"/>
  <c r="X1015" i="9"/>
  <c r="X1016" i="9"/>
  <c r="X1017" i="9"/>
  <c r="X1018" i="9"/>
  <c r="X1019" i="9"/>
  <c r="X1020" i="9"/>
  <c r="X1021" i="9"/>
  <c r="X1022" i="9"/>
  <c r="X1023" i="9"/>
  <c r="X1024" i="9"/>
  <c r="X1025" i="9"/>
  <c r="X1026" i="9"/>
  <c r="X1027" i="9"/>
  <c r="X1028" i="9"/>
  <c r="X1029" i="9"/>
  <c r="X1030" i="9"/>
  <c r="X1031" i="9"/>
  <c r="X1032" i="9"/>
  <c r="X1033" i="9"/>
  <c r="X1034" i="9"/>
  <c r="X1035" i="9"/>
  <c r="X1036" i="9"/>
  <c r="X1037" i="9"/>
  <c r="X1038" i="9"/>
  <c r="X1039" i="9"/>
  <c r="X1040" i="9"/>
  <c r="X1041" i="9"/>
  <c r="X1042" i="9"/>
  <c r="X1043" i="9"/>
  <c r="X1044" i="9"/>
  <c r="X1045" i="9"/>
  <c r="X1046" i="9"/>
  <c r="X1047" i="9"/>
  <c r="X1048" i="9"/>
  <c r="X1049" i="9"/>
  <c r="X1050" i="9"/>
  <c r="X1051" i="9"/>
  <c r="X1052" i="9"/>
  <c r="X1053" i="9"/>
  <c r="X1054" i="9"/>
  <c r="X1055" i="9"/>
  <c r="X1056" i="9"/>
  <c r="X1057" i="9"/>
  <c r="X1058" i="9"/>
  <c r="X1059" i="9"/>
  <c r="X1060" i="9"/>
  <c r="X1061" i="9"/>
  <c r="X1062" i="9"/>
  <c r="X1063" i="9"/>
  <c r="X1064" i="9"/>
  <c r="X1065" i="9"/>
  <c r="X1066" i="9"/>
  <c r="X1067" i="9"/>
  <c r="X1068" i="9"/>
  <c r="X1069" i="9"/>
  <c r="X1070" i="9"/>
  <c r="X1071" i="9"/>
  <c r="X1072" i="9"/>
  <c r="X1073" i="9"/>
  <c r="X1074" i="9"/>
  <c r="X1075" i="9"/>
  <c r="X1076" i="9"/>
  <c r="X1077" i="9"/>
  <c r="X1078" i="9"/>
  <c r="X1079" i="9"/>
  <c r="X1080" i="9"/>
  <c r="X1081" i="9"/>
  <c r="X1082" i="9"/>
  <c r="X1083" i="9"/>
  <c r="X1084" i="9"/>
  <c r="X1085" i="9"/>
  <c r="X1086" i="9"/>
  <c r="X1087" i="9"/>
  <c r="X1088" i="9"/>
  <c r="X1089" i="9"/>
  <c r="X1090" i="9"/>
  <c r="X1091" i="9"/>
  <c r="X1092" i="9"/>
  <c r="X1093" i="9"/>
  <c r="X1094" i="9"/>
  <c r="X1095" i="9"/>
  <c r="X1096" i="9"/>
  <c r="X1097" i="9"/>
  <c r="X1098" i="9"/>
  <c r="X1099" i="9"/>
  <c r="X1100" i="9"/>
  <c r="X1101" i="9"/>
  <c r="X1102" i="9"/>
  <c r="X1103" i="9"/>
  <c r="X1104" i="9"/>
  <c r="X1105" i="9"/>
  <c r="X1106" i="9"/>
  <c r="X1107" i="9"/>
  <c r="X1108" i="9"/>
  <c r="X1109" i="9"/>
  <c r="X1110" i="9"/>
  <c r="X1111" i="9"/>
  <c r="X1112" i="9"/>
  <c r="X1113" i="9"/>
  <c r="X1114" i="9"/>
  <c r="X1115" i="9"/>
  <c r="X1116" i="9"/>
  <c r="X1117" i="9"/>
  <c r="X1118" i="9"/>
  <c r="X1119" i="9"/>
  <c r="X1120" i="9"/>
  <c r="X1121" i="9"/>
  <c r="X1122" i="9"/>
  <c r="X1123" i="9"/>
  <c r="X1124" i="9"/>
  <c r="X1125" i="9"/>
  <c r="X1126" i="9"/>
  <c r="X1127" i="9"/>
  <c r="X1128" i="9"/>
  <c r="X1129" i="9"/>
  <c r="X1130" i="9"/>
  <c r="X1131" i="9"/>
  <c r="X1132" i="9"/>
  <c r="X1133" i="9"/>
  <c r="X1134" i="9"/>
  <c r="X1135" i="9"/>
  <c r="X1136" i="9"/>
  <c r="X1137" i="9"/>
  <c r="X1138" i="9"/>
  <c r="X1139" i="9"/>
  <c r="X1140" i="9"/>
  <c r="X1141" i="9"/>
  <c r="X1142" i="9"/>
  <c r="X1143" i="9"/>
  <c r="X1144" i="9"/>
  <c r="X1145" i="9"/>
  <c r="X1146" i="9"/>
  <c r="X1147" i="9"/>
  <c r="X1148" i="9"/>
  <c r="X1149" i="9"/>
  <c r="X1150" i="9"/>
  <c r="X1151" i="9"/>
  <c r="X1152" i="9"/>
  <c r="X1153" i="9"/>
  <c r="X1154" i="9"/>
  <c r="X1155" i="9"/>
  <c r="X1156" i="9"/>
  <c r="X1157" i="9"/>
  <c r="X1158" i="9"/>
  <c r="X1159" i="9"/>
  <c r="X1160" i="9"/>
  <c r="X1161" i="9"/>
  <c r="X1162" i="9"/>
  <c r="X1163" i="9"/>
  <c r="X1164" i="9"/>
  <c r="X1165" i="9"/>
  <c r="X1166" i="9"/>
  <c r="X1167" i="9"/>
  <c r="X1168" i="9"/>
  <c r="X1169" i="9"/>
  <c r="X1170" i="9"/>
  <c r="X1171" i="9"/>
  <c r="X1172" i="9"/>
  <c r="X1173" i="9"/>
  <c r="X1174" i="9"/>
  <c r="X1175" i="9"/>
  <c r="X1176" i="9"/>
  <c r="X1177" i="9"/>
  <c r="X1178" i="9"/>
  <c r="X1179" i="9"/>
  <c r="X1180" i="9"/>
  <c r="X1181" i="9"/>
  <c r="X1182" i="9"/>
  <c r="X1183" i="9"/>
  <c r="X1184" i="9"/>
  <c r="X1185" i="9"/>
  <c r="X1186" i="9"/>
  <c r="X1187" i="9"/>
  <c r="X1188" i="9"/>
  <c r="X1189" i="9"/>
  <c r="X1190" i="9"/>
  <c r="X1191" i="9"/>
  <c r="X1192" i="9"/>
  <c r="X1193" i="9"/>
  <c r="X1194" i="9"/>
  <c r="X1195" i="9"/>
  <c r="X1196" i="9"/>
  <c r="X1197" i="9"/>
  <c r="X1198" i="9"/>
  <c r="X1199" i="9"/>
  <c r="X1200" i="9"/>
  <c r="X1201" i="9"/>
  <c r="X1202" i="9"/>
  <c r="X1203" i="9"/>
  <c r="X1204" i="9"/>
  <c r="X1205" i="9"/>
  <c r="X1206" i="9"/>
  <c r="X1207" i="9"/>
  <c r="X1208" i="9"/>
  <c r="X1209" i="9"/>
  <c r="X1210" i="9"/>
  <c r="X1211" i="9"/>
  <c r="X1212" i="9"/>
  <c r="X1213" i="9"/>
  <c r="X1214" i="9"/>
  <c r="X1215" i="9"/>
  <c r="X1216" i="9"/>
  <c r="X1217" i="9"/>
  <c r="X1218" i="9"/>
  <c r="X1219" i="9"/>
  <c r="X1220" i="9"/>
  <c r="X1221" i="9"/>
  <c r="X1222" i="9"/>
  <c r="X1223" i="9"/>
  <c r="X1224" i="9"/>
  <c r="X1225" i="9"/>
  <c r="X1226" i="9"/>
  <c r="X1227" i="9"/>
  <c r="X1228" i="9"/>
  <c r="X1229" i="9"/>
  <c r="X1230" i="9"/>
  <c r="X1231" i="9"/>
  <c r="X1232" i="9"/>
  <c r="X1233" i="9"/>
  <c r="X1234" i="9"/>
  <c r="X1235" i="9"/>
  <c r="X1236" i="9"/>
  <c r="X1237" i="9"/>
  <c r="X1238" i="9"/>
  <c r="X1239" i="9"/>
  <c r="X1240" i="9"/>
  <c r="X1241" i="9"/>
  <c r="X1242" i="9"/>
  <c r="X1243" i="9"/>
  <c r="X1244" i="9"/>
  <c r="X1245" i="9"/>
  <c r="X1246" i="9"/>
  <c r="X1247" i="9"/>
  <c r="X1248" i="9"/>
  <c r="X1249" i="9"/>
  <c r="X1250" i="9"/>
  <c r="X1251" i="9"/>
  <c r="X1252" i="9"/>
  <c r="X1253" i="9"/>
  <c r="X1254" i="9"/>
  <c r="X1255" i="9"/>
  <c r="X1256" i="9"/>
  <c r="X1257" i="9"/>
  <c r="X1258" i="9"/>
  <c r="X1259" i="9"/>
  <c r="X1260" i="9"/>
  <c r="X1261" i="9"/>
  <c r="X1262" i="9"/>
  <c r="X1263" i="9"/>
  <c r="X1264" i="9"/>
  <c r="X1265" i="9"/>
  <c r="X1266" i="9"/>
  <c r="X1267" i="9"/>
  <c r="X1268" i="9"/>
  <c r="X1269" i="9"/>
  <c r="X1270" i="9"/>
  <c r="X1271" i="9"/>
  <c r="X1272" i="9"/>
  <c r="X1273" i="9"/>
  <c r="X1274" i="9"/>
  <c r="X1275" i="9"/>
  <c r="X1276" i="9"/>
  <c r="X1277" i="9"/>
  <c r="X1278" i="9"/>
  <c r="X1279" i="9"/>
  <c r="X1280" i="9"/>
  <c r="X1281" i="9"/>
  <c r="X1282" i="9"/>
  <c r="X1283" i="9"/>
  <c r="X1284" i="9"/>
  <c r="X1285" i="9"/>
  <c r="X1286" i="9"/>
  <c r="X1287" i="9"/>
  <c r="X1288" i="9"/>
  <c r="X1289" i="9"/>
  <c r="X1290" i="9"/>
  <c r="X1291" i="9"/>
  <c r="X1292" i="9"/>
  <c r="X1293" i="9"/>
  <c r="X1294" i="9"/>
  <c r="X1295" i="9"/>
  <c r="X1296" i="9"/>
  <c r="X1297" i="9"/>
  <c r="X1298" i="9"/>
  <c r="X1299" i="9"/>
  <c r="X1300" i="9"/>
  <c r="X1301" i="9"/>
  <c r="X1302" i="9"/>
  <c r="X1303" i="9"/>
  <c r="X1304" i="9"/>
  <c r="X1305" i="9"/>
  <c r="X1306" i="9"/>
  <c r="X1307" i="9"/>
  <c r="X1308" i="9"/>
  <c r="X1309" i="9"/>
  <c r="X1310" i="9"/>
  <c r="X1311" i="9"/>
  <c r="X1312" i="9"/>
  <c r="X1313" i="9"/>
  <c r="X1314" i="9"/>
  <c r="X1315" i="9"/>
  <c r="X1316" i="9"/>
  <c r="X1317" i="9"/>
  <c r="X1318" i="9"/>
  <c r="X1319" i="9"/>
  <c r="X1320" i="9"/>
  <c r="X1321" i="9"/>
  <c r="X1322" i="9"/>
  <c r="X1323" i="9"/>
  <c r="X1324" i="9"/>
  <c r="X1325" i="9"/>
  <c r="X1326" i="9"/>
  <c r="X1327" i="9"/>
  <c r="X1328" i="9"/>
  <c r="X1329" i="9"/>
  <c r="X1330" i="9"/>
  <c r="X1331" i="9"/>
  <c r="X1332" i="9"/>
  <c r="X1333" i="9"/>
  <c r="X1334" i="9"/>
  <c r="X1335" i="9"/>
  <c r="X1336" i="9"/>
  <c r="X1337" i="9"/>
  <c r="X1338" i="9"/>
  <c r="X1339" i="9"/>
  <c r="X1340" i="9"/>
  <c r="X1341" i="9"/>
  <c r="X1342" i="9"/>
  <c r="X1343" i="9"/>
  <c r="X1344" i="9"/>
  <c r="X1345" i="9"/>
  <c r="X1346" i="9"/>
  <c r="X1347" i="9"/>
  <c r="X1348" i="9"/>
  <c r="X1349" i="9"/>
  <c r="X1350" i="9"/>
  <c r="X1351" i="9"/>
  <c r="X1352" i="9"/>
  <c r="X1353" i="9"/>
  <c r="X1354" i="9"/>
  <c r="X1355" i="9"/>
  <c r="X1356" i="9"/>
  <c r="X1357" i="9"/>
  <c r="X1358" i="9"/>
  <c r="X1359" i="9"/>
  <c r="X1360" i="9"/>
  <c r="X1361" i="9"/>
  <c r="X1362" i="9"/>
  <c r="X1363" i="9"/>
  <c r="X1364" i="9"/>
  <c r="X1365" i="9"/>
  <c r="X1366" i="9"/>
  <c r="X1367" i="9"/>
  <c r="X1368" i="9"/>
  <c r="X1369" i="9"/>
  <c r="X1370" i="9"/>
  <c r="X1371" i="9"/>
  <c r="X1372" i="9"/>
  <c r="X1373" i="9"/>
  <c r="X1374" i="9"/>
  <c r="X1375" i="9"/>
  <c r="X1376" i="9"/>
  <c r="X1377" i="9"/>
  <c r="X1378" i="9"/>
  <c r="X1379" i="9"/>
  <c r="X1380" i="9"/>
  <c r="X1381" i="9"/>
  <c r="X1382" i="9"/>
  <c r="X1383" i="9"/>
  <c r="X1384" i="9"/>
  <c r="X1385" i="9"/>
  <c r="X1386" i="9"/>
  <c r="X1387" i="9"/>
  <c r="X1388" i="9"/>
  <c r="X1389" i="9"/>
  <c r="X1390" i="9"/>
  <c r="X1391" i="9"/>
  <c r="X1392" i="9"/>
  <c r="X1393" i="9"/>
  <c r="X1394" i="9"/>
  <c r="X1395" i="9"/>
  <c r="X1396" i="9"/>
  <c r="X1397" i="9"/>
  <c r="X1398" i="9"/>
  <c r="X1399" i="9"/>
  <c r="X1400" i="9"/>
  <c r="X1401" i="9"/>
  <c r="X1402" i="9"/>
  <c r="X1403" i="9"/>
  <c r="X1404" i="9"/>
  <c r="X1405" i="9"/>
  <c r="X1406" i="9"/>
  <c r="X1407" i="9"/>
  <c r="X1408" i="9"/>
  <c r="X1409" i="9"/>
  <c r="X1410" i="9"/>
  <c r="X1411" i="9"/>
  <c r="X1412" i="9"/>
  <c r="X1413" i="9"/>
  <c r="X1414" i="9"/>
  <c r="X1415" i="9"/>
  <c r="X1416" i="9"/>
  <c r="X1417" i="9"/>
  <c r="X1418" i="9"/>
  <c r="X1419" i="9"/>
  <c r="X1420" i="9"/>
  <c r="X1421" i="9"/>
  <c r="X1422" i="9"/>
  <c r="X1423" i="9"/>
  <c r="X1424" i="9"/>
  <c r="X1425" i="9"/>
  <c r="X1426" i="9"/>
  <c r="X1427" i="9"/>
  <c r="X1428" i="9"/>
  <c r="X1429" i="9"/>
  <c r="X1430" i="9"/>
  <c r="X1431" i="9"/>
  <c r="X1432" i="9"/>
  <c r="X1433" i="9"/>
  <c r="X1434" i="9"/>
  <c r="X1435" i="9"/>
  <c r="X1436" i="9"/>
  <c r="X1437" i="9"/>
  <c r="X1438" i="9"/>
  <c r="X1439" i="9"/>
  <c r="X1440" i="9"/>
  <c r="X1441" i="9"/>
  <c r="X1442" i="9"/>
  <c r="X1443" i="9"/>
  <c r="X1444" i="9"/>
  <c r="X1445" i="9"/>
  <c r="X1446" i="9"/>
  <c r="X1447" i="9"/>
  <c r="X1448" i="9"/>
  <c r="X1449" i="9"/>
  <c r="X1450" i="9"/>
  <c r="X1451" i="9"/>
  <c r="X1452" i="9"/>
  <c r="X1453" i="9"/>
  <c r="X1454" i="9"/>
  <c r="X1455" i="9"/>
  <c r="X1456" i="9"/>
  <c r="X1457" i="9"/>
  <c r="X1458" i="9"/>
  <c r="X1459" i="9"/>
  <c r="X1460" i="9"/>
  <c r="X1461" i="9"/>
  <c r="X1462" i="9"/>
  <c r="X1463" i="9"/>
  <c r="X1464" i="9"/>
  <c r="X1465" i="9"/>
  <c r="X1466" i="9"/>
  <c r="X1467" i="9"/>
  <c r="X1468" i="9"/>
  <c r="X1469" i="9"/>
  <c r="X1470" i="9"/>
  <c r="X1471" i="9"/>
  <c r="X1472" i="9"/>
  <c r="X1473" i="9"/>
  <c r="X1474" i="9"/>
  <c r="X1475" i="9"/>
  <c r="X1476" i="9"/>
  <c r="X1477" i="9"/>
  <c r="X1478" i="9"/>
  <c r="X1479" i="9"/>
  <c r="X1480" i="9"/>
  <c r="X1481" i="9"/>
  <c r="X1482" i="9"/>
  <c r="X1483" i="9"/>
  <c r="X1484" i="9"/>
  <c r="X1485" i="9"/>
  <c r="X1486" i="9"/>
  <c r="X1487" i="9"/>
  <c r="X1488" i="9"/>
  <c r="X1489" i="9"/>
  <c r="X1490" i="9"/>
  <c r="X1491" i="9"/>
  <c r="X1492" i="9"/>
  <c r="X1493" i="9"/>
  <c r="X1494" i="9"/>
  <c r="X1495" i="9"/>
  <c r="X1496" i="9"/>
  <c r="X1497" i="9"/>
  <c r="X1498" i="9"/>
  <c r="X1499" i="9"/>
  <c r="X1500" i="9"/>
  <c r="X1501" i="9"/>
  <c r="X1502" i="9"/>
  <c r="X1503" i="9"/>
  <c r="X1504" i="9"/>
  <c r="X1505" i="9"/>
  <c r="X1506" i="9"/>
  <c r="X1507" i="9"/>
  <c r="X1508" i="9"/>
  <c r="X1509" i="9"/>
  <c r="X1510" i="9"/>
  <c r="X1511" i="9"/>
  <c r="X1512" i="9"/>
  <c r="X1513" i="9"/>
  <c r="X1514" i="9"/>
  <c r="X1515" i="9"/>
  <c r="X1516" i="9"/>
  <c r="X1517" i="9"/>
  <c r="X1518" i="9"/>
  <c r="X1519" i="9"/>
  <c r="X1520" i="9"/>
  <c r="X1521" i="9"/>
  <c r="X1522" i="9"/>
  <c r="X1523" i="9"/>
  <c r="X1524" i="9"/>
  <c r="X1525" i="9"/>
  <c r="X1526" i="9"/>
  <c r="X1527" i="9"/>
  <c r="X1528" i="9"/>
  <c r="X1529" i="9"/>
  <c r="X1530" i="9"/>
  <c r="X1531" i="9"/>
  <c r="X1532" i="9"/>
  <c r="X1533" i="9"/>
  <c r="X1534" i="9"/>
  <c r="X1535" i="9"/>
  <c r="X1536" i="9"/>
  <c r="X1537" i="9"/>
  <c r="X1538" i="9"/>
  <c r="X1539" i="9"/>
  <c r="X1540" i="9"/>
  <c r="X1541" i="9"/>
  <c r="X1542" i="9"/>
  <c r="X1543" i="9"/>
  <c r="X1544" i="9"/>
  <c r="X1545" i="9"/>
  <c r="X1546" i="9"/>
  <c r="X1547" i="9"/>
  <c r="X1548" i="9"/>
  <c r="X1549" i="9"/>
  <c r="X1550" i="9"/>
  <c r="X1551" i="9"/>
  <c r="X1552" i="9"/>
  <c r="X1553" i="9"/>
  <c r="X1554" i="9"/>
  <c r="X1555" i="9"/>
  <c r="X1556" i="9"/>
  <c r="X1557" i="9"/>
  <c r="X1558" i="9"/>
  <c r="X1559" i="9"/>
  <c r="X1560" i="9"/>
  <c r="X1561" i="9"/>
  <c r="X1562" i="9"/>
  <c r="X1563" i="9"/>
  <c r="X1564" i="9"/>
  <c r="X1565" i="9"/>
  <c r="X1566" i="9"/>
  <c r="X1567" i="9"/>
  <c r="X1568" i="9"/>
  <c r="X1569" i="9"/>
  <c r="X1570" i="9"/>
  <c r="X1571" i="9"/>
  <c r="X1572" i="9"/>
  <c r="X1573" i="9"/>
  <c r="X1574" i="9"/>
  <c r="X1575" i="9"/>
  <c r="X1576" i="9"/>
  <c r="X1577" i="9"/>
  <c r="X1578" i="9"/>
  <c r="X1579" i="9"/>
  <c r="X1580" i="9"/>
  <c r="X1581" i="9"/>
  <c r="X1582" i="9"/>
  <c r="X1583" i="9"/>
  <c r="X1584" i="9"/>
  <c r="X1585" i="9"/>
  <c r="X1586" i="9"/>
  <c r="X1587" i="9"/>
  <c r="X1588" i="9"/>
  <c r="X1589" i="9"/>
  <c r="X1590" i="9"/>
  <c r="X1591" i="9"/>
  <c r="X1592" i="9"/>
  <c r="X1593" i="9"/>
  <c r="X1594" i="9"/>
  <c r="X1595" i="9"/>
  <c r="X1596" i="9"/>
  <c r="X1597" i="9"/>
  <c r="X1598" i="9"/>
  <c r="X1599" i="9"/>
  <c r="X1600" i="9"/>
  <c r="X1601" i="9"/>
  <c r="X1602" i="9"/>
  <c r="X1603" i="9"/>
  <c r="X1604" i="9"/>
  <c r="X1605" i="9"/>
  <c r="X1606" i="9"/>
  <c r="X1607" i="9"/>
  <c r="X1608" i="9"/>
  <c r="X1609" i="9"/>
  <c r="X1610" i="9"/>
  <c r="X1611" i="9"/>
  <c r="X1612" i="9"/>
  <c r="X1613" i="9"/>
  <c r="X1614" i="9"/>
  <c r="X1615" i="9"/>
  <c r="X1616" i="9"/>
  <c r="X1617" i="9"/>
  <c r="X1618" i="9"/>
  <c r="X1619" i="9"/>
  <c r="X1620" i="9"/>
  <c r="X1621" i="9"/>
  <c r="X1622" i="9"/>
  <c r="X1623" i="9"/>
  <c r="X1624" i="9"/>
  <c r="X1625" i="9"/>
  <c r="X1626" i="9"/>
  <c r="X5" i="9"/>
  <c r="D19" i="5"/>
  <c r="D18" i="5"/>
  <c r="D17" i="5"/>
  <c r="D16" i="5"/>
  <c r="D15" i="5"/>
  <c r="D14" i="5"/>
  <c r="D10" i="5"/>
  <c r="D9" i="5"/>
  <c r="D8" i="5"/>
  <c r="D7" i="5"/>
  <c r="D6" i="5"/>
  <c r="D5" i="5"/>
  <c r="U5" i="9"/>
  <c r="B18" i="20" s="1"/>
  <c r="V5" i="9"/>
  <c r="W5" i="9"/>
  <c r="W1626" i="9"/>
  <c r="Y1626" i="9" s="1" a="1"/>
  <c r="V1626" i="9"/>
  <c r="U1626" i="9"/>
  <c r="W1625" i="9"/>
  <c r="Y1625" i="9" s="1" a="1"/>
  <c r="V1625" i="9"/>
  <c r="U1625" i="9"/>
  <c r="W1624" i="9"/>
  <c r="Y1624" i="9" s="1" a="1"/>
  <c r="V1624" i="9"/>
  <c r="U1624" i="9"/>
  <c r="W1623" i="9"/>
  <c r="Y1623" i="9" s="1" a="1"/>
  <c r="V1623" i="9"/>
  <c r="U1623" i="9"/>
  <c r="W1622" i="9"/>
  <c r="Y1622" i="9" s="1" a="1"/>
  <c r="V1622" i="9"/>
  <c r="U1622" i="9"/>
  <c r="W1621" i="9"/>
  <c r="Y1621" i="9" s="1" a="1"/>
  <c r="V1621" i="9"/>
  <c r="U1621" i="9"/>
  <c r="W1620" i="9"/>
  <c r="Y1620" i="9" s="1" a="1"/>
  <c r="V1620" i="9"/>
  <c r="U1620" i="9"/>
  <c r="W1619" i="9"/>
  <c r="Y1619" i="9" s="1" a="1"/>
  <c r="V1619" i="9"/>
  <c r="U1619" i="9"/>
  <c r="W1618" i="9"/>
  <c r="Y1618" i="9" s="1" a="1"/>
  <c r="V1618" i="9"/>
  <c r="U1618" i="9"/>
  <c r="W1617" i="9"/>
  <c r="Y1617" i="9" s="1" a="1"/>
  <c r="V1617" i="9"/>
  <c r="U1617" i="9"/>
  <c r="W1616" i="9"/>
  <c r="Y1616" i="9" s="1" a="1"/>
  <c r="V1616" i="9"/>
  <c r="U1616" i="9"/>
  <c r="W1615" i="9"/>
  <c r="Y1615" i="9" s="1" a="1"/>
  <c r="V1615" i="9"/>
  <c r="U1615" i="9"/>
  <c r="W1614" i="9"/>
  <c r="Y1614" i="9" s="1" a="1"/>
  <c r="V1614" i="9"/>
  <c r="U1614" i="9"/>
  <c r="W1613" i="9"/>
  <c r="Y1613" i="9" s="1" a="1"/>
  <c r="V1613" i="9"/>
  <c r="U1613" i="9"/>
  <c r="W1612" i="9"/>
  <c r="Y1612" i="9" s="1" a="1"/>
  <c r="V1612" i="9"/>
  <c r="U1612" i="9"/>
  <c r="W1611" i="9"/>
  <c r="Y1611" i="9" s="1" a="1"/>
  <c r="V1611" i="9"/>
  <c r="U1611" i="9"/>
  <c r="W1610" i="9"/>
  <c r="Y1610" i="9" s="1" a="1"/>
  <c r="V1610" i="9"/>
  <c r="U1610" i="9"/>
  <c r="W1609" i="9"/>
  <c r="Y1609" i="9" s="1" a="1"/>
  <c r="V1609" i="9"/>
  <c r="U1609" i="9"/>
  <c r="W1608" i="9"/>
  <c r="Y1608" i="9" s="1" a="1"/>
  <c r="V1608" i="9"/>
  <c r="U1608" i="9"/>
  <c r="W1607" i="9"/>
  <c r="Y1607" i="9" s="1" a="1"/>
  <c r="V1607" i="9"/>
  <c r="U1607" i="9"/>
  <c r="W1606" i="9"/>
  <c r="Y1606" i="9" s="1" a="1"/>
  <c r="V1606" i="9"/>
  <c r="U1606" i="9"/>
  <c r="W1605" i="9"/>
  <c r="Y1605" i="9" s="1" a="1"/>
  <c r="V1605" i="9"/>
  <c r="U1605" i="9"/>
  <c r="W1604" i="9"/>
  <c r="Y1604" i="9" s="1" a="1"/>
  <c r="V1604" i="9"/>
  <c r="U1604" i="9"/>
  <c r="W1603" i="9"/>
  <c r="Y1603" i="9" s="1" a="1"/>
  <c r="V1603" i="9"/>
  <c r="U1603" i="9"/>
  <c r="W1602" i="9"/>
  <c r="Y1602" i="9" s="1" a="1"/>
  <c r="V1602" i="9"/>
  <c r="U1602" i="9"/>
  <c r="W1601" i="9"/>
  <c r="Y1601" i="9" s="1" a="1"/>
  <c r="V1601" i="9"/>
  <c r="U1601" i="9"/>
  <c r="W1600" i="9"/>
  <c r="Y1600" i="9" s="1" a="1"/>
  <c r="V1600" i="9"/>
  <c r="U1600" i="9"/>
  <c r="W1599" i="9"/>
  <c r="Y1599" i="9" s="1" a="1"/>
  <c r="V1599" i="9"/>
  <c r="U1599" i="9"/>
  <c r="W1598" i="9"/>
  <c r="Y1598" i="9" s="1" a="1"/>
  <c r="V1598" i="9"/>
  <c r="U1598" i="9"/>
  <c r="W1597" i="9"/>
  <c r="Y1597" i="9" s="1" a="1"/>
  <c r="V1597" i="9"/>
  <c r="U1597" i="9"/>
  <c r="W1596" i="9"/>
  <c r="Y1596" i="9" s="1" a="1"/>
  <c r="V1596" i="9"/>
  <c r="U1596" i="9"/>
  <c r="W1595" i="9"/>
  <c r="Y1595" i="9" s="1" a="1"/>
  <c r="V1595" i="9"/>
  <c r="U1595" i="9"/>
  <c r="W1594" i="9"/>
  <c r="Y1594" i="9" s="1" a="1"/>
  <c r="V1594" i="9"/>
  <c r="U1594" i="9"/>
  <c r="W1593" i="9"/>
  <c r="Y1593" i="9" s="1" a="1"/>
  <c r="V1593" i="9"/>
  <c r="U1593" i="9"/>
  <c r="W1592" i="9"/>
  <c r="Y1592" i="9" s="1" a="1"/>
  <c r="V1592" i="9"/>
  <c r="U1592" i="9"/>
  <c r="W1591" i="9"/>
  <c r="Y1591" i="9" s="1" a="1"/>
  <c r="V1591" i="9"/>
  <c r="U1591" i="9"/>
  <c r="W1590" i="9"/>
  <c r="Y1590" i="9" s="1" a="1"/>
  <c r="V1590" i="9"/>
  <c r="U1590" i="9"/>
  <c r="W1589" i="9"/>
  <c r="Y1589" i="9" s="1" a="1"/>
  <c r="V1589" i="9"/>
  <c r="U1589" i="9"/>
  <c r="W1588" i="9"/>
  <c r="Y1588" i="9" s="1" a="1"/>
  <c r="V1588" i="9"/>
  <c r="U1588" i="9"/>
  <c r="W1587" i="9"/>
  <c r="Y1587" i="9" s="1" a="1"/>
  <c r="V1587" i="9"/>
  <c r="U1587" i="9"/>
  <c r="W1586" i="9"/>
  <c r="Y1586" i="9" s="1" a="1"/>
  <c r="V1586" i="9"/>
  <c r="U1586" i="9"/>
  <c r="W1585" i="9"/>
  <c r="Y1585" i="9" s="1" a="1"/>
  <c r="V1585" i="9"/>
  <c r="U1585" i="9"/>
  <c r="W1584" i="9"/>
  <c r="Y1584" i="9" s="1" a="1"/>
  <c r="V1584" i="9"/>
  <c r="U1584" i="9"/>
  <c r="W1583" i="9"/>
  <c r="Y1583" i="9" s="1" a="1"/>
  <c r="V1583" i="9"/>
  <c r="U1583" i="9"/>
  <c r="W1582" i="9"/>
  <c r="Y1582" i="9" s="1" a="1"/>
  <c r="V1582" i="9"/>
  <c r="U1582" i="9"/>
  <c r="W1581" i="9"/>
  <c r="Y1581" i="9" s="1" a="1"/>
  <c r="V1581" i="9"/>
  <c r="U1581" i="9"/>
  <c r="W1580" i="9"/>
  <c r="Y1580" i="9" s="1" a="1"/>
  <c r="V1580" i="9"/>
  <c r="U1580" i="9"/>
  <c r="W1579" i="9"/>
  <c r="Y1579" i="9" s="1" a="1"/>
  <c r="V1579" i="9"/>
  <c r="U1579" i="9"/>
  <c r="W1578" i="9"/>
  <c r="Y1578" i="9" s="1" a="1"/>
  <c r="V1578" i="9"/>
  <c r="U1578" i="9"/>
  <c r="W1577" i="9"/>
  <c r="Y1577" i="9" s="1" a="1"/>
  <c r="V1577" i="9"/>
  <c r="U1577" i="9"/>
  <c r="W1576" i="9"/>
  <c r="Y1576" i="9" s="1" a="1"/>
  <c r="V1576" i="9"/>
  <c r="U1576" i="9"/>
  <c r="W1575" i="9"/>
  <c r="Y1575" i="9" s="1" a="1"/>
  <c r="V1575" i="9"/>
  <c r="U1575" i="9"/>
  <c r="W1574" i="9"/>
  <c r="Y1574" i="9" s="1" a="1"/>
  <c r="V1574" i="9"/>
  <c r="U1574" i="9"/>
  <c r="W1573" i="9"/>
  <c r="Y1573" i="9" s="1" a="1"/>
  <c r="V1573" i="9"/>
  <c r="U1573" i="9"/>
  <c r="W1572" i="9"/>
  <c r="Y1572" i="9" s="1" a="1"/>
  <c r="V1572" i="9"/>
  <c r="U1572" i="9"/>
  <c r="W1571" i="9"/>
  <c r="Y1571" i="9" s="1" a="1"/>
  <c r="V1571" i="9"/>
  <c r="U1571" i="9"/>
  <c r="W1570" i="9"/>
  <c r="Y1570" i="9" s="1" a="1"/>
  <c r="V1570" i="9"/>
  <c r="U1570" i="9"/>
  <c r="W1569" i="9"/>
  <c r="Y1569" i="9" s="1" a="1"/>
  <c r="V1569" i="9"/>
  <c r="U1569" i="9"/>
  <c r="W1568" i="9"/>
  <c r="Y1568" i="9" s="1" a="1"/>
  <c r="V1568" i="9"/>
  <c r="U1568" i="9"/>
  <c r="W1567" i="9"/>
  <c r="Y1567" i="9" s="1" a="1"/>
  <c r="V1567" i="9"/>
  <c r="U1567" i="9"/>
  <c r="W1566" i="9"/>
  <c r="Y1566" i="9" s="1" a="1"/>
  <c r="V1566" i="9"/>
  <c r="U1566" i="9"/>
  <c r="W1565" i="9"/>
  <c r="Y1565" i="9" s="1" a="1"/>
  <c r="V1565" i="9"/>
  <c r="U1565" i="9"/>
  <c r="W1564" i="9"/>
  <c r="Y1564" i="9" s="1" a="1"/>
  <c r="V1564" i="9"/>
  <c r="U1564" i="9"/>
  <c r="W1563" i="9"/>
  <c r="Y1563" i="9" s="1" a="1"/>
  <c r="V1563" i="9"/>
  <c r="U1563" i="9"/>
  <c r="W1562" i="9"/>
  <c r="Y1562" i="9" s="1" a="1"/>
  <c r="V1562" i="9"/>
  <c r="U1562" i="9"/>
  <c r="W1561" i="9"/>
  <c r="Y1561" i="9" s="1" a="1"/>
  <c r="V1561" i="9"/>
  <c r="U1561" i="9"/>
  <c r="W1560" i="9"/>
  <c r="Y1560" i="9" s="1" a="1"/>
  <c r="V1560" i="9"/>
  <c r="U1560" i="9"/>
  <c r="W1559" i="9"/>
  <c r="Y1559" i="9" s="1" a="1"/>
  <c r="V1559" i="9"/>
  <c r="U1559" i="9"/>
  <c r="W1558" i="9"/>
  <c r="Y1558" i="9" s="1" a="1"/>
  <c r="V1558" i="9"/>
  <c r="U1558" i="9"/>
  <c r="W1557" i="9"/>
  <c r="Y1557" i="9" s="1" a="1"/>
  <c r="V1557" i="9"/>
  <c r="U1557" i="9"/>
  <c r="W1556" i="9"/>
  <c r="Y1556" i="9" s="1" a="1"/>
  <c r="V1556" i="9"/>
  <c r="U1556" i="9"/>
  <c r="W1555" i="9"/>
  <c r="Y1555" i="9" s="1" a="1"/>
  <c r="V1555" i="9"/>
  <c r="U1555" i="9"/>
  <c r="W1554" i="9"/>
  <c r="Y1554" i="9" s="1" a="1"/>
  <c r="V1554" i="9"/>
  <c r="U1554" i="9"/>
  <c r="W1553" i="9"/>
  <c r="Y1553" i="9" s="1" a="1"/>
  <c r="V1553" i="9"/>
  <c r="U1553" i="9"/>
  <c r="W1552" i="9"/>
  <c r="Y1552" i="9" s="1" a="1"/>
  <c r="V1552" i="9"/>
  <c r="U1552" i="9"/>
  <c r="W1551" i="9"/>
  <c r="Y1551" i="9" s="1" a="1"/>
  <c r="V1551" i="9"/>
  <c r="U1551" i="9"/>
  <c r="W1550" i="9"/>
  <c r="Y1550" i="9" s="1" a="1"/>
  <c r="V1550" i="9"/>
  <c r="U1550" i="9"/>
  <c r="W1549" i="9"/>
  <c r="Y1549" i="9" s="1" a="1"/>
  <c r="V1549" i="9"/>
  <c r="U1549" i="9"/>
  <c r="W1548" i="9"/>
  <c r="Y1548" i="9" s="1" a="1"/>
  <c r="V1548" i="9"/>
  <c r="U1548" i="9"/>
  <c r="W1547" i="9"/>
  <c r="Y1547" i="9" s="1" a="1"/>
  <c r="V1547" i="9"/>
  <c r="U1547" i="9"/>
  <c r="W1546" i="9"/>
  <c r="Y1546" i="9" s="1" a="1"/>
  <c r="V1546" i="9"/>
  <c r="U1546" i="9"/>
  <c r="W1545" i="9"/>
  <c r="Y1545" i="9" s="1" a="1"/>
  <c r="V1545" i="9"/>
  <c r="U1545" i="9"/>
  <c r="W1544" i="9"/>
  <c r="Y1544" i="9" s="1" a="1"/>
  <c r="V1544" i="9"/>
  <c r="U1544" i="9"/>
  <c r="W1543" i="9"/>
  <c r="Y1543" i="9" s="1" a="1"/>
  <c r="V1543" i="9"/>
  <c r="U1543" i="9"/>
  <c r="W1542" i="9"/>
  <c r="Y1542" i="9" s="1" a="1"/>
  <c r="V1542" i="9"/>
  <c r="U1542" i="9"/>
  <c r="W1541" i="9"/>
  <c r="Y1541" i="9" s="1" a="1"/>
  <c r="V1541" i="9"/>
  <c r="U1541" i="9"/>
  <c r="W1540" i="9"/>
  <c r="Y1540" i="9" s="1" a="1"/>
  <c r="V1540" i="9"/>
  <c r="U1540" i="9"/>
  <c r="W1539" i="9"/>
  <c r="Y1539" i="9" s="1" a="1"/>
  <c r="V1539" i="9"/>
  <c r="U1539" i="9"/>
  <c r="W1538" i="9"/>
  <c r="Y1538" i="9" s="1" a="1"/>
  <c r="V1538" i="9"/>
  <c r="U1538" i="9"/>
  <c r="W1537" i="9"/>
  <c r="Y1537" i="9" s="1" a="1"/>
  <c r="V1537" i="9"/>
  <c r="U1537" i="9"/>
  <c r="W1536" i="9"/>
  <c r="Y1536" i="9" s="1" a="1"/>
  <c r="V1536" i="9"/>
  <c r="U1536" i="9"/>
  <c r="W1535" i="9"/>
  <c r="Y1535" i="9" s="1" a="1"/>
  <c r="V1535" i="9"/>
  <c r="U1535" i="9"/>
  <c r="W1534" i="9"/>
  <c r="Y1534" i="9" s="1" a="1"/>
  <c r="V1534" i="9"/>
  <c r="U1534" i="9"/>
  <c r="W1533" i="9"/>
  <c r="Y1533" i="9" s="1" a="1"/>
  <c r="V1533" i="9"/>
  <c r="U1533" i="9"/>
  <c r="W1532" i="9"/>
  <c r="Y1532" i="9" s="1" a="1"/>
  <c r="V1532" i="9"/>
  <c r="U1532" i="9"/>
  <c r="W1531" i="9"/>
  <c r="Y1531" i="9" s="1" a="1"/>
  <c r="V1531" i="9"/>
  <c r="U1531" i="9"/>
  <c r="W1530" i="9"/>
  <c r="Y1530" i="9" s="1" a="1"/>
  <c r="V1530" i="9"/>
  <c r="U1530" i="9"/>
  <c r="W1529" i="9"/>
  <c r="Y1529" i="9" s="1" a="1"/>
  <c r="V1529" i="9"/>
  <c r="U1529" i="9"/>
  <c r="W1528" i="9"/>
  <c r="Y1528" i="9" s="1" a="1"/>
  <c r="V1528" i="9"/>
  <c r="U1528" i="9"/>
  <c r="W1527" i="9"/>
  <c r="Y1527" i="9" s="1" a="1"/>
  <c r="V1527" i="9"/>
  <c r="U1527" i="9"/>
  <c r="W1526" i="9"/>
  <c r="Y1526" i="9" s="1" a="1"/>
  <c r="V1526" i="9"/>
  <c r="U1526" i="9"/>
  <c r="W1525" i="9"/>
  <c r="Y1525" i="9" s="1" a="1"/>
  <c r="V1525" i="9"/>
  <c r="U1525" i="9"/>
  <c r="W1524" i="9"/>
  <c r="Y1524" i="9" s="1" a="1"/>
  <c r="V1524" i="9"/>
  <c r="U1524" i="9"/>
  <c r="W1523" i="9"/>
  <c r="Y1523" i="9" s="1" a="1"/>
  <c r="V1523" i="9"/>
  <c r="U1523" i="9"/>
  <c r="W1522" i="9"/>
  <c r="Y1522" i="9" s="1" a="1"/>
  <c r="V1522" i="9"/>
  <c r="U1522" i="9"/>
  <c r="W1521" i="9"/>
  <c r="Y1521" i="9" s="1" a="1"/>
  <c r="V1521" i="9"/>
  <c r="U1521" i="9"/>
  <c r="W1520" i="9"/>
  <c r="Y1520" i="9" s="1" a="1"/>
  <c r="V1520" i="9"/>
  <c r="U1520" i="9"/>
  <c r="W1519" i="9"/>
  <c r="Y1519" i="9" s="1" a="1"/>
  <c r="V1519" i="9"/>
  <c r="U1519" i="9"/>
  <c r="W1518" i="9"/>
  <c r="Y1518" i="9" s="1" a="1"/>
  <c r="V1518" i="9"/>
  <c r="U1518" i="9"/>
  <c r="W1517" i="9"/>
  <c r="Y1517" i="9" s="1" a="1"/>
  <c r="V1517" i="9"/>
  <c r="U1517" i="9"/>
  <c r="W1516" i="9"/>
  <c r="Y1516" i="9" s="1" a="1"/>
  <c r="V1516" i="9"/>
  <c r="U1516" i="9"/>
  <c r="W1515" i="9"/>
  <c r="Y1515" i="9" s="1" a="1"/>
  <c r="V1515" i="9"/>
  <c r="U1515" i="9"/>
  <c r="W1514" i="9"/>
  <c r="Y1514" i="9" s="1" a="1"/>
  <c r="V1514" i="9"/>
  <c r="U1514" i="9"/>
  <c r="W1513" i="9"/>
  <c r="Y1513" i="9" s="1" a="1"/>
  <c r="V1513" i="9"/>
  <c r="U1513" i="9"/>
  <c r="W1512" i="9"/>
  <c r="Y1512" i="9" s="1" a="1"/>
  <c r="V1512" i="9"/>
  <c r="U1512" i="9"/>
  <c r="W1511" i="9"/>
  <c r="Y1511" i="9" s="1" a="1"/>
  <c r="V1511" i="9"/>
  <c r="U1511" i="9"/>
  <c r="W1510" i="9"/>
  <c r="Y1510" i="9" s="1" a="1"/>
  <c r="V1510" i="9"/>
  <c r="U1510" i="9"/>
  <c r="W1509" i="9"/>
  <c r="Y1509" i="9" s="1" a="1"/>
  <c r="V1509" i="9"/>
  <c r="U1509" i="9"/>
  <c r="W1508" i="9"/>
  <c r="Y1508" i="9" s="1" a="1"/>
  <c r="V1508" i="9"/>
  <c r="U1508" i="9"/>
  <c r="W1507" i="9"/>
  <c r="Y1507" i="9" s="1" a="1"/>
  <c r="V1507" i="9"/>
  <c r="U1507" i="9"/>
  <c r="W1506" i="9"/>
  <c r="Y1506" i="9" s="1" a="1"/>
  <c r="V1506" i="9"/>
  <c r="U1506" i="9"/>
  <c r="W1505" i="9"/>
  <c r="Y1505" i="9" s="1" a="1"/>
  <c r="V1505" i="9"/>
  <c r="U1505" i="9"/>
  <c r="W1504" i="9"/>
  <c r="Y1504" i="9" s="1" a="1"/>
  <c r="V1504" i="9"/>
  <c r="U1504" i="9"/>
  <c r="W1503" i="9"/>
  <c r="Y1503" i="9" s="1" a="1"/>
  <c r="V1503" i="9"/>
  <c r="U1503" i="9"/>
  <c r="W1502" i="9"/>
  <c r="Y1502" i="9" s="1" a="1"/>
  <c r="V1502" i="9"/>
  <c r="U1502" i="9"/>
  <c r="W1501" i="9"/>
  <c r="Y1501" i="9" s="1" a="1"/>
  <c r="V1501" i="9"/>
  <c r="U1501" i="9"/>
  <c r="W1500" i="9"/>
  <c r="Y1500" i="9" s="1" a="1"/>
  <c r="V1500" i="9"/>
  <c r="U1500" i="9"/>
  <c r="W1499" i="9"/>
  <c r="Y1499" i="9" s="1" a="1"/>
  <c r="V1499" i="9"/>
  <c r="U1499" i="9"/>
  <c r="W1498" i="9"/>
  <c r="Y1498" i="9" s="1" a="1"/>
  <c r="V1498" i="9"/>
  <c r="U1498" i="9"/>
  <c r="W1497" i="9"/>
  <c r="Y1497" i="9" s="1" a="1"/>
  <c r="V1497" i="9"/>
  <c r="U1497" i="9"/>
  <c r="W1496" i="9"/>
  <c r="Y1496" i="9" s="1" a="1"/>
  <c r="V1496" i="9"/>
  <c r="U1496" i="9"/>
  <c r="W1495" i="9"/>
  <c r="Y1495" i="9" s="1" a="1"/>
  <c r="V1495" i="9"/>
  <c r="U1495" i="9"/>
  <c r="W1494" i="9"/>
  <c r="Y1494" i="9" s="1" a="1"/>
  <c r="V1494" i="9"/>
  <c r="U1494" i="9"/>
  <c r="W1493" i="9"/>
  <c r="Y1493" i="9" s="1" a="1"/>
  <c r="V1493" i="9"/>
  <c r="U1493" i="9"/>
  <c r="W1492" i="9"/>
  <c r="Y1492" i="9" s="1" a="1"/>
  <c r="V1492" i="9"/>
  <c r="U1492" i="9"/>
  <c r="W1491" i="9"/>
  <c r="Y1491" i="9" s="1" a="1"/>
  <c r="V1491" i="9"/>
  <c r="U1491" i="9"/>
  <c r="W1490" i="9"/>
  <c r="Y1490" i="9" s="1" a="1"/>
  <c r="V1490" i="9"/>
  <c r="U1490" i="9"/>
  <c r="W1489" i="9"/>
  <c r="Y1489" i="9" s="1" a="1"/>
  <c r="V1489" i="9"/>
  <c r="U1489" i="9"/>
  <c r="W1488" i="9"/>
  <c r="Y1488" i="9" s="1" a="1"/>
  <c r="V1488" i="9"/>
  <c r="U1488" i="9"/>
  <c r="W1487" i="9"/>
  <c r="Y1487" i="9" s="1" a="1"/>
  <c r="V1487" i="9"/>
  <c r="U1487" i="9"/>
  <c r="W1486" i="9"/>
  <c r="Y1486" i="9" s="1" a="1"/>
  <c r="V1486" i="9"/>
  <c r="U1486" i="9"/>
  <c r="W1485" i="9"/>
  <c r="Y1485" i="9" s="1" a="1"/>
  <c r="V1485" i="9"/>
  <c r="U1485" i="9"/>
  <c r="W1484" i="9"/>
  <c r="Y1484" i="9" s="1" a="1"/>
  <c r="V1484" i="9"/>
  <c r="U1484" i="9"/>
  <c r="W1483" i="9"/>
  <c r="Y1483" i="9" s="1" a="1"/>
  <c r="V1483" i="9"/>
  <c r="U1483" i="9"/>
  <c r="W1482" i="9"/>
  <c r="Y1482" i="9" s="1" a="1"/>
  <c r="V1482" i="9"/>
  <c r="U1482" i="9"/>
  <c r="W1481" i="9"/>
  <c r="Y1481" i="9" s="1" a="1"/>
  <c r="V1481" i="9"/>
  <c r="U1481" i="9"/>
  <c r="W1480" i="9"/>
  <c r="Y1480" i="9" s="1" a="1"/>
  <c r="V1480" i="9"/>
  <c r="U1480" i="9"/>
  <c r="W1479" i="9"/>
  <c r="Y1479" i="9" s="1" a="1"/>
  <c r="V1479" i="9"/>
  <c r="U1479" i="9"/>
  <c r="W1478" i="9"/>
  <c r="Y1478" i="9" s="1" a="1"/>
  <c r="V1478" i="9"/>
  <c r="U1478" i="9"/>
  <c r="W1477" i="9"/>
  <c r="Y1477" i="9" s="1" a="1"/>
  <c r="V1477" i="9"/>
  <c r="U1477" i="9"/>
  <c r="W1476" i="9"/>
  <c r="Y1476" i="9" s="1" a="1"/>
  <c r="V1476" i="9"/>
  <c r="U1476" i="9"/>
  <c r="W1475" i="9"/>
  <c r="Y1475" i="9" s="1" a="1"/>
  <c r="V1475" i="9"/>
  <c r="U1475" i="9"/>
  <c r="W1474" i="9"/>
  <c r="Y1474" i="9" s="1" a="1"/>
  <c r="V1474" i="9"/>
  <c r="U1474" i="9"/>
  <c r="W1473" i="9"/>
  <c r="Y1473" i="9" s="1" a="1"/>
  <c r="V1473" i="9"/>
  <c r="U1473" i="9"/>
  <c r="W1472" i="9"/>
  <c r="Y1472" i="9" s="1" a="1"/>
  <c r="V1472" i="9"/>
  <c r="U1472" i="9"/>
  <c r="W1471" i="9"/>
  <c r="Y1471" i="9" s="1" a="1"/>
  <c r="V1471" i="9"/>
  <c r="U1471" i="9"/>
  <c r="W1470" i="9"/>
  <c r="Y1470" i="9" s="1" a="1"/>
  <c r="V1470" i="9"/>
  <c r="U1470" i="9"/>
  <c r="W1469" i="9"/>
  <c r="Y1469" i="9" s="1" a="1"/>
  <c r="V1469" i="9"/>
  <c r="U1469" i="9"/>
  <c r="W1468" i="9"/>
  <c r="Y1468" i="9" s="1" a="1"/>
  <c r="V1468" i="9"/>
  <c r="U1468" i="9"/>
  <c r="W1467" i="9"/>
  <c r="Y1467" i="9" s="1" a="1"/>
  <c r="V1467" i="9"/>
  <c r="U1467" i="9"/>
  <c r="W1466" i="9"/>
  <c r="Y1466" i="9" s="1" a="1"/>
  <c r="V1466" i="9"/>
  <c r="U1466" i="9"/>
  <c r="W1465" i="9"/>
  <c r="Y1465" i="9" s="1" a="1"/>
  <c r="V1465" i="9"/>
  <c r="U1465" i="9"/>
  <c r="W1464" i="9"/>
  <c r="Y1464" i="9" s="1" a="1"/>
  <c r="V1464" i="9"/>
  <c r="U1464" i="9"/>
  <c r="W1463" i="9"/>
  <c r="Y1463" i="9" s="1" a="1"/>
  <c r="V1463" i="9"/>
  <c r="U1463" i="9"/>
  <c r="W1462" i="9"/>
  <c r="Y1462" i="9" s="1" a="1"/>
  <c r="V1462" i="9"/>
  <c r="U1462" i="9"/>
  <c r="W1461" i="9"/>
  <c r="Y1461" i="9" s="1" a="1"/>
  <c r="V1461" i="9"/>
  <c r="U1461" i="9"/>
  <c r="W1460" i="9"/>
  <c r="Y1460" i="9" s="1" a="1"/>
  <c r="V1460" i="9"/>
  <c r="U1460" i="9"/>
  <c r="W1459" i="9"/>
  <c r="Y1459" i="9" s="1" a="1"/>
  <c r="V1459" i="9"/>
  <c r="U1459" i="9"/>
  <c r="W1458" i="9"/>
  <c r="Y1458" i="9" s="1" a="1"/>
  <c r="V1458" i="9"/>
  <c r="U1458" i="9"/>
  <c r="W1457" i="9"/>
  <c r="Y1457" i="9" s="1" a="1"/>
  <c r="V1457" i="9"/>
  <c r="U1457" i="9"/>
  <c r="W1456" i="9"/>
  <c r="Y1456" i="9" s="1" a="1"/>
  <c r="V1456" i="9"/>
  <c r="U1456" i="9"/>
  <c r="W1455" i="9"/>
  <c r="Y1455" i="9" s="1" a="1"/>
  <c r="V1455" i="9"/>
  <c r="U1455" i="9"/>
  <c r="W1454" i="9"/>
  <c r="Y1454" i="9" s="1" a="1"/>
  <c r="V1454" i="9"/>
  <c r="U1454" i="9"/>
  <c r="W1453" i="9"/>
  <c r="Y1453" i="9" s="1" a="1"/>
  <c r="V1453" i="9"/>
  <c r="U1453" i="9"/>
  <c r="W1452" i="9"/>
  <c r="Y1452" i="9" s="1" a="1"/>
  <c r="V1452" i="9"/>
  <c r="U1452" i="9"/>
  <c r="W1451" i="9"/>
  <c r="Y1451" i="9" s="1" a="1"/>
  <c r="V1451" i="9"/>
  <c r="U1451" i="9"/>
  <c r="W1450" i="9"/>
  <c r="Y1450" i="9" s="1" a="1"/>
  <c r="V1450" i="9"/>
  <c r="U1450" i="9"/>
  <c r="W1449" i="9"/>
  <c r="Y1449" i="9" s="1" a="1"/>
  <c r="V1449" i="9"/>
  <c r="U1449" i="9"/>
  <c r="W1448" i="9"/>
  <c r="Y1448" i="9" s="1" a="1"/>
  <c r="V1448" i="9"/>
  <c r="U1448" i="9"/>
  <c r="W1447" i="9"/>
  <c r="Y1447" i="9" s="1" a="1"/>
  <c r="V1447" i="9"/>
  <c r="U1447" i="9"/>
  <c r="W1446" i="9"/>
  <c r="Y1446" i="9" s="1" a="1"/>
  <c r="V1446" i="9"/>
  <c r="U1446" i="9"/>
  <c r="W1445" i="9"/>
  <c r="Y1445" i="9" s="1" a="1"/>
  <c r="V1445" i="9"/>
  <c r="U1445" i="9"/>
  <c r="W1444" i="9"/>
  <c r="Y1444" i="9" s="1" a="1"/>
  <c r="V1444" i="9"/>
  <c r="U1444" i="9"/>
  <c r="W1443" i="9"/>
  <c r="Y1443" i="9" s="1" a="1"/>
  <c r="V1443" i="9"/>
  <c r="U1443" i="9"/>
  <c r="W1442" i="9"/>
  <c r="Y1442" i="9" s="1" a="1"/>
  <c r="V1442" i="9"/>
  <c r="U1442" i="9"/>
  <c r="W1441" i="9"/>
  <c r="Y1441" i="9" s="1" a="1"/>
  <c r="V1441" i="9"/>
  <c r="U1441" i="9"/>
  <c r="W1440" i="9"/>
  <c r="Y1440" i="9" s="1" a="1"/>
  <c r="V1440" i="9"/>
  <c r="U1440" i="9"/>
  <c r="W1439" i="9"/>
  <c r="Y1439" i="9" s="1" a="1"/>
  <c r="V1439" i="9"/>
  <c r="U1439" i="9"/>
  <c r="W1438" i="9"/>
  <c r="Y1438" i="9" s="1" a="1"/>
  <c r="V1438" i="9"/>
  <c r="U1438" i="9"/>
  <c r="W1437" i="9"/>
  <c r="Y1437" i="9" s="1" a="1"/>
  <c r="V1437" i="9"/>
  <c r="U1437" i="9"/>
  <c r="W1436" i="9"/>
  <c r="Y1436" i="9" s="1" a="1"/>
  <c r="V1436" i="9"/>
  <c r="U1436" i="9"/>
  <c r="W1435" i="9"/>
  <c r="Y1435" i="9" s="1" a="1"/>
  <c r="V1435" i="9"/>
  <c r="U1435" i="9"/>
  <c r="W1434" i="9"/>
  <c r="Y1434" i="9" s="1" a="1"/>
  <c r="V1434" i="9"/>
  <c r="U1434" i="9"/>
  <c r="W1433" i="9"/>
  <c r="Y1433" i="9" s="1" a="1"/>
  <c r="V1433" i="9"/>
  <c r="U1433" i="9"/>
  <c r="W1432" i="9"/>
  <c r="Y1432" i="9" s="1" a="1"/>
  <c r="V1432" i="9"/>
  <c r="U1432" i="9"/>
  <c r="W1431" i="9"/>
  <c r="Y1431" i="9" s="1" a="1"/>
  <c r="V1431" i="9"/>
  <c r="U1431" i="9"/>
  <c r="W1430" i="9"/>
  <c r="Y1430" i="9" s="1" a="1"/>
  <c r="V1430" i="9"/>
  <c r="U1430" i="9"/>
  <c r="W1429" i="9"/>
  <c r="Y1429" i="9" s="1" a="1"/>
  <c r="V1429" i="9"/>
  <c r="U1429" i="9"/>
  <c r="W1428" i="9"/>
  <c r="Y1428" i="9" s="1" a="1"/>
  <c r="V1428" i="9"/>
  <c r="U1428" i="9"/>
  <c r="W1427" i="9"/>
  <c r="Y1427" i="9" s="1" a="1"/>
  <c r="V1427" i="9"/>
  <c r="U1427" i="9"/>
  <c r="W1426" i="9"/>
  <c r="Y1426" i="9" s="1" a="1"/>
  <c r="V1426" i="9"/>
  <c r="U1426" i="9"/>
  <c r="W1425" i="9"/>
  <c r="Y1425" i="9" s="1" a="1"/>
  <c r="V1425" i="9"/>
  <c r="U1425" i="9"/>
  <c r="W1424" i="9"/>
  <c r="Y1424" i="9" s="1" a="1"/>
  <c r="V1424" i="9"/>
  <c r="U1424" i="9"/>
  <c r="W1423" i="9"/>
  <c r="Y1423" i="9" s="1" a="1"/>
  <c r="V1423" i="9"/>
  <c r="U1423" i="9"/>
  <c r="W1422" i="9"/>
  <c r="Y1422" i="9" s="1" a="1"/>
  <c r="V1422" i="9"/>
  <c r="U1422" i="9"/>
  <c r="W1421" i="9"/>
  <c r="Y1421" i="9" s="1" a="1"/>
  <c r="V1421" i="9"/>
  <c r="U1421" i="9"/>
  <c r="W1420" i="9"/>
  <c r="Y1420" i="9" s="1" a="1"/>
  <c r="V1420" i="9"/>
  <c r="U1420" i="9"/>
  <c r="W1419" i="9"/>
  <c r="Y1419" i="9" s="1" a="1"/>
  <c r="V1419" i="9"/>
  <c r="U1419" i="9"/>
  <c r="W1418" i="9"/>
  <c r="Y1418" i="9" s="1" a="1"/>
  <c r="V1418" i="9"/>
  <c r="U1418" i="9"/>
  <c r="W1417" i="9"/>
  <c r="Y1417" i="9" s="1" a="1"/>
  <c r="V1417" i="9"/>
  <c r="U1417" i="9"/>
  <c r="W1416" i="9"/>
  <c r="Y1416" i="9" s="1" a="1"/>
  <c r="V1416" i="9"/>
  <c r="U1416" i="9"/>
  <c r="W1415" i="9"/>
  <c r="Y1415" i="9" s="1" a="1"/>
  <c r="V1415" i="9"/>
  <c r="U1415" i="9"/>
  <c r="W1414" i="9"/>
  <c r="Y1414" i="9" s="1" a="1"/>
  <c r="V1414" i="9"/>
  <c r="U1414" i="9"/>
  <c r="W1413" i="9"/>
  <c r="Y1413" i="9" s="1" a="1"/>
  <c r="V1413" i="9"/>
  <c r="U1413" i="9"/>
  <c r="W1412" i="9"/>
  <c r="Y1412" i="9" s="1" a="1"/>
  <c r="V1412" i="9"/>
  <c r="U1412" i="9"/>
  <c r="W1411" i="9"/>
  <c r="Y1411" i="9" s="1" a="1"/>
  <c r="V1411" i="9"/>
  <c r="U1411" i="9"/>
  <c r="W1410" i="9"/>
  <c r="Y1410" i="9" s="1" a="1"/>
  <c r="V1410" i="9"/>
  <c r="U1410" i="9"/>
  <c r="W1409" i="9"/>
  <c r="Y1409" i="9" s="1" a="1"/>
  <c r="V1409" i="9"/>
  <c r="U1409" i="9"/>
  <c r="W1408" i="9"/>
  <c r="Y1408" i="9" s="1" a="1"/>
  <c r="V1408" i="9"/>
  <c r="U1408" i="9"/>
  <c r="W1407" i="9"/>
  <c r="Y1407" i="9" s="1" a="1"/>
  <c r="V1407" i="9"/>
  <c r="U1407" i="9"/>
  <c r="W1406" i="9"/>
  <c r="Y1406" i="9" s="1" a="1"/>
  <c r="V1406" i="9"/>
  <c r="U1406" i="9"/>
  <c r="W1405" i="9"/>
  <c r="Y1405" i="9" s="1" a="1"/>
  <c r="V1405" i="9"/>
  <c r="U1405" i="9"/>
  <c r="W1404" i="9"/>
  <c r="Y1404" i="9" s="1" a="1"/>
  <c r="V1404" i="9"/>
  <c r="U1404" i="9"/>
  <c r="W1403" i="9"/>
  <c r="Y1403" i="9" s="1" a="1"/>
  <c r="V1403" i="9"/>
  <c r="U1403" i="9"/>
  <c r="W1402" i="9"/>
  <c r="Y1402" i="9" s="1" a="1"/>
  <c r="V1402" i="9"/>
  <c r="U1402" i="9"/>
  <c r="W1401" i="9"/>
  <c r="Y1401" i="9" s="1" a="1"/>
  <c r="V1401" i="9"/>
  <c r="U1401" i="9"/>
  <c r="W1400" i="9"/>
  <c r="Y1400" i="9" s="1" a="1"/>
  <c r="V1400" i="9"/>
  <c r="U1400" i="9"/>
  <c r="W1399" i="9"/>
  <c r="Y1399" i="9" s="1" a="1"/>
  <c r="V1399" i="9"/>
  <c r="U1399" i="9"/>
  <c r="W1398" i="9"/>
  <c r="Y1398" i="9" s="1" a="1"/>
  <c r="V1398" i="9"/>
  <c r="U1398" i="9"/>
  <c r="W1397" i="9"/>
  <c r="Y1397" i="9" s="1" a="1"/>
  <c r="V1397" i="9"/>
  <c r="U1397" i="9"/>
  <c r="W1396" i="9"/>
  <c r="Y1396" i="9" s="1" a="1"/>
  <c r="V1396" i="9"/>
  <c r="U1396" i="9"/>
  <c r="W1395" i="9"/>
  <c r="Y1395" i="9" s="1" a="1"/>
  <c r="V1395" i="9"/>
  <c r="U1395" i="9"/>
  <c r="W1394" i="9"/>
  <c r="Y1394" i="9" s="1" a="1"/>
  <c r="V1394" i="9"/>
  <c r="U1394" i="9"/>
  <c r="W1393" i="9"/>
  <c r="Y1393" i="9" s="1" a="1"/>
  <c r="V1393" i="9"/>
  <c r="U1393" i="9"/>
  <c r="W1392" i="9"/>
  <c r="Y1392" i="9" s="1" a="1"/>
  <c r="V1392" i="9"/>
  <c r="U1392" i="9"/>
  <c r="W1391" i="9"/>
  <c r="Y1391" i="9" s="1" a="1"/>
  <c r="V1391" i="9"/>
  <c r="U1391" i="9"/>
  <c r="W1390" i="9"/>
  <c r="Y1390" i="9" s="1" a="1"/>
  <c r="V1390" i="9"/>
  <c r="U1390" i="9"/>
  <c r="W1389" i="9"/>
  <c r="Y1389" i="9" s="1" a="1"/>
  <c r="V1389" i="9"/>
  <c r="U1389" i="9"/>
  <c r="W1388" i="9"/>
  <c r="Y1388" i="9" s="1" a="1"/>
  <c r="V1388" i="9"/>
  <c r="U1388" i="9"/>
  <c r="W1387" i="9"/>
  <c r="Y1387" i="9" s="1" a="1"/>
  <c r="V1387" i="9"/>
  <c r="U1387" i="9"/>
  <c r="W1386" i="9"/>
  <c r="Y1386" i="9" s="1" a="1"/>
  <c r="V1386" i="9"/>
  <c r="U1386" i="9"/>
  <c r="W1385" i="9"/>
  <c r="Y1385" i="9" s="1" a="1"/>
  <c r="V1385" i="9"/>
  <c r="U1385" i="9"/>
  <c r="W1384" i="9"/>
  <c r="Y1384" i="9" s="1" a="1"/>
  <c r="V1384" i="9"/>
  <c r="U1384" i="9"/>
  <c r="W1383" i="9"/>
  <c r="Y1383" i="9" s="1" a="1"/>
  <c r="V1383" i="9"/>
  <c r="U1383" i="9"/>
  <c r="W1382" i="9"/>
  <c r="Y1382" i="9" s="1" a="1"/>
  <c r="V1382" i="9"/>
  <c r="U1382" i="9"/>
  <c r="W1381" i="9"/>
  <c r="Y1381" i="9" s="1" a="1"/>
  <c r="V1381" i="9"/>
  <c r="U1381" i="9"/>
  <c r="W1380" i="9"/>
  <c r="Y1380" i="9" s="1" a="1"/>
  <c r="V1380" i="9"/>
  <c r="U1380" i="9"/>
  <c r="W1379" i="9"/>
  <c r="Y1379" i="9" s="1" a="1"/>
  <c r="V1379" i="9"/>
  <c r="U1379" i="9"/>
  <c r="W1378" i="9"/>
  <c r="Y1378" i="9" s="1" a="1"/>
  <c r="V1378" i="9"/>
  <c r="U1378" i="9"/>
  <c r="W1377" i="9"/>
  <c r="Y1377" i="9" s="1" a="1"/>
  <c r="V1377" i="9"/>
  <c r="U1377" i="9"/>
  <c r="W1376" i="9"/>
  <c r="Y1376" i="9" s="1" a="1"/>
  <c r="V1376" i="9"/>
  <c r="U1376" i="9"/>
  <c r="W1375" i="9"/>
  <c r="Y1375" i="9" s="1" a="1"/>
  <c r="V1375" i="9"/>
  <c r="U1375" i="9"/>
  <c r="W1374" i="9"/>
  <c r="Y1374" i="9" s="1" a="1"/>
  <c r="V1374" i="9"/>
  <c r="U1374" i="9"/>
  <c r="W1373" i="9"/>
  <c r="Y1373" i="9" s="1" a="1"/>
  <c r="V1373" i="9"/>
  <c r="U1373" i="9"/>
  <c r="W1372" i="9"/>
  <c r="Y1372" i="9" s="1" a="1"/>
  <c r="V1372" i="9"/>
  <c r="U1372" i="9"/>
  <c r="W1371" i="9"/>
  <c r="Y1371" i="9" s="1" a="1"/>
  <c r="V1371" i="9"/>
  <c r="U1371" i="9"/>
  <c r="W1370" i="9"/>
  <c r="Y1370" i="9" s="1" a="1"/>
  <c r="V1370" i="9"/>
  <c r="U1370" i="9"/>
  <c r="W1369" i="9"/>
  <c r="Y1369" i="9" s="1" a="1"/>
  <c r="V1369" i="9"/>
  <c r="U1369" i="9"/>
  <c r="W1368" i="9"/>
  <c r="Y1368" i="9" s="1" a="1"/>
  <c r="V1368" i="9"/>
  <c r="U1368" i="9"/>
  <c r="W1367" i="9"/>
  <c r="Y1367" i="9" s="1" a="1"/>
  <c r="V1367" i="9"/>
  <c r="U1367" i="9"/>
  <c r="W1366" i="9"/>
  <c r="Y1366" i="9" s="1" a="1"/>
  <c r="V1366" i="9"/>
  <c r="U1366" i="9"/>
  <c r="W1365" i="9"/>
  <c r="Y1365" i="9" s="1" a="1"/>
  <c r="V1365" i="9"/>
  <c r="U1365" i="9"/>
  <c r="W1364" i="9"/>
  <c r="Y1364" i="9" s="1" a="1"/>
  <c r="V1364" i="9"/>
  <c r="U1364" i="9"/>
  <c r="W1363" i="9"/>
  <c r="Y1363" i="9" s="1" a="1"/>
  <c r="V1363" i="9"/>
  <c r="U1363" i="9"/>
  <c r="W1362" i="9"/>
  <c r="Y1362" i="9" s="1" a="1"/>
  <c r="V1362" i="9"/>
  <c r="U1362" i="9"/>
  <c r="W1361" i="9"/>
  <c r="Y1361" i="9" s="1" a="1"/>
  <c r="V1361" i="9"/>
  <c r="U1361" i="9"/>
  <c r="W1360" i="9"/>
  <c r="Y1360" i="9" s="1" a="1"/>
  <c r="V1360" i="9"/>
  <c r="U1360" i="9"/>
  <c r="W1359" i="9"/>
  <c r="Y1359" i="9" s="1" a="1"/>
  <c r="V1359" i="9"/>
  <c r="U1359" i="9"/>
  <c r="W1358" i="9"/>
  <c r="Y1358" i="9" s="1" a="1"/>
  <c r="V1358" i="9"/>
  <c r="U1358" i="9"/>
  <c r="W1357" i="9"/>
  <c r="Y1357" i="9" s="1" a="1"/>
  <c r="V1357" i="9"/>
  <c r="U1357" i="9"/>
  <c r="W1356" i="9"/>
  <c r="Y1356" i="9" s="1" a="1"/>
  <c r="V1356" i="9"/>
  <c r="U1356" i="9"/>
  <c r="W1355" i="9"/>
  <c r="Y1355" i="9" s="1" a="1"/>
  <c r="V1355" i="9"/>
  <c r="U1355" i="9"/>
  <c r="W1354" i="9"/>
  <c r="Y1354" i="9" s="1" a="1"/>
  <c r="V1354" i="9"/>
  <c r="U1354" i="9"/>
  <c r="W1353" i="9"/>
  <c r="Y1353" i="9" s="1" a="1"/>
  <c r="V1353" i="9"/>
  <c r="U1353" i="9"/>
  <c r="W1352" i="9"/>
  <c r="Y1352" i="9" s="1" a="1"/>
  <c r="V1352" i="9"/>
  <c r="U1352" i="9"/>
  <c r="W1351" i="9"/>
  <c r="Y1351" i="9" s="1" a="1"/>
  <c r="V1351" i="9"/>
  <c r="U1351" i="9"/>
  <c r="W1350" i="9"/>
  <c r="Y1350" i="9" s="1" a="1"/>
  <c r="V1350" i="9"/>
  <c r="U1350" i="9"/>
  <c r="W1349" i="9"/>
  <c r="Y1349" i="9" s="1" a="1"/>
  <c r="V1349" i="9"/>
  <c r="U1349" i="9"/>
  <c r="W1348" i="9"/>
  <c r="Y1348" i="9" s="1" a="1"/>
  <c r="V1348" i="9"/>
  <c r="U1348" i="9"/>
  <c r="W1347" i="9"/>
  <c r="Y1347" i="9" s="1" a="1"/>
  <c r="V1347" i="9"/>
  <c r="U1347" i="9"/>
  <c r="W1346" i="9"/>
  <c r="Y1346" i="9" s="1" a="1"/>
  <c r="V1346" i="9"/>
  <c r="U1346" i="9"/>
  <c r="W1345" i="9"/>
  <c r="Y1345" i="9" s="1" a="1"/>
  <c r="V1345" i="9"/>
  <c r="U1345" i="9"/>
  <c r="W1344" i="9"/>
  <c r="Y1344" i="9" s="1" a="1"/>
  <c r="V1344" i="9"/>
  <c r="U1344" i="9"/>
  <c r="W1343" i="9"/>
  <c r="Y1343" i="9" s="1" a="1"/>
  <c r="V1343" i="9"/>
  <c r="U1343" i="9"/>
  <c r="W1342" i="9"/>
  <c r="Y1342" i="9" s="1" a="1"/>
  <c r="V1342" i="9"/>
  <c r="U1342" i="9"/>
  <c r="W1341" i="9"/>
  <c r="Y1341" i="9" s="1" a="1"/>
  <c r="V1341" i="9"/>
  <c r="U1341" i="9"/>
  <c r="W1340" i="9"/>
  <c r="Y1340" i="9" s="1" a="1"/>
  <c r="V1340" i="9"/>
  <c r="U1340" i="9"/>
  <c r="W1339" i="9"/>
  <c r="Y1339" i="9" s="1" a="1"/>
  <c r="V1339" i="9"/>
  <c r="U1339" i="9"/>
  <c r="W1338" i="9"/>
  <c r="Y1338" i="9" s="1" a="1"/>
  <c r="V1338" i="9"/>
  <c r="U1338" i="9"/>
  <c r="W1337" i="9"/>
  <c r="Y1337" i="9" s="1" a="1"/>
  <c r="V1337" i="9"/>
  <c r="U1337" i="9"/>
  <c r="W1336" i="9"/>
  <c r="Y1336" i="9" s="1" a="1"/>
  <c r="V1336" i="9"/>
  <c r="U1336" i="9"/>
  <c r="W1335" i="9"/>
  <c r="Y1335" i="9" s="1" a="1"/>
  <c r="V1335" i="9"/>
  <c r="U1335" i="9"/>
  <c r="W1334" i="9"/>
  <c r="Y1334" i="9" s="1" a="1"/>
  <c r="V1334" i="9"/>
  <c r="U1334" i="9"/>
  <c r="W1333" i="9"/>
  <c r="Y1333" i="9" s="1" a="1"/>
  <c r="V1333" i="9"/>
  <c r="U1333" i="9"/>
  <c r="W1332" i="9"/>
  <c r="Y1332" i="9" s="1" a="1"/>
  <c r="V1332" i="9"/>
  <c r="U1332" i="9"/>
  <c r="W1331" i="9"/>
  <c r="Y1331" i="9" s="1" a="1"/>
  <c r="V1331" i="9"/>
  <c r="U1331" i="9"/>
  <c r="W1330" i="9"/>
  <c r="Y1330" i="9" s="1" a="1"/>
  <c r="V1330" i="9"/>
  <c r="U1330" i="9"/>
  <c r="W1329" i="9"/>
  <c r="Y1329" i="9" s="1" a="1"/>
  <c r="V1329" i="9"/>
  <c r="U1329" i="9"/>
  <c r="W1328" i="9"/>
  <c r="Y1328" i="9" s="1" a="1"/>
  <c r="V1328" i="9"/>
  <c r="U1328" i="9"/>
  <c r="W1327" i="9"/>
  <c r="Y1327" i="9" s="1" a="1"/>
  <c r="V1327" i="9"/>
  <c r="U1327" i="9"/>
  <c r="W1326" i="9"/>
  <c r="Y1326" i="9" s="1" a="1"/>
  <c r="V1326" i="9"/>
  <c r="U1326" i="9"/>
  <c r="W1325" i="9"/>
  <c r="Y1325" i="9" s="1" a="1"/>
  <c r="V1325" i="9"/>
  <c r="U1325" i="9"/>
  <c r="W1324" i="9"/>
  <c r="Y1324" i="9" s="1" a="1"/>
  <c r="V1324" i="9"/>
  <c r="U1324" i="9"/>
  <c r="W1323" i="9"/>
  <c r="Y1323" i="9" s="1" a="1"/>
  <c r="V1323" i="9"/>
  <c r="U1323" i="9"/>
  <c r="W1322" i="9"/>
  <c r="Y1322" i="9" s="1" a="1"/>
  <c r="V1322" i="9"/>
  <c r="U1322" i="9"/>
  <c r="W1321" i="9"/>
  <c r="Y1321" i="9" s="1" a="1"/>
  <c r="V1321" i="9"/>
  <c r="U1321" i="9"/>
  <c r="W1320" i="9"/>
  <c r="Y1320" i="9" s="1" a="1"/>
  <c r="V1320" i="9"/>
  <c r="U1320" i="9"/>
  <c r="W1319" i="9"/>
  <c r="Y1319" i="9" s="1" a="1"/>
  <c r="V1319" i="9"/>
  <c r="U1319" i="9"/>
  <c r="W1318" i="9"/>
  <c r="Y1318" i="9" s="1" a="1"/>
  <c r="V1318" i="9"/>
  <c r="U1318" i="9"/>
  <c r="W1317" i="9"/>
  <c r="Y1317" i="9" s="1" a="1"/>
  <c r="V1317" i="9"/>
  <c r="U1317" i="9"/>
  <c r="W1316" i="9"/>
  <c r="Y1316" i="9" s="1" a="1"/>
  <c r="V1316" i="9"/>
  <c r="U1316" i="9"/>
  <c r="W1315" i="9"/>
  <c r="Y1315" i="9" s="1" a="1"/>
  <c r="V1315" i="9"/>
  <c r="U1315" i="9"/>
  <c r="W1314" i="9"/>
  <c r="Y1314" i="9" s="1" a="1"/>
  <c r="V1314" i="9"/>
  <c r="U1314" i="9"/>
  <c r="W1313" i="9"/>
  <c r="Y1313" i="9" s="1" a="1"/>
  <c r="V1313" i="9"/>
  <c r="U1313" i="9"/>
  <c r="W1312" i="9"/>
  <c r="Y1312" i="9" s="1" a="1"/>
  <c r="V1312" i="9"/>
  <c r="U1312" i="9"/>
  <c r="W1311" i="9"/>
  <c r="Y1311" i="9" s="1" a="1"/>
  <c r="V1311" i="9"/>
  <c r="U1311" i="9"/>
  <c r="W1310" i="9"/>
  <c r="Y1310" i="9" s="1" a="1"/>
  <c r="V1310" i="9"/>
  <c r="U1310" i="9"/>
  <c r="W1309" i="9"/>
  <c r="Y1309" i="9" s="1" a="1"/>
  <c r="V1309" i="9"/>
  <c r="U1309" i="9"/>
  <c r="W1308" i="9"/>
  <c r="Y1308" i="9" s="1" a="1"/>
  <c r="V1308" i="9"/>
  <c r="U1308" i="9"/>
  <c r="W1307" i="9"/>
  <c r="Y1307" i="9" s="1" a="1"/>
  <c r="V1307" i="9"/>
  <c r="U1307" i="9"/>
  <c r="W1306" i="9"/>
  <c r="Y1306" i="9" s="1" a="1"/>
  <c r="V1306" i="9"/>
  <c r="U1306" i="9"/>
  <c r="W1305" i="9"/>
  <c r="Y1305" i="9" s="1" a="1"/>
  <c r="V1305" i="9"/>
  <c r="U1305" i="9"/>
  <c r="W1304" i="9"/>
  <c r="Y1304" i="9" s="1" a="1"/>
  <c r="V1304" i="9"/>
  <c r="U1304" i="9"/>
  <c r="W1303" i="9"/>
  <c r="Y1303" i="9" s="1" a="1"/>
  <c r="V1303" i="9"/>
  <c r="U1303" i="9"/>
  <c r="W1302" i="9"/>
  <c r="Y1302" i="9" s="1" a="1"/>
  <c r="V1302" i="9"/>
  <c r="U1302" i="9"/>
  <c r="W1301" i="9"/>
  <c r="Y1301" i="9" s="1" a="1"/>
  <c r="V1301" i="9"/>
  <c r="U1301" i="9"/>
  <c r="W1300" i="9"/>
  <c r="Y1300" i="9" s="1" a="1"/>
  <c r="V1300" i="9"/>
  <c r="U1300" i="9"/>
  <c r="W1299" i="9"/>
  <c r="Y1299" i="9" s="1" a="1"/>
  <c r="V1299" i="9"/>
  <c r="U1299" i="9"/>
  <c r="W1298" i="9"/>
  <c r="Y1298" i="9" s="1" a="1"/>
  <c r="V1298" i="9"/>
  <c r="U1298" i="9"/>
  <c r="W1297" i="9"/>
  <c r="Y1297" i="9" s="1" a="1"/>
  <c r="V1297" i="9"/>
  <c r="U1297" i="9"/>
  <c r="W1296" i="9"/>
  <c r="Y1296" i="9" s="1" a="1"/>
  <c r="V1296" i="9"/>
  <c r="U1296" i="9"/>
  <c r="W1295" i="9"/>
  <c r="Y1295" i="9" s="1" a="1"/>
  <c r="V1295" i="9"/>
  <c r="U1295" i="9"/>
  <c r="W1294" i="9"/>
  <c r="Y1294" i="9" s="1" a="1"/>
  <c r="V1294" i="9"/>
  <c r="U1294" i="9"/>
  <c r="W1293" i="9"/>
  <c r="Y1293" i="9" s="1" a="1"/>
  <c r="V1293" i="9"/>
  <c r="U1293" i="9"/>
  <c r="W1292" i="9"/>
  <c r="Y1292" i="9" s="1" a="1"/>
  <c r="V1292" i="9"/>
  <c r="U1292" i="9"/>
  <c r="W1291" i="9"/>
  <c r="Y1291" i="9" s="1" a="1"/>
  <c r="V1291" i="9"/>
  <c r="U1291" i="9"/>
  <c r="W1290" i="9"/>
  <c r="Y1290" i="9" s="1" a="1"/>
  <c r="V1290" i="9"/>
  <c r="U1290" i="9"/>
  <c r="W1289" i="9"/>
  <c r="Y1289" i="9" s="1" a="1"/>
  <c r="V1289" i="9"/>
  <c r="U1289" i="9"/>
  <c r="W1288" i="9"/>
  <c r="Y1288" i="9" s="1" a="1"/>
  <c r="V1288" i="9"/>
  <c r="U1288" i="9"/>
  <c r="W1287" i="9"/>
  <c r="Y1287" i="9" s="1" a="1"/>
  <c r="V1287" i="9"/>
  <c r="U1287" i="9"/>
  <c r="W1286" i="9"/>
  <c r="Y1286" i="9" s="1" a="1"/>
  <c r="V1286" i="9"/>
  <c r="U1286" i="9"/>
  <c r="W1285" i="9"/>
  <c r="Y1285" i="9" s="1" a="1"/>
  <c r="V1285" i="9"/>
  <c r="U1285" i="9"/>
  <c r="W1284" i="9"/>
  <c r="Y1284" i="9" s="1" a="1"/>
  <c r="V1284" i="9"/>
  <c r="U1284" i="9"/>
  <c r="W1283" i="9"/>
  <c r="Y1283" i="9" s="1" a="1"/>
  <c r="V1283" i="9"/>
  <c r="U1283" i="9"/>
  <c r="W1282" i="9"/>
  <c r="V1282" i="9"/>
  <c r="U1282" i="9"/>
  <c r="W1281" i="9"/>
  <c r="V1281" i="9"/>
  <c r="U1281" i="9"/>
  <c r="W1280" i="9"/>
  <c r="V1280" i="9"/>
  <c r="U1280" i="9"/>
  <c r="W1279" i="9"/>
  <c r="V1279" i="9"/>
  <c r="U1279" i="9"/>
  <c r="W1278" i="9"/>
  <c r="V1278" i="9"/>
  <c r="U1278" i="9"/>
  <c r="W1277" i="9"/>
  <c r="V1277" i="9"/>
  <c r="U1277" i="9"/>
  <c r="W1276" i="9"/>
  <c r="V1276" i="9"/>
  <c r="U1276" i="9"/>
  <c r="W1275" i="9"/>
  <c r="V1275" i="9"/>
  <c r="U1275" i="9"/>
  <c r="W1274" i="9"/>
  <c r="V1274" i="9"/>
  <c r="U1274" i="9"/>
  <c r="W1273" i="9"/>
  <c r="V1273" i="9"/>
  <c r="U1273" i="9"/>
  <c r="W1272" i="9"/>
  <c r="V1272" i="9"/>
  <c r="U1272" i="9"/>
  <c r="W1271" i="9"/>
  <c r="V1271" i="9"/>
  <c r="U1271" i="9"/>
  <c r="W1270" i="9"/>
  <c r="V1270" i="9"/>
  <c r="U1270" i="9"/>
  <c r="W1269" i="9"/>
  <c r="V1269" i="9"/>
  <c r="U1269" i="9"/>
  <c r="W1268" i="9"/>
  <c r="V1268" i="9"/>
  <c r="U1268" i="9"/>
  <c r="W1267" i="9"/>
  <c r="V1267" i="9"/>
  <c r="U1267" i="9"/>
  <c r="W1266" i="9"/>
  <c r="V1266" i="9"/>
  <c r="U1266" i="9"/>
  <c r="W1265" i="9"/>
  <c r="V1265" i="9"/>
  <c r="U1265" i="9"/>
  <c r="W1264" i="9"/>
  <c r="V1264" i="9"/>
  <c r="U1264" i="9"/>
  <c r="W1263" i="9"/>
  <c r="V1263" i="9"/>
  <c r="U1263" i="9"/>
  <c r="W1262" i="9"/>
  <c r="V1262" i="9"/>
  <c r="U1262" i="9"/>
  <c r="W1261" i="9"/>
  <c r="V1261" i="9"/>
  <c r="U1261" i="9"/>
  <c r="W1260" i="9"/>
  <c r="V1260" i="9"/>
  <c r="U1260" i="9"/>
  <c r="W1259" i="9"/>
  <c r="V1259" i="9"/>
  <c r="U1259" i="9"/>
  <c r="W1258" i="9"/>
  <c r="V1258" i="9"/>
  <c r="U1258" i="9"/>
  <c r="W1257" i="9"/>
  <c r="V1257" i="9"/>
  <c r="U1257" i="9"/>
  <c r="W1256" i="9"/>
  <c r="V1256" i="9"/>
  <c r="U1256" i="9"/>
  <c r="W1255" i="9"/>
  <c r="V1255" i="9"/>
  <c r="U1255" i="9"/>
  <c r="W1254" i="9"/>
  <c r="V1254" i="9"/>
  <c r="U1254" i="9"/>
  <c r="W1253" i="9"/>
  <c r="V1253" i="9"/>
  <c r="U1253" i="9"/>
  <c r="W1252" i="9"/>
  <c r="V1252" i="9"/>
  <c r="U1252" i="9"/>
  <c r="W1251" i="9"/>
  <c r="V1251" i="9"/>
  <c r="U1251" i="9"/>
  <c r="W1250" i="9"/>
  <c r="V1250" i="9"/>
  <c r="U1250" i="9"/>
  <c r="W1249" i="9"/>
  <c r="V1249" i="9"/>
  <c r="U1249" i="9"/>
  <c r="W1248" i="9"/>
  <c r="V1248" i="9"/>
  <c r="U1248" i="9"/>
  <c r="W1247" i="9"/>
  <c r="V1247" i="9"/>
  <c r="U1247" i="9"/>
  <c r="W1246" i="9"/>
  <c r="V1246" i="9"/>
  <c r="U1246" i="9"/>
  <c r="W1245" i="9"/>
  <c r="V1245" i="9"/>
  <c r="U1245" i="9"/>
  <c r="W1244" i="9"/>
  <c r="V1244" i="9"/>
  <c r="U1244" i="9"/>
  <c r="W1243" i="9"/>
  <c r="V1243" i="9"/>
  <c r="U1243" i="9"/>
  <c r="W1242" i="9"/>
  <c r="V1242" i="9"/>
  <c r="U1242" i="9"/>
  <c r="W1241" i="9"/>
  <c r="V1241" i="9"/>
  <c r="U1241" i="9"/>
  <c r="W1240" i="9"/>
  <c r="V1240" i="9"/>
  <c r="U1240" i="9"/>
  <c r="W1239" i="9"/>
  <c r="V1239" i="9"/>
  <c r="U1239" i="9"/>
  <c r="W1238" i="9"/>
  <c r="V1238" i="9"/>
  <c r="U1238" i="9"/>
  <c r="W1237" i="9"/>
  <c r="V1237" i="9"/>
  <c r="U1237" i="9"/>
  <c r="W1236" i="9"/>
  <c r="V1236" i="9"/>
  <c r="U1236" i="9"/>
  <c r="W1235" i="9"/>
  <c r="V1235" i="9"/>
  <c r="U1235" i="9"/>
  <c r="W1234" i="9"/>
  <c r="V1234" i="9"/>
  <c r="U1234" i="9"/>
  <c r="W1233" i="9"/>
  <c r="V1233" i="9"/>
  <c r="U1233" i="9"/>
  <c r="W1232" i="9"/>
  <c r="V1232" i="9"/>
  <c r="U1232" i="9"/>
  <c r="W1231" i="9"/>
  <c r="V1231" i="9"/>
  <c r="U1231" i="9"/>
  <c r="W1230" i="9"/>
  <c r="V1230" i="9"/>
  <c r="U1230" i="9"/>
  <c r="W1229" i="9"/>
  <c r="V1229" i="9"/>
  <c r="U1229" i="9"/>
  <c r="W1228" i="9"/>
  <c r="V1228" i="9"/>
  <c r="U1228" i="9"/>
  <c r="W1227" i="9"/>
  <c r="V1227" i="9"/>
  <c r="U1227" i="9"/>
  <c r="W1226" i="9"/>
  <c r="V1226" i="9"/>
  <c r="U1226" i="9"/>
  <c r="W1225" i="9"/>
  <c r="V1225" i="9"/>
  <c r="U1225" i="9"/>
  <c r="W1224" i="9"/>
  <c r="V1224" i="9"/>
  <c r="U1224" i="9"/>
  <c r="W1223" i="9"/>
  <c r="V1223" i="9"/>
  <c r="U1223" i="9"/>
  <c r="W1222" i="9"/>
  <c r="V1222" i="9"/>
  <c r="U1222" i="9"/>
  <c r="W1221" i="9"/>
  <c r="V1221" i="9"/>
  <c r="U1221" i="9"/>
  <c r="W1220" i="9"/>
  <c r="V1220" i="9"/>
  <c r="U1220" i="9"/>
  <c r="W1219" i="9"/>
  <c r="V1219" i="9"/>
  <c r="U1219" i="9"/>
  <c r="W1218" i="9"/>
  <c r="V1218" i="9"/>
  <c r="U1218" i="9"/>
  <c r="W1217" i="9"/>
  <c r="V1217" i="9"/>
  <c r="U1217" i="9"/>
  <c r="W1216" i="9"/>
  <c r="V1216" i="9"/>
  <c r="U1216" i="9"/>
  <c r="W1215" i="9"/>
  <c r="V1215" i="9"/>
  <c r="U1215" i="9"/>
  <c r="W1214" i="9"/>
  <c r="V1214" i="9"/>
  <c r="U1214" i="9"/>
  <c r="W1213" i="9"/>
  <c r="V1213" i="9"/>
  <c r="U1213" i="9"/>
  <c r="W1212" i="9"/>
  <c r="V1212" i="9"/>
  <c r="U1212" i="9"/>
  <c r="W1211" i="9"/>
  <c r="V1211" i="9"/>
  <c r="U1211" i="9"/>
  <c r="W1210" i="9"/>
  <c r="V1210" i="9"/>
  <c r="U1210" i="9"/>
  <c r="W1209" i="9"/>
  <c r="V1209" i="9"/>
  <c r="U1209" i="9"/>
  <c r="W1208" i="9"/>
  <c r="V1208" i="9"/>
  <c r="U1208" i="9"/>
  <c r="W1207" i="9"/>
  <c r="V1207" i="9"/>
  <c r="U1207" i="9"/>
  <c r="W1206" i="9"/>
  <c r="V1206" i="9"/>
  <c r="U1206" i="9"/>
  <c r="W1205" i="9"/>
  <c r="V1205" i="9"/>
  <c r="U1205" i="9"/>
  <c r="W1204" i="9"/>
  <c r="V1204" i="9"/>
  <c r="U1204" i="9"/>
  <c r="W1203" i="9"/>
  <c r="V1203" i="9"/>
  <c r="U1203" i="9"/>
  <c r="W1202" i="9"/>
  <c r="V1202" i="9"/>
  <c r="U1202" i="9"/>
  <c r="W1201" i="9"/>
  <c r="V1201" i="9"/>
  <c r="U1201" i="9"/>
  <c r="W1200" i="9"/>
  <c r="V1200" i="9"/>
  <c r="U1200" i="9"/>
  <c r="W1199" i="9"/>
  <c r="V1199" i="9"/>
  <c r="U1199" i="9"/>
  <c r="W1198" i="9"/>
  <c r="V1198" i="9"/>
  <c r="U1198" i="9"/>
  <c r="W1197" i="9"/>
  <c r="V1197" i="9"/>
  <c r="U1197" i="9"/>
  <c r="W1196" i="9"/>
  <c r="V1196" i="9"/>
  <c r="U1196" i="9"/>
  <c r="W1195" i="9"/>
  <c r="V1195" i="9"/>
  <c r="U1195" i="9"/>
  <c r="W1194" i="9"/>
  <c r="V1194" i="9"/>
  <c r="U1194" i="9"/>
  <c r="W1193" i="9"/>
  <c r="V1193" i="9"/>
  <c r="U1193" i="9"/>
  <c r="W1192" i="9"/>
  <c r="V1192" i="9"/>
  <c r="U1192" i="9"/>
  <c r="W1191" i="9"/>
  <c r="V1191" i="9"/>
  <c r="U1191" i="9"/>
  <c r="W1190" i="9"/>
  <c r="V1190" i="9"/>
  <c r="U1190" i="9"/>
  <c r="W1189" i="9"/>
  <c r="V1189" i="9"/>
  <c r="U1189" i="9"/>
  <c r="W1188" i="9"/>
  <c r="V1188" i="9"/>
  <c r="U1188" i="9"/>
  <c r="W1187" i="9"/>
  <c r="V1187" i="9"/>
  <c r="U1187" i="9"/>
  <c r="W1186" i="9"/>
  <c r="V1186" i="9"/>
  <c r="U1186" i="9"/>
  <c r="W1185" i="9"/>
  <c r="V1185" i="9"/>
  <c r="U1185" i="9"/>
  <c r="W1184" i="9"/>
  <c r="V1184" i="9"/>
  <c r="U1184" i="9"/>
  <c r="W1183" i="9"/>
  <c r="V1183" i="9"/>
  <c r="U1183" i="9"/>
  <c r="W1182" i="9"/>
  <c r="V1182" i="9"/>
  <c r="U1182" i="9"/>
  <c r="W1181" i="9"/>
  <c r="V1181" i="9"/>
  <c r="U1181" i="9"/>
  <c r="W1180" i="9"/>
  <c r="V1180" i="9"/>
  <c r="U1180" i="9"/>
  <c r="W1179" i="9"/>
  <c r="V1179" i="9"/>
  <c r="U1179" i="9"/>
  <c r="W1178" i="9"/>
  <c r="V1178" i="9"/>
  <c r="U1178" i="9"/>
  <c r="W1177" i="9"/>
  <c r="V1177" i="9"/>
  <c r="U1177" i="9"/>
  <c r="W1176" i="9"/>
  <c r="V1176" i="9"/>
  <c r="U1176" i="9"/>
  <c r="W1175" i="9"/>
  <c r="V1175" i="9"/>
  <c r="U1175" i="9"/>
  <c r="W1174" i="9"/>
  <c r="V1174" i="9"/>
  <c r="U1174" i="9"/>
  <c r="W1173" i="9"/>
  <c r="V1173" i="9"/>
  <c r="U1173" i="9"/>
  <c r="W1172" i="9"/>
  <c r="V1172" i="9"/>
  <c r="U1172" i="9"/>
  <c r="W1171" i="9"/>
  <c r="V1171" i="9"/>
  <c r="U1171" i="9"/>
  <c r="W1170" i="9"/>
  <c r="V1170" i="9"/>
  <c r="U1170" i="9"/>
  <c r="W1169" i="9"/>
  <c r="V1169" i="9"/>
  <c r="U1169" i="9"/>
  <c r="W1168" i="9"/>
  <c r="V1168" i="9"/>
  <c r="U1168" i="9"/>
  <c r="W1167" i="9"/>
  <c r="V1167" i="9"/>
  <c r="U1167" i="9"/>
  <c r="W1166" i="9"/>
  <c r="V1166" i="9"/>
  <c r="U1166" i="9"/>
  <c r="W1165" i="9"/>
  <c r="V1165" i="9"/>
  <c r="U1165" i="9"/>
  <c r="W1164" i="9"/>
  <c r="V1164" i="9"/>
  <c r="U1164" i="9"/>
  <c r="W1163" i="9"/>
  <c r="V1163" i="9"/>
  <c r="U1163" i="9"/>
  <c r="W1162" i="9"/>
  <c r="V1162" i="9"/>
  <c r="U1162" i="9"/>
  <c r="W1161" i="9"/>
  <c r="V1161" i="9"/>
  <c r="U1161" i="9"/>
  <c r="W1160" i="9"/>
  <c r="V1160" i="9"/>
  <c r="U1160" i="9"/>
  <c r="W1159" i="9"/>
  <c r="V1159" i="9"/>
  <c r="U1159" i="9"/>
  <c r="W1158" i="9"/>
  <c r="V1158" i="9"/>
  <c r="U1158" i="9"/>
  <c r="W1157" i="9"/>
  <c r="V1157" i="9"/>
  <c r="U1157" i="9"/>
  <c r="W1156" i="9"/>
  <c r="V1156" i="9"/>
  <c r="U1156" i="9"/>
  <c r="W1155" i="9"/>
  <c r="V1155" i="9"/>
  <c r="U1155" i="9"/>
  <c r="W1154" i="9"/>
  <c r="V1154" i="9"/>
  <c r="U1154" i="9"/>
  <c r="W1153" i="9"/>
  <c r="Y1153" i="9" s="1" a="1"/>
  <c r="V1153" i="9"/>
  <c r="U1153" i="9"/>
  <c r="W1152" i="9"/>
  <c r="Y1152" i="9" s="1" a="1"/>
  <c r="V1152" i="9"/>
  <c r="U1152" i="9"/>
  <c r="W1151" i="9"/>
  <c r="Y1151" i="9" s="1" a="1"/>
  <c r="V1151" i="9"/>
  <c r="U1151" i="9"/>
  <c r="W1150" i="9"/>
  <c r="Y1150" i="9" s="1" a="1"/>
  <c r="V1150" i="9"/>
  <c r="U1150" i="9"/>
  <c r="W1149" i="9"/>
  <c r="Y1149" i="9" s="1" a="1"/>
  <c r="V1149" i="9"/>
  <c r="U1149" i="9"/>
  <c r="W1148" i="9"/>
  <c r="Y1148" i="9" s="1" a="1"/>
  <c r="V1148" i="9"/>
  <c r="U1148" i="9"/>
  <c r="W1147" i="9"/>
  <c r="Y1147" i="9" s="1" a="1"/>
  <c r="V1147" i="9"/>
  <c r="U1147" i="9"/>
  <c r="W1146" i="9"/>
  <c r="Y1146" i="9" s="1" a="1"/>
  <c r="V1146" i="9"/>
  <c r="U1146" i="9"/>
  <c r="W1145" i="9"/>
  <c r="Y1145" i="9" s="1" a="1"/>
  <c r="V1145" i="9"/>
  <c r="U1145" i="9"/>
  <c r="W1144" i="9"/>
  <c r="Y1144" i="9" s="1" a="1"/>
  <c r="V1144" i="9"/>
  <c r="U1144" i="9"/>
  <c r="W1143" i="9"/>
  <c r="Y1143" i="9" s="1" a="1"/>
  <c r="V1143" i="9"/>
  <c r="U1143" i="9"/>
  <c r="W1142" i="9"/>
  <c r="Y1142" i="9" s="1" a="1"/>
  <c r="V1142" i="9"/>
  <c r="U1142" i="9"/>
  <c r="W1141" i="9"/>
  <c r="Y1141" i="9" s="1" a="1"/>
  <c r="V1141" i="9"/>
  <c r="U1141" i="9"/>
  <c r="W1140" i="9"/>
  <c r="Y1140" i="9" s="1" a="1"/>
  <c r="V1140" i="9"/>
  <c r="U1140" i="9"/>
  <c r="W1139" i="9"/>
  <c r="Y1139" i="9" s="1" a="1"/>
  <c r="V1139" i="9"/>
  <c r="U1139" i="9"/>
  <c r="W1138" i="9"/>
  <c r="Y1138" i="9" s="1" a="1"/>
  <c r="V1138" i="9"/>
  <c r="U1138" i="9"/>
  <c r="W1137" i="9"/>
  <c r="Y1137" i="9" s="1" a="1"/>
  <c r="V1137" i="9"/>
  <c r="U1137" i="9"/>
  <c r="W1136" i="9"/>
  <c r="Y1136" i="9" s="1" a="1"/>
  <c r="V1136" i="9"/>
  <c r="U1136" i="9"/>
  <c r="W1135" i="9"/>
  <c r="V1135" i="9"/>
  <c r="U1135" i="9"/>
  <c r="W1134" i="9"/>
  <c r="V1134" i="9"/>
  <c r="U1134" i="9"/>
  <c r="W1133" i="9"/>
  <c r="V1133" i="9"/>
  <c r="U1133" i="9"/>
  <c r="W1132" i="9"/>
  <c r="V1132" i="9"/>
  <c r="U1132" i="9"/>
  <c r="W1131" i="9"/>
  <c r="V1131" i="9"/>
  <c r="U1131" i="9"/>
  <c r="W1130" i="9"/>
  <c r="V1130" i="9"/>
  <c r="U1130" i="9"/>
  <c r="W1129" i="9"/>
  <c r="V1129" i="9"/>
  <c r="U1129" i="9"/>
  <c r="W1128" i="9"/>
  <c r="V1128" i="9"/>
  <c r="U1128" i="9"/>
  <c r="W1127" i="9"/>
  <c r="V1127" i="9"/>
  <c r="U1127" i="9"/>
  <c r="W1126" i="9"/>
  <c r="V1126" i="9"/>
  <c r="U1126" i="9"/>
  <c r="W1125" i="9"/>
  <c r="V1125" i="9"/>
  <c r="U1125" i="9"/>
  <c r="W1124" i="9"/>
  <c r="V1124" i="9"/>
  <c r="U1124" i="9"/>
  <c r="W1123" i="9"/>
  <c r="V1123" i="9"/>
  <c r="U1123" i="9"/>
  <c r="W1122" i="9"/>
  <c r="V1122" i="9"/>
  <c r="U1122" i="9"/>
  <c r="W1121" i="9"/>
  <c r="V1121" i="9"/>
  <c r="U1121" i="9"/>
  <c r="W1120" i="9"/>
  <c r="V1120" i="9"/>
  <c r="U1120" i="9"/>
  <c r="W1119" i="9"/>
  <c r="V1119" i="9"/>
  <c r="U1119" i="9"/>
  <c r="W1118" i="9"/>
  <c r="V1118" i="9"/>
  <c r="U1118" i="9"/>
  <c r="W1117" i="9"/>
  <c r="V1117" i="9"/>
  <c r="U1117" i="9"/>
  <c r="W1116" i="9"/>
  <c r="V1116" i="9"/>
  <c r="U1116" i="9"/>
  <c r="W1115" i="9"/>
  <c r="V1115" i="9"/>
  <c r="U1115" i="9"/>
  <c r="W1114" i="9"/>
  <c r="V1114" i="9"/>
  <c r="U1114" i="9"/>
  <c r="W1113" i="9"/>
  <c r="V1113" i="9"/>
  <c r="U1113" i="9"/>
  <c r="W1112" i="9"/>
  <c r="V1112" i="9"/>
  <c r="U1112" i="9"/>
  <c r="W1111" i="9"/>
  <c r="V1111" i="9"/>
  <c r="U1111" i="9"/>
  <c r="W1110" i="9"/>
  <c r="V1110" i="9"/>
  <c r="U1110" i="9"/>
  <c r="W1109" i="9"/>
  <c r="V1109" i="9"/>
  <c r="U1109" i="9"/>
  <c r="W1108" i="9"/>
  <c r="V1108" i="9"/>
  <c r="U1108" i="9"/>
  <c r="W1107" i="9"/>
  <c r="V1107" i="9"/>
  <c r="U1107" i="9"/>
  <c r="W1106" i="9"/>
  <c r="V1106" i="9"/>
  <c r="U1106" i="9"/>
  <c r="W1105" i="9"/>
  <c r="V1105" i="9"/>
  <c r="U1105" i="9"/>
  <c r="W1104" i="9"/>
  <c r="V1104" i="9"/>
  <c r="U1104" i="9"/>
  <c r="W1103" i="9"/>
  <c r="V1103" i="9"/>
  <c r="U1103" i="9"/>
  <c r="W1102" i="9"/>
  <c r="V1102" i="9"/>
  <c r="U1102" i="9"/>
  <c r="W1101" i="9"/>
  <c r="V1101" i="9"/>
  <c r="U1101" i="9"/>
  <c r="W1100" i="9"/>
  <c r="V1100" i="9"/>
  <c r="U1100" i="9"/>
  <c r="W1099" i="9"/>
  <c r="V1099" i="9"/>
  <c r="U1099" i="9"/>
  <c r="W1098" i="9"/>
  <c r="V1098" i="9"/>
  <c r="U1098" i="9"/>
  <c r="W1097" i="9"/>
  <c r="V1097" i="9"/>
  <c r="U1097" i="9"/>
  <c r="W1096" i="9"/>
  <c r="V1096" i="9"/>
  <c r="U1096" i="9"/>
  <c r="W1095" i="9"/>
  <c r="V1095" i="9"/>
  <c r="U1095" i="9"/>
  <c r="W1094" i="9"/>
  <c r="V1094" i="9"/>
  <c r="U1094" i="9"/>
  <c r="W1093" i="9"/>
  <c r="V1093" i="9"/>
  <c r="U1093" i="9"/>
  <c r="W1092" i="9"/>
  <c r="V1092" i="9"/>
  <c r="U1092" i="9"/>
  <c r="W1091" i="9"/>
  <c r="V1091" i="9"/>
  <c r="U1091" i="9"/>
  <c r="W1090" i="9"/>
  <c r="V1090" i="9"/>
  <c r="U1090" i="9"/>
  <c r="W1089" i="9"/>
  <c r="V1089" i="9"/>
  <c r="U1089" i="9"/>
  <c r="W1088" i="9"/>
  <c r="V1088" i="9"/>
  <c r="U1088" i="9"/>
  <c r="W1087" i="9"/>
  <c r="V1087" i="9"/>
  <c r="U1087" i="9"/>
  <c r="W1086" i="9"/>
  <c r="V1086" i="9"/>
  <c r="U1086" i="9"/>
  <c r="W1085" i="9"/>
  <c r="V1085" i="9"/>
  <c r="U1085" i="9"/>
  <c r="W1084" i="9"/>
  <c r="V1084" i="9"/>
  <c r="U1084" i="9"/>
  <c r="W1083" i="9"/>
  <c r="V1083" i="9"/>
  <c r="U1083" i="9"/>
  <c r="W1082" i="9"/>
  <c r="V1082" i="9"/>
  <c r="U1082" i="9"/>
  <c r="W1081" i="9"/>
  <c r="V1081" i="9"/>
  <c r="U1081" i="9"/>
  <c r="W1080" i="9"/>
  <c r="V1080" i="9"/>
  <c r="U1080" i="9"/>
  <c r="W1079" i="9"/>
  <c r="V1079" i="9"/>
  <c r="U1079" i="9"/>
  <c r="W1078" i="9"/>
  <c r="V1078" i="9"/>
  <c r="U1078" i="9"/>
  <c r="W1077" i="9"/>
  <c r="V1077" i="9"/>
  <c r="U1077" i="9"/>
  <c r="W1076" i="9"/>
  <c r="V1076" i="9"/>
  <c r="U1076" i="9"/>
  <c r="W1075" i="9"/>
  <c r="V1075" i="9"/>
  <c r="U1075" i="9"/>
  <c r="W1074" i="9"/>
  <c r="V1074" i="9"/>
  <c r="U1074" i="9"/>
  <c r="W1073" i="9"/>
  <c r="V1073" i="9"/>
  <c r="U1073" i="9"/>
  <c r="W1072" i="9"/>
  <c r="V1072" i="9"/>
  <c r="U1072" i="9"/>
  <c r="W1071" i="9"/>
  <c r="V1071" i="9"/>
  <c r="U1071" i="9"/>
  <c r="W1070" i="9"/>
  <c r="V1070" i="9"/>
  <c r="U1070" i="9"/>
  <c r="W1069" i="9"/>
  <c r="V1069" i="9"/>
  <c r="U1069" i="9"/>
  <c r="W1068" i="9"/>
  <c r="V1068" i="9"/>
  <c r="U1068" i="9"/>
  <c r="W1067" i="9"/>
  <c r="V1067" i="9"/>
  <c r="U1067" i="9"/>
  <c r="W1066" i="9"/>
  <c r="V1066" i="9"/>
  <c r="U1066" i="9"/>
  <c r="W1065" i="9"/>
  <c r="V1065" i="9"/>
  <c r="U1065" i="9"/>
  <c r="W1064" i="9"/>
  <c r="V1064" i="9"/>
  <c r="U1064" i="9"/>
  <c r="W1063" i="9"/>
  <c r="V1063" i="9"/>
  <c r="U1063" i="9"/>
  <c r="W1062" i="9"/>
  <c r="V1062" i="9"/>
  <c r="U1062" i="9"/>
  <c r="W1061" i="9"/>
  <c r="V1061" i="9"/>
  <c r="U1061" i="9"/>
  <c r="W1060" i="9"/>
  <c r="V1060" i="9"/>
  <c r="U1060" i="9"/>
  <c r="W1059" i="9"/>
  <c r="V1059" i="9"/>
  <c r="U1059" i="9"/>
  <c r="W1058" i="9"/>
  <c r="V1058" i="9"/>
  <c r="U1058" i="9"/>
  <c r="W1057" i="9"/>
  <c r="V1057" i="9"/>
  <c r="U1057" i="9"/>
  <c r="W1056" i="9"/>
  <c r="V1056" i="9"/>
  <c r="U1056" i="9"/>
  <c r="W1055" i="9"/>
  <c r="V1055" i="9"/>
  <c r="U1055" i="9"/>
  <c r="W1054" i="9"/>
  <c r="V1054" i="9"/>
  <c r="U1054" i="9"/>
  <c r="W1053" i="9"/>
  <c r="V1053" i="9"/>
  <c r="U1053" i="9"/>
  <c r="W1052" i="9"/>
  <c r="V1052" i="9"/>
  <c r="U1052" i="9"/>
  <c r="W1051" i="9"/>
  <c r="V1051" i="9"/>
  <c r="U1051" i="9"/>
  <c r="W1050" i="9"/>
  <c r="V1050" i="9"/>
  <c r="U1050" i="9"/>
  <c r="W1049" i="9"/>
  <c r="V1049" i="9"/>
  <c r="U1049" i="9"/>
  <c r="W1048" i="9"/>
  <c r="V1048" i="9"/>
  <c r="U1048" i="9"/>
  <c r="W1047" i="9"/>
  <c r="V1047" i="9"/>
  <c r="U1047" i="9"/>
  <c r="W1046" i="9"/>
  <c r="V1046" i="9"/>
  <c r="U1046" i="9"/>
  <c r="W1045" i="9"/>
  <c r="V1045" i="9"/>
  <c r="U1045" i="9"/>
  <c r="W1044" i="9"/>
  <c r="V1044" i="9"/>
  <c r="U1044" i="9"/>
  <c r="W1043" i="9"/>
  <c r="V1043" i="9"/>
  <c r="U1043" i="9"/>
  <c r="W1042" i="9"/>
  <c r="V1042" i="9"/>
  <c r="U1042" i="9"/>
  <c r="W1041" i="9"/>
  <c r="V1041" i="9"/>
  <c r="U1041" i="9"/>
  <c r="W1040" i="9"/>
  <c r="V1040" i="9"/>
  <c r="U1040" i="9"/>
  <c r="W1039" i="9"/>
  <c r="V1039" i="9"/>
  <c r="U1039" i="9"/>
  <c r="W1038" i="9"/>
  <c r="V1038" i="9"/>
  <c r="U1038" i="9"/>
  <c r="W1037" i="9"/>
  <c r="V1037" i="9"/>
  <c r="U1037" i="9"/>
  <c r="W1036" i="9"/>
  <c r="V1036" i="9"/>
  <c r="U1036" i="9"/>
  <c r="W1035" i="9"/>
  <c r="V1035" i="9"/>
  <c r="U1035" i="9"/>
  <c r="W1034" i="9"/>
  <c r="V1034" i="9"/>
  <c r="U1034" i="9"/>
  <c r="W1033" i="9"/>
  <c r="V1033" i="9"/>
  <c r="U1033" i="9"/>
  <c r="W1032" i="9"/>
  <c r="V1032" i="9"/>
  <c r="U1032" i="9"/>
  <c r="W1031" i="9"/>
  <c r="V1031" i="9"/>
  <c r="U1031" i="9"/>
  <c r="W1030" i="9"/>
  <c r="V1030" i="9"/>
  <c r="U1030" i="9"/>
  <c r="W1029" i="9"/>
  <c r="V1029" i="9"/>
  <c r="U1029" i="9"/>
  <c r="W1028" i="9"/>
  <c r="V1028" i="9"/>
  <c r="U1028" i="9"/>
  <c r="W1027" i="9"/>
  <c r="V1027" i="9"/>
  <c r="U1027" i="9"/>
  <c r="W1026" i="9"/>
  <c r="V1026" i="9"/>
  <c r="U1026" i="9"/>
  <c r="W1025" i="9"/>
  <c r="V1025" i="9"/>
  <c r="U1025" i="9"/>
  <c r="W1024" i="9"/>
  <c r="V1024" i="9"/>
  <c r="U1024" i="9"/>
  <c r="W1023" i="9"/>
  <c r="V1023" i="9"/>
  <c r="U1023" i="9"/>
  <c r="W1022" i="9"/>
  <c r="V1022" i="9"/>
  <c r="U1022" i="9"/>
  <c r="W1021" i="9"/>
  <c r="V1021" i="9"/>
  <c r="U1021" i="9"/>
  <c r="W1020" i="9"/>
  <c r="V1020" i="9"/>
  <c r="U1020" i="9"/>
  <c r="W1019" i="9"/>
  <c r="V1019" i="9"/>
  <c r="U1019" i="9"/>
  <c r="W1018" i="9"/>
  <c r="V1018" i="9"/>
  <c r="U1018" i="9"/>
  <c r="W1017" i="9"/>
  <c r="V1017" i="9"/>
  <c r="U1017" i="9"/>
  <c r="W1016" i="9"/>
  <c r="V1016" i="9"/>
  <c r="U1016" i="9"/>
  <c r="W1015" i="9"/>
  <c r="V1015" i="9"/>
  <c r="U1015" i="9"/>
  <c r="W1014" i="9"/>
  <c r="V1014" i="9"/>
  <c r="U1014" i="9"/>
  <c r="W1013" i="9"/>
  <c r="V1013" i="9"/>
  <c r="U1013" i="9"/>
  <c r="W1012" i="9"/>
  <c r="V1012" i="9"/>
  <c r="U1012" i="9"/>
  <c r="W1011" i="9"/>
  <c r="V1011" i="9"/>
  <c r="U1011" i="9"/>
  <c r="W1010" i="9"/>
  <c r="V1010" i="9"/>
  <c r="U1010" i="9"/>
  <c r="W1009" i="9"/>
  <c r="V1009" i="9"/>
  <c r="U1009" i="9"/>
  <c r="W1008" i="9"/>
  <c r="V1008" i="9"/>
  <c r="U1008" i="9"/>
  <c r="W1007" i="9"/>
  <c r="V1007" i="9"/>
  <c r="U1007" i="9"/>
  <c r="W1006" i="9"/>
  <c r="V1006" i="9"/>
  <c r="U1006" i="9"/>
  <c r="W1005" i="9"/>
  <c r="V1005" i="9"/>
  <c r="U1005" i="9"/>
  <c r="W1004" i="9"/>
  <c r="V1004" i="9"/>
  <c r="U1004" i="9"/>
  <c r="W1003" i="9"/>
  <c r="V1003" i="9"/>
  <c r="U1003" i="9"/>
  <c r="W1002" i="9"/>
  <c r="V1002" i="9"/>
  <c r="U1002" i="9"/>
  <c r="W1001" i="9"/>
  <c r="V1001" i="9"/>
  <c r="U1001" i="9"/>
  <c r="W1000" i="9"/>
  <c r="V1000" i="9"/>
  <c r="U1000" i="9"/>
  <c r="W999" i="9"/>
  <c r="V999" i="9"/>
  <c r="U999" i="9"/>
  <c r="W998" i="9"/>
  <c r="V998" i="9"/>
  <c r="U998" i="9"/>
  <c r="W997" i="9"/>
  <c r="V997" i="9"/>
  <c r="U997" i="9"/>
  <c r="W996" i="9"/>
  <c r="V996" i="9"/>
  <c r="U996" i="9"/>
  <c r="W995" i="9"/>
  <c r="V995" i="9"/>
  <c r="U995" i="9"/>
  <c r="W994" i="9"/>
  <c r="V994" i="9"/>
  <c r="U994" i="9"/>
  <c r="W993" i="9"/>
  <c r="V993" i="9"/>
  <c r="U993" i="9"/>
  <c r="W992" i="9"/>
  <c r="V992" i="9"/>
  <c r="U992" i="9"/>
  <c r="W991" i="9"/>
  <c r="V991" i="9"/>
  <c r="U991" i="9"/>
  <c r="W990" i="9"/>
  <c r="V990" i="9"/>
  <c r="U990" i="9"/>
  <c r="W989" i="9"/>
  <c r="V989" i="9"/>
  <c r="U989" i="9"/>
  <c r="W988" i="9"/>
  <c r="V988" i="9"/>
  <c r="U988" i="9"/>
  <c r="W987" i="9"/>
  <c r="V987" i="9"/>
  <c r="U987" i="9"/>
  <c r="W986" i="9"/>
  <c r="V986" i="9"/>
  <c r="U986" i="9"/>
  <c r="W985" i="9"/>
  <c r="V985" i="9"/>
  <c r="U985" i="9"/>
  <c r="W984" i="9"/>
  <c r="V984" i="9"/>
  <c r="U984" i="9"/>
  <c r="W983" i="9"/>
  <c r="V983" i="9"/>
  <c r="U983" i="9"/>
  <c r="W982" i="9"/>
  <c r="V982" i="9"/>
  <c r="U982" i="9"/>
  <c r="W981" i="9"/>
  <c r="V981" i="9"/>
  <c r="U981" i="9"/>
  <c r="W980" i="9"/>
  <c r="V980" i="9"/>
  <c r="U980" i="9"/>
  <c r="W979" i="9"/>
  <c r="V979" i="9"/>
  <c r="U979" i="9"/>
  <c r="W978" i="9"/>
  <c r="V978" i="9"/>
  <c r="U978" i="9"/>
  <c r="W977" i="9"/>
  <c r="V977" i="9"/>
  <c r="U977" i="9"/>
  <c r="W976" i="9"/>
  <c r="V976" i="9"/>
  <c r="U976" i="9"/>
  <c r="W975" i="9"/>
  <c r="V975" i="9"/>
  <c r="U975" i="9"/>
  <c r="W974" i="9"/>
  <c r="V974" i="9"/>
  <c r="U974" i="9"/>
  <c r="W973" i="9"/>
  <c r="V973" i="9"/>
  <c r="U973" i="9"/>
  <c r="W972" i="9"/>
  <c r="V972" i="9"/>
  <c r="U972" i="9"/>
  <c r="W971" i="9"/>
  <c r="V971" i="9"/>
  <c r="U971" i="9"/>
  <c r="W970" i="9"/>
  <c r="V970" i="9"/>
  <c r="U970" i="9"/>
  <c r="W969" i="9"/>
  <c r="V969" i="9"/>
  <c r="U969" i="9"/>
  <c r="W968" i="9"/>
  <c r="V968" i="9"/>
  <c r="U968" i="9"/>
  <c r="W967" i="9"/>
  <c r="V967" i="9"/>
  <c r="U967" i="9"/>
  <c r="W966" i="9"/>
  <c r="V966" i="9"/>
  <c r="U966" i="9"/>
  <c r="W965" i="9"/>
  <c r="V965" i="9"/>
  <c r="U965" i="9"/>
  <c r="W964" i="9"/>
  <c r="V964" i="9"/>
  <c r="U964" i="9"/>
  <c r="W963" i="9"/>
  <c r="V963" i="9"/>
  <c r="U963" i="9"/>
  <c r="W962" i="9"/>
  <c r="V962" i="9"/>
  <c r="U962" i="9"/>
  <c r="W961" i="9"/>
  <c r="V961" i="9"/>
  <c r="U961" i="9"/>
  <c r="W960" i="9"/>
  <c r="V960" i="9"/>
  <c r="U960" i="9"/>
  <c r="W959" i="9"/>
  <c r="V959" i="9"/>
  <c r="U959" i="9"/>
  <c r="W958" i="9"/>
  <c r="V958" i="9"/>
  <c r="U958" i="9"/>
  <c r="W957" i="9"/>
  <c r="V957" i="9"/>
  <c r="U957" i="9"/>
  <c r="W956" i="9"/>
  <c r="V956" i="9"/>
  <c r="U956" i="9"/>
  <c r="W955" i="9"/>
  <c r="V955" i="9"/>
  <c r="U955" i="9"/>
  <c r="W954" i="9"/>
  <c r="V954" i="9"/>
  <c r="U954" i="9"/>
  <c r="W953" i="9"/>
  <c r="V953" i="9"/>
  <c r="U953" i="9"/>
  <c r="W952" i="9"/>
  <c r="V952" i="9"/>
  <c r="U952" i="9"/>
  <c r="W951" i="9"/>
  <c r="V951" i="9"/>
  <c r="U951" i="9"/>
  <c r="W950" i="9"/>
  <c r="V950" i="9"/>
  <c r="U950" i="9"/>
  <c r="W949" i="9"/>
  <c r="V949" i="9"/>
  <c r="U949" i="9"/>
  <c r="W948" i="9"/>
  <c r="V948" i="9"/>
  <c r="U948" i="9"/>
  <c r="W947" i="9"/>
  <c r="V947" i="9"/>
  <c r="U947" i="9"/>
  <c r="W946" i="9"/>
  <c r="V946" i="9"/>
  <c r="U946" i="9"/>
  <c r="W945" i="9"/>
  <c r="V945" i="9"/>
  <c r="U945" i="9"/>
  <c r="W944" i="9"/>
  <c r="V944" i="9"/>
  <c r="U944" i="9"/>
  <c r="W943" i="9"/>
  <c r="V943" i="9"/>
  <c r="U943" i="9"/>
  <c r="W942" i="9"/>
  <c r="V942" i="9"/>
  <c r="U942" i="9"/>
  <c r="W941" i="9"/>
  <c r="V941" i="9"/>
  <c r="U941" i="9"/>
  <c r="W940" i="9"/>
  <c r="V940" i="9"/>
  <c r="U940" i="9"/>
  <c r="W939" i="9"/>
  <c r="V939" i="9"/>
  <c r="U939" i="9"/>
  <c r="W938" i="9"/>
  <c r="V938" i="9"/>
  <c r="U938" i="9"/>
  <c r="W937" i="9"/>
  <c r="V937" i="9"/>
  <c r="U937" i="9"/>
  <c r="W936" i="9"/>
  <c r="V936" i="9"/>
  <c r="U936" i="9"/>
  <c r="W935" i="9"/>
  <c r="V935" i="9"/>
  <c r="U935" i="9"/>
  <c r="W934" i="9"/>
  <c r="V934" i="9"/>
  <c r="U934" i="9"/>
  <c r="W933" i="9"/>
  <c r="V933" i="9"/>
  <c r="U933" i="9"/>
  <c r="W932" i="9"/>
  <c r="V932" i="9"/>
  <c r="U932" i="9"/>
  <c r="W931" i="9"/>
  <c r="V931" i="9"/>
  <c r="U931" i="9"/>
  <c r="W930" i="9"/>
  <c r="V930" i="9"/>
  <c r="U930" i="9"/>
  <c r="W929" i="9"/>
  <c r="V929" i="9"/>
  <c r="U929" i="9"/>
  <c r="W928" i="9"/>
  <c r="V928" i="9"/>
  <c r="U928" i="9"/>
  <c r="W927" i="9"/>
  <c r="V927" i="9"/>
  <c r="U927" i="9"/>
  <c r="W926" i="9"/>
  <c r="V926" i="9"/>
  <c r="U926" i="9"/>
  <c r="W925" i="9"/>
  <c r="V925" i="9"/>
  <c r="U925" i="9"/>
  <c r="W924" i="9"/>
  <c r="V924" i="9"/>
  <c r="U924" i="9"/>
  <c r="W923" i="9"/>
  <c r="V923" i="9"/>
  <c r="U923" i="9"/>
  <c r="W922" i="9"/>
  <c r="V922" i="9"/>
  <c r="U922" i="9"/>
  <c r="W921" i="9"/>
  <c r="V921" i="9"/>
  <c r="U921" i="9"/>
  <c r="W920" i="9"/>
  <c r="V920" i="9"/>
  <c r="U920" i="9"/>
  <c r="W919" i="9"/>
  <c r="V919" i="9"/>
  <c r="U919" i="9"/>
  <c r="W918" i="9"/>
  <c r="V918" i="9"/>
  <c r="U918" i="9"/>
  <c r="W917" i="9"/>
  <c r="V917" i="9"/>
  <c r="U917" i="9"/>
  <c r="W916" i="9"/>
  <c r="V916" i="9"/>
  <c r="U916" i="9"/>
  <c r="W915" i="9"/>
  <c r="V915" i="9"/>
  <c r="U915" i="9"/>
  <c r="W914" i="9"/>
  <c r="V914" i="9"/>
  <c r="U914" i="9"/>
  <c r="W913" i="9"/>
  <c r="V913" i="9"/>
  <c r="U913" i="9"/>
  <c r="W912" i="9"/>
  <c r="V912" i="9"/>
  <c r="U912" i="9"/>
  <c r="W911" i="9"/>
  <c r="V911" i="9"/>
  <c r="U911" i="9"/>
  <c r="W910" i="9"/>
  <c r="V910" i="9"/>
  <c r="U910" i="9"/>
  <c r="W909" i="9"/>
  <c r="V909" i="9"/>
  <c r="U909" i="9"/>
  <c r="W908" i="9"/>
  <c r="V908" i="9"/>
  <c r="U908" i="9"/>
  <c r="W907" i="9"/>
  <c r="V907" i="9"/>
  <c r="U907" i="9"/>
  <c r="W906" i="9"/>
  <c r="V906" i="9"/>
  <c r="U906" i="9"/>
  <c r="W905" i="9"/>
  <c r="V905" i="9"/>
  <c r="U905" i="9"/>
  <c r="W904" i="9"/>
  <c r="V904" i="9"/>
  <c r="U904" i="9"/>
  <c r="W903" i="9"/>
  <c r="V903" i="9"/>
  <c r="U903" i="9"/>
  <c r="W902" i="9"/>
  <c r="V902" i="9"/>
  <c r="U902" i="9"/>
  <c r="W901" i="9"/>
  <c r="V901" i="9"/>
  <c r="U901" i="9"/>
  <c r="W900" i="9"/>
  <c r="V900" i="9"/>
  <c r="U900" i="9"/>
  <c r="W899" i="9"/>
  <c r="V899" i="9"/>
  <c r="U899" i="9"/>
  <c r="W898" i="9"/>
  <c r="V898" i="9"/>
  <c r="U898" i="9"/>
  <c r="W897" i="9"/>
  <c r="V897" i="9"/>
  <c r="U897" i="9"/>
  <c r="W896" i="9"/>
  <c r="V896" i="9"/>
  <c r="U896" i="9"/>
  <c r="W895" i="9"/>
  <c r="V895" i="9"/>
  <c r="U895" i="9"/>
  <c r="W894" i="9"/>
  <c r="V894" i="9"/>
  <c r="U894" i="9"/>
  <c r="W893" i="9"/>
  <c r="V893" i="9"/>
  <c r="U893" i="9"/>
  <c r="W892" i="9"/>
  <c r="V892" i="9"/>
  <c r="U892" i="9"/>
  <c r="W891" i="9"/>
  <c r="V891" i="9"/>
  <c r="U891" i="9"/>
  <c r="W890" i="9"/>
  <c r="V890" i="9"/>
  <c r="U890" i="9"/>
  <c r="W889" i="9"/>
  <c r="V889" i="9"/>
  <c r="U889" i="9"/>
  <c r="W888" i="9"/>
  <c r="V888" i="9"/>
  <c r="U888" i="9"/>
  <c r="W887" i="9"/>
  <c r="V887" i="9"/>
  <c r="U887" i="9"/>
  <c r="W886" i="9"/>
  <c r="V886" i="9"/>
  <c r="U886" i="9"/>
  <c r="W885" i="9"/>
  <c r="V885" i="9"/>
  <c r="U885" i="9"/>
  <c r="W884" i="9"/>
  <c r="V884" i="9"/>
  <c r="U884" i="9"/>
  <c r="W883" i="9"/>
  <c r="V883" i="9"/>
  <c r="U883" i="9"/>
  <c r="W882" i="9"/>
  <c r="V882" i="9"/>
  <c r="U882" i="9"/>
  <c r="W881" i="9"/>
  <c r="V881" i="9"/>
  <c r="U881" i="9"/>
  <c r="W880" i="9"/>
  <c r="V880" i="9"/>
  <c r="U880" i="9"/>
  <c r="W879" i="9"/>
  <c r="V879" i="9"/>
  <c r="U879" i="9"/>
  <c r="W878" i="9"/>
  <c r="V878" i="9"/>
  <c r="U878" i="9"/>
  <c r="W877" i="9"/>
  <c r="V877" i="9"/>
  <c r="U877" i="9"/>
  <c r="W876" i="9"/>
  <c r="V876" i="9"/>
  <c r="U876" i="9"/>
  <c r="W875" i="9"/>
  <c r="V875" i="9"/>
  <c r="U875" i="9"/>
  <c r="W874" i="9"/>
  <c r="V874" i="9"/>
  <c r="U874" i="9"/>
  <c r="W873" i="9"/>
  <c r="V873" i="9"/>
  <c r="U873" i="9"/>
  <c r="W872" i="9"/>
  <c r="V872" i="9"/>
  <c r="U872" i="9"/>
  <c r="W871" i="9"/>
  <c r="V871" i="9"/>
  <c r="U871" i="9"/>
  <c r="W870" i="9"/>
  <c r="V870" i="9"/>
  <c r="U870" i="9"/>
  <c r="W869" i="9"/>
  <c r="V869" i="9"/>
  <c r="U869" i="9"/>
  <c r="W868" i="9"/>
  <c r="V868" i="9"/>
  <c r="U868" i="9"/>
  <c r="W867" i="9"/>
  <c r="V867" i="9"/>
  <c r="U867" i="9"/>
  <c r="W866" i="9"/>
  <c r="V866" i="9"/>
  <c r="U866" i="9"/>
  <c r="W865" i="9"/>
  <c r="V865" i="9"/>
  <c r="U865" i="9"/>
  <c r="W864" i="9"/>
  <c r="V864" i="9"/>
  <c r="U864" i="9"/>
  <c r="W863" i="9"/>
  <c r="V863" i="9"/>
  <c r="U863" i="9"/>
  <c r="W862" i="9"/>
  <c r="V862" i="9"/>
  <c r="U862" i="9"/>
  <c r="W861" i="9"/>
  <c r="V861" i="9"/>
  <c r="U861" i="9"/>
  <c r="W860" i="9"/>
  <c r="V860" i="9"/>
  <c r="U860" i="9"/>
  <c r="W859" i="9"/>
  <c r="V859" i="9"/>
  <c r="U859" i="9"/>
  <c r="W858" i="9"/>
  <c r="V858" i="9"/>
  <c r="U858" i="9"/>
  <c r="W857" i="9"/>
  <c r="V857" i="9"/>
  <c r="U857" i="9"/>
  <c r="W856" i="9"/>
  <c r="V856" i="9"/>
  <c r="U856" i="9"/>
  <c r="W855" i="9"/>
  <c r="V855" i="9"/>
  <c r="U855" i="9"/>
  <c r="W854" i="9"/>
  <c r="V854" i="9"/>
  <c r="U854" i="9"/>
  <c r="W853" i="9"/>
  <c r="V853" i="9"/>
  <c r="U853" i="9"/>
  <c r="W852" i="9"/>
  <c r="V852" i="9"/>
  <c r="U852" i="9"/>
  <c r="W851" i="9"/>
  <c r="V851" i="9"/>
  <c r="U851" i="9"/>
  <c r="W850" i="9"/>
  <c r="V850" i="9"/>
  <c r="U850" i="9"/>
  <c r="W849" i="9"/>
  <c r="V849" i="9"/>
  <c r="U849" i="9"/>
  <c r="W848" i="9"/>
  <c r="V848" i="9"/>
  <c r="U848" i="9"/>
  <c r="W847" i="9"/>
  <c r="V847" i="9"/>
  <c r="U847" i="9"/>
  <c r="W846" i="9"/>
  <c r="V846" i="9"/>
  <c r="U846" i="9"/>
  <c r="W845" i="9"/>
  <c r="V845" i="9"/>
  <c r="U845" i="9"/>
  <c r="W844" i="9"/>
  <c r="V844" i="9"/>
  <c r="U844" i="9"/>
  <c r="W843" i="9"/>
  <c r="V843" i="9"/>
  <c r="U843" i="9"/>
  <c r="W842" i="9"/>
  <c r="V842" i="9"/>
  <c r="U842" i="9"/>
  <c r="W841" i="9"/>
  <c r="V841" i="9"/>
  <c r="U841" i="9"/>
  <c r="W840" i="9"/>
  <c r="V840" i="9"/>
  <c r="U840" i="9"/>
  <c r="W839" i="9"/>
  <c r="V839" i="9"/>
  <c r="U839" i="9"/>
  <c r="W838" i="9"/>
  <c r="V838" i="9"/>
  <c r="U838" i="9"/>
  <c r="W837" i="9"/>
  <c r="V837" i="9"/>
  <c r="U837" i="9"/>
  <c r="W836" i="9"/>
  <c r="V836" i="9"/>
  <c r="U836" i="9"/>
  <c r="W835" i="9"/>
  <c r="V835" i="9"/>
  <c r="U835" i="9"/>
  <c r="W834" i="9"/>
  <c r="V834" i="9"/>
  <c r="U834" i="9"/>
  <c r="W833" i="9"/>
  <c r="V833" i="9"/>
  <c r="U833" i="9"/>
  <c r="W832" i="9"/>
  <c r="V832" i="9"/>
  <c r="U832" i="9"/>
  <c r="W831" i="9"/>
  <c r="V831" i="9"/>
  <c r="U831" i="9"/>
  <c r="W830" i="9"/>
  <c r="V830" i="9"/>
  <c r="U830" i="9"/>
  <c r="W829" i="9"/>
  <c r="V829" i="9"/>
  <c r="U829" i="9"/>
  <c r="W828" i="9"/>
  <c r="V828" i="9"/>
  <c r="U828" i="9"/>
  <c r="W827" i="9"/>
  <c r="V827" i="9"/>
  <c r="U827" i="9"/>
  <c r="W826" i="9"/>
  <c r="V826" i="9"/>
  <c r="U826" i="9"/>
  <c r="W825" i="9"/>
  <c r="V825" i="9"/>
  <c r="U825" i="9"/>
  <c r="W824" i="9"/>
  <c r="V824" i="9"/>
  <c r="U824" i="9"/>
  <c r="W823" i="9"/>
  <c r="V823" i="9"/>
  <c r="U823" i="9"/>
  <c r="W822" i="9"/>
  <c r="V822" i="9"/>
  <c r="U822" i="9"/>
  <c r="W821" i="9"/>
  <c r="V821" i="9"/>
  <c r="U821" i="9"/>
  <c r="W820" i="9"/>
  <c r="V820" i="9"/>
  <c r="U820" i="9"/>
  <c r="W819" i="9"/>
  <c r="V819" i="9"/>
  <c r="U819" i="9"/>
  <c r="W818" i="9"/>
  <c r="V818" i="9"/>
  <c r="U818" i="9"/>
  <c r="W817" i="9"/>
  <c r="V817" i="9"/>
  <c r="U817" i="9"/>
  <c r="W816" i="9"/>
  <c r="V816" i="9"/>
  <c r="U816" i="9"/>
  <c r="W815" i="9"/>
  <c r="V815" i="9"/>
  <c r="U815" i="9"/>
  <c r="W814" i="9"/>
  <c r="V814" i="9"/>
  <c r="U814" i="9"/>
  <c r="W813" i="9"/>
  <c r="V813" i="9"/>
  <c r="U813" i="9"/>
  <c r="W812" i="9"/>
  <c r="V812" i="9"/>
  <c r="U812" i="9"/>
  <c r="W811" i="9"/>
  <c r="V811" i="9"/>
  <c r="U811" i="9"/>
  <c r="W810" i="9"/>
  <c r="V810" i="9"/>
  <c r="U810" i="9"/>
  <c r="W809" i="9"/>
  <c r="V809" i="9"/>
  <c r="U809" i="9"/>
  <c r="W808" i="9"/>
  <c r="V808" i="9"/>
  <c r="U808" i="9"/>
  <c r="W807" i="9"/>
  <c r="V807" i="9"/>
  <c r="U807" i="9"/>
  <c r="W806" i="9"/>
  <c r="V806" i="9"/>
  <c r="U806" i="9"/>
  <c r="W805" i="9"/>
  <c r="V805" i="9"/>
  <c r="U805" i="9"/>
  <c r="W804" i="9"/>
  <c r="V804" i="9"/>
  <c r="U804" i="9"/>
  <c r="W803" i="9"/>
  <c r="V803" i="9"/>
  <c r="U803" i="9"/>
  <c r="W802" i="9"/>
  <c r="V802" i="9"/>
  <c r="U802" i="9"/>
  <c r="W801" i="9"/>
  <c r="V801" i="9"/>
  <c r="U801" i="9"/>
  <c r="W800" i="9"/>
  <c r="V800" i="9"/>
  <c r="U800" i="9"/>
  <c r="W799" i="9"/>
  <c r="V799" i="9"/>
  <c r="U799" i="9"/>
  <c r="W798" i="9"/>
  <c r="V798" i="9"/>
  <c r="U798" i="9"/>
  <c r="W797" i="9"/>
  <c r="V797" i="9"/>
  <c r="U797" i="9"/>
  <c r="W796" i="9"/>
  <c r="V796" i="9"/>
  <c r="U796" i="9"/>
  <c r="W795" i="9"/>
  <c r="V795" i="9"/>
  <c r="U795" i="9"/>
  <c r="W794" i="9"/>
  <c r="V794" i="9"/>
  <c r="U794" i="9"/>
  <c r="W793" i="9"/>
  <c r="V793" i="9"/>
  <c r="U793" i="9"/>
  <c r="W792" i="9"/>
  <c r="V792" i="9"/>
  <c r="U792" i="9"/>
  <c r="W791" i="9"/>
  <c r="V791" i="9"/>
  <c r="U791" i="9"/>
  <c r="W790" i="9"/>
  <c r="V790" i="9"/>
  <c r="U790" i="9"/>
  <c r="W789" i="9"/>
  <c r="V789" i="9"/>
  <c r="U789" i="9"/>
  <c r="W788" i="9"/>
  <c r="V788" i="9"/>
  <c r="U788" i="9"/>
  <c r="W787" i="9"/>
  <c r="V787" i="9"/>
  <c r="U787" i="9"/>
  <c r="W786" i="9"/>
  <c r="V786" i="9"/>
  <c r="U786" i="9"/>
  <c r="W785" i="9"/>
  <c r="V785" i="9"/>
  <c r="U785" i="9"/>
  <c r="W784" i="9"/>
  <c r="V784" i="9"/>
  <c r="U784" i="9"/>
  <c r="W783" i="9"/>
  <c r="V783" i="9"/>
  <c r="U783" i="9"/>
  <c r="W782" i="9"/>
  <c r="V782" i="9"/>
  <c r="U782" i="9"/>
  <c r="W781" i="9"/>
  <c r="V781" i="9"/>
  <c r="U781" i="9"/>
  <c r="W780" i="9"/>
  <c r="V780" i="9"/>
  <c r="U780" i="9"/>
  <c r="W779" i="9"/>
  <c r="V779" i="9"/>
  <c r="U779" i="9"/>
  <c r="W778" i="9"/>
  <c r="V778" i="9"/>
  <c r="U778" i="9"/>
  <c r="W777" i="9"/>
  <c r="V777" i="9"/>
  <c r="U777" i="9"/>
  <c r="W776" i="9"/>
  <c r="V776" i="9"/>
  <c r="U776" i="9"/>
  <c r="W775" i="9"/>
  <c r="V775" i="9"/>
  <c r="U775" i="9"/>
  <c r="W774" i="9"/>
  <c r="V774" i="9"/>
  <c r="U774" i="9"/>
  <c r="W773" i="9"/>
  <c r="V773" i="9"/>
  <c r="U773" i="9"/>
  <c r="W772" i="9"/>
  <c r="V772" i="9"/>
  <c r="U772" i="9"/>
  <c r="W771" i="9"/>
  <c r="V771" i="9"/>
  <c r="U771" i="9"/>
  <c r="W770" i="9"/>
  <c r="V770" i="9"/>
  <c r="U770" i="9"/>
  <c r="W769" i="9"/>
  <c r="V769" i="9"/>
  <c r="U769" i="9"/>
  <c r="W768" i="9"/>
  <c r="V768" i="9"/>
  <c r="U768" i="9"/>
  <c r="W767" i="9"/>
  <c r="V767" i="9"/>
  <c r="U767" i="9"/>
  <c r="W766" i="9"/>
  <c r="V766" i="9"/>
  <c r="U766" i="9"/>
  <c r="W765" i="9"/>
  <c r="V765" i="9"/>
  <c r="U765" i="9"/>
  <c r="W764" i="9"/>
  <c r="V764" i="9"/>
  <c r="U764" i="9"/>
  <c r="W763" i="9"/>
  <c r="V763" i="9"/>
  <c r="U763" i="9"/>
  <c r="W762" i="9"/>
  <c r="V762" i="9"/>
  <c r="U762" i="9"/>
  <c r="W761" i="9"/>
  <c r="V761" i="9"/>
  <c r="U761" i="9"/>
  <c r="W760" i="9"/>
  <c r="V760" i="9"/>
  <c r="U760" i="9"/>
  <c r="W759" i="9"/>
  <c r="V759" i="9"/>
  <c r="U759" i="9"/>
  <c r="W758" i="9"/>
  <c r="V758" i="9"/>
  <c r="U758" i="9"/>
  <c r="W757" i="9"/>
  <c r="V757" i="9"/>
  <c r="U757" i="9"/>
  <c r="W756" i="9"/>
  <c r="V756" i="9"/>
  <c r="U756" i="9"/>
  <c r="W755" i="9"/>
  <c r="V755" i="9"/>
  <c r="U755" i="9"/>
  <c r="W754" i="9"/>
  <c r="V754" i="9"/>
  <c r="U754" i="9"/>
  <c r="W753" i="9"/>
  <c r="V753" i="9"/>
  <c r="U753" i="9"/>
  <c r="W752" i="9"/>
  <c r="V752" i="9"/>
  <c r="U752" i="9"/>
  <c r="W751" i="9"/>
  <c r="V751" i="9"/>
  <c r="U751" i="9"/>
  <c r="W750" i="9"/>
  <c r="V750" i="9"/>
  <c r="U750" i="9"/>
  <c r="W749" i="9"/>
  <c r="V749" i="9"/>
  <c r="U749" i="9"/>
  <c r="W748" i="9"/>
  <c r="V748" i="9"/>
  <c r="U748" i="9"/>
  <c r="W747" i="9"/>
  <c r="V747" i="9"/>
  <c r="U747" i="9"/>
  <c r="W746" i="9"/>
  <c r="V746" i="9"/>
  <c r="U746" i="9"/>
  <c r="W745" i="9"/>
  <c r="V745" i="9"/>
  <c r="U745" i="9"/>
  <c r="W744" i="9"/>
  <c r="V744" i="9"/>
  <c r="U744" i="9"/>
  <c r="W743" i="9"/>
  <c r="V743" i="9"/>
  <c r="U743" i="9"/>
  <c r="W742" i="9"/>
  <c r="V742" i="9"/>
  <c r="U742" i="9"/>
  <c r="W741" i="9"/>
  <c r="V741" i="9"/>
  <c r="U741" i="9"/>
  <c r="W740" i="9"/>
  <c r="V740" i="9"/>
  <c r="U740" i="9"/>
  <c r="W739" i="9"/>
  <c r="V739" i="9"/>
  <c r="U739" i="9"/>
  <c r="W738" i="9"/>
  <c r="V738" i="9"/>
  <c r="U738" i="9"/>
  <c r="W737" i="9"/>
  <c r="V737" i="9"/>
  <c r="U737" i="9"/>
  <c r="W736" i="9"/>
  <c r="V736" i="9"/>
  <c r="U736" i="9"/>
  <c r="W735" i="9"/>
  <c r="V735" i="9"/>
  <c r="U735" i="9"/>
  <c r="W734" i="9"/>
  <c r="V734" i="9"/>
  <c r="U734" i="9"/>
  <c r="W733" i="9"/>
  <c r="V733" i="9"/>
  <c r="U733" i="9"/>
  <c r="W732" i="9"/>
  <c r="V732" i="9"/>
  <c r="U732" i="9"/>
  <c r="W731" i="9"/>
  <c r="V731" i="9"/>
  <c r="U731" i="9"/>
  <c r="W730" i="9"/>
  <c r="V730" i="9"/>
  <c r="U730" i="9"/>
  <c r="W729" i="9"/>
  <c r="V729" i="9"/>
  <c r="U729" i="9"/>
  <c r="W728" i="9"/>
  <c r="V728" i="9"/>
  <c r="U728" i="9"/>
  <c r="W727" i="9"/>
  <c r="V727" i="9"/>
  <c r="U727" i="9"/>
  <c r="W726" i="9"/>
  <c r="V726" i="9"/>
  <c r="U726" i="9"/>
  <c r="W725" i="9"/>
  <c r="V725" i="9"/>
  <c r="U725" i="9"/>
  <c r="W724" i="9"/>
  <c r="V724" i="9"/>
  <c r="U724" i="9"/>
  <c r="W723" i="9"/>
  <c r="V723" i="9"/>
  <c r="U723" i="9"/>
  <c r="W722" i="9"/>
  <c r="V722" i="9"/>
  <c r="U722" i="9"/>
  <c r="W721" i="9"/>
  <c r="V721" i="9"/>
  <c r="U721" i="9"/>
  <c r="W720" i="9"/>
  <c r="V720" i="9"/>
  <c r="U720" i="9"/>
  <c r="W719" i="9"/>
  <c r="V719" i="9"/>
  <c r="U719" i="9"/>
  <c r="W718" i="9"/>
  <c r="V718" i="9"/>
  <c r="U718" i="9"/>
  <c r="W717" i="9"/>
  <c r="V717" i="9"/>
  <c r="U717" i="9"/>
  <c r="W716" i="9"/>
  <c r="V716" i="9"/>
  <c r="U716" i="9"/>
  <c r="W715" i="9"/>
  <c r="V715" i="9"/>
  <c r="U715" i="9"/>
  <c r="W714" i="9"/>
  <c r="V714" i="9"/>
  <c r="U714" i="9"/>
  <c r="W713" i="9"/>
  <c r="V713" i="9"/>
  <c r="U713" i="9"/>
  <c r="W712" i="9"/>
  <c r="V712" i="9"/>
  <c r="U712" i="9"/>
  <c r="W711" i="9"/>
  <c r="V711" i="9"/>
  <c r="U711" i="9"/>
  <c r="W710" i="9"/>
  <c r="V710" i="9"/>
  <c r="U710" i="9"/>
  <c r="W709" i="9"/>
  <c r="V709" i="9"/>
  <c r="U709" i="9"/>
  <c r="W708" i="9"/>
  <c r="V708" i="9"/>
  <c r="U708" i="9"/>
  <c r="W707" i="9"/>
  <c r="V707" i="9"/>
  <c r="U707" i="9"/>
  <c r="W706" i="9"/>
  <c r="V706" i="9"/>
  <c r="U706" i="9"/>
  <c r="W705" i="9"/>
  <c r="V705" i="9"/>
  <c r="U705" i="9"/>
  <c r="W704" i="9"/>
  <c r="V704" i="9"/>
  <c r="U704" i="9"/>
  <c r="W703" i="9"/>
  <c r="V703" i="9"/>
  <c r="U703" i="9"/>
  <c r="W702" i="9"/>
  <c r="V702" i="9"/>
  <c r="U702" i="9"/>
  <c r="W701" i="9"/>
  <c r="V701" i="9"/>
  <c r="U701" i="9"/>
  <c r="W700" i="9"/>
  <c r="V700" i="9"/>
  <c r="U700" i="9"/>
  <c r="W699" i="9"/>
  <c r="V699" i="9"/>
  <c r="U699" i="9"/>
  <c r="W698" i="9"/>
  <c r="V698" i="9"/>
  <c r="U698" i="9"/>
  <c r="W697" i="9"/>
  <c r="V697" i="9"/>
  <c r="U697" i="9"/>
  <c r="W696" i="9"/>
  <c r="V696" i="9"/>
  <c r="U696" i="9"/>
  <c r="W695" i="9"/>
  <c r="V695" i="9"/>
  <c r="U695" i="9"/>
  <c r="W694" i="9"/>
  <c r="V694" i="9"/>
  <c r="U694" i="9"/>
  <c r="W693" i="9"/>
  <c r="V693" i="9"/>
  <c r="U693" i="9"/>
  <c r="W692" i="9"/>
  <c r="V692" i="9"/>
  <c r="U692" i="9"/>
  <c r="W691" i="9"/>
  <c r="V691" i="9"/>
  <c r="U691" i="9"/>
  <c r="W690" i="9"/>
  <c r="V690" i="9"/>
  <c r="U690" i="9"/>
  <c r="W689" i="9"/>
  <c r="V689" i="9"/>
  <c r="U689" i="9"/>
  <c r="W688" i="9"/>
  <c r="V688" i="9"/>
  <c r="U688" i="9"/>
  <c r="W687" i="9"/>
  <c r="V687" i="9"/>
  <c r="U687" i="9"/>
  <c r="W686" i="9"/>
  <c r="V686" i="9"/>
  <c r="U686" i="9"/>
  <c r="W685" i="9"/>
  <c r="V685" i="9"/>
  <c r="U685" i="9"/>
  <c r="W684" i="9"/>
  <c r="V684" i="9"/>
  <c r="U684" i="9"/>
  <c r="W683" i="9"/>
  <c r="V683" i="9"/>
  <c r="U683" i="9"/>
  <c r="W682" i="9"/>
  <c r="V682" i="9"/>
  <c r="U682" i="9"/>
  <c r="W681" i="9"/>
  <c r="V681" i="9"/>
  <c r="U681" i="9"/>
  <c r="W680" i="9"/>
  <c r="V680" i="9"/>
  <c r="U680" i="9"/>
  <c r="W679" i="9"/>
  <c r="V679" i="9"/>
  <c r="U679" i="9"/>
  <c r="W678" i="9"/>
  <c r="V678" i="9"/>
  <c r="U678" i="9"/>
  <c r="W677" i="9"/>
  <c r="V677" i="9"/>
  <c r="U677" i="9"/>
  <c r="W676" i="9"/>
  <c r="V676" i="9"/>
  <c r="U676" i="9"/>
  <c r="W675" i="9"/>
  <c r="V675" i="9"/>
  <c r="U675" i="9"/>
  <c r="W674" i="9"/>
  <c r="V674" i="9"/>
  <c r="U674" i="9"/>
  <c r="W673" i="9"/>
  <c r="V673" i="9"/>
  <c r="U673" i="9"/>
  <c r="W672" i="9"/>
  <c r="V672" i="9"/>
  <c r="U672" i="9"/>
  <c r="W671" i="9"/>
  <c r="V671" i="9"/>
  <c r="U671" i="9"/>
  <c r="W670" i="9"/>
  <c r="V670" i="9"/>
  <c r="U670" i="9"/>
  <c r="W669" i="9"/>
  <c r="V669" i="9"/>
  <c r="U669" i="9"/>
  <c r="W668" i="9"/>
  <c r="V668" i="9"/>
  <c r="U668" i="9"/>
  <c r="W667" i="9"/>
  <c r="V667" i="9"/>
  <c r="U667" i="9"/>
  <c r="W666" i="9"/>
  <c r="V666" i="9"/>
  <c r="U666" i="9"/>
  <c r="W665" i="9"/>
  <c r="V665" i="9"/>
  <c r="U665" i="9"/>
  <c r="W664" i="9"/>
  <c r="V664" i="9"/>
  <c r="U664" i="9"/>
  <c r="W663" i="9"/>
  <c r="V663" i="9"/>
  <c r="U663" i="9"/>
  <c r="W662" i="9"/>
  <c r="V662" i="9"/>
  <c r="U662" i="9"/>
  <c r="W661" i="9"/>
  <c r="V661" i="9"/>
  <c r="U661" i="9"/>
  <c r="W660" i="9"/>
  <c r="V660" i="9"/>
  <c r="U660" i="9"/>
  <c r="W659" i="9"/>
  <c r="V659" i="9"/>
  <c r="U659" i="9"/>
  <c r="W658" i="9"/>
  <c r="V658" i="9"/>
  <c r="U658" i="9"/>
  <c r="W657" i="9"/>
  <c r="V657" i="9"/>
  <c r="U657" i="9"/>
  <c r="W656" i="9"/>
  <c r="V656" i="9"/>
  <c r="U656" i="9"/>
  <c r="W655" i="9"/>
  <c r="V655" i="9"/>
  <c r="U655" i="9"/>
  <c r="W654" i="9"/>
  <c r="V654" i="9"/>
  <c r="U654" i="9"/>
  <c r="W653" i="9"/>
  <c r="V653" i="9"/>
  <c r="U653" i="9"/>
  <c r="W652" i="9"/>
  <c r="V652" i="9"/>
  <c r="U652" i="9"/>
  <c r="W651" i="9"/>
  <c r="V651" i="9"/>
  <c r="U651" i="9"/>
  <c r="W650" i="9"/>
  <c r="V650" i="9"/>
  <c r="U650" i="9"/>
  <c r="W649" i="9"/>
  <c r="V649" i="9"/>
  <c r="U649" i="9"/>
  <c r="W648" i="9"/>
  <c r="V648" i="9"/>
  <c r="U648" i="9"/>
  <c r="W647" i="9"/>
  <c r="V647" i="9"/>
  <c r="U647" i="9"/>
  <c r="W646" i="9"/>
  <c r="V646" i="9"/>
  <c r="U646" i="9"/>
  <c r="W645" i="9"/>
  <c r="V645" i="9"/>
  <c r="U645" i="9"/>
  <c r="W644" i="9"/>
  <c r="V644" i="9"/>
  <c r="U644" i="9"/>
  <c r="W643" i="9"/>
  <c r="V643" i="9"/>
  <c r="U643" i="9"/>
  <c r="W642" i="9"/>
  <c r="V642" i="9"/>
  <c r="U642" i="9"/>
  <c r="W641" i="9"/>
  <c r="V641" i="9"/>
  <c r="U641" i="9"/>
  <c r="W640" i="9"/>
  <c r="V640" i="9"/>
  <c r="U640" i="9"/>
  <c r="W639" i="9"/>
  <c r="V639" i="9"/>
  <c r="U639" i="9"/>
  <c r="W638" i="9"/>
  <c r="V638" i="9"/>
  <c r="U638" i="9"/>
  <c r="W637" i="9"/>
  <c r="V637" i="9"/>
  <c r="U637" i="9"/>
  <c r="W636" i="9"/>
  <c r="V636" i="9"/>
  <c r="U636" i="9"/>
  <c r="W635" i="9"/>
  <c r="V635" i="9"/>
  <c r="U635" i="9"/>
  <c r="W634" i="9"/>
  <c r="V634" i="9"/>
  <c r="U634" i="9"/>
  <c r="W633" i="9"/>
  <c r="V633" i="9"/>
  <c r="U633" i="9"/>
  <c r="W632" i="9"/>
  <c r="V632" i="9"/>
  <c r="U632" i="9"/>
  <c r="W631" i="9"/>
  <c r="V631" i="9"/>
  <c r="U631" i="9"/>
  <c r="W630" i="9"/>
  <c r="V630" i="9"/>
  <c r="U630" i="9"/>
  <c r="W629" i="9"/>
  <c r="V629" i="9"/>
  <c r="U629" i="9"/>
  <c r="W628" i="9"/>
  <c r="V628" i="9"/>
  <c r="U628" i="9"/>
  <c r="W627" i="9"/>
  <c r="V627" i="9"/>
  <c r="U627" i="9"/>
  <c r="W626" i="9"/>
  <c r="V626" i="9"/>
  <c r="U626" i="9"/>
  <c r="W625" i="9"/>
  <c r="V625" i="9"/>
  <c r="U625" i="9"/>
  <c r="W624" i="9"/>
  <c r="V624" i="9"/>
  <c r="U624" i="9"/>
  <c r="W623" i="9"/>
  <c r="V623" i="9"/>
  <c r="U623" i="9"/>
  <c r="W622" i="9"/>
  <c r="V622" i="9"/>
  <c r="U622" i="9"/>
  <c r="W621" i="9"/>
  <c r="V621" i="9"/>
  <c r="U621" i="9"/>
  <c r="W620" i="9"/>
  <c r="V620" i="9"/>
  <c r="U620" i="9"/>
  <c r="W619" i="9"/>
  <c r="V619" i="9"/>
  <c r="U619" i="9"/>
  <c r="W618" i="9"/>
  <c r="V618" i="9"/>
  <c r="U618" i="9"/>
  <c r="W617" i="9"/>
  <c r="V617" i="9"/>
  <c r="U617" i="9"/>
  <c r="W616" i="9"/>
  <c r="V616" i="9"/>
  <c r="U616" i="9"/>
  <c r="W615" i="9"/>
  <c r="V615" i="9"/>
  <c r="U615" i="9"/>
  <c r="W614" i="9"/>
  <c r="V614" i="9"/>
  <c r="U614" i="9"/>
  <c r="W613" i="9"/>
  <c r="V613" i="9"/>
  <c r="U613" i="9"/>
  <c r="W612" i="9"/>
  <c r="V612" i="9"/>
  <c r="U612" i="9"/>
  <c r="W611" i="9"/>
  <c r="V611" i="9"/>
  <c r="U611" i="9"/>
  <c r="W610" i="9"/>
  <c r="V610" i="9"/>
  <c r="U610" i="9"/>
  <c r="W609" i="9"/>
  <c r="V609" i="9"/>
  <c r="U609" i="9"/>
  <c r="W608" i="9"/>
  <c r="V608" i="9"/>
  <c r="U608" i="9"/>
  <c r="W607" i="9"/>
  <c r="V607" i="9"/>
  <c r="U607" i="9"/>
  <c r="W606" i="9"/>
  <c r="V606" i="9"/>
  <c r="U606" i="9"/>
  <c r="W605" i="9"/>
  <c r="V605" i="9"/>
  <c r="U605" i="9"/>
  <c r="W604" i="9"/>
  <c r="V604" i="9"/>
  <c r="U604" i="9"/>
  <c r="W603" i="9"/>
  <c r="V603" i="9"/>
  <c r="U603" i="9"/>
  <c r="W602" i="9"/>
  <c r="V602" i="9"/>
  <c r="U602" i="9"/>
  <c r="W601" i="9"/>
  <c r="V601" i="9"/>
  <c r="U601" i="9"/>
  <c r="W600" i="9"/>
  <c r="V600" i="9"/>
  <c r="U600" i="9"/>
  <c r="W599" i="9"/>
  <c r="V599" i="9"/>
  <c r="U599" i="9"/>
  <c r="W598" i="9"/>
  <c r="V598" i="9"/>
  <c r="U598" i="9"/>
  <c r="W597" i="9"/>
  <c r="V597" i="9"/>
  <c r="U597" i="9"/>
  <c r="W596" i="9"/>
  <c r="V596" i="9"/>
  <c r="U596" i="9"/>
  <c r="W595" i="9"/>
  <c r="V595" i="9"/>
  <c r="U595" i="9"/>
  <c r="W594" i="9"/>
  <c r="V594" i="9"/>
  <c r="U594" i="9"/>
  <c r="W593" i="9"/>
  <c r="V593" i="9"/>
  <c r="U593" i="9"/>
  <c r="W592" i="9"/>
  <c r="V592" i="9"/>
  <c r="U592" i="9"/>
  <c r="W591" i="9"/>
  <c r="V591" i="9"/>
  <c r="U591" i="9"/>
  <c r="W590" i="9"/>
  <c r="V590" i="9"/>
  <c r="U590" i="9"/>
  <c r="W589" i="9"/>
  <c r="V589" i="9"/>
  <c r="U589" i="9"/>
  <c r="W588" i="9"/>
  <c r="V588" i="9"/>
  <c r="U588" i="9"/>
  <c r="W587" i="9"/>
  <c r="V587" i="9"/>
  <c r="U587" i="9"/>
  <c r="W586" i="9"/>
  <c r="V586" i="9"/>
  <c r="U586" i="9"/>
  <c r="W585" i="9"/>
  <c r="V585" i="9"/>
  <c r="U585" i="9"/>
  <c r="W584" i="9"/>
  <c r="V584" i="9"/>
  <c r="U584" i="9"/>
  <c r="W583" i="9"/>
  <c r="V583" i="9"/>
  <c r="U583" i="9"/>
  <c r="W582" i="9"/>
  <c r="V582" i="9"/>
  <c r="U582" i="9"/>
  <c r="W581" i="9"/>
  <c r="V581" i="9"/>
  <c r="U581" i="9"/>
  <c r="W580" i="9"/>
  <c r="V580" i="9"/>
  <c r="U580" i="9"/>
  <c r="W579" i="9"/>
  <c r="V579" i="9"/>
  <c r="U579" i="9"/>
  <c r="W578" i="9"/>
  <c r="V578" i="9"/>
  <c r="U578" i="9"/>
  <c r="W577" i="9"/>
  <c r="V577" i="9"/>
  <c r="U577" i="9"/>
  <c r="W576" i="9"/>
  <c r="V576" i="9"/>
  <c r="U576" i="9"/>
  <c r="W575" i="9"/>
  <c r="V575" i="9"/>
  <c r="U575" i="9"/>
  <c r="W574" i="9"/>
  <c r="V574" i="9"/>
  <c r="U574" i="9"/>
  <c r="W573" i="9"/>
  <c r="V573" i="9"/>
  <c r="U573" i="9"/>
  <c r="W572" i="9"/>
  <c r="V572" i="9"/>
  <c r="U572" i="9"/>
  <c r="W571" i="9"/>
  <c r="V571" i="9"/>
  <c r="U571" i="9"/>
  <c r="W570" i="9"/>
  <c r="V570" i="9"/>
  <c r="U570" i="9"/>
  <c r="W569" i="9"/>
  <c r="V569" i="9"/>
  <c r="U569" i="9"/>
  <c r="W568" i="9"/>
  <c r="V568" i="9"/>
  <c r="U568" i="9"/>
  <c r="W567" i="9"/>
  <c r="V567" i="9"/>
  <c r="U567" i="9"/>
  <c r="W566" i="9"/>
  <c r="V566" i="9"/>
  <c r="U566" i="9"/>
  <c r="W565" i="9"/>
  <c r="V565" i="9"/>
  <c r="U565" i="9"/>
  <c r="W564" i="9"/>
  <c r="V564" i="9"/>
  <c r="U564" i="9"/>
  <c r="W563" i="9"/>
  <c r="V563" i="9"/>
  <c r="U563" i="9"/>
  <c r="W562" i="9"/>
  <c r="V562" i="9"/>
  <c r="U562" i="9"/>
  <c r="W561" i="9"/>
  <c r="V561" i="9"/>
  <c r="U561" i="9"/>
  <c r="W560" i="9"/>
  <c r="V560" i="9"/>
  <c r="U560" i="9"/>
  <c r="W559" i="9"/>
  <c r="V559" i="9"/>
  <c r="U559" i="9"/>
  <c r="W558" i="9"/>
  <c r="V558" i="9"/>
  <c r="U558" i="9"/>
  <c r="W557" i="9"/>
  <c r="V557" i="9"/>
  <c r="U557" i="9"/>
  <c r="W556" i="9"/>
  <c r="V556" i="9"/>
  <c r="U556" i="9"/>
  <c r="W555" i="9"/>
  <c r="V555" i="9"/>
  <c r="U555" i="9"/>
  <c r="W554" i="9"/>
  <c r="V554" i="9"/>
  <c r="U554" i="9"/>
  <c r="W553" i="9"/>
  <c r="V553" i="9"/>
  <c r="U553" i="9"/>
  <c r="W552" i="9"/>
  <c r="V552" i="9"/>
  <c r="U552" i="9"/>
  <c r="W551" i="9"/>
  <c r="V551" i="9"/>
  <c r="U551" i="9"/>
  <c r="W550" i="9"/>
  <c r="V550" i="9"/>
  <c r="U550" i="9"/>
  <c r="W549" i="9"/>
  <c r="V549" i="9"/>
  <c r="U549" i="9"/>
  <c r="W548" i="9"/>
  <c r="V548" i="9"/>
  <c r="U548" i="9"/>
  <c r="W547" i="9"/>
  <c r="V547" i="9"/>
  <c r="U547" i="9"/>
  <c r="W546" i="9"/>
  <c r="V546" i="9"/>
  <c r="U546" i="9"/>
  <c r="W545" i="9"/>
  <c r="V545" i="9"/>
  <c r="U545" i="9"/>
  <c r="W544" i="9"/>
  <c r="V544" i="9"/>
  <c r="U544" i="9"/>
  <c r="W543" i="9"/>
  <c r="V543" i="9"/>
  <c r="U543" i="9"/>
  <c r="W542" i="9"/>
  <c r="V542" i="9"/>
  <c r="U542" i="9"/>
  <c r="W541" i="9"/>
  <c r="V541" i="9"/>
  <c r="U541" i="9"/>
  <c r="W540" i="9"/>
  <c r="V540" i="9"/>
  <c r="U540" i="9"/>
  <c r="W539" i="9"/>
  <c r="V539" i="9"/>
  <c r="U539" i="9"/>
  <c r="W538" i="9"/>
  <c r="V538" i="9"/>
  <c r="U538" i="9"/>
  <c r="W537" i="9"/>
  <c r="V537" i="9"/>
  <c r="U537" i="9"/>
  <c r="W536" i="9"/>
  <c r="V536" i="9"/>
  <c r="U536" i="9"/>
  <c r="W535" i="9"/>
  <c r="V535" i="9"/>
  <c r="U535" i="9"/>
  <c r="W534" i="9"/>
  <c r="V534" i="9"/>
  <c r="U534" i="9"/>
  <c r="W533" i="9"/>
  <c r="V533" i="9"/>
  <c r="U533" i="9"/>
  <c r="W532" i="9"/>
  <c r="V532" i="9"/>
  <c r="U532" i="9"/>
  <c r="W531" i="9"/>
  <c r="V531" i="9"/>
  <c r="U531" i="9"/>
  <c r="W530" i="9"/>
  <c r="V530" i="9"/>
  <c r="U530" i="9"/>
  <c r="W529" i="9"/>
  <c r="V529" i="9"/>
  <c r="U529" i="9"/>
  <c r="W528" i="9"/>
  <c r="V528" i="9"/>
  <c r="U528" i="9"/>
  <c r="W527" i="9"/>
  <c r="V527" i="9"/>
  <c r="U527" i="9"/>
  <c r="W526" i="9"/>
  <c r="V526" i="9"/>
  <c r="U526" i="9"/>
  <c r="W525" i="9"/>
  <c r="V525" i="9"/>
  <c r="U525" i="9"/>
  <c r="W524" i="9"/>
  <c r="V524" i="9"/>
  <c r="U524" i="9"/>
  <c r="W523" i="9"/>
  <c r="V523" i="9"/>
  <c r="U523" i="9"/>
  <c r="W522" i="9"/>
  <c r="V522" i="9"/>
  <c r="U522" i="9"/>
  <c r="W521" i="9"/>
  <c r="V521" i="9"/>
  <c r="U521" i="9"/>
  <c r="W520" i="9"/>
  <c r="V520" i="9"/>
  <c r="U520" i="9"/>
  <c r="W519" i="9"/>
  <c r="V519" i="9"/>
  <c r="U519" i="9"/>
  <c r="W518" i="9"/>
  <c r="V518" i="9"/>
  <c r="U518" i="9"/>
  <c r="W517" i="9"/>
  <c r="V517" i="9"/>
  <c r="U517" i="9"/>
  <c r="W516" i="9"/>
  <c r="V516" i="9"/>
  <c r="U516" i="9"/>
  <c r="W515" i="9"/>
  <c r="V515" i="9"/>
  <c r="U515" i="9"/>
  <c r="W514" i="9"/>
  <c r="V514" i="9"/>
  <c r="U514" i="9"/>
  <c r="W513" i="9"/>
  <c r="V513" i="9"/>
  <c r="U513" i="9"/>
  <c r="W512" i="9"/>
  <c r="V512" i="9"/>
  <c r="U512" i="9"/>
  <c r="W511" i="9"/>
  <c r="V511" i="9"/>
  <c r="U511" i="9"/>
  <c r="W510" i="9"/>
  <c r="V510" i="9"/>
  <c r="U510" i="9"/>
  <c r="W509" i="9"/>
  <c r="V509" i="9"/>
  <c r="U509" i="9"/>
  <c r="W508" i="9"/>
  <c r="V508" i="9"/>
  <c r="U508" i="9"/>
  <c r="W507" i="9"/>
  <c r="V507" i="9"/>
  <c r="U507" i="9"/>
  <c r="W506" i="9"/>
  <c r="V506" i="9"/>
  <c r="U506" i="9"/>
  <c r="W505" i="9"/>
  <c r="V505" i="9"/>
  <c r="U505" i="9"/>
  <c r="W504" i="9"/>
  <c r="V504" i="9"/>
  <c r="U504" i="9"/>
  <c r="W503" i="9"/>
  <c r="V503" i="9"/>
  <c r="U503" i="9"/>
  <c r="W502" i="9"/>
  <c r="V502" i="9"/>
  <c r="U502" i="9"/>
  <c r="W501" i="9"/>
  <c r="V501" i="9"/>
  <c r="U501" i="9"/>
  <c r="W500" i="9"/>
  <c r="V500" i="9"/>
  <c r="U500" i="9"/>
  <c r="W499" i="9"/>
  <c r="V499" i="9"/>
  <c r="U499" i="9"/>
  <c r="W498" i="9"/>
  <c r="V498" i="9"/>
  <c r="U498" i="9"/>
  <c r="W497" i="9"/>
  <c r="V497" i="9"/>
  <c r="U497" i="9"/>
  <c r="W496" i="9"/>
  <c r="V496" i="9"/>
  <c r="U496" i="9"/>
  <c r="W495" i="9"/>
  <c r="V495" i="9"/>
  <c r="U495" i="9"/>
  <c r="W494" i="9"/>
  <c r="V494" i="9"/>
  <c r="U494" i="9"/>
  <c r="W493" i="9"/>
  <c r="V493" i="9"/>
  <c r="U493" i="9"/>
  <c r="W492" i="9"/>
  <c r="V492" i="9"/>
  <c r="U492" i="9"/>
  <c r="W491" i="9"/>
  <c r="V491" i="9"/>
  <c r="U491" i="9"/>
  <c r="W490" i="9"/>
  <c r="V490" i="9"/>
  <c r="U490" i="9"/>
  <c r="W489" i="9"/>
  <c r="V489" i="9"/>
  <c r="U489" i="9"/>
  <c r="W488" i="9"/>
  <c r="V488" i="9"/>
  <c r="U488" i="9"/>
  <c r="W487" i="9"/>
  <c r="V487" i="9"/>
  <c r="U487" i="9"/>
  <c r="W486" i="9"/>
  <c r="V486" i="9"/>
  <c r="U486" i="9"/>
  <c r="W485" i="9"/>
  <c r="V485" i="9"/>
  <c r="U485" i="9"/>
  <c r="W484" i="9"/>
  <c r="V484" i="9"/>
  <c r="U484" i="9"/>
  <c r="W483" i="9"/>
  <c r="V483" i="9"/>
  <c r="U483" i="9"/>
  <c r="W482" i="9"/>
  <c r="V482" i="9"/>
  <c r="U482" i="9"/>
  <c r="W481" i="9"/>
  <c r="V481" i="9"/>
  <c r="U481" i="9"/>
  <c r="W480" i="9"/>
  <c r="V480" i="9"/>
  <c r="U480" i="9"/>
  <c r="W479" i="9"/>
  <c r="V479" i="9"/>
  <c r="U479" i="9"/>
  <c r="W478" i="9"/>
  <c r="V478" i="9"/>
  <c r="U478" i="9"/>
  <c r="W477" i="9"/>
  <c r="V477" i="9"/>
  <c r="U477" i="9"/>
  <c r="W476" i="9"/>
  <c r="V476" i="9"/>
  <c r="U476" i="9"/>
  <c r="W475" i="9"/>
  <c r="V475" i="9"/>
  <c r="U475" i="9"/>
  <c r="W474" i="9"/>
  <c r="V474" i="9"/>
  <c r="U474" i="9"/>
  <c r="W473" i="9"/>
  <c r="V473" i="9"/>
  <c r="U473" i="9"/>
  <c r="W472" i="9"/>
  <c r="V472" i="9"/>
  <c r="U472" i="9"/>
  <c r="W471" i="9"/>
  <c r="V471" i="9"/>
  <c r="U471" i="9"/>
  <c r="W470" i="9"/>
  <c r="V470" i="9"/>
  <c r="U470" i="9"/>
  <c r="W469" i="9"/>
  <c r="V469" i="9"/>
  <c r="U469" i="9"/>
  <c r="W468" i="9"/>
  <c r="V468" i="9"/>
  <c r="U468" i="9"/>
  <c r="W467" i="9"/>
  <c r="V467" i="9"/>
  <c r="U467" i="9"/>
  <c r="W466" i="9"/>
  <c r="V466" i="9"/>
  <c r="U466" i="9"/>
  <c r="W465" i="9"/>
  <c r="V465" i="9"/>
  <c r="U465" i="9"/>
  <c r="W464" i="9"/>
  <c r="V464" i="9"/>
  <c r="U464" i="9"/>
  <c r="W463" i="9"/>
  <c r="V463" i="9"/>
  <c r="U463" i="9"/>
  <c r="W462" i="9"/>
  <c r="V462" i="9"/>
  <c r="U462" i="9"/>
  <c r="W461" i="9"/>
  <c r="V461" i="9"/>
  <c r="U461" i="9"/>
  <c r="W460" i="9"/>
  <c r="V460" i="9"/>
  <c r="U460" i="9"/>
  <c r="W459" i="9"/>
  <c r="V459" i="9"/>
  <c r="U459" i="9"/>
  <c r="W458" i="9"/>
  <c r="V458" i="9"/>
  <c r="U458" i="9"/>
  <c r="W457" i="9"/>
  <c r="V457" i="9"/>
  <c r="U457" i="9"/>
  <c r="W456" i="9"/>
  <c r="V456" i="9"/>
  <c r="U456" i="9"/>
  <c r="W455" i="9"/>
  <c r="V455" i="9"/>
  <c r="U455" i="9"/>
  <c r="W454" i="9"/>
  <c r="V454" i="9"/>
  <c r="U454" i="9"/>
  <c r="W453" i="9"/>
  <c r="V453" i="9"/>
  <c r="U453" i="9"/>
  <c r="W452" i="9"/>
  <c r="V452" i="9"/>
  <c r="U452" i="9"/>
  <c r="W451" i="9"/>
  <c r="V451" i="9"/>
  <c r="U451" i="9"/>
  <c r="W450" i="9"/>
  <c r="V450" i="9"/>
  <c r="U450" i="9"/>
  <c r="W449" i="9"/>
  <c r="V449" i="9"/>
  <c r="U449" i="9"/>
  <c r="W448" i="9"/>
  <c r="V448" i="9"/>
  <c r="U448" i="9"/>
  <c r="W447" i="9"/>
  <c r="V447" i="9"/>
  <c r="U447" i="9"/>
  <c r="W446" i="9"/>
  <c r="V446" i="9"/>
  <c r="U446" i="9"/>
  <c r="W445" i="9"/>
  <c r="V445" i="9"/>
  <c r="U445" i="9"/>
  <c r="W444" i="9"/>
  <c r="V444" i="9"/>
  <c r="U444" i="9"/>
  <c r="W443" i="9"/>
  <c r="V443" i="9"/>
  <c r="U443" i="9"/>
  <c r="W442" i="9"/>
  <c r="V442" i="9"/>
  <c r="U442" i="9"/>
  <c r="W441" i="9"/>
  <c r="V441" i="9"/>
  <c r="U441" i="9"/>
  <c r="W440" i="9"/>
  <c r="V440" i="9"/>
  <c r="U440" i="9"/>
  <c r="W439" i="9"/>
  <c r="V439" i="9"/>
  <c r="U439" i="9"/>
  <c r="W438" i="9"/>
  <c r="V438" i="9"/>
  <c r="U438" i="9"/>
  <c r="W437" i="9"/>
  <c r="V437" i="9"/>
  <c r="U437" i="9"/>
  <c r="W436" i="9"/>
  <c r="V436" i="9"/>
  <c r="U436" i="9"/>
  <c r="W435" i="9"/>
  <c r="V435" i="9"/>
  <c r="U435" i="9"/>
  <c r="W434" i="9"/>
  <c r="V434" i="9"/>
  <c r="U434" i="9"/>
  <c r="W433" i="9"/>
  <c r="V433" i="9"/>
  <c r="U433" i="9"/>
  <c r="W432" i="9"/>
  <c r="V432" i="9"/>
  <c r="U432" i="9"/>
  <c r="W431" i="9"/>
  <c r="V431" i="9"/>
  <c r="U431" i="9"/>
  <c r="W430" i="9"/>
  <c r="V430" i="9"/>
  <c r="U430" i="9"/>
  <c r="W429" i="9"/>
  <c r="V429" i="9"/>
  <c r="U429" i="9"/>
  <c r="W428" i="9"/>
  <c r="V428" i="9"/>
  <c r="U428" i="9"/>
  <c r="W427" i="9"/>
  <c r="V427" i="9"/>
  <c r="U427" i="9"/>
  <c r="W426" i="9"/>
  <c r="V426" i="9"/>
  <c r="U426" i="9"/>
  <c r="W425" i="9"/>
  <c r="V425" i="9"/>
  <c r="U425" i="9"/>
  <c r="W424" i="9"/>
  <c r="V424" i="9"/>
  <c r="U424" i="9"/>
  <c r="W423" i="9"/>
  <c r="V423" i="9"/>
  <c r="U423" i="9"/>
  <c r="W422" i="9"/>
  <c r="V422" i="9"/>
  <c r="U422" i="9"/>
  <c r="W421" i="9"/>
  <c r="V421" i="9"/>
  <c r="U421" i="9"/>
  <c r="W420" i="9"/>
  <c r="V420" i="9"/>
  <c r="U420" i="9"/>
  <c r="W419" i="9"/>
  <c r="V419" i="9"/>
  <c r="U419" i="9"/>
  <c r="W418" i="9"/>
  <c r="V418" i="9"/>
  <c r="U418" i="9"/>
  <c r="W417" i="9"/>
  <c r="V417" i="9"/>
  <c r="U417" i="9"/>
  <c r="W416" i="9"/>
  <c r="V416" i="9"/>
  <c r="U416" i="9"/>
  <c r="W415" i="9"/>
  <c r="V415" i="9"/>
  <c r="U415" i="9"/>
  <c r="W414" i="9"/>
  <c r="V414" i="9"/>
  <c r="U414" i="9"/>
  <c r="W413" i="9"/>
  <c r="V413" i="9"/>
  <c r="U413" i="9"/>
  <c r="W412" i="9"/>
  <c r="V412" i="9"/>
  <c r="U412" i="9"/>
  <c r="W411" i="9"/>
  <c r="V411" i="9"/>
  <c r="U411" i="9"/>
  <c r="W410" i="9"/>
  <c r="V410" i="9"/>
  <c r="U410" i="9"/>
  <c r="W409" i="9"/>
  <c r="V409" i="9"/>
  <c r="U409" i="9"/>
  <c r="W408" i="9"/>
  <c r="V408" i="9"/>
  <c r="U408" i="9"/>
  <c r="W407" i="9"/>
  <c r="V407" i="9"/>
  <c r="U407" i="9"/>
  <c r="W406" i="9"/>
  <c r="V406" i="9"/>
  <c r="U406" i="9"/>
  <c r="W405" i="9"/>
  <c r="V405" i="9"/>
  <c r="U405" i="9"/>
  <c r="W404" i="9"/>
  <c r="V404" i="9"/>
  <c r="U404" i="9"/>
  <c r="W403" i="9"/>
  <c r="V403" i="9"/>
  <c r="U403" i="9"/>
  <c r="W402" i="9"/>
  <c r="V402" i="9"/>
  <c r="U402" i="9"/>
  <c r="W401" i="9"/>
  <c r="V401" i="9"/>
  <c r="U401" i="9"/>
  <c r="W400" i="9"/>
  <c r="V400" i="9"/>
  <c r="U400" i="9"/>
  <c r="W399" i="9"/>
  <c r="V399" i="9"/>
  <c r="U399" i="9"/>
  <c r="W398" i="9"/>
  <c r="V398" i="9"/>
  <c r="U398" i="9"/>
  <c r="W397" i="9"/>
  <c r="V397" i="9"/>
  <c r="U397" i="9"/>
  <c r="W396" i="9"/>
  <c r="V396" i="9"/>
  <c r="U396" i="9"/>
  <c r="W395" i="9"/>
  <c r="V395" i="9"/>
  <c r="U395" i="9"/>
  <c r="W394" i="9"/>
  <c r="V394" i="9"/>
  <c r="U394" i="9"/>
  <c r="W393" i="9"/>
  <c r="V393" i="9"/>
  <c r="U393" i="9"/>
  <c r="W392" i="9"/>
  <c r="V392" i="9"/>
  <c r="U392" i="9"/>
  <c r="W391" i="9"/>
  <c r="V391" i="9"/>
  <c r="U391" i="9"/>
  <c r="W390" i="9"/>
  <c r="V390" i="9"/>
  <c r="U390" i="9"/>
  <c r="W389" i="9"/>
  <c r="V389" i="9"/>
  <c r="U389" i="9"/>
  <c r="W388" i="9"/>
  <c r="V388" i="9"/>
  <c r="U388" i="9"/>
  <c r="W387" i="9"/>
  <c r="V387" i="9"/>
  <c r="U387" i="9"/>
  <c r="W386" i="9"/>
  <c r="V386" i="9"/>
  <c r="U386" i="9"/>
  <c r="W385" i="9"/>
  <c r="V385" i="9"/>
  <c r="U385" i="9"/>
  <c r="W384" i="9"/>
  <c r="V384" i="9"/>
  <c r="U384" i="9"/>
  <c r="W383" i="9"/>
  <c r="V383" i="9"/>
  <c r="U383" i="9"/>
  <c r="W382" i="9"/>
  <c r="V382" i="9"/>
  <c r="U382" i="9"/>
  <c r="W381" i="9"/>
  <c r="V381" i="9"/>
  <c r="U381" i="9"/>
  <c r="W380" i="9"/>
  <c r="V380" i="9"/>
  <c r="U380" i="9"/>
  <c r="W379" i="9"/>
  <c r="V379" i="9"/>
  <c r="U379" i="9"/>
  <c r="W378" i="9"/>
  <c r="V378" i="9"/>
  <c r="U378" i="9"/>
  <c r="W377" i="9"/>
  <c r="V377" i="9"/>
  <c r="U377" i="9"/>
  <c r="W376" i="9"/>
  <c r="V376" i="9"/>
  <c r="U376" i="9"/>
  <c r="W375" i="9"/>
  <c r="V375" i="9"/>
  <c r="U375" i="9"/>
  <c r="W374" i="9"/>
  <c r="V374" i="9"/>
  <c r="U374" i="9"/>
  <c r="W373" i="9"/>
  <c r="V373" i="9"/>
  <c r="U373" i="9"/>
  <c r="W372" i="9"/>
  <c r="V372" i="9"/>
  <c r="U372" i="9"/>
  <c r="W371" i="9"/>
  <c r="V371" i="9"/>
  <c r="U371" i="9"/>
  <c r="W370" i="9"/>
  <c r="V370" i="9"/>
  <c r="U370" i="9"/>
  <c r="W369" i="9"/>
  <c r="V369" i="9"/>
  <c r="U369" i="9"/>
  <c r="W368" i="9"/>
  <c r="V368" i="9"/>
  <c r="U368" i="9"/>
  <c r="W367" i="9"/>
  <c r="V367" i="9"/>
  <c r="U367" i="9"/>
  <c r="W366" i="9"/>
  <c r="V366" i="9"/>
  <c r="U366" i="9"/>
  <c r="W365" i="9"/>
  <c r="V365" i="9"/>
  <c r="U365" i="9"/>
  <c r="W364" i="9"/>
  <c r="V364" i="9"/>
  <c r="U364" i="9"/>
  <c r="W363" i="9"/>
  <c r="V363" i="9"/>
  <c r="U363" i="9"/>
  <c r="W362" i="9"/>
  <c r="V362" i="9"/>
  <c r="U362" i="9"/>
  <c r="W361" i="9"/>
  <c r="V361" i="9"/>
  <c r="U361" i="9"/>
  <c r="W360" i="9"/>
  <c r="V360" i="9"/>
  <c r="U360" i="9"/>
  <c r="W359" i="9"/>
  <c r="V359" i="9"/>
  <c r="U359" i="9"/>
  <c r="W358" i="9"/>
  <c r="V358" i="9"/>
  <c r="U358" i="9"/>
  <c r="W357" i="9"/>
  <c r="V357" i="9"/>
  <c r="U357" i="9"/>
  <c r="W356" i="9"/>
  <c r="V356" i="9"/>
  <c r="U356" i="9"/>
  <c r="W355" i="9"/>
  <c r="V355" i="9"/>
  <c r="U355" i="9"/>
  <c r="W354" i="9"/>
  <c r="V354" i="9"/>
  <c r="U354" i="9"/>
  <c r="W353" i="9"/>
  <c r="V353" i="9"/>
  <c r="U353" i="9"/>
  <c r="W352" i="9"/>
  <c r="V352" i="9"/>
  <c r="U352" i="9"/>
  <c r="W351" i="9"/>
  <c r="V351" i="9"/>
  <c r="U351" i="9"/>
  <c r="W350" i="9"/>
  <c r="V350" i="9"/>
  <c r="U350" i="9"/>
  <c r="W349" i="9"/>
  <c r="V349" i="9"/>
  <c r="U349" i="9"/>
  <c r="W348" i="9"/>
  <c r="V348" i="9"/>
  <c r="U348" i="9"/>
  <c r="W347" i="9"/>
  <c r="V347" i="9"/>
  <c r="U347" i="9"/>
  <c r="W346" i="9"/>
  <c r="V346" i="9"/>
  <c r="U346" i="9"/>
  <c r="W345" i="9"/>
  <c r="V345" i="9"/>
  <c r="U345" i="9"/>
  <c r="W344" i="9"/>
  <c r="V344" i="9"/>
  <c r="U344" i="9"/>
  <c r="W343" i="9"/>
  <c r="V343" i="9"/>
  <c r="U343" i="9"/>
  <c r="W342" i="9"/>
  <c r="V342" i="9"/>
  <c r="U342" i="9"/>
  <c r="W341" i="9"/>
  <c r="V341" i="9"/>
  <c r="U341" i="9"/>
  <c r="W340" i="9"/>
  <c r="V340" i="9"/>
  <c r="U340" i="9"/>
  <c r="W339" i="9"/>
  <c r="V339" i="9"/>
  <c r="U339" i="9"/>
  <c r="W338" i="9"/>
  <c r="V338" i="9"/>
  <c r="U338" i="9"/>
  <c r="W337" i="9"/>
  <c r="V337" i="9"/>
  <c r="U337" i="9"/>
  <c r="W336" i="9"/>
  <c r="V336" i="9"/>
  <c r="U336" i="9"/>
  <c r="W335" i="9"/>
  <c r="V335" i="9"/>
  <c r="U335" i="9"/>
  <c r="W334" i="9"/>
  <c r="V334" i="9"/>
  <c r="U334" i="9"/>
  <c r="W333" i="9"/>
  <c r="V333" i="9"/>
  <c r="U333" i="9"/>
  <c r="W332" i="9"/>
  <c r="V332" i="9"/>
  <c r="U332" i="9"/>
  <c r="W331" i="9"/>
  <c r="V331" i="9"/>
  <c r="U331" i="9"/>
  <c r="W330" i="9"/>
  <c r="V330" i="9"/>
  <c r="U330" i="9"/>
  <c r="W329" i="9"/>
  <c r="V329" i="9"/>
  <c r="U329" i="9"/>
  <c r="W328" i="9"/>
  <c r="V328" i="9"/>
  <c r="U328" i="9"/>
  <c r="W327" i="9"/>
  <c r="V327" i="9"/>
  <c r="U327" i="9"/>
  <c r="W326" i="9"/>
  <c r="V326" i="9"/>
  <c r="U326" i="9"/>
  <c r="W325" i="9"/>
  <c r="V325" i="9"/>
  <c r="U325" i="9"/>
  <c r="W324" i="9"/>
  <c r="V324" i="9"/>
  <c r="U324" i="9"/>
  <c r="W323" i="9"/>
  <c r="V323" i="9"/>
  <c r="U323" i="9"/>
  <c r="W322" i="9"/>
  <c r="V322" i="9"/>
  <c r="U322" i="9"/>
  <c r="W321" i="9"/>
  <c r="V321" i="9"/>
  <c r="U321" i="9"/>
  <c r="W320" i="9"/>
  <c r="V320" i="9"/>
  <c r="U320" i="9"/>
  <c r="W319" i="9"/>
  <c r="V319" i="9"/>
  <c r="U319" i="9"/>
  <c r="W318" i="9"/>
  <c r="V318" i="9"/>
  <c r="U318" i="9"/>
  <c r="W317" i="9"/>
  <c r="V317" i="9"/>
  <c r="U317" i="9"/>
  <c r="W316" i="9"/>
  <c r="V316" i="9"/>
  <c r="U316" i="9"/>
  <c r="W315" i="9"/>
  <c r="V315" i="9"/>
  <c r="U315" i="9"/>
  <c r="W314" i="9"/>
  <c r="V314" i="9"/>
  <c r="U314" i="9"/>
  <c r="W313" i="9"/>
  <c r="V313" i="9"/>
  <c r="U313" i="9"/>
  <c r="W312" i="9"/>
  <c r="V312" i="9"/>
  <c r="U312" i="9"/>
  <c r="W311" i="9"/>
  <c r="V311" i="9"/>
  <c r="U311" i="9"/>
  <c r="W310" i="9"/>
  <c r="V310" i="9"/>
  <c r="U310" i="9"/>
  <c r="W309" i="9"/>
  <c r="V309" i="9"/>
  <c r="U309" i="9"/>
  <c r="W308" i="9"/>
  <c r="V308" i="9"/>
  <c r="U308" i="9"/>
  <c r="W307" i="9"/>
  <c r="V307" i="9"/>
  <c r="U307" i="9"/>
  <c r="W306" i="9"/>
  <c r="V306" i="9"/>
  <c r="U306" i="9"/>
  <c r="W305" i="9"/>
  <c r="V305" i="9"/>
  <c r="U305" i="9"/>
  <c r="W304" i="9"/>
  <c r="V304" i="9"/>
  <c r="U304" i="9"/>
  <c r="W303" i="9"/>
  <c r="V303" i="9"/>
  <c r="U303" i="9"/>
  <c r="W302" i="9"/>
  <c r="V302" i="9"/>
  <c r="U302" i="9"/>
  <c r="W301" i="9"/>
  <c r="V301" i="9"/>
  <c r="U301" i="9"/>
  <c r="W300" i="9"/>
  <c r="V300" i="9"/>
  <c r="U300" i="9"/>
  <c r="W299" i="9"/>
  <c r="V299" i="9"/>
  <c r="U299" i="9"/>
  <c r="W298" i="9"/>
  <c r="V298" i="9"/>
  <c r="U298" i="9"/>
  <c r="W297" i="9"/>
  <c r="V297" i="9"/>
  <c r="U297" i="9"/>
  <c r="W296" i="9"/>
  <c r="V296" i="9"/>
  <c r="U296" i="9"/>
  <c r="W295" i="9"/>
  <c r="V295" i="9"/>
  <c r="U295" i="9"/>
  <c r="W294" i="9"/>
  <c r="V294" i="9"/>
  <c r="U294" i="9"/>
  <c r="W293" i="9"/>
  <c r="V293" i="9"/>
  <c r="U293" i="9"/>
  <c r="W292" i="9"/>
  <c r="V292" i="9"/>
  <c r="U292" i="9"/>
  <c r="W291" i="9"/>
  <c r="V291" i="9"/>
  <c r="U291" i="9"/>
  <c r="W290" i="9"/>
  <c r="V290" i="9"/>
  <c r="U290" i="9"/>
  <c r="W289" i="9"/>
  <c r="V289" i="9"/>
  <c r="U289" i="9"/>
  <c r="W288" i="9"/>
  <c r="V288" i="9"/>
  <c r="U288" i="9"/>
  <c r="W287" i="9"/>
  <c r="V287" i="9"/>
  <c r="U287" i="9"/>
  <c r="W286" i="9"/>
  <c r="V286" i="9"/>
  <c r="U286" i="9"/>
  <c r="W285" i="9"/>
  <c r="V285" i="9"/>
  <c r="U285" i="9"/>
  <c r="W284" i="9"/>
  <c r="V284" i="9"/>
  <c r="U284" i="9"/>
  <c r="W283" i="9"/>
  <c r="V283" i="9"/>
  <c r="U283" i="9"/>
  <c r="W282" i="9"/>
  <c r="V282" i="9"/>
  <c r="U282" i="9"/>
  <c r="W281" i="9"/>
  <c r="V281" i="9"/>
  <c r="U281" i="9"/>
  <c r="W280" i="9"/>
  <c r="V280" i="9"/>
  <c r="U280" i="9"/>
  <c r="W279" i="9"/>
  <c r="V279" i="9"/>
  <c r="U279" i="9"/>
  <c r="W278" i="9"/>
  <c r="V278" i="9"/>
  <c r="U278" i="9"/>
  <c r="W277" i="9"/>
  <c r="V277" i="9"/>
  <c r="U277" i="9"/>
  <c r="W276" i="9"/>
  <c r="V276" i="9"/>
  <c r="U276" i="9"/>
  <c r="W275" i="9"/>
  <c r="V275" i="9"/>
  <c r="U275" i="9"/>
  <c r="W274" i="9"/>
  <c r="V274" i="9"/>
  <c r="U274" i="9"/>
  <c r="W273" i="9"/>
  <c r="V273" i="9"/>
  <c r="U273" i="9"/>
  <c r="W272" i="9"/>
  <c r="V272" i="9"/>
  <c r="U272" i="9"/>
  <c r="W271" i="9"/>
  <c r="V271" i="9"/>
  <c r="U271" i="9"/>
  <c r="W270" i="9"/>
  <c r="V270" i="9"/>
  <c r="U270" i="9"/>
  <c r="W269" i="9"/>
  <c r="V269" i="9"/>
  <c r="U269" i="9"/>
  <c r="W268" i="9"/>
  <c r="V268" i="9"/>
  <c r="U268" i="9"/>
  <c r="W267" i="9"/>
  <c r="V267" i="9"/>
  <c r="U267" i="9"/>
  <c r="W266" i="9"/>
  <c r="V266" i="9"/>
  <c r="U266" i="9"/>
  <c r="W265" i="9"/>
  <c r="V265" i="9"/>
  <c r="U265" i="9"/>
  <c r="W264" i="9"/>
  <c r="V264" i="9"/>
  <c r="U264" i="9"/>
  <c r="W263" i="9"/>
  <c r="V263" i="9"/>
  <c r="U263" i="9"/>
  <c r="W262" i="9"/>
  <c r="V262" i="9"/>
  <c r="U262" i="9"/>
  <c r="W261" i="9"/>
  <c r="V261" i="9"/>
  <c r="U261" i="9"/>
  <c r="W260" i="9"/>
  <c r="V260" i="9"/>
  <c r="U260" i="9"/>
  <c r="W259" i="9"/>
  <c r="V259" i="9"/>
  <c r="U259" i="9"/>
  <c r="W258" i="9"/>
  <c r="V258" i="9"/>
  <c r="U258" i="9"/>
  <c r="W257" i="9"/>
  <c r="V257" i="9"/>
  <c r="U257" i="9"/>
  <c r="W256" i="9"/>
  <c r="V256" i="9"/>
  <c r="U256" i="9"/>
  <c r="W255" i="9"/>
  <c r="V255" i="9"/>
  <c r="U255" i="9"/>
  <c r="W254" i="9"/>
  <c r="V254" i="9"/>
  <c r="U254" i="9"/>
  <c r="W253" i="9"/>
  <c r="V253" i="9"/>
  <c r="U253" i="9"/>
  <c r="W252" i="9"/>
  <c r="V252" i="9"/>
  <c r="U252" i="9"/>
  <c r="W251" i="9"/>
  <c r="V251" i="9"/>
  <c r="U251" i="9"/>
  <c r="W250" i="9"/>
  <c r="V250" i="9"/>
  <c r="U250" i="9"/>
  <c r="W249" i="9"/>
  <c r="V249" i="9"/>
  <c r="U249" i="9"/>
  <c r="W248" i="9"/>
  <c r="V248" i="9"/>
  <c r="U248" i="9"/>
  <c r="W247" i="9"/>
  <c r="V247" i="9"/>
  <c r="U247" i="9"/>
  <c r="W246" i="9"/>
  <c r="V246" i="9"/>
  <c r="U246" i="9"/>
  <c r="W245" i="9"/>
  <c r="V245" i="9"/>
  <c r="U245" i="9"/>
  <c r="W244" i="9"/>
  <c r="V244" i="9"/>
  <c r="U244" i="9"/>
  <c r="W243" i="9"/>
  <c r="V243" i="9"/>
  <c r="U243" i="9"/>
  <c r="W242" i="9"/>
  <c r="V242" i="9"/>
  <c r="U242" i="9"/>
  <c r="W241" i="9"/>
  <c r="V241" i="9"/>
  <c r="U241" i="9"/>
  <c r="W240" i="9"/>
  <c r="V240" i="9"/>
  <c r="U240" i="9"/>
  <c r="W239" i="9"/>
  <c r="V239" i="9"/>
  <c r="U239" i="9"/>
  <c r="W238" i="9"/>
  <c r="V238" i="9"/>
  <c r="U238" i="9"/>
  <c r="W237" i="9"/>
  <c r="V237" i="9"/>
  <c r="U237" i="9"/>
  <c r="W236" i="9"/>
  <c r="V236" i="9"/>
  <c r="U236" i="9"/>
  <c r="W235" i="9"/>
  <c r="V235" i="9"/>
  <c r="U235" i="9"/>
  <c r="W234" i="9"/>
  <c r="V234" i="9"/>
  <c r="U234" i="9"/>
  <c r="W233" i="9"/>
  <c r="V233" i="9"/>
  <c r="U233" i="9"/>
  <c r="W232" i="9"/>
  <c r="V232" i="9"/>
  <c r="U232" i="9"/>
  <c r="W231" i="9"/>
  <c r="V231" i="9"/>
  <c r="U231" i="9"/>
  <c r="W230" i="9"/>
  <c r="V230" i="9"/>
  <c r="U230" i="9"/>
  <c r="W229" i="9"/>
  <c r="V229" i="9"/>
  <c r="U229" i="9"/>
  <c r="W228" i="9"/>
  <c r="V228" i="9"/>
  <c r="U228" i="9"/>
  <c r="W227" i="9"/>
  <c r="V227" i="9"/>
  <c r="U227" i="9"/>
  <c r="W226" i="9"/>
  <c r="V226" i="9"/>
  <c r="U226" i="9"/>
  <c r="W225" i="9"/>
  <c r="V225" i="9"/>
  <c r="U225" i="9"/>
  <c r="W224" i="9"/>
  <c r="V224" i="9"/>
  <c r="U224" i="9"/>
  <c r="W223" i="9"/>
  <c r="V223" i="9"/>
  <c r="U223" i="9"/>
  <c r="W222" i="9"/>
  <c r="V222" i="9"/>
  <c r="U222" i="9"/>
  <c r="W221" i="9"/>
  <c r="V221" i="9"/>
  <c r="U221" i="9"/>
  <c r="W220" i="9"/>
  <c r="V220" i="9"/>
  <c r="U220" i="9"/>
  <c r="W219" i="9"/>
  <c r="V219" i="9"/>
  <c r="U219" i="9"/>
  <c r="W218" i="9"/>
  <c r="V218" i="9"/>
  <c r="U218" i="9"/>
  <c r="W217" i="9"/>
  <c r="V217" i="9"/>
  <c r="U217" i="9"/>
  <c r="W216" i="9"/>
  <c r="V216" i="9"/>
  <c r="U216" i="9"/>
  <c r="W215" i="9"/>
  <c r="V215" i="9"/>
  <c r="U215" i="9"/>
  <c r="W214" i="9"/>
  <c r="V214" i="9"/>
  <c r="U214" i="9"/>
  <c r="W213" i="9"/>
  <c r="V213" i="9"/>
  <c r="U213" i="9"/>
  <c r="W212" i="9"/>
  <c r="V212" i="9"/>
  <c r="U212" i="9"/>
  <c r="W211" i="9"/>
  <c r="V211" i="9"/>
  <c r="U211" i="9"/>
  <c r="W210" i="9"/>
  <c r="V210" i="9"/>
  <c r="U210" i="9"/>
  <c r="W209" i="9"/>
  <c r="V209" i="9"/>
  <c r="U209" i="9"/>
  <c r="W208" i="9"/>
  <c r="V208" i="9"/>
  <c r="U208" i="9"/>
  <c r="W207" i="9"/>
  <c r="V207" i="9"/>
  <c r="U207" i="9"/>
  <c r="W206" i="9"/>
  <c r="V206" i="9"/>
  <c r="U206" i="9"/>
  <c r="W205" i="9"/>
  <c r="V205" i="9"/>
  <c r="U205" i="9"/>
  <c r="W204" i="9"/>
  <c r="V204" i="9"/>
  <c r="U204" i="9"/>
  <c r="W203" i="9"/>
  <c r="V203" i="9"/>
  <c r="U203" i="9"/>
  <c r="W202" i="9"/>
  <c r="V202" i="9"/>
  <c r="U202" i="9"/>
  <c r="W201" i="9"/>
  <c r="V201" i="9"/>
  <c r="U201" i="9"/>
  <c r="W200" i="9"/>
  <c r="V200" i="9"/>
  <c r="U200" i="9"/>
  <c r="W199" i="9"/>
  <c r="V199" i="9"/>
  <c r="U199" i="9"/>
  <c r="W198" i="9"/>
  <c r="V198" i="9"/>
  <c r="U198" i="9"/>
  <c r="W197" i="9"/>
  <c r="V197" i="9"/>
  <c r="U197" i="9"/>
  <c r="W196" i="9"/>
  <c r="V196" i="9"/>
  <c r="U196" i="9"/>
  <c r="W195" i="9"/>
  <c r="V195" i="9"/>
  <c r="U195" i="9"/>
  <c r="W194" i="9"/>
  <c r="V194" i="9"/>
  <c r="U194" i="9"/>
  <c r="W193" i="9"/>
  <c r="V193" i="9"/>
  <c r="U193" i="9"/>
  <c r="W192" i="9"/>
  <c r="V192" i="9"/>
  <c r="U192" i="9"/>
  <c r="W191" i="9"/>
  <c r="V191" i="9"/>
  <c r="U191" i="9"/>
  <c r="W190" i="9"/>
  <c r="V190" i="9"/>
  <c r="U190" i="9"/>
  <c r="W189" i="9"/>
  <c r="V189" i="9"/>
  <c r="U189" i="9"/>
  <c r="W188" i="9"/>
  <c r="V188" i="9"/>
  <c r="U188" i="9"/>
  <c r="W187" i="9"/>
  <c r="V187" i="9"/>
  <c r="U187" i="9"/>
  <c r="W186" i="9"/>
  <c r="V186" i="9"/>
  <c r="U186" i="9"/>
  <c r="W185" i="9"/>
  <c r="V185" i="9"/>
  <c r="U185" i="9"/>
  <c r="W184" i="9"/>
  <c r="V184" i="9"/>
  <c r="U184" i="9"/>
  <c r="W183" i="9"/>
  <c r="V183" i="9"/>
  <c r="U183" i="9"/>
  <c r="W182" i="9"/>
  <c r="V182" i="9"/>
  <c r="U182" i="9"/>
  <c r="W181" i="9"/>
  <c r="V181" i="9"/>
  <c r="U181" i="9"/>
  <c r="W180" i="9"/>
  <c r="V180" i="9"/>
  <c r="U180" i="9"/>
  <c r="W179" i="9"/>
  <c r="V179" i="9"/>
  <c r="U179" i="9"/>
  <c r="W178" i="9"/>
  <c r="V178" i="9"/>
  <c r="U178" i="9"/>
  <c r="W177" i="9"/>
  <c r="V177" i="9"/>
  <c r="U177" i="9"/>
  <c r="W176" i="9"/>
  <c r="V176" i="9"/>
  <c r="U176" i="9"/>
  <c r="W175" i="9"/>
  <c r="V175" i="9"/>
  <c r="U175" i="9"/>
  <c r="W174" i="9"/>
  <c r="V174" i="9"/>
  <c r="U174" i="9"/>
  <c r="W173" i="9"/>
  <c r="V173" i="9"/>
  <c r="U173" i="9"/>
  <c r="W172" i="9"/>
  <c r="V172" i="9"/>
  <c r="U172" i="9"/>
  <c r="W171" i="9"/>
  <c r="V171" i="9"/>
  <c r="U171" i="9"/>
  <c r="W170" i="9"/>
  <c r="V170" i="9"/>
  <c r="U170" i="9"/>
  <c r="W169" i="9"/>
  <c r="V169" i="9"/>
  <c r="U169" i="9"/>
  <c r="W168" i="9"/>
  <c r="V168" i="9"/>
  <c r="U168" i="9"/>
  <c r="W167" i="9"/>
  <c r="V167" i="9"/>
  <c r="U167" i="9"/>
  <c r="W166" i="9"/>
  <c r="V166" i="9"/>
  <c r="U166" i="9"/>
  <c r="W165" i="9"/>
  <c r="V165" i="9"/>
  <c r="U165" i="9"/>
  <c r="W164" i="9"/>
  <c r="V164" i="9"/>
  <c r="U164" i="9"/>
  <c r="W163" i="9"/>
  <c r="V163" i="9"/>
  <c r="U163" i="9"/>
  <c r="W162" i="9"/>
  <c r="V162" i="9"/>
  <c r="U162" i="9"/>
  <c r="W161" i="9"/>
  <c r="V161" i="9"/>
  <c r="U161" i="9"/>
  <c r="W160" i="9"/>
  <c r="V160" i="9"/>
  <c r="U160" i="9"/>
  <c r="W159" i="9"/>
  <c r="V159" i="9"/>
  <c r="U159" i="9"/>
  <c r="W158" i="9"/>
  <c r="V158" i="9"/>
  <c r="U158" i="9"/>
  <c r="W157" i="9"/>
  <c r="V157" i="9"/>
  <c r="U157" i="9"/>
  <c r="W156" i="9"/>
  <c r="V156" i="9"/>
  <c r="U156" i="9"/>
  <c r="W155" i="9"/>
  <c r="V155" i="9"/>
  <c r="U155" i="9"/>
  <c r="W154" i="9"/>
  <c r="V154" i="9"/>
  <c r="U154" i="9"/>
  <c r="W153" i="9"/>
  <c r="V153" i="9"/>
  <c r="U153" i="9"/>
  <c r="W152" i="9"/>
  <c r="V152" i="9"/>
  <c r="U152" i="9"/>
  <c r="W151" i="9"/>
  <c r="V151" i="9"/>
  <c r="U151" i="9"/>
  <c r="W150" i="9"/>
  <c r="V150" i="9"/>
  <c r="U150" i="9"/>
  <c r="W149" i="9"/>
  <c r="V149" i="9"/>
  <c r="U149" i="9"/>
  <c r="W148" i="9"/>
  <c r="V148" i="9"/>
  <c r="U148" i="9"/>
  <c r="W147" i="9"/>
  <c r="V147" i="9"/>
  <c r="U147" i="9"/>
  <c r="W146" i="9"/>
  <c r="V146" i="9"/>
  <c r="U146" i="9"/>
  <c r="W145" i="9"/>
  <c r="V145" i="9"/>
  <c r="U145" i="9"/>
  <c r="W144" i="9"/>
  <c r="V144" i="9"/>
  <c r="U144" i="9"/>
  <c r="W143" i="9"/>
  <c r="V143" i="9"/>
  <c r="U143" i="9"/>
  <c r="W142" i="9"/>
  <c r="V142" i="9"/>
  <c r="U142" i="9"/>
  <c r="W141" i="9"/>
  <c r="V141" i="9"/>
  <c r="U141" i="9"/>
  <c r="W140" i="9"/>
  <c r="V140" i="9"/>
  <c r="U140" i="9"/>
  <c r="W139" i="9"/>
  <c r="V139" i="9"/>
  <c r="U139" i="9"/>
  <c r="W138" i="9"/>
  <c r="V138" i="9"/>
  <c r="U138" i="9"/>
  <c r="W137" i="9"/>
  <c r="V137" i="9"/>
  <c r="U137" i="9"/>
  <c r="W136" i="9"/>
  <c r="V136" i="9"/>
  <c r="U136" i="9"/>
  <c r="W135" i="9"/>
  <c r="V135" i="9"/>
  <c r="U135" i="9"/>
  <c r="W134" i="9"/>
  <c r="V134" i="9"/>
  <c r="U134" i="9"/>
  <c r="W133" i="9"/>
  <c r="V133" i="9"/>
  <c r="U133" i="9"/>
  <c r="W132" i="9"/>
  <c r="V132" i="9"/>
  <c r="U132" i="9"/>
  <c r="W131" i="9"/>
  <c r="V131" i="9"/>
  <c r="U131" i="9"/>
  <c r="W130" i="9"/>
  <c r="V130" i="9"/>
  <c r="U130" i="9"/>
  <c r="W129" i="9"/>
  <c r="V129" i="9"/>
  <c r="U129" i="9"/>
  <c r="W128" i="9"/>
  <c r="V128" i="9"/>
  <c r="U128" i="9"/>
  <c r="W127" i="9"/>
  <c r="V127" i="9"/>
  <c r="U127" i="9"/>
  <c r="W126" i="9"/>
  <c r="V126" i="9"/>
  <c r="U126" i="9"/>
  <c r="W125" i="9"/>
  <c r="V125" i="9"/>
  <c r="U125" i="9"/>
  <c r="W124" i="9"/>
  <c r="V124" i="9"/>
  <c r="U124" i="9"/>
  <c r="W123" i="9"/>
  <c r="V123" i="9"/>
  <c r="U123" i="9"/>
  <c r="W122" i="9"/>
  <c r="V122" i="9"/>
  <c r="U122" i="9"/>
  <c r="W121" i="9"/>
  <c r="V121" i="9"/>
  <c r="U121" i="9"/>
  <c r="W120" i="9"/>
  <c r="V120" i="9"/>
  <c r="U120" i="9"/>
  <c r="W119" i="9"/>
  <c r="V119" i="9"/>
  <c r="U119" i="9"/>
  <c r="W118" i="9"/>
  <c r="V118" i="9"/>
  <c r="U118" i="9"/>
  <c r="W117" i="9"/>
  <c r="V117" i="9"/>
  <c r="U117" i="9"/>
  <c r="W116" i="9"/>
  <c r="V116" i="9"/>
  <c r="U116" i="9"/>
  <c r="W115" i="9"/>
  <c r="V115" i="9"/>
  <c r="U115" i="9"/>
  <c r="W114" i="9"/>
  <c r="V114" i="9"/>
  <c r="U114" i="9"/>
  <c r="W113" i="9"/>
  <c r="V113" i="9"/>
  <c r="U113" i="9"/>
  <c r="W112" i="9"/>
  <c r="V112" i="9"/>
  <c r="U112" i="9"/>
  <c r="W111" i="9"/>
  <c r="V111" i="9"/>
  <c r="U111" i="9"/>
  <c r="W110" i="9"/>
  <c r="V110" i="9"/>
  <c r="U110" i="9"/>
  <c r="W109" i="9"/>
  <c r="V109" i="9"/>
  <c r="U109" i="9"/>
  <c r="W108" i="9"/>
  <c r="V108" i="9"/>
  <c r="U108" i="9"/>
  <c r="W107" i="9"/>
  <c r="V107" i="9"/>
  <c r="U107" i="9"/>
  <c r="W106" i="9"/>
  <c r="V106" i="9"/>
  <c r="U106" i="9"/>
  <c r="W105" i="9"/>
  <c r="V105" i="9"/>
  <c r="U105" i="9"/>
  <c r="W104" i="9"/>
  <c r="V104" i="9"/>
  <c r="U104" i="9"/>
  <c r="W103" i="9"/>
  <c r="V103" i="9"/>
  <c r="U103" i="9"/>
  <c r="W102" i="9"/>
  <c r="V102" i="9"/>
  <c r="U102" i="9"/>
  <c r="W101" i="9"/>
  <c r="Y101" i="9" s="1" a="1"/>
  <c r="V101" i="9"/>
  <c r="U101" i="9"/>
  <c r="W100" i="9"/>
  <c r="Y100" i="9" s="1" a="1"/>
  <c r="V100" i="9"/>
  <c r="U100" i="9"/>
  <c r="W99" i="9"/>
  <c r="Y99" i="9" s="1" a="1"/>
  <c r="V99" i="9"/>
  <c r="U99" i="9"/>
  <c r="W98" i="9"/>
  <c r="Y98" i="9" s="1" a="1"/>
  <c r="V98" i="9"/>
  <c r="U98" i="9"/>
  <c r="W97" i="9"/>
  <c r="Y97" i="9" s="1" a="1"/>
  <c r="V97" i="9"/>
  <c r="U97" i="9"/>
  <c r="W96" i="9"/>
  <c r="Y96" i="9" s="1" a="1"/>
  <c r="V96" i="9"/>
  <c r="U96" i="9"/>
  <c r="W95" i="9"/>
  <c r="Y95" i="9" s="1" a="1"/>
  <c r="V95" i="9"/>
  <c r="U95" i="9"/>
  <c r="W94" i="9"/>
  <c r="Y94" i="9" s="1" a="1"/>
  <c r="V94" i="9"/>
  <c r="U94" i="9"/>
  <c r="W93" i="9"/>
  <c r="Y93" i="9" s="1" a="1"/>
  <c r="V93" i="9"/>
  <c r="U93" i="9"/>
  <c r="W92" i="9"/>
  <c r="Y92" i="9" s="1" a="1"/>
  <c r="V92" i="9"/>
  <c r="U92" i="9"/>
  <c r="W91" i="9"/>
  <c r="Y91" i="9" s="1" a="1"/>
  <c r="V91" i="9"/>
  <c r="U91" i="9"/>
  <c r="W90" i="9"/>
  <c r="Y90" i="9" s="1" a="1"/>
  <c r="V90" i="9"/>
  <c r="U90" i="9"/>
  <c r="W89" i="9"/>
  <c r="Y89" i="9" s="1" a="1"/>
  <c r="V89" i="9"/>
  <c r="U89" i="9"/>
  <c r="W88" i="9"/>
  <c r="Y88" i="9" s="1" a="1"/>
  <c r="V88" i="9"/>
  <c r="U88" i="9"/>
  <c r="W87" i="9"/>
  <c r="Y87" i="9" s="1" a="1"/>
  <c r="V87" i="9"/>
  <c r="U87" i="9"/>
  <c r="W86" i="9"/>
  <c r="Y86" i="9" s="1" a="1"/>
  <c r="V86" i="9"/>
  <c r="U86" i="9"/>
  <c r="W85" i="9"/>
  <c r="Y85" i="9" s="1" a="1"/>
  <c r="V85" i="9"/>
  <c r="U85" i="9"/>
  <c r="W84" i="9"/>
  <c r="Y84" i="9" s="1" a="1"/>
  <c r="V84" i="9"/>
  <c r="U84" i="9"/>
  <c r="W83" i="9"/>
  <c r="Y83" i="9" s="1" a="1"/>
  <c r="V83" i="9"/>
  <c r="U83" i="9"/>
  <c r="W82" i="9"/>
  <c r="Y82" i="9" s="1" a="1"/>
  <c r="V82" i="9"/>
  <c r="U82" i="9"/>
  <c r="W81" i="9"/>
  <c r="Y81" i="9" s="1" a="1"/>
  <c r="V81" i="9"/>
  <c r="U81" i="9"/>
  <c r="W80" i="9"/>
  <c r="Y80" i="9" s="1" a="1"/>
  <c r="V80" i="9"/>
  <c r="U80" i="9"/>
  <c r="W79" i="9"/>
  <c r="Y79" i="9" s="1" a="1"/>
  <c r="V79" i="9"/>
  <c r="U79" i="9"/>
  <c r="W78" i="9"/>
  <c r="Y78" i="9" s="1" a="1"/>
  <c r="V78" i="9"/>
  <c r="U78" i="9"/>
  <c r="W77" i="9"/>
  <c r="Y77" i="9" s="1" a="1"/>
  <c r="V77" i="9"/>
  <c r="U77" i="9"/>
  <c r="W76" i="9"/>
  <c r="Y76" i="9" s="1" a="1"/>
  <c r="V76" i="9"/>
  <c r="U76" i="9"/>
  <c r="W75" i="9"/>
  <c r="Y75" i="9" s="1" a="1"/>
  <c r="V75" i="9"/>
  <c r="U75" i="9"/>
  <c r="W74" i="9"/>
  <c r="Y74" i="9" s="1" a="1"/>
  <c r="V74" i="9"/>
  <c r="U74" i="9"/>
  <c r="W73" i="9"/>
  <c r="Y73" i="9" s="1" a="1"/>
  <c r="V73" i="9"/>
  <c r="U73" i="9"/>
  <c r="W72" i="9"/>
  <c r="Y72" i="9" s="1" a="1"/>
  <c r="V72" i="9"/>
  <c r="U72" i="9"/>
  <c r="W71" i="9"/>
  <c r="Y71" i="9" s="1" a="1"/>
  <c r="V71" i="9"/>
  <c r="U71" i="9"/>
  <c r="W70" i="9"/>
  <c r="Y70" i="9" s="1" a="1"/>
  <c r="V70" i="9"/>
  <c r="U70" i="9"/>
  <c r="W69" i="9"/>
  <c r="Y69" i="9" s="1" a="1"/>
  <c r="V69" i="9"/>
  <c r="U69" i="9"/>
  <c r="W68" i="9"/>
  <c r="Y68" i="9" s="1" a="1"/>
  <c r="V68" i="9"/>
  <c r="U68" i="9"/>
  <c r="W67" i="9"/>
  <c r="Y67" i="9" s="1" a="1"/>
  <c r="V67" i="9"/>
  <c r="U67" i="9"/>
  <c r="W66" i="9"/>
  <c r="Y66" i="9" s="1" a="1"/>
  <c r="V66" i="9"/>
  <c r="U66" i="9"/>
  <c r="W65" i="9"/>
  <c r="Y65" i="9" s="1" a="1"/>
  <c r="V65" i="9"/>
  <c r="U65" i="9"/>
  <c r="W64" i="9"/>
  <c r="Y64" i="9" s="1" a="1"/>
  <c r="V64" i="9"/>
  <c r="U64" i="9"/>
  <c r="W63" i="9"/>
  <c r="V63" i="9"/>
  <c r="U63" i="9"/>
  <c r="W62" i="9"/>
  <c r="V62" i="9"/>
  <c r="U62" i="9"/>
  <c r="W61" i="9"/>
  <c r="V61" i="9"/>
  <c r="U61" i="9"/>
  <c r="W60" i="9"/>
  <c r="V60" i="9"/>
  <c r="U60" i="9"/>
  <c r="W59" i="9"/>
  <c r="V59" i="9"/>
  <c r="U59" i="9"/>
  <c r="W58" i="9"/>
  <c r="V58" i="9"/>
  <c r="U58" i="9"/>
  <c r="W57" i="9"/>
  <c r="V57" i="9"/>
  <c r="U57" i="9"/>
  <c r="W56" i="9"/>
  <c r="V56" i="9"/>
  <c r="U56" i="9"/>
  <c r="W55" i="9"/>
  <c r="V55" i="9"/>
  <c r="U55" i="9"/>
  <c r="W54" i="9"/>
  <c r="V54" i="9"/>
  <c r="U54" i="9"/>
  <c r="W53" i="9"/>
  <c r="V53" i="9"/>
  <c r="U53" i="9"/>
  <c r="W52" i="9"/>
  <c r="V52" i="9"/>
  <c r="U52" i="9"/>
  <c r="W51" i="9"/>
  <c r="V51" i="9"/>
  <c r="U51" i="9"/>
  <c r="W50" i="9"/>
  <c r="V50" i="9"/>
  <c r="U50" i="9"/>
  <c r="W49" i="9"/>
  <c r="V49" i="9"/>
  <c r="U49" i="9"/>
  <c r="W48" i="9"/>
  <c r="V48" i="9"/>
  <c r="U48" i="9"/>
  <c r="W47" i="9"/>
  <c r="V47" i="9"/>
  <c r="U47" i="9"/>
  <c r="W46" i="9"/>
  <c r="V46" i="9"/>
  <c r="U46" i="9"/>
  <c r="W45" i="9"/>
  <c r="V45" i="9"/>
  <c r="U45" i="9"/>
  <c r="W44" i="9"/>
  <c r="V44" i="9"/>
  <c r="U44" i="9"/>
  <c r="W43" i="9"/>
  <c r="V43" i="9"/>
  <c r="U43" i="9"/>
  <c r="W42" i="9"/>
  <c r="V42" i="9"/>
  <c r="U42" i="9"/>
  <c r="W41" i="9"/>
  <c r="V41" i="9"/>
  <c r="U41" i="9"/>
  <c r="W40" i="9"/>
  <c r="V40" i="9"/>
  <c r="U40" i="9"/>
  <c r="W39" i="9"/>
  <c r="V39" i="9"/>
  <c r="U39" i="9"/>
  <c r="W38" i="9"/>
  <c r="V38" i="9"/>
  <c r="U38" i="9"/>
  <c r="W37" i="9"/>
  <c r="V37" i="9"/>
  <c r="U37" i="9"/>
  <c r="W36" i="9"/>
  <c r="V36" i="9"/>
  <c r="U36" i="9"/>
  <c r="W35" i="9"/>
  <c r="V35" i="9"/>
  <c r="U35" i="9"/>
  <c r="W34" i="9"/>
  <c r="V34" i="9"/>
  <c r="U34" i="9"/>
  <c r="W33" i="9"/>
  <c r="V33" i="9"/>
  <c r="U33" i="9"/>
  <c r="W32" i="9"/>
  <c r="V32" i="9"/>
  <c r="U32" i="9"/>
  <c r="W31" i="9"/>
  <c r="V31" i="9"/>
  <c r="U31" i="9"/>
  <c r="W30" i="9"/>
  <c r="V30" i="9"/>
  <c r="U30" i="9"/>
  <c r="W29" i="9"/>
  <c r="V29" i="9"/>
  <c r="U29" i="9"/>
  <c r="W28" i="9"/>
  <c r="V28" i="9"/>
  <c r="U28" i="9"/>
  <c r="W27" i="9"/>
  <c r="V27" i="9"/>
  <c r="U27" i="9"/>
  <c r="W26" i="9"/>
  <c r="V26" i="9"/>
  <c r="U26" i="9"/>
  <c r="W25" i="9"/>
  <c r="V25" i="9"/>
  <c r="U25" i="9"/>
  <c r="W24" i="9"/>
  <c r="V24" i="9"/>
  <c r="U24" i="9"/>
  <c r="W23" i="9"/>
  <c r="V23" i="9"/>
  <c r="U23" i="9"/>
  <c r="W22" i="9"/>
  <c r="V22" i="9"/>
  <c r="U22" i="9"/>
  <c r="W21" i="9"/>
  <c r="V21" i="9"/>
  <c r="U21" i="9"/>
  <c r="W20" i="9"/>
  <c r="M19" i="20" s="1"/>
  <c r="V20" i="9"/>
  <c r="U20" i="9"/>
  <c r="W19" i="9"/>
  <c r="M18" i="20" s="1"/>
  <c r="V19" i="9"/>
  <c r="U19" i="9"/>
  <c r="W18" i="9"/>
  <c r="M17" i="20" s="1"/>
  <c r="V18" i="9"/>
  <c r="U18" i="9"/>
  <c r="W17" i="9"/>
  <c r="M16" i="20" s="1"/>
  <c r="V17" i="9"/>
  <c r="U17" i="9"/>
  <c r="W16" i="9"/>
  <c r="M15" i="20" s="1"/>
  <c r="V16" i="9"/>
  <c r="U16" i="9"/>
  <c r="W15" i="9"/>
  <c r="M14" i="20" s="1"/>
  <c r="V15" i="9"/>
  <c r="U15" i="9"/>
  <c r="W14" i="9"/>
  <c r="M13" i="20" s="1"/>
  <c r="V14" i="9"/>
  <c r="U14" i="9"/>
  <c r="W13" i="9"/>
  <c r="M12" i="20" s="1"/>
  <c r="V13" i="9"/>
  <c r="U13" i="9"/>
  <c r="W12" i="9"/>
  <c r="M11" i="20" s="1"/>
  <c r="V12" i="9"/>
  <c r="U12" i="9"/>
  <c r="W11" i="9"/>
  <c r="M10" i="20" s="1"/>
  <c r="V11" i="9"/>
  <c r="U11" i="9"/>
  <c r="W10" i="9"/>
  <c r="M9" i="20" s="1"/>
  <c r="V10" i="9"/>
  <c r="U10" i="9"/>
  <c r="W9" i="9"/>
  <c r="M8" i="20" s="1"/>
  <c r="V9" i="9"/>
  <c r="U9" i="9"/>
  <c r="W8" i="9"/>
  <c r="M7" i="20" s="1"/>
  <c r="V8" i="9"/>
  <c r="U8" i="9"/>
  <c r="W7" i="9"/>
  <c r="M6" i="20" s="1"/>
  <c r="V7" i="9"/>
  <c r="U7" i="9"/>
  <c r="W6" i="9"/>
  <c r="M5" i="20" s="1"/>
  <c r="V6" i="9"/>
  <c r="U6" i="9"/>
  <c r="D81" i="2"/>
  <c r="E81" i="2" s="1"/>
  <c r="D80" i="2"/>
  <c r="E80" i="2" s="1"/>
  <c r="D79" i="2"/>
  <c r="E79" i="2" s="1"/>
  <c r="D78" i="2"/>
  <c r="E78" i="2" s="1"/>
  <c r="D77" i="2"/>
  <c r="E77" i="2" s="1"/>
  <c r="D76" i="2"/>
  <c r="E76" i="2" s="1"/>
  <c r="D75" i="2"/>
  <c r="E75" i="2" s="1"/>
  <c r="D74" i="2"/>
  <c r="E74" i="2" s="1"/>
  <c r="D73" i="2"/>
  <c r="E73" i="2" s="1"/>
  <c r="D72" i="2"/>
  <c r="E72" i="2" s="1"/>
  <c r="D71" i="2"/>
  <c r="E71" i="2" s="1"/>
  <c r="D70" i="2"/>
  <c r="E70" i="2" s="1"/>
  <c r="D69" i="2"/>
  <c r="E69" i="2" s="1"/>
  <c r="D68" i="2"/>
  <c r="E68" i="2" s="1"/>
  <c r="D67" i="2"/>
  <c r="E67" i="2" s="1"/>
  <c r="D66" i="2"/>
  <c r="E66" i="2" s="1"/>
  <c r="D65" i="2"/>
  <c r="E65" i="2" s="1"/>
  <c r="D64" i="2"/>
  <c r="E64" i="2" s="1"/>
  <c r="D63" i="2"/>
  <c r="E63" i="2" s="1"/>
  <c r="D62" i="2"/>
  <c r="E62" i="2" s="1"/>
  <c r="D61" i="2"/>
  <c r="E61" i="2" s="1"/>
  <c r="D60" i="2"/>
  <c r="E60" i="2" s="1"/>
  <c r="D59" i="2"/>
  <c r="E59" i="2" s="1"/>
  <c r="D58" i="2"/>
  <c r="E58" i="2" s="1"/>
  <c r="D57" i="2"/>
  <c r="E57" i="2" s="1"/>
  <c r="D56" i="2"/>
  <c r="E56" i="2" s="1"/>
  <c r="D52" i="2"/>
  <c r="E52" i="2" s="1"/>
  <c r="D51" i="2"/>
  <c r="E51" i="2" s="1"/>
  <c r="D50" i="2"/>
  <c r="E50" i="2" s="1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D40" i="2"/>
  <c r="E40" i="2" s="1"/>
  <c r="D39" i="2"/>
  <c r="E39" i="2" s="1"/>
  <c r="B32" i="2"/>
  <c r="D78" i="20" l="1"/>
  <c r="C21" i="20"/>
  <c r="B83" i="20"/>
  <c r="E14" i="20"/>
  <c r="Y1282" i="9" a="1"/>
  <c r="M1281" i="20"/>
  <c r="Y1281" i="9" a="1"/>
  <c r="M1280" i="20"/>
  <c r="Y1280" i="9" a="1"/>
  <c r="M1279" i="20"/>
  <c r="Y1279" i="9" a="1"/>
  <c r="M1278" i="20"/>
  <c r="Y1278" i="9" a="1"/>
  <c r="M1277" i="20"/>
  <c r="Y1277" i="9" a="1"/>
  <c r="M1276" i="20"/>
  <c r="Y1276" i="9" a="1"/>
  <c r="M1275" i="20"/>
  <c r="Y1275" i="9" a="1"/>
  <c r="M1274" i="20"/>
  <c r="Y1274" i="9" a="1"/>
  <c r="M1273" i="20"/>
  <c r="Y1273" i="9" a="1"/>
  <c r="M1272" i="20"/>
  <c r="Y1272" i="9" a="1"/>
  <c r="M1271" i="20"/>
  <c r="Y1271" i="9" a="1"/>
  <c r="M1270" i="20"/>
  <c r="Y1270" i="9" a="1"/>
  <c r="M1269" i="20"/>
  <c r="Y1269" i="9" a="1"/>
  <c r="M1268" i="20"/>
  <c r="Y1268" i="9" a="1"/>
  <c r="M1267" i="20"/>
  <c r="Y1267" i="9" a="1"/>
  <c r="M1266" i="20"/>
  <c r="Y1266" i="9" a="1"/>
  <c r="M1265" i="20"/>
  <c r="Y1265" i="9" a="1"/>
  <c r="M1264" i="20"/>
  <c r="Y1264" i="9" a="1"/>
  <c r="M1263" i="20"/>
  <c r="Y1263" i="9" a="1"/>
  <c r="M1262" i="20"/>
  <c r="Y1262" i="9" a="1"/>
  <c r="M1261" i="20"/>
  <c r="Y1261" i="9" a="1"/>
  <c r="M1260" i="20"/>
  <c r="Y1260" i="9" a="1"/>
  <c r="M1259" i="20"/>
  <c r="Y1259" i="9" a="1"/>
  <c r="M1258" i="20"/>
  <c r="Y1258" i="9" a="1"/>
  <c r="M1257" i="20"/>
  <c r="Y1257" i="9" a="1"/>
  <c r="M1256" i="20"/>
  <c r="Y1256" i="9" a="1"/>
  <c r="M1255" i="20"/>
  <c r="Y1255" i="9" a="1"/>
  <c r="M1254" i="20"/>
  <c r="Y1254" i="9" a="1"/>
  <c r="M1253" i="20"/>
  <c r="Y1253" i="9" a="1"/>
  <c r="M1252" i="20"/>
  <c r="Y1252" i="9" a="1"/>
  <c r="M1251" i="20"/>
  <c r="Y1251" i="9" a="1"/>
  <c r="M1250" i="20"/>
  <c r="Y1250" i="9" a="1"/>
  <c r="M1249" i="20"/>
  <c r="Y1249" i="9" a="1"/>
  <c r="M1248" i="20"/>
  <c r="Y1248" i="9" a="1"/>
  <c r="M1247" i="20"/>
  <c r="Y1247" i="9" a="1"/>
  <c r="M1246" i="20"/>
  <c r="Y1246" i="9" a="1"/>
  <c r="M1245" i="20"/>
  <c r="Y1245" i="9" a="1"/>
  <c r="M1244" i="20"/>
  <c r="Y1244" i="9" a="1"/>
  <c r="M1243" i="20"/>
  <c r="Y1243" i="9" a="1"/>
  <c r="M1242" i="20"/>
  <c r="Y1242" i="9" a="1"/>
  <c r="M1241" i="20"/>
  <c r="Y1241" i="9" a="1"/>
  <c r="M1240" i="20"/>
  <c r="Y1240" i="9" a="1"/>
  <c r="M1239" i="20"/>
  <c r="Y1239" i="9" a="1"/>
  <c r="M1238" i="20"/>
  <c r="Y1238" i="9" a="1"/>
  <c r="M1237" i="20"/>
  <c r="Y1237" i="9" a="1"/>
  <c r="M1236" i="20"/>
  <c r="Y1236" i="9" a="1"/>
  <c r="M1235" i="20"/>
  <c r="Y1235" i="9" a="1"/>
  <c r="M1234" i="20"/>
  <c r="Y1234" i="9" a="1"/>
  <c r="M1233" i="20"/>
  <c r="Y1233" i="9" a="1"/>
  <c r="M1232" i="20"/>
  <c r="Y1232" i="9" a="1"/>
  <c r="M1231" i="20"/>
  <c r="Y1231" i="9" a="1"/>
  <c r="M1230" i="20"/>
  <c r="Y1230" i="9" a="1"/>
  <c r="M1229" i="20"/>
  <c r="Y1229" i="9" a="1"/>
  <c r="M1228" i="20"/>
  <c r="Y1228" i="9" a="1"/>
  <c r="M1227" i="20"/>
  <c r="Y1227" i="9" a="1"/>
  <c r="M1226" i="20"/>
  <c r="Y1226" i="9" a="1"/>
  <c r="M1225" i="20"/>
  <c r="Y1225" i="9" a="1"/>
  <c r="M1224" i="20"/>
  <c r="Y1224" i="9" a="1"/>
  <c r="M1223" i="20"/>
  <c r="Y1223" i="9" a="1"/>
  <c r="M1222" i="20"/>
  <c r="Y1222" i="9" a="1"/>
  <c r="M1221" i="20"/>
  <c r="Y1221" i="9" a="1"/>
  <c r="M1220" i="20"/>
  <c r="Y1220" i="9" a="1"/>
  <c r="M1219" i="20"/>
  <c r="Y1219" i="9" a="1"/>
  <c r="M1218" i="20"/>
  <c r="Y1218" i="9" a="1"/>
  <c r="M1217" i="20"/>
  <c r="Y1217" i="9" a="1"/>
  <c r="M1216" i="20"/>
  <c r="Y1216" i="9" a="1"/>
  <c r="M1215" i="20"/>
  <c r="Y1215" i="9" a="1"/>
  <c r="M1214" i="20"/>
  <c r="Y1214" i="9" a="1"/>
  <c r="M1213" i="20"/>
  <c r="Y1213" i="9" a="1"/>
  <c r="M1212" i="20"/>
  <c r="Y1212" i="9" a="1"/>
  <c r="M1211" i="20"/>
  <c r="Y1211" i="9" a="1"/>
  <c r="M1210" i="20"/>
  <c r="Y1210" i="9" a="1"/>
  <c r="M1209" i="20"/>
  <c r="Y1209" i="9" a="1"/>
  <c r="M1208" i="20"/>
  <c r="Y1208" i="9" a="1"/>
  <c r="M1207" i="20"/>
  <c r="Y1207" i="9" a="1"/>
  <c r="M1206" i="20"/>
  <c r="Y1206" i="9" a="1"/>
  <c r="M1205" i="20"/>
  <c r="Y1205" i="9" a="1"/>
  <c r="M1204" i="20"/>
  <c r="Y1204" i="9" a="1"/>
  <c r="M1203" i="20"/>
  <c r="Y1203" i="9" a="1"/>
  <c r="M1202" i="20"/>
  <c r="Y1202" i="9" a="1"/>
  <c r="M1201" i="20"/>
  <c r="Y1201" i="9" a="1"/>
  <c r="M1200" i="20"/>
  <c r="Y1200" i="9" a="1"/>
  <c r="M1199" i="20"/>
  <c r="Y1199" i="9" a="1"/>
  <c r="M1198" i="20"/>
  <c r="Y1198" i="9" a="1"/>
  <c r="M1197" i="20"/>
  <c r="Y1197" i="9" a="1"/>
  <c r="M1196" i="20"/>
  <c r="Y1196" i="9" a="1"/>
  <c r="M1195" i="20"/>
  <c r="Y1195" i="9" a="1"/>
  <c r="M1194" i="20"/>
  <c r="Y1194" i="9" a="1"/>
  <c r="M1193" i="20"/>
  <c r="Y1193" i="9" a="1"/>
  <c r="M1192" i="20"/>
  <c r="Y1192" i="9" a="1"/>
  <c r="M1191" i="20"/>
  <c r="Y1191" i="9" a="1"/>
  <c r="M1190" i="20"/>
  <c r="Y1190" i="9" a="1"/>
  <c r="M1189" i="20"/>
  <c r="Y1189" i="9" a="1"/>
  <c r="M1188" i="20"/>
  <c r="Y1188" i="9" a="1"/>
  <c r="M1187" i="20"/>
  <c r="Y1187" i="9" a="1"/>
  <c r="M1186" i="20"/>
  <c r="Y1186" i="9" a="1"/>
  <c r="M1185" i="20"/>
  <c r="Y1185" i="9" a="1"/>
  <c r="M1184" i="20"/>
  <c r="Y1184" i="9" a="1"/>
  <c r="M1183" i="20"/>
  <c r="Y1183" i="9" a="1"/>
  <c r="M1182" i="20"/>
  <c r="Y1182" i="9" a="1"/>
  <c r="M1181" i="20"/>
  <c r="Y1181" i="9" a="1"/>
  <c r="M1180" i="20"/>
  <c r="Y1180" i="9" a="1"/>
  <c r="M1179" i="20"/>
  <c r="Y1179" i="9" a="1"/>
  <c r="M1178" i="20"/>
  <c r="Y1178" i="9" a="1"/>
  <c r="M1177" i="20"/>
  <c r="Y1177" i="9" a="1"/>
  <c r="M1176" i="20"/>
  <c r="Y1176" i="9" a="1"/>
  <c r="M1175" i="20"/>
  <c r="Y1175" i="9" a="1"/>
  <c r="M1174" i="20"/>
  <c r="Y1174" i="9" a="1"/>
  <c r="M1173" i="20"/>
  <c r="Y1173" i="9" a="1"/>
  <c r="M1172" i="20"/>
  <c r="Y1172" i="9" a="1"/>
  <c r="M1171" i="20"/>
  <c r="Y1171" i="9" a="1"/>
  <c r="M1170" i="20"/>
  <c r="Y1170" i="9" a="1"/>
  <c r="M1169" i="20"/>
  <c r="Y1169" i="9" a="1"/>
  <c r="M1168" i="20"/>
  <c r="Y1168" i="9" a="1"/>
  <c r="M1167" i="20"/>
  <c r="Y1167" i="9" a="1"/>
  <c r="M1166" i="20"/>
  <c r="Y1166" i="9" a="1"/>
  <c r="M1165" i="20"/>
  <c r="Y1165" i="9" a="1"/>
  <c r="M1164" i="20"/>
  <c r="Y1164" i="9" a="1"/>
  <c r="M1163" i="20"/>
  <c r="Y1163" i="9" a="1"/>
  <c r="M1162" i="20"/>
  <c r="Y1162" i="9" a="1"/>
  <c r="M1161" i="20"/>
  <c r="Y1161" i="9" a="1"/>
  <c r="M1160" i="20"/>
  <c r="Y1160" i="9" a="1"/>
  <c r="M1159" i="20"/>
  <c r="Y1159" i="9" a="1"/>
  <c r="M1158" i="20"/>
  <c r="Y1158" i="9" a="1"/>
  <c r="M1157" i="20"/>
  <c r="Y1157" i="9" a="1"/>
  <c r="M1156" i="20"/>
  <c r="Y1156" i="9" a="1"/>
  <c r="M1155" i="20"/>
  <c r="Y1155" i="9" a="1"/>
  <c r="M1154" i="20"/>
  <c r="Y1154" i="9" a="1"/>
  <c r="M1153" i="20"/>
  <c r="M830" i="20"/>
  <c r="Y831" i="9" a="1"/>
  <c r="Y830" i="9" a="1"/>
  <c r="M829" i="20"/>
  <c r="M828" i="20"/>
  <c r="Y829" i="9" a="1"/>
  <c r="M827" i="20"/>
  <c r="Y828" i="9" a="1"/>
  <c r="M826" i="20"/>
  <c r="Y827" i="9" a="1"/>
  <c r="Y826" i="9" a="1"/>
  <c r="M825" i="20"/>
  <c r="M824" i="20"/>
  <c r="Y825" i="9" a="1"/>
  <c r="M823" i="20"/>
  <c r="Y824" i="9" a="1"/>
  <c r="M822" i="20"/>
  <c r="Y823" i="9" a="1"/>
  <c r="Y822" i="9" a="1"/>
  <c r="M821" i="20"/>
  <c r="Y821" i="9" a="1"/>
  <c r="M820" i="20"/>
  <c r="Y820" i="9" a="1"/>
  <c r="M819" i="20"/>
  <c r="Y819" i="9" a="1"/>
  <c r="M818" i="20"/>
  <c r="Y818" i="9" a="1"/>
  <c r="M817" i="20"/>
  <c r="Y817" i="9" a="1"/>
  <c r="M816" i="20"/>
  <c r="Y816" i="9" a="1"/>
  <c r="M815" i="20"/>
  <c r="Y815" i="9" a="1"/>
  <c r="M814" i="20"/>
  <c r="Y814" i="9" a="1"/>
  <c r="M813" i="20"/>
  <c r="M812" i="20"/>
  <c r="Y813" i="9" a="1"/>
  <c r="M811" i="20"/>
  <c r="Y812" i="9" a="1"/>
  <c r="M810" i="20"/>
  <c r="Y811" i="9" a="1"/>
  <c r="M809" i="20"/>
  <c r="Y810" i="9" a="1"/>
  <c r="M808" i="20"/>
  <c r="Y809" i="9" a="1"/>
  <c r="Y808" i="9" a="1"/>
  <c r="M807" i="20"/>
  <c r="Y807" i="9" a="1"/>
  <c r="M806" i="20"/>
  <c r="Y806" i="9" a="1"/>
  <c r="M805" i="20"/>
  <c r="Y805" i="9" a="1"/>
  <c r="M804" i="20"/>
  <c r="Y804" i="9" a="1"/>
  <c r="M803" i="20"/>
  <c r="Y803" i="9" a="1"/>
  <c r="M802" i="20"/>
  <c r="M801" i="20"/>
  <c r="Y802" i="9" a="1"/>
  <c r="Y801" i="9" a="1"/>
  <c r="M800" i="20"/>
  <c r="Y800" i="9" a="1"/>
  <c r="M799" i="20"/>
  <c r="M798" i="20"/>
  <c r="Y799" i="9" a="1"/>
  <c r="M797" i="20"/>
  <c r="Y798" i="9" a="1"/>
  <c r="M796" i="20"/>
  <c r="Y797" i="9" a="1"/>
  <c r="M795" i="20"/>
  <c r="Y796" i="9" a="1"/>
  <c r="Y795" i="9" a="1"/>
  <c r="M794" i="20"/>
  <c r="Y794" i="9" a="1"/>
  <c r="M793" i="20"/>
  <c r="Y793" i="9" a="1"/>
  <c r="M792" i="20"/>
  <c r="Y792" i="9" a="1"/>
  <c r="M791" i="20"/>
  <c r="M790" i="20"/>
  <c r="Y791" i="9" a="1"/>
  <c r="M789" i="20"/>
  <c r="Y790" i="9" a="1"/>
  <c r="M788" i="20"/>
  <c r="Y789" i="9" a="1"/>
  <c r="M787" i="20"/>
  <c r="Y788" i="9" a="1"/>
  <c r="M786" i="20"/>
  <c r="Y787" i="9" a="1"/>
  <c r="M785" i="20"/>
  <c r="Y786" i="9" a="1"/>
  <c r="M784" i="20"/>
  <c r="Y785" i="9" a="1"/>
  <c r="Y784" i="9" a="1"/>
  <c r="M783" i="20"/>
  <c r="Y783" i="9" a="1"/>
  <c r="M782" i="20"/>
  <c r="Y782" i="9" a="1"/>
  <c r="M781" i="20"/>
  <c r="Y781" i="9" a="1"/>
  <c r="M780" i="20"/>
  <c r="Y780" i="9" a="1"/>
  <c r="M779" i="20"/>
  <c r="Y779" i="9" a="1"/>
  <c r="M778" i="20"/>
  <c r="Y778" i="9" a="1"/>
  <c r="M777" i="20"/>
  <c r="Y777" i="9" a="1"/>
  <c r="M776" i="20"/>
  <c r="Y776" i="9" a="1"/>
  <c r="M775" i="20"/>
  <c r="Y775" i="9" a="1"/>
  <c r="M774" i="20"/>
  <c r="M773" i="20"/>
  <c r="Y774" i="9" a="1"/>
  <c r="Y773" i="9" a="1"/>
  <c r="M772" i="20"/>
  <c r="Y772" i="9" a="1"/>
  <c r="M771" i="20"/>
  <c r="M770" i="20"/>
  <c r="Y771" i="9" a="1"/>
  <c r="Y770" i="9" a="1"/>
  <c r="M769" i="20"/>
  <c r="Y769" i="9" a="1"/>
  <c r="M768" i="20"/>
  <c r="Y768" i="9" a="1"/>
  <c r="M767" i="20"/>
  <c r="M766" i="20"/>
  <c r="Y767" i="9" a="1"/>
  <c r="Y766" i="9" a="1"/>
  <c r="M765" i="20"/>
  <c r="M764" i="20"/>
  <c r="Y765" i="9" a="1"/>
  <c r="M763" i="20"/>
  <c r="Y764" i="9" a="1"/>
  <c r="M762" i="20"/>
  <c r="Y763" i="9" a="1"/>
  <c r="Y762" i="9" a="1"/>
  <c r="M761" i="20"/>
  <c r="Y761" i="9" a="1"/>
  <c r="M760" i="20"/>
  <c r="Y760" i="9" a="1"/>
  <c r="M759" i="20"/>
  <c r="Y759" i="9" a="1"/>
  <c r="M758" i="20"/>
  <c r="Y758" i="9" a="1"/>
  <c r="M757" i="20"/>
  <c r="Y757" i="9" a="1"/>
  <c r="M756" i="20"/>
  <c r="Y756" i="9" a="1"/>
  <c r="M755" i="20"/>
  <c r="M754" i="20"/>
  <c r="Y755" i="9" a="1"/>
  <c r="Y754" i="9" a="1"/>
  <c r="M753" i="20"/>
  <c r="M752" i="20"/>
  <c r="Y753" i="9" a="1"/>
  <c r="M751" i="20"/>
  <c r="Y752" i="9" a="1"/>
  <c r="M750" i="20"/>
  <c r="Y751" i="9" a="1"/>
  <c r="Y750" i="9" a="1"/>
  <c r="M749" i="20"/>
  <c r="Y749" i="9" a="1"/>
  <c r="M748" i="20"/>
  <c r="Y748" i="9" a="1"/>
  <c r="M747" i="20"/>
  <c r="Y747" i="9" a="1"/>
  <c r="M746" i="20"/>
  <c r="Y746" i="9" a="1"/>
  <c r="M745" i="20"/>
  <c r="Y745" i="9" a="1"/>
  <c r="M744" i="20"/>
  <c r="M743" i="20"/>
  <c r="Y744" i="9" a="1"/>
  <c r="M742" i="20"/>
  <c r="Y743" i="9" a="1"/>
  <c r="M741" i="20"/>
  <c r="Y742" i="9" a="1"/>
  <c r="M740" i="20"/>
  <c r="Y741" i="9" a="1"/>
  <c r="M739" i="20"/>
  <c r="Y740" i="9" a="1"/>
  <c r="M738" i="20"/>
  <c r="Y739" i="9" a="1"/>
  <c r="M737" i="20"/>
  <c r="Y738" i="9" a="1"/>
  <c r="M736" i="20"/>
  <c r="Y737" i="9" a="1"/>
  <c r="M735" i="20"/>
  <c r="Y736" i="9" a="1"/>
  <c r="M734" i="20"/>
  <c r="Y735" i="9" a="1"/>
  <c r="M733" i="20"/>
  <c r="Y734" i="9" a="1"/>
  <c r="M732" i="20"/>
  <c r="Y733" i="9" a="1"/>
  <c r="M731" i="20"/>
  <c r="Y732" i="9" a="1"/>
  <c r="Y731" i="9" a="1"/>
  <c r="M730" i="20"/>
  <c r="M729" i="20"/>
  <c r="Y730" i="9" a="1"/>
  <c r="Y729" i="9" a="1"/>
  <c r="M728" i="20"/>
  <c r="M727" i="20"/>
  <c r="Y728" i="9" a="1"/>
  <c r="M726" i="20"/>
  <c r="Y727" i="9" a="1"/>
  <c r="Y726" i="9" a="1"/>
  <c r="M725" i="20"/>
  <c r="Y725" i="9" a="1"/>
  <c r="M724" i="20"/>
  <c r="Y724" i="9" a="1"/>
  <c r="M723" i="20"/>
  <c r="Y723" i="9" a="1"/>
  <c r="M722" i="20"/>
  <c r="Y722" i="9" a="1"/>
  <c r="M721" i="20"/>
  <c r="Y721" i="9" a="1"/>
  <c r="M720" i="20"/>
  <c r="Y720" i="9" a="1"/>
  <c r="M719" i="20"/>
  <c r="Y719" i="9" a="1"/>
  <c r="M718" i="20"/>
  <c r="Y718" i="9" a="1"/>
  <c r="M717" i="20"/>
  <c r="Y717" i="9" a="1"/>
  <c r="M716" i="20"/>
  <c r="Y716" i="9" a="1"/>
  <c r="M715" i="20"/>
  <c r="Y715" i="9" a="1"/>
  <c r="M714" i="20"/>
  <c r="Y714" i="9" a="1"/>
  <c r="M713" i="20"/>
  <c r="Y713" i="9" a="1"/>
  <c r="M712" i="20"/>
  <c r="Y712" i="9" a="1"/>
  <c r="M711" i="20"/>
  <c r="Y711" i="9" a="1"/>
  <c r="M710" i="20"/>
  <c r="Y710" i="9" a="1"/>
  <c r="M709" i="20"/>
  <c r="Y709" i="9" a="1"/>
  <c r="M708" i="20"/>
  <c r="Y708" i="9" a="1"/>
  <c r="M707" i="20"/>
  <c r="Y707" i="9" a="1"/>
  <c r="M706" i="20"/>
  <c r="Y706" i="9" a="1"/>
  <c r="M705" i="20"/>
  <c r="Y705" i="9" a="1"/>
  <c r="M704" i="20"/>
  <c r="Y704" i="9" a="1"/>
  <c r="M703" i="20"/>
  <c r="Y703" i="9" a="1"/>
  <c r="M702" i="20"/>
  <c r="Y702" i="9" a="1"/>
  <c r="M701" i="20"/>
  <c r="Y701" i="9" a="1"/>
  <c r="M700" i="20"/>
  <c r="Y700" i="9" a="1"/>
  <c r="M699" i="20"/>
  <c r="Y699" i="9" a="1"/>
  <c r="M698" i="20"/>
  <c r="Y698" i="9" a="1"/>
  <c r="M697" i="20"/>
  <c r="Y697" i="9" a="1"/>
  <c r="M696" i="20"/>
  <c r="Y696" i="9" a="1"/>
  <c r="M695" i="20"/>
  <c r="Y695" i="9" a="1"/>
  <c r="M694" i="20"/>
  <c r="Y694" i="9" a="1"/>
  <c r="M693" i="20"/>
  <c r="Y693" i="9" a="1"/>
  <c r="M692" i="20"/>
  <c r="Y692" i="9" a="1"/>
  <c r="M691" i="20"/>
  <c r="Y691" i="9" a="1"/>
  <c r="M690" i="20"/>
  <c r="Y690" i="9" a="1"/>
  <c r="M689" i="20"/>
  <c r="Y689" i="9" a="1"/>
  <c r="M688" i="20"/>
  <c r="Y688" i="9" a="1"/>
  <c r="M687" i="20"/>
  <c r="Y687" i="9" a="1"/>
  <c r="M686" i="20"/>
  <c r="Y686" i="9" a="1"/>
  <c r="M685" i="20"/>
  <c r="Y685" i="9" a="1"/>
  <c r="M684" i="20"/>
  <c r="Y684" i="9" a="1"/>
  <c r="M683" i="20"/>
  <c r="Y683" i="9" a="1"/>
  <c r="M682" i="20"/>
  <c r="Y682" i="9" a="1"/>
  <c r="M681" i="20"/>
  <c r="Y681" i="9" a="1"/>
  <c r="M680" i="20"/>
  <c r="Y680" i="9" a="1"/>
  <c r="M679" i="20"/>
  <c r="Y679" i="9" a="1"/>
  <c r="M678" i="20"/>
  <c r="Y678" i="9" a="1"/>
  <c r="M677" i="20"/>
  <c r="Y677" i="9" a="1"/>
  <c r="M676" i="20"/>
  <c r="Y676" i="9" a="1"/>
  <c r="M675" i="20"/>
  <c r="Y675" i="9" a="1"/>
  <c r="M674" i="20"/>
  <c r="Y674" i="9" a="1"/>
  <c r="M673" i="20"/>
  <c r="Y673" i="9" a="1"/>
  <c r="M672" i="20"/>
  <c r="Y672" i="9" a="1"/>
  <c r="M671" i="20"/>
  <c r="Y671" i="9" a="1"/>
  <c r="M670" i="20"/>
  <c r="Y670" i="9" a="1"/>
  <c r="M669" i="20"/>
  <c r="Y669" i="9" a="1"/>
  <c r="M668" i="20"/>
  <c r="Y668" i="9" a="1"/>
  <c r="M667" i="20"/>
  <c r="Y667" i="9" a="1"/>
  <c r="M666" i="20"/>
  <c r="Y666" i="9" a="1"/>
  <c r="M665" i="20"/>
  <c r="Y665" i="9" a="1"/>
  <c r="M664" i="20"/>
  <c r="Y664" i="9" a="1"/>
  <c r="M663" i="20"/>
  <c r="Y663" i="9" a="1"/>
  <c r="M662" i="20"/>
  <c r="Y662" i="9" a="1"/>
  <c r="M661" i="20"/>
  <c r="Y661" i="9" a="1"/>
  <c r="M660" i="20"/>
  <c r="Y660" i="9" a="1"/>
  <c r="M659" i="20"/>
  <c r="Y659" i="9" a="1"/>
  <c r="M658" i="20"/>
  <c r="Y658" i="9" a="1"/>
  <c r="M657" i="20"/>
  <c r="Y657" i="9" a="1"/>
  <c r="M656" i="20"/>
  <c r="Y656" i="9" a="1"/>
  <c r="M655" i="20"/>
  <c r="Y655" i="9" a="1"/>
  <c r="M654" i="20"/>
  <c r="Y654" i="9" a="1"/>
  <c r="M653" i="20"/>
  <c r="Y653" i="9" a="1"/>
  <c r="M652" i="20"/>
  <c r="Y652" i="9" a="1"/>
  <c r="M651" i="20"/>
  <c r="Y651" i="9" a="1"/>
  <c r="M650" i="20"/>
  <c r="Y650" i="9" a="1"/>
  <c r="M649" i="20"/>
  <c r="Y649" i="9" a="1"/>
  <c r="M648" i="20"/>
  <c r="Y648" i="9" a="1"/>
  <c r="M647" i="20"/>
  <c r="Y647" i="9" a="1"/>
  <c r="M646" i="20"/>
  <c r="Y646" i="9" a="1"/>
  <c r="M645" i="20"/>
  <c r="Y645" i="9" a="1"/>
  <c r="M644" i="20"/>
  <c r="Y644" i="9" a="1"/>
  <c r="M643" i="20"/>
  <c r="Y643" i="9" a="1"/>
  <c r="M642" i="20"/>
  <c r="Y642" i="9" a="1"/>
  <c r="M641" i="20"/>
  <c r="Y641" i="9" a="1"/>
  <c r="M640" i="20"/>
  <c r="Y640" i="9" a="1"/>
  <c r="M639" i="20"/>
  <c r="Y639" i="9" a="1"/>
  <c r="M638" i="20"/>
  <c r="Y638" i="9" a="1"/>
  <c r="M637" i="20"/>
  <c r="Y637" i="9" a="1"/>
  <c r="M636" i="20"/>
  <c r="Y636" i="9" a="1"/>
  <c r="M635" i="20"/>
  <c r="Y635" i="9" a="1"/>
  <c r="M634" i="20"/>
  <c r="Y634" i="9" a="1"/>
  <c r="M633" i="20"/>
  <c r="Y633" i="9" a="1"/>
  <c r="M632" i="20"/>
  <c r="Y632" i="9" a="1"/>
  <c r="M631" i="20"/>
  <c r="Y631" i="9" a="1"/>
  <c r="M630" i="20"/>
  <c r="Y630" i="9" a="1"/>
  <c r="M629" i="20"/>
  <c r="Y629" i="9" a="1"/>
  <c r="M628" i="20"/>
  <c r="Y628" i="9" a="1"/>
  <c r="M627" i="20"/>
  <c r="Y627" i="9" a="1"/>
  <c r="M626" i="20"/>
  <c r="Y626" i="9" a="1"/>
  <c r="M625" i="20"/>
  <c r="Y625" i="9" a="1"/>
  <c r="M624" i="20"/>
  <c r="Y624" i="9" a="1"/>
  <c r="M623" i="20"/>
  <c r="Y623" i="9" a="1"/>
  <c r="M622" i="20"/>
  <c r="Y622" i="9" a="1"/>
  <c r="M621" i="20"/>
  <c r="Y621" i="9" a="1"/>
  <c r="M620" i="20"/>
  <c r="Y620" i="9" a="1"/>
  <c r="M619" i="20"/>
  <c r="Y619" i="9" a="1"/>
  <c r="M618" i="20"/>
  <c r="Y618" i="9" a="1"/>
  <c r="M617" i="20"/>
  <c r="Y617" i="9" a="1"/>
  <c r="M616" i="20"/>
  <c r="Y616" i="9" a="1"/>
  <c r="M615" i="20"/>
  <c r="Y615" i="9" a="1"/>
  <c r="M614" i="20"/>
  <c r="Y614" i="9" a="1"/>
  <c r="M613" i="20"/>
  <c r="Y613" i="9" a="1"/>
  <c r="M612" i="20"/>
  <c r="Y612" i="9" a="1"/>
  <c r="M611" i="20"/>
  <c r="Y611" i="9" a="1"/>
  <c r="M610" i="20"/>
  <c r="Y610" i="9" a="1"/>
  <c r="M609" i="20"/>
  <c r="Y609" i="9" a="1"/>
  <c r="M608" i="20"/>
  <c r="Y608" i="9" a="1"/>
  <c r="M607" i="20"/>
  <c r="Y607" i="9" a="1"/>
  <c r="M606" i="20"/>
  <c r="Y606" i="9" a="1"/>
  <c r="M605" i="20"/>
  <c r="Y605" i="9" a="1"/>
  <c r="M604" i="20"/>
  <c r="Y604" i="9" a="1"/>
  <c r="M603" i="20"/>
  <c r="Y603" i="9" a="1"/>
  <c r="M602" i="20"/>
  <c r="Y602" i="9" a="1"/>
  <c r="M601" i="20"/>
  <c r="Y601" i="9" a="1"/>
  <c r="M600" i="20"/>
  <c r="Y600" i="9" a="1"/>
  <c r="M599" i="20"/>
  <c r="M62" i="20"/>
  <c r="Y63" i="9" a="1"/>
  <c r="M61" i="20"/>
  <c r="Y62" i="9" a="1"/>
  <c r="M60" i="20"/>
  <c r="Y61" i="9" a="1"/>
  <c r="M59" i="20"/>
  <c r="Y60" i="9" a="1"/>
  <c r="M58" i="20"/>
  <c r="Y59" i="9" a="1"/>
  <c r="M57" i="20"/>
  <c r="Y58" i="9" a="1"/>
  <c r="M56" i="20"/>
  <c r="Y57" i="9" a="1"/>
  <c r="M55" i="20"/>
  <c r="Y56" i="9" a="1"/>
  <c r="M54" i="20"/>
  <c r="Y55" i="9" a="1"/>
  <c r="M53" i="20"/>
  <c r="Y54" i="9" a="1"/>
  <c r="M52" i="20"/>
  <c r="Y53" i="9" a="1"/>
  <c r="M51" i="20"/>
  <c r="Y52" i="9" a="1"/>
  <c r="M50" i="20"/>
  <c r="Y51" i="9" a="1"/>
  <c r="M49" i="20"/>
  <c r="Y50" i="9" a="1"/>
  <c r="M48" i="20"/>
  <c r="Y49" i="9" a="1"/>
  <c r="M47" i="20"/>
  <c r="Y48" i="9" a="1"/>
  <c r="M46" i="20"/>
  <c r="Y47" i="9" a="1"/>
  <c r="M45" i="20"/>
  <c r="Y46" i="9" a="1"/>
  <c r="M44" i="20"/>
  <c r="Y45" i="9" a="1"/>
  <c r="M43" i="20"/>
  <c r="Y44" i="9" a="1"/>
  <c r="M42" i="20"/>
  <c r="Y43" i="9" a="1"/>
  <c r="M41" i="20"/>
  <c r="Y42" i="9" a="1"/>
  <c r="M40" i="20"/>
  <c r="Y41" i="9" a="1"/>
  <c r="M39" i="20"/>
  <c r="Y40" i="9" a="1"/>
  <c r="M38" i="20"/>
  <c r="Y39" i="9" a="1"/>
  <c r="M37" i="20"/>
  <c r="Y38" i="9" a="1"/>
  <c r="M36" i="20"/>
  <c r="Y37" i="9" a="1"/>
  <c r="M35" i="20"/>
  <c r="Y36" i="9" a="1"/>
  <c r="M34" i="20"/>
  <c r="Y35" i="9" a="1"/>
  <c r="M33" i="20"/>
  <c r="Y34" i="9" a="1"/>
  <c r="M32" i="20"/>
  <c r="Y33" i="9" a="1"/>
  <c r="M31" i="20"/>
  <c r="Y32" i="9" a="1"/>
  <c r="M30" i="20"/>
  <c r="Y31" i="9" a="1"/>
  <c r="M29" i="20"/>
  <c r="Y30" i="9" a="1"/>
  <c r="M28" i="20"/>
  <c r="Y29" i="9" a="1"/>
  <c r="M27" i="20"/>
  <c r="Y28" i="9" a="1"/>
  <c r="M26" i="20"/>
  <c r="Y27" i="9" a="1"/>
  <c r="M25" i="20"/>
  <c r="Y26" i="9" a="1"/>
  <c r="M24" i="20"/>
  <c r="Y25" i="9" a="1"/>
  <c r="M23" i="20"/>
  <c r="Y24" i="9" a="1"/>
  <c r="M22" i="20"/>
  <c r="Y23" i="9" a="1"/>
  <c r="M21" i="20"/>
  <c r="Y22" i="9" a="1"/>
  <c r="M20" i="20"/>
  <c r="Y21" i="9" a="1"/>
  <c r="D79" i="20"/>
  <c r="D18" i="6"/>
  <c r="E21" i="20"/>
  <c r="E83" i="20"/>
  <c r="Y1038" i="9" a="1"/>
  <c r="M1037" i="20"/>
  <c r="Y1037" i="9" a="1"/>
  <c r="M1036" i="20"/>
  <c r="Y1036" i="9" a="1"/>
  <c r="M1035" i="20"/>
  <c r="M1034" i="20"/>
  <c r="Y1035" i="9" a="1"/>
  <c r="Y1034" i="9" a="1"/>
  <c r="M1033" i="20"/>
  <c r="M1032" i="20"/>
  <c r="Y1033" i="9" a="1"/>
  <c r="Y1032" i="9" a="1"/>
  <c r="M1031" i="20"/>
  <c r="Y1031" i="9" a="1"/>
  <c r="M1030" i="20"/>
  <c r="Y1030" i="9" a="1"/>
  <c r="M1029" i="20"/>
  <c r="M1028" i="20"/>
  <c r="Y1029" i="9" a="1"/>
  <c r="M1027" i="20"/>
  <c r="Y1028" i="9" a="1"/>
  <c r="Y1027" i="9" a="1"/>
  <c r="M1026" i="20"/>
  <c r="Y1026" i="9" a="1"/>
  <c r="M1025" i="20"/>
  <c r="Y1025" i="9" a="1"/>
  <c r="M1024" i="20"/>
  <c r="Y1024" i="9" a="1"/>
  <c r="M1023" i="20"/>
  <c r="Y1023" i="9" a="1"/>
  <c r="M1022" i="20"/>
  <c r="Y1022" i="9" a="1"/>
  <c r="M1021" i="20"/>
  <c r="Y1021" i="9" a="1"/>
  <c r="M1020" i="20"/>
  <c r="M1019" i="20"/>
  <c r="Y1020" i="9" a="1"/>
  <c r="Y1019" i="9" a="1"/>
  <c r="M1018" i="20"/>
  <c r="Y1018" i="9" a="1"/>
  <c r="M1017" i="20"/>
  <c r="Y1017" i="9" a="1"/>
  <c r="M1016" i="20"/>
  <c r="Y1016" i="9" a="1"/>
  <c r="M1015" i="20"/>
  <c r="Y1015" i="9" a="1"/>
  <c r="M1014" i="20"/>
  <c r="M1013" i="20"/>
  <c r="Y1014" i="9" a="1"/>
  <c r="M1012" i="20"/>
  <c r="Y1013" i="9" a="1"/>
  <c r="M1011" i="20"/>
  <c r="Y1012" i="9" a="1"/>
  <c r="M1010" i="20"/>
  <c r="Y1011" i="9" a="1"/>
  <c r="M1009" i="20"/>
  <c r="Y1010" i="9" a="1"/>
  <c r="M1008" i="20"/>
  <c r="Y1009" i="9" a="1"/>
  <c r="M1007" i="20"/>
  <c r="Y1008" i="9" a="1"/>
  <c r="M1006" i="20"/>
  <c r="Y1007" i="9" a="1"/>
  <c r="M1005" i="20"/>
  <c r="Y1006" i="9" a="1"/>
  <c r="M1004" i="20"/>
  <c r="Y1005" i="9" a="1"/>
  <c r="M1003" i="20"/>
  <c r="Y1004" i="9" a="1"/>
  <c r="M1002" i="20"/>
  <c r="Y1003" i="9" a="1"/>
  <c r="M1001" i="20"/>
  <c r="Y1002" i="9" a="1"/>
  <c r="M1000" i="20"/>
  <c r="Y1001" i="9" a="1"/>
  <c r="M999" i="20"/>
  <c r="Y1000" i="9" a="1"/>
  <c r="M998" i="20"/>
  <c r="Y999" i="9" a="1"/>
  <c r="Y998" i="9" a="1"/>
  <c r="M997" i="20"/>
  <c r="Y997" i="9" a="1"/>
  <c r="M996" i="20"/>
  <c r="Y996" i="9" a="1"/>
  <c r="M995" i="20"/>
  <c r="Y995" i="9" a="1"/>
  <c r="M994" i="20"/>
  <c r="Y994" i="9" a="1"/>
  <c r="M993" i="20"/>
  <c r="M992" i="20"/>
  <c r="Y993" i="9" a="1"/>
  <c r="M991" i="20"/>
  <c r="Y992" i="9" a="1"/>
  <c r="Y991" i="9" a="1"/>
  <c r="M990" i="20"/>
  <c r="Y990" i="9" a="1"/>
  <c r="M989" i="20"/>
  <c r="Y989" i="9" a="1"/>
  <c r="M988" i="20"/>
  <c r="Y988" i="9" a="1"/>
  <c r="M987" i="20"/>
  <c r="Y987" i="9" a="1"/>
  <c r="M986" i="20"/>
  <c r="Y986" i="9" a="1"/>
  <c r="M985" i="20"/>
  <c r="Y985" i="9" a="1"/>
  <c r="M984" i="20"/>
  <c r="M983" i="20"/>
  <c r="Y984" i="9" a="1"/>
  <c r="Y983" i="9" a="1"/>
  <c r="M982" i="20"/>
  <c r="Y982" i="9" a="1"/>
  <c r="M981" i="20"/>
  <c r="Y981" i="9" a="1"/>
  <c r="M980" i="20"/>
  <c r="Y980" i="9" a="1"/>
  <c r="M979" i="20"/>
  <c r="Y979" i="9" a="1"/>
  <c r="M978" i="20"/>
  <c r="Y978" i="9" a="1"/>
  <c r="M977" i="20"/>
  <c r="M976" i="20"/>
  <c r="Y977" i="9" a="1"/>
  <c r="Y976" i="9" a="1"/>
  <c r="M975" i="20"/>
  <c r="M974" i="20"/>
  <c r="Y975" i="9" a="1"/>
  <c r="M973" i="20"/>
  <c r="Y974" i="9" a="1"/>
  <c r="Y973" i="9" a="1"/>
  <c r="M972" i="20"/>
  <c r="M971" i="20"/>
  <c r="Y972" i="9" a="1"/>
  <c r="M970" i="20"/>
  <c r="Y971" i="9" a="1"/>
  <c r="M969" i="20"/>
  <c r="Y970" i="9" a="1"/>
  <c r="M968" i="20"/>
  <c r="Y969" i="9" a="1"/>
  <c r="Y968" i="9" a="1"/>
  <c r="M967" i="20"/>
  <c r="Y967" i="9" a="1"/>
  <c r="M966" i="20"/>
  <c r="M965" i="20"/>
  <c r="Y966" i="9" a="1"/>
  <c r="Y965" i="9" a="1"/>
  <c r="M964" i="20"/>
  <c r="Y964" i="9" a="1"/>
  <c r="M963" i="20"/>
  <c r="M962" i="20"/>
  <c r="Y963" i="9" a="1"/>
  <c r="M961" i="20"/>
  <c r="Y962" i="9" a="1"/>
  <c r="M960" i="20"/>
  <c r="Y961" i="9" a="1"/>
  <c r="M959" i="20"/>
  <c r="Y960" i="9" a="1"/>
  <c r="Y959" i="9" a="1"/>
  <c r="M958" i="20"/>
  <c r="Y958" i="9" a="1"/>
  <c r="M957" i="20"/>
  <c r="Y957" i="9" a="1"/>
  <c r="M956" i="20"/>
  <c r="M955" i="20"/>
  <c r="Y956" i="9" a="1"/>
  <c r="Y955" i="9" a="1"/>
  <c r="M954" i="20"/>
  <c r="M953" i="20"/>
  <c r="Y954" i="9" a="1"/>
  <c r="M952" i="20"/>
  <c r="Y953" i="9" a="1"/>
  <c r="M951" i="20"/>
  <c r="Y952" i="9" a="1"/>
  <c r="M950" i="20"/>
  <c r="Y951" i="9" a="1"/>
  <c r="Y950" i="9" a="1"/>
  <c r="M949" i="20"/>
  <c r="M948" i="20"/>
  <c r="Y949" i="9" a="1"/>
  <c r="Y948" i="9" a="1"/>
  <c r="M947" i="20"/>
  <c r="Y947" i="9" a="1"/>
  <c r="M946" i="20"/>
  <c r="Y946" i="9" a="1"/>
  <c r="M945" i="20"/>
  <c r="Y945" i="9" a="1"/>
  <c r="M944" i="20"/>
  <c r="Y944" i="9" a="1"/>
  <c r="M943" i="20"/>
  <c r="M942" i="20"/>
  <c r="Y943" i="9" a="1"/>
  <c r="M941" i="20"/>
  <c r="Y942" i="9" a="1"/>
  <c r="M940" i="20"/>
  <c r="Y941" i="9" a="1"/>
  <c r="M939" i="20"/>
  <c r="Y940" i="9" a="1"/>
  <c r="M938" i="20"/>
  <c r="Y939" i="9" a="1"/>
  <c r="M937" i="20"/>
  <c r="Y938" i="9" a="1"/>
  <c r="Y937" i="9" a="1"/>
  <c r="M936" i="20"/>
  <c r="Y936" i="9" a="1"/>
  <c r="M935" i="20"/>
  <c r="Y935" i="9" a="1"/>
  <c r="M934" i="20"/>
  <c r="Y934" i="9" a="1"/>
  <c r="M933" i="20"/>
  <c r="Y933" i="9" a="1"/>
  <c r="M932" i="20"/>
  <c r="M931" i="20"/>
  <c r="Y932" i="9" a="1"/>
  <c r="Y931" i="9" a="1"/>
  <c r="M930" i="20"/>
  <c r="Y930" i="9" a="1"/>
  <c r="M929" i="20"/>
  <c r="M928" i="20"/>
  <c r="Y929" i="9" a="1"/>
  <c r="Y928" i="9" a="1"/>
  <c r="M927" i="20"/>
  <c r="M926" i="20"/>
  <c r="Y927" i="9" a="1"/>
  <c r="M925" i="20"/>
  <c r="Y926" i="9" a="1"/>
  <c r="M924" i="20"/>
  <c r="Y925" i="9" a="1"/>
  <c r="M923" i="20"/>
  <c r="Y924" i="9" a="1"/>
  <c r="Y923" i="9" a="1"/>
  <c r="M922" i="20"/>
  <c r="M921" i="20"/>
  <c r="Y922" i="9" a="1"/>
  <c r="M920" i="20"/>
  <c r="Y921" i="9" a="1"/>
  <c r="M919" i="20"/>
  <c r="Y920" i="9" a="1"/>
  <c r="M918" i="20"/>
  <c r="Y919" i="9" a="1"/>
  <c r="Y918" i="9" a="1"/>
  <c r="M917" i="20"/>
  <c r="Y917" i="9" a="1"/>
  <c r="M916" i="20"/>
  <c r="M915" i="20"/>
  <c r="Y916" i="9" a="1"/>
  <c r="Y915" i="9" a="1"/>
  <c r="M914" i="20"/>
  <c r="M913" i="20"/>
  <c r="Y914" i="9" a="1"/>
  <c r="Y913" i="9" a="1"/>
  <c r="M912" i="20"/>
  <c r="M911" i="20"/>
  <c r="Y912" i="9" a="1"/>
  <c r="M910" i="20"/>
  <c r="Y911" i="9" a="1"/>
  <c r="M909" i="20"/>
  <c r="Y910" i="9" a="1"/>
  <c r="Y909" i="9" a="1"/>
  <c r="M908" i="20"/>
  <c r="Y908" i="9" a="1"/>
  <c r="M907" i="20"/>
  <c r="Y907" i="9" a="1"/>
  <c r="M906" i="20"/>
  <c r="Y906" i="9" a="1"/>
  <c r="M905" i="20"/>
  <c r="Y905" i="9" a="1"/>
  <c r="M904" i="20"/>
  <c r="Y904" i="9" a="1"/>
  <c r="M903" i="20"/>
  <c r="M902" i="20"/>
  <c r="Y903" i="9" a="1"/>
  <c r="M901" i="20"/>
  <c r="Y902" i="9" a="1"/>
  <c r="Y901" i="9" a="1"/>
  <c r="M900" i="20"/>
  <c r="M899" i="20"/>
  <c r="Y900" i="9" a="1"/>
  <c r="M898" i="20"/>
  <c r="Y899" i="9" a="1"/>
  <c r="M897" i="20"/>
  <c r="Y898" i="9" a="1"/>
  <c r="M896" i="20"/>
  <c r="Y897" i="9" a="1"/>
  <c r="M895" i="20"/>
  <c r="Y896" i="9" a="1"/>
  <c r="M894" i="20"/>
  <c r="Y895" i="9" a="1"/>
  <c r="Y894" i="9" a="1"/>
  <c r="M893" i="20"/>
  <c r="M892" i="20"/>
  <c r="Y893" i="9" a="1"/>
  <c r="M891" i="20"/>
  <c r="Y892" i="9" a="1"/>
  <c r="Y891" i="9" a="1"/>
  <c r="M890" i="20"/>
  <c r="Y890" i="9" a="1"/>
  <c r="M889" i="20"/>
  <c r="Y889" i="9" a="1"/>
  <c r="M888" i="20"/>
  <c r="Y888" i="9" a="1"/>
  <c r="M887" i="20"/>
  <c r="M886" i="20"/>
  <c r="Y887" i="9" a="1"/>
  <c r="M885" i="20"/>
  <c r="Y886" i="9" a="1"/>
  <c r="Y885" i="9" a="1"/>
  <c r="M884" i="20"/>
  <c r="M883" i="20"/>
  <c r="Y884" i="9" a="1"/>
  <c r="Y883" i="9" a="1"/>
  <c r="M882" i="20"/>
  <c r="Y882" i="9" a="1"/>
  <c r="M881" i="20"/>
  <c r="M880" i="20"/>
  <c r="Y881" i="9" a="1"/>
  <c r="M879" i="20"/>
  <c r="Y880" i="9" a="1"/>
  <c r="M878" i="20"/>
  <c r="Y879" i="9" a="1"/>
  <c r="Y878" i="9" a="1"/>
  <c r="M877" i="20"/>
  <c r="M876" i="20"/>
  <c r="Y877" i="9" a="1"/>
  <c r="M875" i="20"/>
  <c r="Y876" i="9" a="1"/>
  <c r="Y875" i="9" a="1"/>
  <c r="M874" i="20"/>
  <c r="M873" i="20"/>
  <c r="Y874" i="9" a="1"/>
  <c r="Y873" i="9" a="1"/>
  <c r="M872" i="20"/>
  <c r="M871" i="20"/>
  <c r="Y872" i="9" a="1"/>
  <c r="M870" i="20"/>
  <c r="Y871" i="9" a="1"/>
  <c r="M869" i="20"/>
  <c r="Y870" i="9" a="1"/>
  <c r="M868" i="20"/>
  <c r="Y869" i="9" a="1"/>
  <c r="Y868" i="9" a="1"/>
  <c r="M867" i="20"/>
  <c r="M866" i="20"/>
  <c r="Y867" i="9" a="1"/>
  <c r="M865" i="20"/>
  <c r="Y866" i="9" a="1"/>
  <c r="M864" i="20"/>
  <c r="Y865" i="9" a="1"/>
  <c r="M863" i="20"/>
  <c r="Y864" i="9" a="1"/>
  <c r="M862" i="20"/>
  <c r="Y863" i="9" a="1"/>
  <c r="Y862" i="9" a="1"/>
  <c r="M861" i="20"/>
  <c r="M860" i="20"/>
  <c r="Y861" i="9" a="1"/>
  <c r="Y860" i="9" a="1"/>
  <c r="M859" i="20"/>
  <c r="Y859" i="9" a="1"/>
  <c r="M858" i="20"/>
  <c r="Y858" i="9" a="1"/>
  <c r="M857" i="20"/>
  <c r="Y857" i="9" a="1"/>
  <c r="M856" i="20"/>
  <c r="Y856" i="9" a="1"/>
  <c r="M855" i="20"/>
  <c r="Y855" i="9" a="1"/>
  <c r="M854" i="20"/>
  <c r="Y854" i="9" a="1"/>
  <c r="M853" i="20"/>
  <c r="Y853" i="9" a="1"/>
  <c r="M852" i="20"/>
  <c r="M851" i="20"/>
  <c r="Y852" i="9" a="1"/>
  <c r="M850" i="20"/>
  <c r="Y851" i="9" a="1"/>
  <c r="M849" i="20"/>
  <c r="Y850" i="9" a="1"/>
  <c r="M848" i="20"/>
  <c r="Y849" i="9" a="1"/>
  <c r="M847" i="20"/>
  <c r="Y848" i="9" a="1"/>
  <c r="M846" i="20"/>
  <c r="Y847" i="9" a="1"/>
  <c r="M845" i="20"/>
  <c r="Y846" i="9" a="1"/>
  <c r="M844" i="20"/>
  <c r="Y845" i="9" a="1"/>
  <c r="M843" i="20"/>
  <c r="Y844" i="9" a="1"/>
  <c r="Y843" i="9" a="1"/>
  <c r="M842" i="20"/>
  <c r="M841" i="20"/>
  <c r="Y842" i="9" a="1"/>
  <c r="M840" i="20"/>
  <c r="Y841" i="9" a="1"/>
  <c r="M839" i="20"/>
  <c r="Y840" i="9" a="1"/>
  <c r="Y839" i="9" a="1"/>
  <c r="M838" i="20"/>
  <c r="Y838" i="9" a="1"/>
  <c r="M837" i="20"/>
  <c r="M836" i="20"/>
  <c r="Y837" i="9" a="1"/>
  <c r="M835" i="20"/>
  <c r="Y836" i="9" a="1"/>
  <c r="M834" i="20"/>
  <c r="Y835" i="9" a="1"/>
  <c r="M833" i="20"/>
  <c r="Y834" i="9" a="1"/>
  <c r="Y833" i="9" a="1"/>
  <c r="M832" i="20"/>
  <c r="Y832" i="9" a="1"/>
  <c r="M831" i="20"/>
  <c r="M598" i="20"/>
  <c r="Y599" i="9" a="1"/>
  <c r="M597" i="20"/>
  <c r="Y598" i="9" a="1"/>
  <c r="M596" i="20"/>
  <c r="Y597" i="9" a="1"/>
  <c r="M595" i="20"/>
  <c r="Y596" i="9" a="1"/>
  <c r="M594" i="20"/>
  <c r="Y595" i="9" a="1"/>
  <c r="M593" i="20"/>
  <c r="Y594" i="9" a="1"/>
  <c r="M592" i="20"/>
  <c r="Y593" i="9" a="1"/>
  <c r="M591" i="20"/>
  <c r="Y592" i="9" a="1"/>
  <c r="M590" i="20"/>
  <c r="Y591" i="9" a="1"/>
  <c r="M589" i="20"/>
  <c r="Y590" i="9" a="1"/>
  <c r="M588" i="20"/>
  <c r="Y589" i="9" a="1"/>
  <c r="M587" i="20"/>
  <c r="Y588" i="9" a="1"/>
  <c r="M586" i="20"/>
  <c r="Y587" i="9" a="1"/>
  <c r="M585" i="20"/>
  <c r="Y586" i="9" a="1"/>
  <c r="M584" i="20"/>
  <c r="Y585" i="9" a="1"/>
  <c r="M583" i="20"/>
  <c r="Y584" i="9" a="1"/>
  <c r="M582" i="20"/>
  <c r="Y583" i="9" a="1"/>
  <c r="M581" i="20"/>
  <c r="Y582" i="9" a="1"/>
  <c r="M580" i="20"/>
  <c r="Y581" i="9" a="1"/>
  <c r="M579" i="20"/>
  <c r="Y580" i="9" a="1"/>
  <c r="M578" i="20"/>
  <c r="Y579" i="9" a="1"/>
  <c r="M577" i="20"/>
  <c r="Y578" i="9" a="1"/>
  <c r="M576" i="20"/>
  <c r="Y577" i="9" a="1"/>
  <c r="M575" i="20"/>
  <c r="Y576" i="9" a="1"/>
  <c r="M574" i="20"/>
  <c r="Y575" i="9" a="1"/>
  <c r="M573" i="20"/>
  <c r="Y574" i="9" a="1"/>
  <c r="M572" i="20"/>
  <c r="Y573" i="9" a="1"/>
  <c r="M571" i="20"/>
  <c r="Y572" i="9" a="1"/>
  <c r="M570" i="20"/>
  <c r="Y571" i="9" a="1"/>
  <c r="M569" i="20"/>
  <c r="Y570" i="9" a="1"/>
  <c r="M568" i="20"/>
  <c r="Y569" i="9" a="1"/>
  <c r="M567" i="20"/>
  <c r="Y568" i="9" a="1"/>
  <c r="M566" i="20"/>
  <c r="Y567" i="9" a="1"/>
  <c r="M565" i="20"/>
  <c r="Y566" i="9" a="1"/>
  <c r="M564" i="20"/>
  <c r="Y565" i="9" a="1"/>
  <c r="M563" i="20"/>
  <c r="Y564" i="9" a="1"/>
  <c r="M562" i="20"/>
  <c r="Y563" i="9" a="1"/>
  <c r="M561" i="20"/>
  <c r="Y562" i="9" a="1"/>
  <c r="M560" i="20"/>
  <c r="Y561" i="9" a="1"/>
  <c r="M559" i="20"/>
  <c r="Y560" i="9" a="1"/>
  <c r="M558" i="20"/>
  <c r="Y559" i="9" a="1"/>
  <c r="M557" i="20"/>
  <c r="Y558" i="9" a="1"/>
  <c r="M556" i="20"/>
  <c r="Y557" i="9" a="1"/>
  <c r="M555" i="20"/>
  <c r="Y556" i="9" a="1"/>
  <c r="M554" i="20"/>
  <c r="Y555" i="9" a="1"/>
  <c r="M553" i="20"/>
  <c r="Y554" i="9" a="1"/>
  <c r="M552" i="20"/>
  <c r="Y553" i="9" a="1"/>
  <c r="M551" i="20"/>
  <c r="Y552" i="9" a="1"/>
  <c r="M550" i="20"/>
  <c r="Y551" i="9" a="1"/>
  <c r="M549" i="20"/>
  <c r="Y550" i="9" a="1"/>
  <c r="M548" i="20"/>
  <c r="Y549" i="9" a="1"/>
  <c r="M547" i="20"/>
  <c r="Y548" i="9" a="1"/>
  <c r="M546" i="20"/>
  <c r="Y547" i="9" a="1"/>
  <c r="M545" i="20"/>
  <c r="Y546" i="9" a="1"/>
  <c r="M544" i="20"/>
  <c r="Y545" i="9" a="1"/>
  <c r="M543" i="20"/>
  <c r="Y544" i="9" a="1"/>
  <c r="M542" i="20"/>
  <c r="Y543" i="9" a="1"/>
  <c r="M541" i="20"/>
  <c r="Y542" i="9" a="1"/>
  <c r="M540" i="20"/>
  <c r="Y541" i="9" a="1"/>
  <c r="M539" i="20"/>
  <c r="Y540" i="9" a="1"/>
  <c r="M538" i="20"/>
  <c r="Y539" i="9" a="1"/>
  <c r="M537" i="20"/>
  <c r="Y538" i="9" a="1"/>
  <c r="M536" i="20"/>
  <c r="Y537" i="9" a="1"/>
  <c r="M535" i="20"/>
  <c r="Y536" i="9" a="1"/>
  <c r="M534" i="20"/>
  <c r="Y535" i="9" a="1"/>
  <c r="M533" i="20"/>
  <c r="Y534" i="9" a="1"/>
  <c r="M532" i="20"/>
  <c r="Y533" i="9" a="1"/>
  <c r="M531" i="20"/>
  <c r="Y532" i="9" a="1"/>
  <c r="M530" i="20"/>
  <c r="Y531" i="9" a="1"/>
  <c r="M529" i="20"/>
  <c r="Y530" i="9" a="1"/>
  <c r="M528" i="20"/>
  <c r="Y529" i="9" a="1"/>
  <c r="M527" i="20"/>
  <c r="Y528" i="9" a="1"/>
  <c r="M526" i="20"/>
  <c r="Y527" i="9" a="1"/>
  <c r="M525" i="20"/>
  <c r="Y526" i="9" a="1"/>
  <c r="M524" i="20"/>
  <c r="Y525" i="9" a="1"/>
  <c r="M523" i="20"/>
  <c r="Y524" i="9" a="1"/>
  <c r="M522" i="20"/>
  <c r="Y523" i="9" a="1"/>
  <c r="M521" i="20"/>
  <c r="Y522" i="9" a="1"/>
  <c r="M520" i="20"/>
  <c r="Y521" i="9" a="1"/>
  <c r="M519" i="20"/>
  <c r="Y520" i="9" a="1"/>
  <c r="M518" i="20"/>
  <c r="Y519" i="9" a="1"/>
  <c r="M517" i="20"/>
  <c r="Y518" i="9" a="1"/>
  <c r="M516" i="20"/>
  <c r="Y517" i="9" a="1"/>
  <c r="M515" i="20"/>
  <c r="Y516" i="9" a="1"/>
  <c r="M514" i="20"/>
  <c r="Y515" i="9" a="1"/>
  <c r="M513" i="20"/>
  <c r="Y514" i="9" a="1"/>
  <c r="M512" i="20"/>
  <c r="Y513" i="9" a="1"/>
  <c r="M511" i="20"/>
  <c r="Y512" i="9" a="1"/>
  <c r="M510" i="20"/>
  <c r="Y511" i="9" a="1"/>
  <c r="M509" i="20"/>
  <c r="Y510" i="9" a="1"/>
  <c r="M508" i="20"/>
  <c r="Y509" i="9" a="1"/>
  <c r="M507" i="20"/>
  <c r="Y508" i="9" a="1"/>
  <c r="M506" i="20"/>
  <c r="Y507" i="9" a="1"/>
  <c r="M505" i="20"/>
  <c r="Y506" i="9" a="1"/>
  <c r="M504" i="20"/>
  <c r="Y505" i="9" a="1"/>
  <c r="M503" i="20"/>
  <c r="Y504" i="9" a="1"/>
  <c r="M502" i="20"/>
  <c r="Y503" i="9" a="1"/>
  <c r="M501" i="20"/>
  <c r="Y502" i="9" a="1"/>
  <c r="M500" i="20"/>
  <c r="Y501" i="9" a="1"/>
  <c r="M499" i="20"/>
  <c r="Y500" i="9" a="1"/>
  <c r="M498" i="20"/>
  <c r="Y499" i="9" a="1"/>
  <c r="M497" i="20"/>
  <c r="Y498" i="9" a="1"/>
  <c r="M496" i="20"/>
  <c r="Y497" i="9" a="1"/>
  <c r="M495" i="20"/>
  <c r="Y496" i="9" a="1"/>
  <c r="M494" i="20"/>
  <c r="Y495" i="9" a="1"/>
  <c r="M493" i="20"/>
  <c r="Y494" i="9" a="1"/>
  <c r="M492" i="20"/>
  <c r="Y493" i="9" a="1"/>
  <c r="M491" i="20"/>
  <c r="Y492" i="9" a="1"/>
  <c r="M490" i="20"/>
  <c r="Y491" i="9" a="1"/>
  <c r="M489" i="20"/>
  <c r="Y490" i="9" a="1"/>
  <c r="M488" i="20"/>
  <c r="Y489" i="9" a="1"/>
  <c r="M487" i="20"/>
  <c r="Y488" i="9" a="1"/>
  <c r="M486" i="20"/>
  <c r="Y487" i="9" a="1"/>
  <c r="M485" i="20"/>
  <c r="Y486" i="9" a="1"/>
  <c r="M484" i="20"/>
  <c r="Y485" i="9" a="1"/>
  <c r="M483" i="20"/>
  <c r="Y484" i="9" a="1"/>
  <c r="M482" i="20"/>
  <c r="Y483" i="9" a="1"/>
  <c r="M481" i="20"/>
  <c r="Y482" i="9" a="1"/>
  <c r="M480" i="20"/>
  <c r="Y481" i="9" a="1"/>
  <c r="M479" i="20"/>
  <c r="Y480" i="9" a="1"/>
  <c r="M478" i="20"/>
  <c r="Y479" i="9" a="1"/>
  <c r="M477" i="20"/>
  <c r="Y478" i="9" a="1"/>
  <c r="M476" i="20"/>
  <c r="Y477" i="9" a="1"/>
  <c r="M475" i="20"/>
  <c r="Y476" i="9" a="1"/>
  <c r="M474" i="20"/>
  <c r="Y475" i="9" a="1"/>
  <c r="M473" i="20"/>
  <c r="Y474" i="9" a="1"/>
  <c r="M472" i="20"/>
  <c r="Y473" i="9" a="1"/>
  <c r="M471" i="20"/>
  <c r="Y472" i="9" a="1"/>
  <c r="M470" i="20"/>
  <c r="Y471" i="9" a="1"/>
  <c r="M469" i="20"/>
  <c r="Y470" i="9" a="1"/>
  <c r="M468" i="20"/>
  <c r="Y469" i="9" a="1"/>
  <c r="M467" i="20"/>
  <c r="Y468" i="9" a="1"/>
  <c r="M466" i="20"/>
  <c r="Y467" i="9" a="1"/>
  <c r="M465" i="20"/>
  <c r="Y466" i="9" a="1"/>
  <c r="M464" i="20"/>
  <c r="Y465" i="9" a="1"/>
  <c r="M463" i="20"/>
  <c r="Y464" i="9" a="1"/>
  <c r="M462" i="20"/>
  <c r="Y463" i="9" a="1"/>
  <c r="M461" i="20"/>
  <c r="Y462" i="9" a="1"/>
  <c r="M460" i="20"/>
  <c r="Y461" i="9" a="1"/>
  <c r="M459" i="20"/>
  <c r="Y460" i="9" a="1"/>
  <c r="M458" i="20"/>
  <c r="Y459" i="9" a="1"/>
  <c r="M457" i="20"/>
  <c r="Y458" i="9" a="1"/>
  <c r="M456" i="20"/>
  <c r="Y457" i="9" a="1"/>
  <c r="M455" i="20"/>
  <c r="Y456" i="9" a="1"/>
  <c r="M454" i="20"/>
  <c r="Y455" i="9" a="1"/>
  <c r="M453" i="20"/>
  <c r="Y454" i="9" a="1"/>
  <c r="M452" i="20"/>
  <c r="Y453" i="9" a="1"/>
  <c r="M451" i="20"/>
  <c r="Y452" i="9" a="1"/>
  <c r="M450" i="20"/>
  <c r="Y451" i="9" a="1"/>
  <c r="M449" i="20"/>
  <c r="Y450" i="9" a="1"/>
  <c r="M448" i="20"/>
  <c r="Y449" i="9" a="1"/>
  <c r="M447" i="20"/>
  <c r="Y448" i="9" a="1"/>
  <c r="M446" i="20"/>
  <c r="Y447" i="9" a="1"/>
  <c r="M445" i="20"/>
  <c r="Y446" i="9" a="1"/>
  <c r="M444" i="20"/>
  <c r="Y445" i="9" a="1"/>
  <c r="M443" i="20"/>
  <c r="Y444" i="9" a="1"/>
  <c r="M442" i="20"/>
  <c r="Y443" i="9" a="1"/>
  <c r="M441" i="20"/>
  <c r="Y442" i="9" a="1"/>
  <c r="M440" i="20"/>
  <c r="Y441" i="9" a="1"/>
  <c r="M439" i="20"/>
  <c r="Y440" i="9" a="1"/>
  <c r="M438" i="20"/>
  <c r="Y439" i="9" a="1"/>
  <c r="M437" i="20"/>
  <c r="Y438" i="9" a="1"/>
  <c r="M436" i="20"/>
  <c r="Y437" i="9" a="1"/>
  <c r="M435" i="20"/>
  <c r="Y436" i="9" a="1"/>
  <c r="M434" i="20"/>
  <c r="Y435" i="9" a="1"/>
  <c r="M433" i="20"/>
  <c r="Y434" i="9" a="1"/>
  <c r="M432" i="20"/>
  <c r="Y433" i="9" a="1"/>
  <c r="M431" i="20"/>
  <c r="Y432" i="9" a="1"/>
  <c r="M430" i="20"/>
  <c r="Y431" i="9" a="1"/>
  <c r="M429" i="20"/>
  <c r="Y430" i="9" a="1"/>
  <c r="M428" i="20"/>
  <c r="Y429" i="9" a="1"/>
  <c r="M427" i="20"/>
  <c r="Y428" i="9" a="1"/>
  <c r="M426" i="20"/>
  <c r="Y427" i="9" a="1"/>
  <c r="M425" i="20"/>
  <c r="Y426" i="9" a="1"/>
  <c r="M424" i="20"/>
  <c r="Y425" i="9" a="1"/>
  <c r="M423" i="20"/>
  <c r="Y424" i="9" a="1"/>
  <c r="M422" i="20"/>
  <c r="Y423" i="9" a="1"/>
  <c r="M421" i="20"/>
  <c r="Y422" i="9" a="1"/>
  <c r="M420" i="20"/>
  <c r="Y421" i="9" a="1"/>
  <c r="M419" i="20"/>
  <c r="Y420" i="9" a="1"/>
  <c r="M418" i="20"/>
  <c r="Y419" i="9" a="1"/>
  <c r="M417" i="20"/>
  <c r="Y418" i="9" a="1"/>
  <c r="M416" i="20"/>
  <c r="Y417" i="9" a="1"/>
  <c r="M415" i="20"/>
  <c r="Y416" i="9" a="1"/>
  <c r="M414" i="20"/>
  <c r="Y415" i="9" a="1"/>
  <c r="M413" i="20"/>
  <c r="Y414" i="9" a="1"/>
  <c r="M412" i="20"/>
  <c r="Y413" i="9" a="1"/>
  <c r="M411" i="20"/>
  <c r="Y412" i="9" a="1"/>
  <c r="M410" i="20"/>
  <c r="Y411" i="9" a="1"/>
  <c r="M409" i="20"/>
  <c r="Y410" i="9" a="1"/>
  <c r="M408" i="20"/>
  <c r="Y409" i="9" a="1"/>
  <c r="M407" i="20"/>
  <c r="Y408" i="9" a="1"/>
  <c r="M406" i="20"/>
  <c r="Y407" i="9" a="1"/>
  <c r="M405" i="20"/>
  <c r="Y406" i="9" a="1"/>
  <c r="M404" i="20"/>
  <c r="Y405" i="9" a="1"/>
  <c r="M403" i="20"/>
  <c r="Y404" i="9" a="1"/>
  <c r="M402" i="20"/>
  <c r="Y403" i="9" a="1"/>
  <c r="M401" i="20"/>
  <c r="Y402" i="9" a="1"/>
  <c r="M400" i="20"/>
  <c r="Y401" i="9" a="1"/>
  <c r="M399" i="20"/>
  <c r="Y400" i="9" a="1"/>
  <c r="M398" i="20"/>
  <c r="Y399" i="9" a="1"/>
  <c r="M397" i="20"/>
  <c r="Y398" i="9" a="1"/>
  <c r="M396" i="20"/>
  <c r="Y397" i="9" a="1"/>
  <c r="M395" i="20"/>
  <c r="Y396" i="9" a="1"/>
  <c r="M394" i="20"/>
  <c r="Y395" i="9" a="1"/>
  <c r="M393" i="20"/>
  <c r="Y394" i="9" a="1"/>
  <c r="M392" i="20"/>
  <c r="Y393" i="9" a="1"/>
  <c r="M391" i="20"/>
  <c r="Y392" i="9" a="1"/>
  <c r="M390" i="20"/>
  <c r="Y391" i="9" a="1"/>
  <c r="M389" i="20"/>
  <c r="Y390" i="9" a="1"/>
  <c r="M388" i="20"/>
  <c r="Y389" i="9" a="1"/>
  <c r="M387" i="20"/>
  <c r="Y388" i="9" a="1"/>
  <c r="M386" i="20"/>
  <c r="Y387" i="9" a="1"/>
  <c r="M385" i="20"/>
  <c r="Y386" i="9" a="1"/>
  <c r="M384" i="20"/>
  <c r="Y385" i="9" a="1"/>
  <c r="M383" i="20"/>
  <c r="Y384" i="9" a="1"/>
  <c r="M382" i="20"/>
  <c r="Y383" i="9" a="1"/>
  <c r="M381" i="20"/>
  <c r="Y382" i="9" a="1"/>
  <c r="M380" i="20"/>
  <c r="Y381" i="9" a="1"/>
  <c r="M379" i="20"/>
  <c r="Y380" i="9" a="1"/>
  <c r="M378" i="20"/>
  <c r="Y379" i="9" a="1"/>
  <c r="M377" i="20"/>
  <c r="Y378" i="9" a="1"/>
  <c r="M376" i="20"/>
  <c r="Y377" i="9" a="1"/>
  <c r="M375" i="20"/>
  <c r="Y376" i="9" a="1"/>
  <c r="M374" i="20"/>
  <c r="Y375" i="9" a="1"/>
  <c r="M373" i="20"/>
  <c r="Y374" i="9" a="1"/>
  <c r="M372" i="20"/>
  <c r="Y373" i="9" a="1"/>
  <c r="M371" i="20"/>
  <c r="Y372" i="9" a="1"/>
  <c r="M370" i="20"/>
  <c r="Y371" i="9" a="1"/>
  <c r="M369" i="20"/>
  <c r="Y370" i="9" a="1"/>
  <c r="M368" i="20"/>
  <c r="Y369" i="9" a="1"/>
  <c r="M367" i="20"/>
  <c r="Y368" i="9" a="1"/>
  <c r="M366" i="20"/>
  <c r="Y367" i="9" a="1"/>
  <c r="M365" i="20"/>
  <c r="Y366" i="9" a="1"/>
  <c r="M364" i="20"/>
  <c r="Y365" i="9" a="1"/>
  <c r="M363" i="20"/>
  <c r="Y364" i="9" a="1"/>
  <c r="M362" i="20"/>
  <c r="Y363" i="9" a="1"/>
  <c r="M361" i="20"/>
  <c r="Y362" i="9" a="1"/>
  <c r="M360" i="20"/>
  <c r="Y361" i="9" a="1"/>
  <c r="M359" i="20"/>
  <c r="Y360" i="9" a="1"/>
  <c r="M358" i="20"/>
  <c r="Y359" i="9" a="1"/>
  <c r="M357" i="20"/>
  <c r="Y358" i="9" a="1"/>
  <c r="M356" i="20"/>
  <c r="Y357" i="9" a="1"/>
  <c r="M355" i="20"/>
  <c r="Y356" i="9" a="1"/>
  <c r="M354" i="20"/>
  <c r="Y355" i="9" a="1"/>
  <c r="M353" i="20"/>
  <c r="Y354" i="9" a="1"/>
  <c r="M352" i="20"/>
  <c r="Y353" i="9" a="1"/>
  <c r="M351" i="20"/>
  <c r="Y352" i="9" a="1"/>
  <c r="M350" i="20"/>
  <c r="Y351" i="9" a="1"/>
  <c r="M349" i="20"/>
  <c r="Y350" i="9" a="1"/>
  <c r="M348" i="20"/>
  <c r="Y349" i="9" a="1"/>
  <c r="M347" i="20"/>
  <c r="Y348" i="9" a="1"/>
  <c r="M346" i="20"/>
  <c r="Y347" i="9" a="1"/>
  <c r="M345" i="20"/>
  <c r="Y346" i="9" a="1"/>
  <c r="M344" i="20"/>
  <c r="Y345" i="9" a="1"/>
  <c r="M343" i="20"/>
  <c r="Y344" i="9" a="1"/>
  <c r="M342" i="20"/>
  <c r="Y343" i="9" a="1"/>
  <c r="M341" i="20"/>
  <c r="Y342" i="9" a="1"/>
  <c r="M340" i="20"/>
  <c r="Y341" i="9" a="1"/>
  <c r="M339" i="20"/>
  <c r="Y340" i="9" a="1"/>
  <c r="M338" i="20"/>
  <c r="Y339" i="9" a="1"/>
  <c r="M337" i="20"/>
  <c r="Y338" i="9" a="1"/>
  <c r="M336" i="20"/>
  <c r="Y337" i="9" a="1"/>
  <c r="M335" i="20"/>
  <c r="Y336" i="9" a="1"/>
  <c r="M334" i="20"/>
  <c r="Y335" i="9" a="1"/>
  <c r="M333" i="20"/>
  <c r="Y334" i="9" a="1"/>
  <c r="M332" i="20"/>
  <c r="Y333" i="9" a="1"/>
  <c r="M331" i="20"/>
  <c r="Y332" i="9" a="1"/>
  <c r="M330" i="20"/>
  <c r="Y331" i="9" a="1"/>
  <c r="M329" i="20"/>
  <c r="Y330" i="9" a="1"/>
  <c r="M328" i="20"/>
  <c r="Y329" i="9" a="1"/>
  <c r="M327" i="20"/>
  <c r="Y328" i="9" a="1"/>
  <c r="M326" i="20"/>
  <c r="Y327" i="9" a="1"/>
  <c r="M325" i="20"/>
  <c r="Y326" i="9" a="1"/>
  <c r="M324" i="20"/>
  <c r="Y325" i="9" a="1"/>
  <c r="M323" i="20"/>
  <c r="Y324" i="9" a="1"/>
  <c r="M322" i="20"/>
  <c r="Y323" i="9" a="1"/>
  <c r="M321" i="20"/>
  <c r="Y322" i="9" a="1"/>
  <c r="M320" i="20"/>
  <c r="Y321" i="9" a="1"/>
  <c r="M319" i="20"/>
  <c r="Y320" i="9" a="1"/>
  <c r="M318" i="20"/>
  <c r="Y319" i="9" a="1"/>
  <c r="M317" i="20"/>
  <c r="Y318" i="9" a="1"/>
  <c r="M316" i="20"/>
  <c r="Y317" i="9" a="1"/>
  <c r="M315" i="20"/>
  <c r="Y316" i="9" a="1"/>
  <c r="M314" i="20"/>
  <c r="Y315" i="9" a="1"/>
  <c r="M313" i="20"/>
  <c r="Y314" i="9" a="1"/>
  <c r="M312" i="20"/>
  <c r="Y313" i="9" a="1"/>
  <c r="M311" i="20"/>
  <c r="Y312" i="9" a="1"/>
  <c r="M310" i="20"/>
  <c r="Y311" i="9" a="1"/>
  <c r="M309" i="20"/>
  <c r="Y310" i="9" a="1"/>
  <c r="M308" i="20"/>
  <c r="Y309" i="9" a="1"/>
  <c r="M307" i="20"/>
  <c r="Y308" i="9" a="1"/>
  <c r="M306" i="20"/>
  <c r="Y307" i="9" a="1"/>
  <c r="M305" i="20"/>
  <c r="Y306" i="9" a="1"/>
  <c r="M304" i="20"/>
  <c r="Y305" i="9" a="1"/>
  <c r="M303" i="20"/>
  <c r="Y304" i="9" a="1"/>
  <c r="M302" i="20"/>
  <c r="Y303" i="9" a="1"/>
  <c r="M301" i="20"/>
  <c r="Y302" i="9" a="1"/>
  <c r="M300" i="20"/>
  <c r="Y301" i="9" a="1"/>
  <c r="M299" i="20"/>
  <c r="Y300" i="9" a="1"/>
  <c r="M298" i="20"/>
  <c r="Y299" i="9" a="1"/>
  <c r="M297" i="20"/>
  <c r="Y298" i="9" a="1"/>
  <c r="M296" i="20"/>
  <c r="Y297" i="9" a="1"/>
  <c r="M295" i="20"/>
  <c r="Y296" i="9" a="1"/>
  <c r="M294" i="20"/>
  <c r="Y295" i="9" a="1"/>
  <c r="M293" i="20"/>
  <c r="Y294" i="9" a="1"/>
  <c r="M292" i="20"/>
  <c r="Y293" i="9" a="1"/>
  <c r="M291" i="20"/>
  <c r="Y292" i="9" a="1"/>
  <c r="M290" i="20"/>
  <c r="Y291" i="9" a="1"/>
  <c r="M289" i="20"/>
  <c r="Y290" i="9" a="1"/>
  <c r="M288" i="20"/>
  <c r="Y289" i="9" a="1"/>
  <c r="M287" i="20"/>
  <c r="Y288" i="9" a="1"/>
  <c r="M286" i="20"/>
  <c r="Y287" i="9" a="1"/>
  <c r="M285" i="20"/>
  <c r="Y286" i="9" a="1"/>
  <c r="M284" i="20"/>
  <c r="Y285" i="9" a="1"/>
  <c r="M283" i="20"/>
  <c r="Y284" i="9" a="1"/>
  <c r="M282" i="20"/>
  <c r="Y283" i="9" a="1"/>
  <c r="M281" i="20"/>
  <c r="Y282" i="9" a="1"/>
  <c r="M280" i="20"/>
  <c r="Y281" i="9" a="1"/>
  <c r="M279" i="20"/>
  <c r="Y280" i="9" a="1"/>
  <c r="M278" i="20"/>
  <c r="Y279" i="9" a="1"/>
  <c r="M277" i="20"/>
  <c r="Y278" i="9" a="1"/>
  <c r="M276" i="20"/>
  <c r="Y277" i="9" a="1"/>
  <c r="M275" i="20"/>
  <c r="Y276" i="9" a="1"/>
  <c r="M274" i="20"/>
  <c r="Y275" i="9" a="1"/>
  <c r="M273" i="20"/>
  <c r="Y274" i="9" a="1"/>
  <c r="M272" i="20"/>
  <c r="Y273" i="9" a="1"/>
  <c r="M271" i="20"/>
  <c r="Y272" i="9" a="1"/>
  <c r="M270" i="20"/>
  <c r="Y271" i="9" a="1"/>
  <c r="M269" i="20"/>
  <c r="Y270" i="9" a="1"/>
  <c r="M268" i="20"/>
  <c r="Y269" i="9" a="1"/>
  <c r="M267" i="20"/>
  <c r="Y268" i="9" a="1"/>
  <c r="M266" i="20"/>
  <c r="Y267" i="9" a="1"/>
  <c r="M265" i="20"/>
  <c r="Y266" i="9" a="1"/>
  <c r="M264" i="20"/>
  <c r="Y265" i="9" a="1"/>
  <c r="M263" i="20"/>
  <c r="Y264" i="9" a="1"/>
  <c r="M262" i="20"/>
  <c r="Y263" i="9" a="1"/>
  <c r="M261" i="20"/>
  <c r="Y262" i="9" a="1"/>
  <c r="M260" i="20"/>
  <c r="Y261" i="9" a="1"/>
  <c r="M259" i="20"/>
  <c r="Y260" i="9" a="1"/>
  <c r="M258" i="20"/>
  <c r="Y259" i="9" a="1"/>
  <c r="M257" i="20"/>
  <c r="Y258" i="9" a="1"/>
  <c r="M256" i="20"/>
  <c r="Y257" i="9" a="1"/>
  <c r="M255" i="20"/>
  <c r="Y256" i="9" a="1"/>
  <c r="M254" i="20"/>
  <c r="Y255" i="9" a="1"/>
  <c r="M253" i="20"/>
  <c r="Y254" i="9" a="1"/>
  <c r="M252" i="20"/>
  <c r="Y253" i="9" a="1"/>
  <c r="M251" i="20"/>
  <c r="Y252" i="9" a="1"/>
  <c r="M250" i="20"/>
  <c r="Y251" i="9" a="1"/>
  <c r="M249" i="20"/>
  <c r="Y250" i="9" a="1"/>
  <c r="M248" i="20"/>
  <c r="Y249" i="9" a="1"/>
  <c r="M247" i="20"/>
  <c r="Y248" i="9" a="1"/>
  <c r="M246" i="20"/>
  <c r="Y247" i="9" a="1"/>
  <c r="M245" i="20"/>
  <c r="Y246" i="9" a="1"/>
  <c r="M244" i="20"/>
  <c r="Y245" i="9" a="1"/>
  <c r="M243" i="20"/>
  <c r="Y244" i="9" a="1"/>
  <c r="M242" i="20"/>
  <c r="Y243" i="9" a="1"/>
  <c r="M241" i="20"/>
  <c r="Y242" i="9" a="1"/>
  <c r="M240" i="20"/>
  <c r="Y241" i="9" a="1"/>
  <c r="M239" i="20"/>
  <c r="Y240" i="9" a="1"/>
  <c r="M238" i="20"/>
  <c r="Y239" i="9" a="1"/>
  <c r="M237" i="20"/>
  <c r="Y238" i="9" a="1"/>
  <c r="M236" i="20"/>
  <c r="Y237" i="9" a="1"/>
  <c r="M235" i="20"/>
  <c r="Y236" i="9" a="1"/>
  <c r="M234" i="20"/>
  <c r="Y235" i="9" a="1"/>
  <c r="M233" i="20"/>
  <c r="Y234" i="9" a="1"/>
  <c r="M232" i="20"/>
  <c r="Y233" i="9" a="1"/>
  <c r="M231" i="20"/>
  <c r="Y232" i="9" a="1"/>
  <c r="M230" i="20"/>
  <c r="Y231" i="9" a="1"/>
  <c r="M229" i="20"/>
  <c r="Y230" i="9" a="1"/>
  <c r="M228" i="20"/>
  <c r="Y229" i="9" a="1"/>
  <c r="M227" i="20"/>
  <c r="Y228" i="9" a="1"/>
  <c r="M226" i="20"/>
  <c r="Y227" i="9" a="1"/>
  <c r="M225" i="20"/>
  <c r="Y226" i="9" a="1"/>
  <c r="M224" i="20"/>
  <c r="Y225" i="9" a="1"/>
  <c r="M223" i="20"/>
  <c r="Y224" i="9" a="1"/>
  <c r="M222" i="20"/>
  <c r="Y223" i="9" a="1"/>
  <c r="M221" i="20"/>
  <c r="Y222" i="9" a="1"/>
  <c r="M220" i="20"/>
  <c r="Y221" i="9" a="1"/>
  <c r="M219" i="20"/>
  <c r="Y220" i="9" a="1"/>
  <c r="M218" i="20"/>
  <c r="Y219" i="9" a="1"/>
  <c r="M217" i="20"/>
  <c r="Y218" i="9" a="1"/>
  <c r="M216" i="20"/>
  <c r="Y217" i="9" a="1"/>
  <c r="M215" i="20"/>
  <c r="Y216" i="9" a="1"/>
  <c r="M214" i="20"/>
  <c r="Y215" i="9" a="1"/>
  <c r="M213" i="20"/>
  <c r="Y214" i="9" a="1"/>
  <c r="M212" i="20"/>
  <c r="Y213" i="9" a="1"/>
  <c r="M211" i="20"/>
  <c r="Y212" i="9" a="1"/>
  <c r="M210" i="20"/>
  <c r="Y211" i="9" a="1"/>
  <c r="M209" i="20"/>
  <c r="Y210" i="9" a="1"/>
  <c r="M208" i="20"/>
  <c r="Y209" i="9" a="1"/>
  <c r="M207" i="20"/>
  <c r="Y208" i="9" a="1"/>
  <c r="M206" i="20"/>
  <c r="Y207" i="9" a="1"/>
  <c r="M205" i="20"/>
  <c r="Y206" i="9" a="1"/>
  <c r="M204" i="20"/>
  <c r="Y205" i="9" a="1"/>
  <c r="M203" i="20"/>
  <c r="Y204" i="9" a="1"/>
  <c r="M202" i="20"/>
  <c r="Y203" i="9" a="1"/>
  <c r="M201" i="20"/>
  <c r="Y202" i="9" a="1"/>
  <c r="M200" i="20"/>
  <c r="Y201" i="9" a="1"/>
  <c r="M199" i="20"/>
  <c r="Y200" i="9" a="1"/>
  <c r="M198" i="20"/>
  <c r="Y199" i="9" a="1"/>
  <c r="M197" i="20"/>
  <c r="Y198" i="9" a="1"/>
  <c r="M196" i="20"/>
  <c r="Y197" i="9" a="1"/>
  <c r="M195" i="20"/>
  <c r="Y196" i="9" a="1"/>
  <c r="M194" i="20"/>
  <c r="Y195" i="9" a="1"/>
  <c r="M193" i="20"/>
  <c r="Y194" i="9" a="1"/>
  <c r="M192" i="20"/>
  <c r="Y193" i="9" a="1"/>
  <c r="M191" i="20"/>
  <c r="Y192" i="9" a="1"/>
  <c r="M190" i="20"/>
  <c r="Y191" i="9" a="1"/>
  <c r="M189" i="20"/>
  <c r="Y190" i="9" a="1"/>
  <c r="M188" i="20"/>
  <c r="Y189" i="9" a="1"/>
  <c r="M187" i="20"/>
  <c r="Y188" i="9" a="1"/>
  <c r="M186" i="20"/>
  <c r="Y187" i="9" a="1"/>
  <c r="M185" i="20"/>
  <c r="Y186" i="9" a="1"/>
  <c r="M184" i="20"/>
  <c r="Y185" i="9" a="1"/>
  <c r="M183" i="20"/>
  <c r="Y184" i="9" a="1"/>
  <c r="M182" i="20"/>
  <c r="Y183" i="9" a="1"/>
  <c r="M181" i="20"/>
  <c r="Y182" i="9" a="1"/>
  <c r="M180" i="20"/>
  <c r="Y181" i="9" a="1"/>
  <c r="M179" i="20"/>
  <c r="Y180" i="9" a="1"/>
  <c r="M178" i="20"/>
  <c r="Y179" i="9" a="1"/>
  <c r="M177" i="20"/>
  <c r="Y178" i="9" a="1"/>
  <c r="M176" i="20"/>
  <c r="Y177" i="9" a="1"/>
  <c r="M175" i="20"/>
  <c r="Y176" i="9" a="1"/>
  <c r="M174" i="20"/>
  <c r="Y175" i="9" a="1"/>
  <c r="M173" i="20"/>
  <c r="Y174" i="9" a="1"/>
  <c r="M172" i="20"/>
  <c r="Y173" i="9" a="1"/>
  <c r="M171" i="20"/>
  <c r="Y172" i="9" a="1"/>
  <c r="M170" i="20"/>
  <c r="Y171" i="9" a="1"/>
  <c r="M169" i="20"/>
  <c r="Y170" i="9" a="1"/>
  <c r="M168" i="20"/>
  <c r="Y169" i="9" a="1"/>
  <c r="M167" i="20"/>
  <c r="Y168" i="9" a="1"/>
  <c r="M166" i="20"/>
  <c r="Y167" i="9" a="1"/>
  <c r="M165" i="20"/>
  <c r="Y166" i="9" a="1"/>
  <c r="M164" i="20"/>
  <c r="Y165" i="9" a="1"/>
  <c r="M163" i="20"/>
  <c r="Y164" i="9" a="1"/>
  <c r="M162" i="20"/>
  <c r="Y163" i="9" a="1"/>
  <c r="M161" i="20"/>
  <c r="Y162" i="9" a="1"/>
  <c r="M160" i="20"/>
  <c r="Y161" i="9" a="1"/>
  <c r="M159" i="20"/>
  <c r="Y160" i="9" a="1"/>
  <c r="M158" i="20"/>
  <c r="Y159" i="9" a="1"/>
  <c r="M157" i="20"/>
  <c r="Y158" i="9" a="1"/>
  <c r="M156" i="20"/>
  <c r="Y157" i="9" a="1"/>
  <c r="M155" i="20"/>
  <c r="Y156" i="9" a="1"/>
  <c r="M154" i="20"/>
  <c r="Y155" i="9" a="1"/>
  <c r="M153" i="20"/>
  <c r="Y154" i="9" a="1"/>
  <c r="M152" i="20"/>
  <c r="Y153" i="9" a="1"/>
  <c r="M151" i="20"/>
  <c r="Y152" i="9" a="1"/>
  <c r="M150" i="20"/>
  <c r="Y151" i="9" a="1"/>
  <c r="M149" i="20"/>
  <c r="Y150" i="9" a="1"/>
  <c r="M148" i="20"/>
  <c r="Y149" i="9" a="1"/>
  <c r="M147" i="20"/>
  <c r="Y148" i="9" a="1"/>
  <c r="M146" i="20"/>
  <c r="Y147" i="9" a="1"/>
  <c r="M145" i="20"/>
  <c r="Y146" i="9" a="1"/>
  <c r="M144" i="20"/>
  <c r="Y145" i="9" a="1"/>
  <c r="Y144" i="9" a="1"/>
  <c r="M143" i="20"/>
  <c r="Y143" i="9" a="1"/>
  <c r="M142" i="20"/>
  <c r="M141" i="20"/>
  <c r="Y142" i="9" a="1"/>
  <c r="M140" i="20"/>
  <c r="Y141" i="9" a="1"/>
  <c r="M139" i="20"/>
  <c r="Y140" i="9" a="1"/>
  <c r="M138" i="20"/>
  <c r="Y139" i="9" a="1"/>
  <c r="Y138" i="9" a="1"/>
  <c r="M137" i="20"/>
  <c r="M136" i="20"/>
  <c r="Y137" i="9" a="1"/>
  <c r="Y136" i="9" a="1"/>
  <c r="M135" i="20"/>
  <c r="M134" i="20"/>
  <c r="Y135" i="9" a="1"/>
  <c r="M133" i="20"/>
  <c r="Y134" i="9" a="1"/>
  <c r="M132" i="20"/>
  <c r="Y133" i="9" a="1"/>
  <c r="M131" i="20"/>
  <c r="Y132" i="9" a="1"/>
  <c r="M130" i="20"/>
  <c r="Y131" i="9" a="1"/>
  <c r="M129" i="20"/>
  <c r="Y130" i="9" a="1"/>
  <c r="Y129" i="9" a="1"/>
  <c r="M128" i="20"/>
  <c r="Y128" i="9" a="1"/>
  <c r="M127" i="20"/>
  <c r="M126" i="20"/>
  <c r="Y127" i="9" a="1"/>
  <c r="Y126" i="9" a="1"/>
  <c r="M125" i="20"/>
  <c r="M124" i="20"/>
  <c r="Y125" i="9" a="1"/>
  <c r="M123" i="20"/>
  <c r="Y124" i="9" a="1"/>
  <c r="Y123" i="9" a="1"/>
  <c r="M122" i="20"/>
  <c r="Y122" i="9" a="1"/>
  <c r="M121" i="20"/>
  <c r="Y121" i="9" a="1"/>
  <c r="M120" i="20"/>
  <c r="Y120" i="9" a="1"/>
  <c r="M119" i="20"/>
  <c r="Y119" i="9" a="1"/>
  <c r="M118" i="20"/>
  <c r="M117" i="20"/>
  <c r="Y118" i="9" a="1"/>
  <c r="Y117" i="9" a="1"/>
  <c r="M116" i="20"/>
  <c r="M115" i="20"/>
  <c r="Y116" i="9" a="1"/>
  <c r="Y115" i="9" a="1"/>
  <c r="M114" i="20"/>
  <c r="Y114" i="9" a="1"/>
  <c r="M113" i="20"/>
  <c r="M112" i="20"/>
  <c r="Y113" i="9" a="1"/>
  <c r="M111" i="20"/>
  <c r="Y112" i="9" a="1"/>
  <c r="M110" i="20"/>
  <c r="Y111" i="9" a="1"/>
  <c r="M109" i="20"/>
  <c r="Y110" i="9" a="1"/>
  <c r="M108" i="20"/>
  <c r="Y109" i="9" a="1"/>
  <c r="M107" i="20"/>
  <c r="Y108" i="9" a="1"/>
  <c r="M106" i="20"/>
  <c r="Y107" i="9" a="1"/>
  <c r="M105" i="20"/>
  <c r="Y106" i="9" a="1"/>
  <c r="M104" i="20"/>
  <c r="Y105" i="9" a="1"/>
  <c r="M103" i="20"/>
  <c r="Y104" i="9" a="1"/>
  <c r="M102" i="20"/>
  <c r="Y103" i="9" a="1"/>
  <c r="M101" i="20"/>
  <c r="Y102" i="9" a="1"/>
  <c r="B92" i="20"/>
  <c r="C92" i="20" s="1"/>
  <c r="D23" i="5"/>
  <c r="D20" i="20"/>
  <c r="D75" i="20"/>
  <c r="G11" i="20"/>
  <c r="C87" i="20"/>
  <c r="D19" i="6"/>
  <c r="B68" i="20"/>
  <c r="D17" i="6"/>
  <c r="C22" i="20"/>
  <c r="D19" i="20"/>
  <c r="D18" i="20"/>
  <c r="B52" i="20"/>
  <c r="B51" i="20"/>
  <c r="B42" i="20"/>
  <c r="B48" i="20"/>
  <c r="B43" i="20"/>
  <c r="B45" i="20"/>
  <c r="B44" i="20"/>
  <c r="C58" i="20"/>
  <c r="B55" i="20"/>
  <c r="B58" i="20"/>
  <c r="B60" i="20"/>
  <c r="B61" i="20"/>
  <c r="B62" i="20"/>
  <c r="D62" i="20" s="1"/>
  <c r="C62" i="20"/>
  <c r="B59" i="20"/>
  <c r="C57" i="20"/>
  <c r="C56" i="20"/>
  <c r="C60" i="20"/>
  <c r="C61" i="20"/>
  <c r="C59" i="20"/>
  <c r="C55" i="20"/>
  <c r="B56" i="20"/>
  <c r="D56" i="20" s="1"/>
  <c r="B57" i="20"/>
  <c r="D57" i="20" s="1"/>
  <c r="B15" i="19"/>
  <c r="D5" i="6"/>
  <c r="E29" i="20"/>
  <c r="E30" i="20"/>
  <c r="M4" i="20"/>
  <c r="E31" i="20"/>
  <c r="Y5" i="9" a="1"/>
  <c r="E28" i="20"/>
  <c r="E27" i="20"/>
  <c r="D14" i="20"/>
  <c r="H14" i="20" s="1"/>
  <c r="Y1135" i="9" a="1"/>
  <c r="M1134" i="20"/>
  <c r="Y1134" i="9" a="1"/>
  <c r="M1133" i="20"/>
  <c r="M1132" i="20"/>
  <c r="Y1133" i="9" a="1"/>
  <c r="M1131" i="20"/>
  <c r="Y1132" i="9" a="1"/>
  <c r="M1130" i="20"/>
  <c r="Y1131" i="9" a="1"/>
  <c r="M1129" i="20"/>
  <c r="Y1130" i="9" a="1"/>
  <c r="M1128" i="20"/>
  <c r="Y1129" i="9" a="1"/>
  <c r="M1127" i="20"/>
  <c r="Y1128" i="9" a="1"/>
  <c r="Y1127" i="9" a="1"/>
  <c r="M1126" i="20"/>
  <c r="M1125" i="20"/>
  <c r="Y1126" i="9" a="1"/>
  <c r="M1124" i="20"/>
  <c r="Y1125" i="9" a="1"/>
  <c r="M1123" i="20"/>
  <c r="Y1124" i="9" a="1"/>
  <c r="M1122" i="20"/>
  <c r="Y1123" i="9" a="1"/>
  <c r="Y1122" i="9" a="1"/>
  <c r="M1121" i="20"/>
  <c r="M1120" i="20"/>
  <c r="Y1121" i="9" a="1"/>
  <c r="M1119" i="20"/>
  <c r="Y1120" i="9" a="1"/>
  <c r="M1118" i="20"/>
  <c r="Y1119" i="9" a="1"/>
  <c r="Y1118" i="9" a="1"/>
  <c r="M1117" i="20"/>
  <c r="M1116" i="20"/>
  <c r="Y1117" i="9" a="1"/>
  <c r="Y1116" i="9" a="1"/>
  <c r="M1115" i="20"/>
  <c r="M1114" i="20"/>
  <c r="Y1115" i="9" a="1"/>
  <c r="M1113" i="20"/>
  <c r="Y1114" i="9" a="1"/>
  <c r="Y1113" i="9" a="1"/>
  <c r="M1112" i="20"/>
  <c r="Y1112" i="9" a="1"/>
  <c r="M1111" i="20"/>
  <c r="Y1111" i="9" a="1"/>
  <c r="M1110" i="20"/>
  <c r="Y1110" i="9" a="1"/>
  <c r="M1109" i="20"/>
  <c r="Y1109" i="9" a="1"/>
  <c r="M1108" i="20"/>
  <c r="Y1108" i="9" a="1"/>
  <c r="M1107" i="20"/>
  <c r="Y1107" i="9" a="1"/>
  <c r="M1106" i="20"/>
  <c r="M1105" i="20"/>
  <c r="Y1106" i="9" a="1"/>
  <c r="M1104" i="20"/>
  <c r="Y1105" i="9" a="1"/>
  <c r="Y1104" i="9" a="1"/>
  <c r="M1103" i="20"/>
  <c r="Y1103" i="9" a="1"/>
  <c r="M1102" i="20"/>
  <c r="M1101" i="20"/>
  <c r="Y1102" i="9" a="1"/>
  <c r="M1100" i="20"/>
  <c r="Y1101" i="9" a="1"/>
  <c r="M1099" i="20"/>
  <c r="Y1100" i="9" a="1"/>
  <c r="M1098" i="20"/>
  <c r="Y1099" i="9" a="1"/>
  <c r="M1097" i="20"/>
  <c r="Y1098" i="9" a="1"/>
  <c r="M1096" i="20"/>
  <c r="Y1097" i="9" a="1"/>
  <c r="M1095" i="20"/>
  <c r="Y1096" i="9" a="1"/>
  <c r="M1094" i="20"/>
  <c r="Y1095" i="9" a="1"/>
  <c r="M1093" i="20"/>
  <c r="Y1094" i="9" a="1"/>
  <c r="M1092" i="20"/>
  <c r="Y1093" i="9" a="1"/>
  <c r="M1091" i="20"/>
  <c r="Y1092" i="9" a="1"/>
  <c r="Y1091" i="9" a="1"/>
  <c r="M1090" i="20"/>
  <c r="Y1090" i="9" a="1"/>
  <c r="M1089" i="20"/>
  <c r="Y1089" i="9" a="1"/>
  <c r="M1088" i="20"/>
  <c r="Y1088" i="9" a="1"/>
  <c r="M1087" i="20"/>
  <c r="Y1087" i="9" a="1"/>
  <c r="M1086" i="20"/>
  <c r="M1085" i="20"/>
  <c r="Y1086" i="9" a="1"/>
  <c r="Y1085" i="9" a="1"/>
  <c r="M1084" i="20"/>
  <c r="M1083" i="20"/>
  <c r="Y1084" i="9" a="1"/>
  <c r="M1082" i="20"/>
  <c r="Y1083" i="9" a="1"/>
  <c r="M1081" i="20"/>
  <c r="Y1082" i="9" a="1"/>
  <c r="Y1081" i="9" a="1"/>
  <c r="M1080" i="20"/>
  <c r="Y1080" i="9" a="1"/>
  <c r="M1079" i="20"/>
  <c r="Y1079" i="9" a="1"/>
  <c r="M1078" i="20"/>
  <c r="M1077" i="20"/>
  <c r="Y1078" i="9" a="1"/>
  <c r="M1076" i="20"/>
  <c r="Y1077" i="9" a="1"/>
  <c r="Y1076" i="9" a="1"/>
  <c r="M1075" i="20"/>
  <c r="Y1075" i="9" a="1"/>
  <c r="M1074" i="20"/>
  <c r="M1073" i="20"/>
  <c r="Y1074" i="9" a="1"/>
  <c r="Y1073" i="9" a="1"/>
  <c r="M1072" i="20"/>
  <c r="M1071" i="20"/>
  <c r="Y1072" i="9" a="1"/>
  <c r="M1070" i="20"/>
  <c r="Y1071" i="9" a="1"/>
  <c r="M1069" i="20"/>
  <c r="Y1070" i="9" a="1"/>
  <c r="Y1069" i="9" a="1"/>
  <c r="D11" i="20"/>
  <c r="M1068" i="20"/>
  <c r="M1067" i="20"/>
  <c r="Y1068" i="9" a="1"/>
  <c r="M1066" i="20"/>
  <c r="Y1067" i="9" a="1"/>
  <c r="M1065" i="20"/>
  <c r="Y1066" i="9" a="1"/>
  <c r="M1064" i="20"/>
  <c r="Y1065" i="9" a="1"/>
  <c r="Y1064" i="9" a="1"/>
  <c r="M1063" i="20"/>
  <c r="M1062" i="20"/>
  <c r="Y1063" i="9" a="1"/>
  <c r="Y1062" i="9" a="1"/>
  <c r="M1061" i="20"/>
  <c r="M1060" i="20"/>
  <c r="Y1061" i="9" a="1"/>
  <c r="Y1060" i="9" a="1"/>
  <c r="M1059" i="20"/>
  <c r="M1058" i="20"/>
  <c r="Y1059" i="9" a="1"/>
  <c r="M1057" i="20"/>
  <c r="Y1058" i="9" a="1"/>
  <c r="Y1057" i="9" a="1"/>
  <c r="M1056" i="20"/>
  <c r="Y1056" i="9" a="1"/>
  <c r="M1055" i="20"/>
  <c r="Y1055" i="9" a="1"/>
  <c r="M1054" i="20"/>
  <c r="Y1054" i="9" a="1"/>
  <c r="M1053" i="20"/>
  <c r="Y1053" i="9" a="1"/>
  <c r="M1052" i="20"/>
  <c r="M1051" i="20"/>
  <c r="Y1052" i="9" a="1"/>
  <c r="Y1051" i="9" a="1"/>
  <c r="M1050" i="20"/>
  <c r="M1049" i="20"/>
  <c r="Y1050" i="9" a="1"/>
  <c r="M1048" i="20"/>
  <c r="Y1049" i="9" a="1"/>
  <c r="Y1048" i="9" a="1"/>
  <c r="M1047" i="20"/>
  <c r="M1046" i="20"/>
  <c r="Y1047" i="9" a="1"/>
  <c r="M1045" i="20"/>
  <c r="Y1046" i="9" a="1"/>
  <c r="M1044" i="20"/>
  <c r="Y1045" i="9" a="1"/>
  <c r="M1043" i="20"/>
  <c r="D13" i="20"/>
  <c r="H13" i="20" s="1"/>
  <c r="Y1044" i="9" a="1"/>
  <c r="M1042" i="20"/>
  <c r="Y1043" i="9" a="1"/>
  <c r="M1041" i="20"/>
  <c r="Y1042" i="9" a="1"/>
  <c r="Y1041" i="9" a="1"/>
  <c r="M1040" i="20"/>
  <c r="Y1040" i="9" a="1"/>
  <c r="M1039" i="20"/>
  <c r="Y1039" i="9" a="1"/>
  <c r="M1038" i="20"/>
  <c r="D12" i="20"/>
  <c r="H12" i="20" s="1"/>
  <c r="D83" i="20"/>
  <c r="G14" i="20"/>
  <c r="Z24" i="20" a="1"/>
  <c r="Y24" i="20" a="1"/>
  <c r="AA24" i="20" a="1"/>
  <c r="Y23" i="20" a="1"/>
  <c r="AA23" i="20" a="1"/>
  <c r="Z23" i="20" a="1"/>
  <c r="AA22" i="20" a="1"/>
  <c r="Z22" i="20" a="1"/>
  <c r="Y22" i="20" a="1"/>
  <c r="AA21" i="20" a="1"/>
  <c r="Y21" i="20" a="1"/>
  <c r="Z21" i="20" a="1"/>
  <c r="Y20" i="20" a="1"/>
  <c r="Z20" i="20" a="1"/>
  <c r="AA20" i="20" a="1"/>
  <c r="AA19" i="20" a="1"/>
  <c r="Z19" i="20" a="1"/>
  <c r="Y19" i="20" a="1"/>
  <c r="Y18" i="20" a="1"/>
  <c r="Z18" i="20" a="1"/>
  <c r="AA18" i="20" a="1"/>
  <c r="AA17" i="20" a="1"/>
  <c r="Y17" i="20" a="1"/>
  <c r="Z17" i="20" a="1"/>
  <c r="Y16" i="20" a="1"/>
  <c r="AA16" i="20" a="1"/>
  <c r="Z16" i="20" a="1"/>
  <c r="Y15" i="20" a="1"/>
  <c r="Z15" i="20" a="1"/>
  <c r="AA15" i="20" a="1"/>
  <c r="T33" i="20" a="1"/>
  <c r="S33" i="20" a="1"/>
  <c r="R33" i="20" a="1"/>
  <c r="Q33" i="20" a="1"/>
  <c r="S32" i="20" a="1"/>
  <c r="Q32" i="20" a="1"/>
  <c r="R32" i="20" a="1"/>
  <c r="T32" i="20" a="1"/>
  <c r="Q31" i="20" a="1"/>
  <c r="R31" i="20" a="1"/>
  <c r="S31" i="20" a="1"/>
  <c r="T31" i="20" a="1"/>
  <c r="Q30" i="20" a="1"/>
  <c r="R30" i="20" a="1"/>
  <c r="S30" i="20" a="1"/>
  <c r="T30" i="20" a="1"/>
  <c r="Q29" i="20" a="1"/>
  <c r="S29" i="20" a="1"/>
  <c r="T29" i="20" a="1"/>
  <c r="R29" i="20" a="1"/>
  <c r="S28" i="20" a="1"/>
  <c r="T28" i="20" a="1"/>
  <c r="R28" i="20" a="1"/>
  <c r="Q28" i="20" a="1"/>
  <c r="S27" i="20" a="1"/>
  <c r="Q27" i="20" a="1"/>
  <c r="R27" i="20" a="1"/>
  <c r="T27" i="20" a="1"/>
  <c r="R26" i="20" a="1"/>
  <c r="Q26" i="20" a="1"/>
  <c r="T26" i="20" a="1"/>
  <c r="S26" i="20" a="1"/>
  <c r="Q25" i="20" a="1"/>
  <c r="R25" i="20" a="1"/>
  <c r="T25" i="20" a="1"/>
  <c r="S25" i="20" a="1"/>
  <c r="S24" i="20" a="1"/>
  <c r="Q24" i="20" a="1"/>
  <c r="R24" i="20" a="1"/>
  <c r="T24" i="20" a="1"/>
  <c r="T23" i="20" a="1"/>
  <c r="S23" i="20" a="1"/>
  <c r="R23" i="20" a="1"/>
  <c r="Q23" i="20" a="1"/>
  <c r="Q22" i="20" a="1"/>
  <c r="R22" i="20" a="1"/>
  <c r="S22" i="20" a="1"/>
  <c r="T22" i="20" a="1"/>
  <c r="R21" i="20" a="1"/>
  <c r="Q21" i="20" a="1"/>
  <c r="S21" i="20" a="1"/>
  <c r="T21" i="20" a="1"/>
  <c r="Q20" i="20" a="1"/>
  <c r="R20" i="20" a="1"/>
  <c r="S20" i="20" a="1"/>
  <c r="T20" i="20" a="1"/>
  <c r="Q19" i="20" a="1"/>
  <c r="R19" i="20" a="1"/>
  <c r="S19" i="20" a="1"/>
  <c r="T19" i="20" a="1"/>
  <c r="S18" i="20" a="1"/>
  <c r="T18" i="20" a="1"/>
  <c r="Q18" i="20" a="1"/>
  <c r="R18" i="20" a="1"/>
  <c r="T17" i="20" a="1"/>
  <c r="S17" i="20" a="1"/>
  <c r="R17" i="20" a="1"/>
  <c r="Q17" i="20" a="1"/>
  <c r="Q16" i="20" a="1"/>
  <c r="R16" i="20" a="1"/>
  <c r="T16" i="20" a="1"/>
  <c r="S16" i="20" a="1"/>
  <c r="S15" i="20" a="1"/>
  <c r="Q15" i="20" a="1"/>
  <c r="R15" i="20" a="1"/>
  <c r="T15" i="20" a="1"/>
  <c r="T14" i="20" a="1"/>
  <c r="R14" i="20" a="1"/>
  <c r="Q14" i="20" a="1"/>
  <c r="S14" i="20" a="1"/>
  <c r="R13" i="20" a="1"/>
  <c r="T13" i="20" a="1"/>
  <c r="Q13" i="20" a="1"/>
  <c r="S13" i="20" a="1"/>
  <c r="Q12" i="20" a="1"/>
  <c r="R12" i="20" a="1"/>
  <c r="S12" i="20" a="1"/>
  <c r="T12" i="20" a="1"/>
  <c r="T11" i="20" a="1"/>
  <c r="Q11" i="20" a="1"/>
  <c r="R11" i="20" a="1"/>
  <c r="S11" i="20" a="1"/>
  <c r="Q10" i="20" a="1"/>
  <c r="R10" i="20" a="1"/>
  <c r="S10" i="20" a="1"/>
  <c r="T10" i="20" a="1"/>
  <c r="Q9" i="20" a="1"/>
  <c r="R9" i="20" a="1"/>
  <c r="S9" i="20" a="1"/>
  <c r="T9" i="20" a="1"/>
  <c r="Q8" i="20" a="1"/>
  <c r="R8" i="20" a="1"/>
  <c r="S8" i="20" a="1"/>
  <c r="T8" i="20" a="1"/>
  <c r="R7" i="20" a="1"/>
  <c r="S7" i="20" a="1"/>
  <c r="T7" i="20" a="1"/>
  <c r="Q7" i="20" a="1"/>
  <c r="Q6" i="20" a="1"/>
  <c r="T6" i="20" a="1"/>
  <c r="S6" i="20" a="1"/>
  <c r="R6" i="20" a="1"/>
  <c r="T5" i="20" a="1"/>
  <c r="S5" i="20" a="1"/>
  <c r="Q5" i="20" a="1"/>
  <c r="R5" i="20" a="1"/>
  <c r="Q4" i="20" a="1"/>
  <c r="S4" i="20" a="1"/>
  <c r="T4" i="20" a="1"/>
  <c r="R4" i="20" a="1"/>
  <c r="F12" i="19"/>
  <c r="F11" i="19"/>
  <c r="F5" i="19"/>
  <c r="F10" i="19"/>
  <c r="F6" i="19"/>
  <c r="F9" i="19"/>
  <c r="F8" i="19"/>
  <c r="F7" i="19"/>
  <c r="G7" i="19"/>
  <c r="G12" i="19"/>
  <c r="G5" i="19"/>
  <c r="G11" i="19"/>
  <c r="G10" i="19"/>
  <c r="G9" i="19"/>
  <c r="G6" i="19"/>
  <c r="G8" i="19"/>
  <c r="H12" i="19"/>
  <c r="H7" i="19"/>
  <c r="H6" i="19"/>
  <c r="H8" i="19"/>
  <c r="H9" i="19"/>
  <c r="H10" i="19"/>
  <c r="H11" i="19"/>
  <c r="H5" i="19"/>
  <c r="H13" i="19" s="1"/>
  <c r="D6" i="6" l="1"/>
  <c r="D60" i="20"/>
  <c r="D24" i="5"/>
  <c r="C93" i="20"/>
  <c r="F18" i="20"/>
  <c r="F19" i="20"/>
  <c r="F20" i="20"/>
  <c r="D7" i="6"/>
  <c r="D21" i="20"/>
  <c r="B53" i="20"/>
  <c r="D13" i="6" s="1"/>
  <c r="B63" i="20"/>
  <c r="D55" i="20"/>
  <c r="E35" i="20"/>
  <c r="E36" i="20"/>
  <c r="E37" i="20"/>
  <c r="E38" i="20"/>
  <c r="E39" i="20"/>
  <c r="D59" i="20"/>
  <c r="D58" i="20"/>
  <c r="C63" i="20"/>
  <c r="D61" i="20"/>
  <c r="H11" i="20"/>
  <c r="B46" i="20"/>
  <c r="B47" i="20"/>
  <c r="D29" i="20"/>
  <c r="C29" i="20"/>
  <c r="B29" i="20"/>
  <c r="C30" i="20"/>
  <c r="B30" i="20"/>
  <c r="D30" i="20"/>
  <c r="D31" i="20"/>
  <c r="C31" i="20"/>
  <c r="B31" i="20"/>
  <c r="C28" i="20"/>
  <c r="B28" i="20"/>
  <c r="D28" i="20"/>
  <c r="B27" i="20"/>
  <c r="C27" i="20"/>
  <c r="D27" i="20"/>
  <c r="D23" i="6" s="1"/>
  <c r="AB24" i="20"/>
  <c r="AC24" i="20"/>
  <c r="AD24" i="20"/>
  <c r="AB23" i="20"/>
  <c r="AD23" i="20"/>
  <c r="AC23" i="20"/>
  <c r="AB22" i="20"/>
  <c r="AC22" i="20"/>
  <c r="AD22" i="20"/>
  <c r="AB21" i="20"/>
  <c r="AC21" i="20"/>
  <c r="AD21" i="20"/>
  <c r="AB20" i="20"/>
  <c r="AC20" i="20"/>
  <c r="AD20" i="20"/>
  <c r="AB19" i="20"/>
  <c r="AC19" i="20"/>
  <c r="AD19" i="20"/>
  <c r="AB18" i="20"/>
  <c r="AC18" i="20"/>
  <c r="AD18" i="20"/>
  <c r="AB17" i="20"/>
  <c r="AC17" i="20"/>
  <c r="AD17" i="20"/>
  <c r="AC16" i="20"/>
  <c r="AB16" i="20"/>
  <c r="AD16" i="20"/>
  <c r="AD15" i="20"/>
  <c r="AC15" i="20"/>
  <c r="AB15" i="20"/>
  <c r="F13" i="19"/>
  <c r="G13" i="19"/>
  <c r="D12" i="6" l="1"/>
  <c r="F21" i="20"/>
  <c r="D35" i="20"/>
  <c r="C35" i="20"/>
  <c r="B35" i="20"/>
  <c r="C36" i="20"/>
  <c r="B36" i="20"/>
  <c r="D36" i="20"/>
  <c r="B37" i="20"/>
  <c r="C37" i="20"/>
  <c r="D37" i="20"/>
  <c r="B38" i="20"/>
  <c r="C38" i="20"/>
  <c r="D38" i="20"/>
  <c r="B39" i="20"/>
  <c r="C39" i="20"/>
  <c r="D39" i="20"/>
  <c r="D63" i="20"/>
  <c r="D11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<sst xmlns="http://schemas.openxmlformats.org/spreadsheetml/2006/main" count="21700" uniqueCount="3870">
  <si>
    <t>Instituição</t>
  </si>
  <si>
    <t>Código</t>
  </si>
  <si>
    <t>Conglomerado
Financeiro (Cód.)</t>
  </si>
  <si>
    <t>Conglomerado
Prudencial (Cód.)</t>
  </si>
  <si>
    <t>TCB</t>
  </si>
  <si>
    <t>TC</t>
  </si>
  <si>
    <t>TI</t>
  </si>
  <si>
    <t>Cidade</t>
  </si>
  <si>
    <t>UF</t>
  </si>
  <si>
    <t>Data</t>
  </si>
  <si>
    <t>Ativo Total
(R$ mil)</t>
  </si>
  <si>
    <t>Carteira de
Crédito (R$ mil)</t>
  </si>
  <si>
    <t>Títulos e Valores
Mobiliários (R$ mil)</t>
  </si>
  <si>
    <t>Passivo Exigível
(R$ mil)</t>
  </si>
  <si>
    <t>Captações
(R$ mil)</t>
  </si>
  <si>
    <t>Patrimônio Líquido
(R$ mil)</t>
  </si>
  <si>
    <t>Lucro Líquido
(R$ mil)</t>
  </si>
  <si>
    <t>Número de
Agências</t>
  </si>
  <si>
    <t>Postos de
Atendimento</t>
  </si>
  <si>
    <t>Tipo de
Controle</t>
  </si>
  <si>
    <t>Índice
Crédito/Ativo</t>
  </si>
  <si>
    <t>ROE do
semestre</t>
  </si>
  <si>
    <t>BANCO DO BRASIL S.A.</t>
  </si>
  <si>
    <t>BB - PRUDENCIAL</t>
  </si>
  <si>
    <t>C0049906</t>
  </si>
  <si>
    <t>C0080329</t>
  </si>
  <si>
    <t>b1</t>
  </si>
  <si>
    <t>BRASILIA</t>
  </si>
  <si>
    <t>DF</t>
  </si>
  <si>
    <t>06/2026</t>
  </si>
  <si>
    <t>CAIXA ECONOMICA FEDERAL</t>
  </si>
  <si>
    <t>CAIXA ECONÔMICA FEDERAL - PRUDENCIAL</t>
  </si>
  <si>
    <t>C0051626</t>
  </si>
  <si>
    <t>C0080738</t>
  </si>
  <si>
    <t>ITAÚ UNIBANCO S.A.</t>
  </si>
  <si>
    <t>ITAU - PRUDENCIAL</t>
  </si>
  <si>
    <t>C0010069</t>
  </si>
  <si>
    <t>C0080099</t>
  </si>
  <si>
    <t>SAO PAULO</t>
  </si>
  <si>
    <t>SP</t>
  </si>
  <si>
    <t>BANCO BRADESCO S.A.</t>
  </si>
  <si>
    <t>BRADESCO - PRUDENCIAL</t>
  </si>
  <si>
    <t>C0010045</t>
  </si>
  <si>
    <t>C0080075</t>
  </si>
  <si>
    <t>OSASCO</t>
  </si>
  <si>
    <t>BANCO SANTANDER (BRASIL) S.A.</t>
  </si>
  <si>
    <t>SANTANDER - PRUDENCIAL</t>
  </si>
  <si>
    <t>C0030379</t>
  </si>
  <si>
    <t>C0080185</t>
  </si>
  <si>
    <t>BANCO NACIONAL DE DESENVOLVIMENTO ECONOMICO E SOCIAL</t>
  </si>
  <si>
    <t>BNDES - PRUDENCIAL</t>
  </si>
  <si>
    <t>C0081847</t>
  </si>
  <si>
    <t>b4</t>
  </si>
  <si>
    <t>RIO DE JANEIRO</t>
  </si>
  <si>
    <t>RJ</t>
  </si>
  <si>
    <t>BANCO BTG PACTUAL S.A.</t>
  </si>
  <si>
    <t>BTG PACTUAL - PRUDENCIAL</t>
  </si>
  <si>
    <t>C0049944</t>
  </si>
  <si>
    <t>C0080336</t>
  </si>
  <si>
    <t>ITAÚ UNIBANCO HOLDING S.A.</t>
  </si>
  <si>
    <t>b2</t>
  </si>
  <si>
    <t>NU FINANCEIRA S.A. - SOCIEDADE DE CRÉDITO, FINANCIAMENTO E INVESTIMENTO</t>
  </si>
  <si>
    <t>NU PAGAMENTOS - PRUDENCIAL</t>
  </si>
  <si>
    <t>C0052058</t>
  </si>
  <si>
    <t>C0084693</t>
  </si>
  <si>
    <t>n1</t>
  </si>
  <si>
    <t>BANCO SAFRA S.A.</t>
  </si>
  <si>
    <t>SAFRA - PRUDENCIAL</t>
  </si>
  <si>
    <t>C0010083</t>
  </si>
  <si>
    <t>C0080109</t>
  </si>
  <si>
    <t>BANCO COOPERATIVO SICREDI S.A.</t>
  </si>
  <si>
    <t>BCO COOPERATIVO SICREDI - PRUDENCIAL</t>
  </si>
  <si>
    <t>C0080745</t>
  </si>
  <si>
    <t>PORTO ALEGRE</t>
  </si>
  <si>
    <t>RS</t>
  </si>
  <si>
    <t>BANCO COOPERATIVO SICOOB S.A. - BANCO SICOOB</t>
  </si>
  <si>
    <t>BANCO SICOOB - PRUDENCIAL</t>
  </si>
  <si>
    <t>C0051750</t>
  </si>
  <si>
    <t>C0080879</t>
  </si>
  <si>
    <t>BANCO XP S.A.</t>
  </si>
  <si>
    <t>XP - PRUDENCIAL</t>
  </si>
  <si>
    <t>C0052120</t>
  </si>
  <si>
    <t>C0082475</t>
  </si>
  <si>
    <t>REDECARD INSTITUIÇÃO DE PAGAMENTO S.A.</t>
  </si>
  <si>
    <t>n4</t>
  </si>
  <si>
    <t>BANCO DO ESTADO DO RIO GRANDE DO SUL S.A.</t>
  </si>
  <si>
    <t>BANRISUL - PRUDENCIAL</t>
  </si>
  <si>
    <t>C0030173</t>
  </si>
  <si>
    <t>C0080154</t>
  </si>
  <si>
    <t>BANCO CITIBANK S.A.</t>
  </si>
  <si>
    <t>CITIBANK - PRUDENCIAL</t>
  </si>
  <si>
    <t>C0030403</t>
  </si>
  <si>
    <t>C0080192</t>
  </si>
  <si>
    <t>BANCO VOTORANTIM S.A.</t>
  </si>
  <si>
    <t>VOTORANTIM - PRUDENCIAL</t>
  </si>
  <si>
    <t>C0051011</t>
  </si>
  <si>
    <t>C0080484</t>
  </si>
  <si>
    <t>XP INVESTIMENTOS CORRETORA DE CÂMBIO,TÍTULOS E VALORES MOBILIÁRIOS S/A</t>
  </si>
  <si>
    <t>n2</t>
  </si>
  <si>
    <t>NU PAGAMENTOS S.A. - INSTITUIÇÃO DE PAGAMENTO</t>
  </si>
  <si>
    <t>BANCO C6 S.A.</t>
  </si>
  <si>
    <t>BANCO C6 - PRUDENCIAL</t>
  </si>
  <si>
    <t>C0052072</t>
  </si>
  <si>
    <t>C0084844</t>
  </si>
  <si>
    <t>CIELO S.A. - INSTITUIÇÃO DE PAGAMENTO</t>
  </si>
  <si>
    <t>CIELO IP - PRUDENCIAL</t>
  </si>
  <si>
    <t>C0084710</t>
  </si>
  <si>
    <t>BARUERI</t>
  </si>
  <si>
    <t>BANCO J.P. MORGAN S.A.</t>
  </si>
  <si>
    <t>JP MORGAN CHASE - PRUDENCIAL</t>
  </si>
  <si>
    <t>C0020107</t>
  </si>
  <si>
    <t>C0080116</t>
  </si>
  <si>
    <t>MERCADO PAGO INSTITUIÇÃO DE PAGAMENTO LTDA.</t>
  </si>
  <si>
    <t>MERCADO PAGO IP - PRUDENCIAL</t>
  </si>
  <si>
    <t>C0084820</t>
  </si>
  <si>
    <t>BANCO INTER S.A.</t>
  </si>
  <si>
    <t>INTER - PRUDENCIAL</t>
  </si>
  <si>
    <t>C0051884</t>
  </si>
  <si>
    <t>C0080996</t>
  </si>
  <si>
    <t>BELO HORIZONTE</t>
  </si>
  <si>
    <t>MG</t>
  </si>
  <si>
    <t>BANCO DAYCOVAL S.A.</t>
  </si>
  <si>
    <t>BCO DAYCOVAL S.A - PRUDENCIAL</t>
  </si>
  <si>
    <t>C0051987</t>
  </si>
  <si>
    <t>C0081744</t>
  </si>
  <si>
    <t>SANTANDER SOCIEDADE DE CRÉDITO, FINANCIAMENTO E INVESTIMENTO S.A.</t>
  </si>
  <si>
    <t>STONE INSTITUIÇÃO DE PAGAMENTO S.A.</t>
  </si>
  <si>
    <t>STONE IP - PRUDENCIAL</t>
  </si>
  <si>
    <t>C0084686</t>
  </si>
  <si>
    <t>BANCO DO NORDESTE DO BRASIL S.A.</t>
  </si>
  <si>
    <t>BCO DO NORDESTE DO BRASIL S.A. - PRUDENCIAL</t>
  </si>
  <si>
    <t>C0081593</t>
  </si>
  <si>
    <t>FORTALEZA</t>
  </si>
  <si>
    <t>CE</t>
  </si>
  <si>
    <t>BANCO PAN S.A.</t>
  </si>
  <si>
    <t>GETNET ADQUIRÊNCIA E SERVIÇOS PARA MEIOS DE PAGAMENTO S.A. INSTITUIÇÃO DE PAGAMENTO</t>
  </si>
  <si>
    <t>PAGSEGURO INTERNET INSTITUIÇÃO DE PAGAMENTO S.A.</t>
  </si>
  <si>
    <t>PAGSEGURO - PRUDENCIAL</t>
  </si>
  <si>
    <t>C0084813</t>
  </si>
  <si>
    <t>BANCO BRADESCO FINANCIAMENTOS S.A.</t>
  </si>
  <si>
    <t>BANCO DA AMAZONIA S.A.</t>
  </si>
  <si>
    <t>BCO DA AMAZONIA S.A. - PRUDENCIAL</t>
  </si>
  <si>
    <t>C0081249</t>
  </si>
  <si>
    <t>BELEM</t>
  </si>
  <si>
    <t>PA</t>
  </si>
  <si>
    <t>BANCO ABC BRASIL S.A.</t>
  </si>
  <si>
    <t>ABC-BRASIL - PRUDENCIAL</t>
  </si>
  <si>
    <t>C0041856</t>
  </si>
  <si>
    <t>C0080312</t>
  </si>
  <si>
    <t>BANCO VOLKSWAGEN S.A.</t>
  </si>
  <si>
    <t>VOLKSWAGEN - PRUDENCIAL</t>
  </si>
  <si>
    <t>C0080202</t>
  </si>
  <si>
    <t>BANCO BNP PARIBAS BRASIL S.A.</t>
  </si>
  <si>
    <t>BNP PARIBAS - PRUDENCIAL</t>
  </si>
  <si>
    <t>C0080673</t>
  </si>
  <si>
    <t>BANCO C6 CONSIGNADO S.A.</t>
  </si>
  <si>
    <t>BANCO RABOBANK INTERNATIONAL BRASIL S.A.</t>
  </si>
  <si>
    <t>BCO RABOBANK INTL BRASIL S.A. - PRUDENCIAL</t>
  </si>
  <si>
    <t>C0081555</t>
  </si>
  <si>
    <t>BANCOSEGURO S.A.</t>
  </si>
  <si>
    <t>C0052182</t>
  </si>
  <si>
    <t>BANCO AGIBANK S.A.</t>
  </si>
  <si>
    <t>AGIBANK - PRUDENCIAL</t>
  </si>
  <si>
    <t>C0051956</t>
  </si>
  <si>
    <t>C0083694</t>
  </si>
  <si>
    <t>CAMPINAS</t>
  </si>
  <si>
    <t>BANCO BMG S.A.</t>
  </si>
  <si>
    <t>BMG - PRUDENCIAL</t>
  </si>
  <si>
    <t>C0030290</t>
  </si>
  <si>
    <t>C0080178</t>
  </si>
  <si>
    <t>PICPAY BANK - BANCO MÚLTIPLO S.A</t>
  </si>
  <si>
    <t>PICPAY - PRUDENCIAL</t>
  </si>
  <si>
    <t>C0052632</t>
  </si>
  <si>
    <t>C0088022</t>
  </si>
  <si>
    <t>BANCO MERCANTIL DO BRASIL S.A.</t>
  </si>
  <si>
    <t>MERCANTIL DO BRASIL - PRUDENCIAL</t>
  </si>
  <si>
    <t>C0020152</t>
  </si>
  <si>
    <t>C0080123</t>
  </si>
  <si>
    <t>BANESTES S.A. BANCO DO ESTADO DO ESPIRITO SANTO</t>
  </si>
  <si>
    <t>BANESTES - PRUDENCIAL</t>
  </si>
  <si>
    <t>C0030159</t>
  </si>
  <si>
    <t>C0080147</t>
  </si>
  <si>
    <t>VITORIA</t>
  </si>
  <si>
    <t>ES</t>
  </si>
  <si>
    <t>BANCO CLASSICO S.A.</t>
  </si>
  <si>
    <t>BCO CLASSICO S.A. - PRUDENCIAL</t>
  </si>
  <si>
    <t>C0081665</t>
  </si>
  <si>
    <t>BANK OF AMERICA MERRILL LYNCH BANCO MÚLTIPLO S.A.</t>
  </si>
  <si>
    <t>BOFA MERRILL LYNCH - PRUDENCIAL</t>
  </si>
  <si>
    <t>C0051255</t>
  </si>
  <si>
    <t>C0080556</t>
  </si>
  <si>
    <t>BANCO PINE S.A.</t>
  </si>
  <si>
    <t>PINE - PRUDENCIAL</t>
  </si>
  <si>
    <t>C0050304</t>
  </si>
  <si>
    <t>C0080374</t>
  </si>
  <si>
    <t>BANCO ORIGINAL S.A.</t>
  </si>
  <si>
    <t>ORIGINAL - PRUDENCIAL</t>
  </si>
  <si>
    <t>C0080903</t>
  </si>
  <si>
    <t>COOPERATIVA CENTRAL DE CRÉDITO DE MINAS GERAIS LTDA. - SICOOB CENTRAL CREDIMINAS</t>
  </si>
  <si>
    <t>b3C</t>
  </si>
  <si>
    <t>GOLDMAN SACHS DO BRASIL BANCO MULTIPLO S.A.</t>
  </si>
  <si>
    <t>GOLDMAN SACHS - PRUDENCIAL</t>
  </si>
  <si>
    <t>C0051585</t>
  </si>
  <si>
    <t>C0080714</t>
  </si>
  <si>
    <t>STONE SOCIEDADE DE CREDITO, FINANCIAMENTO E INVESTIMENTO S.A.</t>
  </si>
  <si>
    <t>SAFRA SOCIEDADE DE CRÉDITO, FINANCIAMENTO E INVESTIMENTO S.A.</t>
  </si>
  <si>
    <t>BANCO BOCOM BBM S.A.</t>
  </si>
  <si>
    <t>BOCOM - PRUDENCIAL</t>
  </si>
  <si>
    <t>C0052003</t>
  </si>
  <si>
    <t>C0084624</t>
  </si>
  <si>
    <t>SALVADOR</t>
  </si>
  <si>
    <t>BA</t>
  </si>
  <si>
    <t>BANCO REGIONAL DE DESENVOLVIMENTO DO EXTREMO SUL</t>
  </si>
  <si>
    <t>BD REGIONAL DO EXTREMO SUL - PRUDENCIAL</t>
  </si>
  <si>
    <t>C0081311</t>
  </si>
  <si>
    <t>COOPERATIVA CENTRAL DE CRÉDITO DE SANTA CATARINA E RIO GRANDE DO SUL - SICOOB CENTRAL SC/RS</t>
  </si>
  <si>
    <t>FLORIANOPOLIS</t>
  </si>
  <si>
    <t>SC</t>
  </si>
  <si>
    <t>BANCO DIGIO S.A.</t>
  </si>
  <si>
    <t>CENTRAL DAS COOPERATIVAS DE ECONOMIA E CREDITO DO ESTADO DE MINAS GERAIS LTDA. - SICOOB CENTRAL CECREMGE</t>
  </si>
  <si>
    <t>CITIBANK N.A.</t>
  </si>
  <si>
    <t>PORTOSEG S.A. - CREDITO, FINANCIAMENTO E INVESTIMENTO</t>
  </si>
  <si>
    <t>PORTO SEGURO - PRUDENCIAL</t>
  </si>
  <si>
    <t>C0051444</t>
  </si>
  <si>
    <t>C0080642</t>
  </si>
  <si>
    <t>BANCO CNH INDUSTRIAL CAPITAL S.A.</t>
  </si>
  <si>
    <t>BANCO CNH INDUSTRIAL CAPITAL S.A - PRUDENCIAL</t>
  </si>
  <si>
    <t>C0081407</t>
  </si>
  <si>
    <t>CURITIBA</t>
  </si>
  <si>
    <t>PR</t>
  </si>
  <si>
    <t>BANCO CSF S.A.</t>
  </si>
  <si>
    <t>BCO CSF S.A. - PRUDENCIAL</t>
  </si>
  <si>
    <t>C0081610</t>
  </si>
  <si>
    <t>BANCO NACIONAL S.A.</t>
  </si>
  <si>
    <t>MERCADO CRÉDITO SOCIEDADE DE CRÉDITO, FINANCIAMENTO E INVESTIMENTO S.A.</t>
  </si>
  <si>
    <t>BANCO FIBRA S.A.</t>
  </si>
  <si>
    <t>BCO FIBRA S.A. - PRUDENCIAL</t>
  </si>
  <si>
    <t>C0081483</t>
  </si>
  <si>
    <t>CLOUDWALK INSTITUIÇÃO DE PAGAMENTO E SERVICOS LTDA</t>
  </si>
  <si>
    <t>CLOUDWALK IP - PRUDENCIAL</t>
  </si>
  <si>
    <t>C0086581</t>
  </si>
  <si>
    <t>DEUTSCHE BANK S.A. - BANCO ALEMAO</t>
  </si>
  <si>
    <t>DEUTSCHE - PRUDENCIAL</t>
  </si>
  <si>
    <t>C0080532</t>
  </si>
  <si>
    <t>STELLANTIS FINANCIAMENTOS SOCIEDADE DE CRÉDITO, FINANCIAMENTO E INVESTIMENTO S.A</t>
  </si>
  <si>
    <t>STELLANTIS - PRUDENCIAL</t>
  </si>
  <si>
    <t>C0052508</t>
  </si>
  <si>
    <t>C0087298</t>
  </si>
  <si>
    <t>BANCO DO ESTADO DO PARÁ S.A.</t>
  </si>
  <si>
    <t>BCO DO EST. DO PA S.A. - PRUDENCIAL</t>
  </si>
  <si>
    <t>C0081586</t>
  </si>
  <si>
    <t>BANCO MERCEDES-BENZ DO BRASIL S.A.</t>
  </si>
  <si>
    <t>MERCEDES-BENZ - PRUDENCIAL</t>
  </si>
  <si>
    <t>C0051262</t>
  </si>
  <si>
    <t>C0080563</t>
  </si>
  <si>
    <t>SAO BERNARDO DO CAMPO</t>
  </si>
  <si>
    <t>BANCO CRÉDIT AGRICOLE BRASIL S.A.</t>
  </si>
  <si>
    <t>CREDIT AGRICOLE - PRUDENCIAL</t>
  </si>
  <si>
    <t>C0080491</t>
  </si>
  <si>
    <t>LUIZACRED S.A. SOCIEDADE DE CRÉDITO, FINANCIAMENTO E INVESTIMENTO</t>
  </si>
  <si>
    <t>BRADESCO LEASING S.A. - ARRENDAMENTO MERCANTIL</t>
  </si>
  <si>
    <t>COOPERATIVA CENTRAL DE CRÉDITO DO ESTADO DE SÃO PAULO - SICOOB SÃO PAULO</t>
  </si>
  <si>
    <t>RIBEIRAO PRETO</t>
  </si>
  <si>
    <t>BTG PACTUAL CORRETORA DE TÍTULOS E VALORES MOBILIÁRIOS S.A.</t>
  </si>
  <si>
    <t>COOPERATIVA DE CREDITO CREDICITRUS</t>
  </si>
  <si>
    <t>b3S</t>
  </si>
  <si>
    <t>BEBEDOURO</t>
  </si>
  <si>
    <t>BR PARTNERS BANCO DE INVESTIMENTO S.A.</t>
  </si>
  <si>
    <t>BR PARTNERS - PRUDENCIAL</t>
  </si>
  <si>
    <t>C0080934</t>
  </si>
  <si>
    <t>BANCO GM S.A.</t>
  </si>
  <si>
    <t>GM - PRUDENCIAL</t>
  </si>
  <si>
    <t>C0080848</t>
  </si>
  <si>
    <t>BANCO SOFISA S.A.</t>
  </si>
  <si>
    <t>SOFISA - PRUDENCIAL</t>
  </si>
  <si>
    <t>C0031873</t>
  </si>
  <si>
    <t>C0080271</t>
  </si>
  <si>
    <t>COOPERATIVA CENTRAL DE CRÉDITO COM INTERAÇÃO SOLIDÁRIA - CENTRAL CRESOL BASER</t>
  </si>
  <si>
    <t>FRANCISCO BELTRAO</t>
  </si>
  <si>
    <t>COOPERATIVA CENTRAL DE CRÉDITO UNICRED DO BRASIL - UNICRED DO BRASIL</t>
  </si>
  <si>
    <t>COOPERATIVA DE CREDITO VALE DO ITAJAI - VIACREDI</t>
  </si>
  <si>
    <t>BLUMENAU</t>
  </si>
  <si>
    <t>BANCO JOHN DEERE S.A.</t>
  </si>
  <si>
    <t>BANCO BRADESCO BBI S.A.</t>
  </si>
  <si>
    <t>SCOTIABANK BRASIL S.A. BANCO MÚLTIPLO</t>
  </si>
  <si>
    <t>SCOTIABANK BRASIL - PRUDENCIAL</t>
  </si>
  <si>
    <t>C0052230</t>
  </si>
  <si>
    <t>C0081452</t>
  </si>
  <si>
    <t>BANCO MORGAN STANLEY S.A.</t>
  </si>
  <si>
    <t>MORGAN STANLEY - PRUDENCIAL</t>
  </si>
  <si>
    <t>C0051413</t>
  </si>
  <si>
    <t>C0080628</t>
  </si>
  <si>
    <t>BANCO HSBC S.A.</t>
  </si>
  <si>
    <t>BANCO HSBC - PRUDENCIAL</t>
  </si>
  <si>
    <t>C0084741</t>
  </si>
  <si>
    <t>BANK OF CHINA (BRASIL) BANCO MÚLTIPLO S/A</t>
  </si>
  <si>
    <t>BANK OF CHINA (BRASIL) - PRUDENCIAL</t>
  </si>
  <si>
    <t>C0032119</t>
  </si>
  <si>
    <t>C0080295</t>
  </si>
  <si>
    <t>BANCO RCI BRASIL S.A.</t>
  </si>
  <si>
    <t>BANCO VOLVO BRASIL S.A.</t>
  </si>
  <si>
    <t>VOLVO - PRUDENCIAL</t>
  </si>
  <si>
    <t>C0080769</t>
  </si>
  <si>
    <t>BANCO STELLANTIS S.A.</t>
  </si>
  <si>
    <t>COOPERATIVA DE CRÉDITO, POUPANÇA E INVESTIMENTO DEXIS - SICREDI DEXIS</t>
  </si>
  <si>
    <t>MARINGA</t>
  </si>
  <si>
    <t>KIRTON BANK S.A. - BANCO MÚLTIPLO</t>
  </si>
  <si>
    <t>BANCO BRADESCARD S.A.</t>
  </si>
  <si>
    <t>BANCO DE DESENVOLVIMENTO DE MINAS GERAIS S.A.-BDMG</t>
  </si>
  <si>
    <t>BCO DES. DE MG S.A. - PRUDENCIAL</t>
  </si>
  <si>
    <t>C0081328</t>
  </si>
  <si>
    <t>COOPERATIVA CENTRAL DE CREDITO DO ESPIRITO SANTO - SICOOB CENTRAL ES</t>
  </si>
  <si>
    <t>BANCO MIZUHO DO BRASIL S.A.</t>
  </si>
  <si>
    <t>MIZUHO - PRUDENCIAL</t>
  </si>
  <si>
    <t>C0080697</t>
  </si>
  <si>
    <t>COOPERATIVA CENTRAL DE CRÉDITO - AILOS</t>
  </si>
  <si>
    <t>BANCO INBURSA S.A.</t>
  </si>
  <si>
    <t>BCO INBURSA S.A. - PRUDENCIAL</t>
  </si>
  <si>
    <t>C0081335</t>
  </si>
  <si>
    <t>SCANIA BANCO S.A.</t>
  </si>
  <si>
    <t>SCANIA - PRUDENCIAL</t>
  </si>
  <si>
    <t>C0080776</t>
  </si>
  <si>
    <t>SANTANDER LEASING S.A. ARRENDAMENTO MERCANTIL</t>
  </si>
  <si>
    <t>PARANÁ BANCO S.A.</t>
  </si>
  <si>
    <t>PARANÁ BANCO - PRUDENCIAL</t>
  </si>
  <si>
    <t>C0030881</t>
  </si>
  <si>
    <t>C0080233</t>
  </si>
  <si>
    <t>COOPERATIVA DE CRÉDITO, POUPANÇA E INVESTIMENTO OURO VERDE - SICREDI OURO VERDE MT/PA</t>
  </si>
  <si>
    <t>LUCAS DO RIO VERDE</t>
  </si>
  <si>
    <t>MT</t>
  </si>
  <si>
    <t>COOPERATIVA DE CRÉDITO CONEXÃO - SICOOB CONEXÃO</t>
  </si>
  <si>
    <t>LINHARES</t>
  </si>
  <si>
    <t>BANCO SISTEMA S.A.</t>
  </si>
  <si>
    <t>COOPERATIVA DE CRÉDITO, POUPANÇA E INVESTIMENTO VALE DO PIQUIRI ABCD - SICREDI VALE DO PIQUIRI ABCD PR/SP</t>
  </si>
  <si>
    <t>PALOTINA</t>
  </si>
  <si>
    <t>COOPERATIVA DE CRÉDITO, POUPANÇA E INVESTIMENTO CAMPOS GERAIS, GRANDE CURITIBA, VALE DO RIBEIRA E FORÇA DOS VENTOS - SICREDI CAMPOS GERAIS E GRANDE CURITIBA PR/SP</t>
  </si>
  <si>
    <t>PONTA GROSSA</t>
  </si>
  <si>
    <t>COOPERATIVA DE CRÉDITO SICREDI SERRANA RS/ES</t>
  </si>
  <si>
    <t>CARLOS BARBOSA</t>
  </si>
  <si>
    <t>COOPERATIVA DE CRÉDITO, POUPANÇA E INVESTIMENTO VANGUARDA - SICREDI VANGUARDA PR/SP/RJ</t>
  </si>
  <si>
    <t>MEDIANEIRA</t>
  </si>
  <si>
    <t>SICOOB COCRED COOPERATIVA DE CRÉDITO</t>
  </si>
  <si>
    <t>SERTAOZINHO</t>
  </si>
  <si>
    <t>BANCO DO ESTADO DE SERGIPE S.A.</t>
  </si>
  <si>
    <t>BCO DO EST. DE SE S.A. - PRUDENCIAL</t>
  </si>
  <si>
    <t>C0081634</t>
  </si>
  <si>
    <t>ARACAJU</t>
  </si>
  <si>
    <t>SE</t>
  </si>
  <si>
    <t>BANCO TOYOTA DO BRASIL S.A.</t>
  </si>
  <si>
    <t>BCO TOYOTA DO BRASIL S.A. - PRUDENCIAL</t>
  </si>
  <si>
    <t>C0081562</t>
  </si>
  <si>
    <t>BANCO DE INVESTIMENTOS UBS (BRASIL) S.A.</t>
  </si>
  <si>
    <t>UBS (BRASIL) - PRUDENCIAL</t>
  </si>
  <si>
    <t>C0030771</t>
  </si>
  <si>
    <t>C0080219</t>
  </si>
  <si>
    <t>BANCO DE LAGE LANDEN BRASIL S.A.</t>
  </si>
  <si>
    <t>BCO DE LAGE LANDEN BRASIL S.A. - PRUDENCIAL</t>
  </si>
  <si>
    <t>C0081421</t>
  </si>
  <si>
    <t>PICPAY INSTITUIÇÃO DE PAGAMENTO S.A.</t>
  </si>
  <si>
    <t>COOPERATIVA DE CRÉDITO, POUPANÇA E INVESTIMENTO SICREDI PIONEIRA RS - SICREDI PIONEIRA RS</t>
  </si>
  <si>
    <t>NOVA PETROPOLIS</t>
  </si>
  <si>
    <t>BANCO MUFG BRASIL S.A.</t>
  </si>
  <si>
    <t>BCO MUFG BRASIL S.A. - PRUDENCIAL</t>
  </si>
  <si>
    <t>C0081713</t>
  </si>
  <si>
    <t>BANCO HONDA S.A.</t>
  </si>
  <si>
    <t>HONDA - PRUDENCIAL</t>
  </si>
  <si>
    <t>C0051396</t>
  </si>
  <si>
    <t>C0080611</t>
  </si>
  <si>
    <t>COOPERATIVA DE CRÉDITO DE LIVRE ADMISSÃO DE ASSOCIADOS - SICOOB MAXICRÉDITO</t>
  </si>
  <si>
    <t>CHAPECO</t>
  </si>
  <si>
    <t>BANCO BV S.A.</t>
  </si>
  <si>
    <t>SISPRIME DO BRASIL - COOPERATIVA DE CRÉDITO</t>
  </si>
  <si>
    <t>LONDRINA</t>
  </si>
  <si>
    <t>C6 CORRETORA DE TÍTULOS E VALORES MOBILIÁRIOS LTDA.</t>
  </si>
  <si>
    <t>ASSOCIACAO DE POUPANCA E EMPRESTIMO - POUPEX</t>
  </si>
  <si>
    <t>APE POUPEX - PRUDENCIAL</t>
  </si>
  <si>
    <t>C0081184</t>
  </si>
  <si>
    <t>SEM PARAR INSTITUICAO DE PAGAMENTO LTDA</t>
  </si>
  <si>
    <t>SEM PARAR IP - PRUDENCIAL</t>
  </si>
  <si>
    <t>C0086158</t>
  </si>
  <si>
    <t>BANCO BESA S.A.</t>
  </si>
  <si>
    <t>COOPERATIVA DE CRÉDITO, POUPANÇA E INVESTIMENTO UNIÃO - SICREDI UNIAO RS/ES</t>
  </si>
  <si>
    <t>SANTA ROSA</t>
  </si>
  <si>
    <t>SICOOB CREDICOM - COOPERATIVA DE ECONOMIA E CREDITO MUTUO DOS MEDICOS E PROFISSIONAIS DA AREA DE SAUDE DO BRASIL LTDA.</t>
  </si>
  <si>
    <t>BANCO BRADESCO BERJ S.A.</t>
  </si>
  <si>
    <t>COOPERATIVA DE CRÉDITO, POUPANÇA E INVESTIMENTO DO SUDOESTE MT/PA - SICREDI SUDOESTE MT/PA</t>
  </si>
  <si>
    <t>TANGARA DA SERRA</t>
  </si>
  <si>
    <t>COOPERATIVA DE CRÉDITO DE LIVRE ADMISSÃO CENTRO BRASILEIRA LTDA.</t>
  </si>
  <si>
    <t>GOIANIA</t>
  </si>
  <si>
    <t>GO</t>
  </si>
  <si>
    <t>PAN FINANCEIRA S.A. - SOCIEDADE DE CRÉDITO, FINANCIAMENTO E INVESTIMENTOS</t>
  </si>
  <si>
    <t>BANCO DIGIMAIS S.A.</t>
  </si>
  <si>
    <t>BANCO DIGIMAIS - PRUDENCIAL</t>
  </si>
  <si>
    <t>C0081799</t>
  </si>
  <si>
    <t>ÁGORA CORRETORA DE TITULOS E VALORES MOBILIARIOS S.A.</t>
  </si>
  <si>
    <t>FACTA FINANCEIRA S.A. - CRÉDITO FINANCIAMENTO E INVESTIMENTO</t>
  </si>
  <si>
    <t>FACTA S.A. CFI - PRUDENCIAL</t>
  </si>
  <si>
    <t>C0083704</t>
  </si>
  <si>
    <t>CENTRAL DAS COOPERATIVAS DE CREDITO UNICOOB - SICOOB CENTRAL UNICOOB</t>
  </si>
  <si>
    <t>COOPERATIVA DE CRÉDITO, POUPANÇA E INVESTIMENTO DO CENTRO SUL DO MATO GROSSO DO SUL E BAHIA - SICREDI CENTRO-SUL MS/BA</t>
  </si>
  <si>
    <t>DOURADOS</t>
  </si>
  <si>
    <t>MS</t>
  </si>
  <si>
    <t>COOPERATIVA CENTRAL DE CRÉDITO DE GOIÁS, DISTRITO FEDERAL E TOCANTINS LTDA. - SICOOB NOVA CENTRAL</t>
  </si>
  <si>
    <t>COOPERATIVA DE CRÉDITO, POUPANÇA E INVESTIMENTO UNIÃO DOS ESTADOS DE MATO GROSSO DO SUL, TOCANTINS E OESTE DA BAHIA - SICREDI UNIÃO MS/TO E OESTE DA BA</t>
  </si>
  <si>
    <t>CAMPO GRANDE</t>
  </si>
  <si>
    <t>BANCO BS2 S.A.</t>
  </si>
  <si>
    <t>BS2 - PRUDENCIAL</t>
  </si>
  <si>
    <t>C0080422</t>
  </si>
  <si>
    <t>FINANCEIRA ITAÚ CBD S.A. CRÉDITO, FINANCIAMENTO E INVESTIMENTO</t>
  </si>
  <si>
    <t>BANCO SUMITOMO MITSUI BRASILEIRO S.A.</t>
  </si>
  <si>
    <t>BCO SUMITOMO MITSUI BRASIL S.A. - PRUDENCIAL</t>
  </si>
  <si>
    <t>C0081720</t>
  </si>
  <si>
    <t>CENTRAL SICOOB UNI DE COOPERATIVAS DE CRÉDITO</t>
  </si>
  <si>
    <t>COOPERATIVA DE CRÉDITO, POUPANÇA E INVESTIMENTO UNIÃO DE ESTADOS RIO GRANDE DO SUL, SANTA CATARINA E MINAS GERAIS - SICREDI UNIESTADOS</t>
  </si>
  <si>
    <t>ERECHIM</t>
  </si>
  <si>
    <t>COOPERATIVA DE CRÉDITO, POUPANÇA E INVESTIMENTO SORRISO - SICREDI CELEIRO MT/RR</t>
  </si>
  <si>
    <t>SORRISO</t>
  </si>
  <si>
    <t>BANCO PACCAR S.A.</t>
  </si>
  <si>
    <t>BANCO PACCAR - PRUDENCIAL</t>
  </si>
  <si>
    <t>C0084899</t>
  </si>
  <si>
    <t>BANCO SOCIETE GENERALE BRASIL S.A.</t>
  </si>
  <si>
    <t>SOCIETE GENERALE - PRUDENCIAL</t>
  </si>
  <si>
    <t>C0080264</t>
  </si>
  <si>
    <t>BANCO INDUSTRIAL DO BRASIL S.A.</t>
  </si>
  <si>
    <t>INDUSTRIAL DO BRASIL - PRUDENCIAL</t>
  </si>
  <si>
    <t>C0050988</t>
  </si>
  <si>
    <t>C0080477</t>
  </si>
  <si>
    <t>COOPERATIVA DE CRÉDITO DE LIVRE ADMISSÃO DE ASSOCIADOS SÃO MIGUEL DO OESTE - SICOOB SÃO MIGUEL SC/PR/RS</t>
  </si>
  <si>
    <t>SAO MIGUEL D'OESTE</t>
  </si>
  <si>
    <t>BANCO HYUNDAI CAPITAL BRASIL S.A.</t>
  </si>
  <si>
    <t>COOPERATIVA DE CRÉDITO E INVESTIMENTO DO SUDOESTE  DA AMAZÔNIA LTDA - SICOOB CREDISUL</t>
  </si>
  <si>
    <t>VILHENA</t>
  </si>
  <si>
    <t>RO</t>
  </si>
  <si>
    <t>COOPERATIVA DE CRÉDITO SUL-SERRANA DO ESPÍRITO SANTO</t>
  </si>
  <si>
    <t>VENDA NOVA DO IMIGRANTE</t>
  </si>
  <si>
    <t>CONFEDERAÇÃO NACIONAL DAS COOPERATIVAS CENTRAIS DE CRÉDITO E ECONOMIA FAMILIAR E SOLIDÁRIA - CRESOL CONFEDERAÇÃO</t>
  </si>
  <si>
    <t>NEON FINANCEIRA - SOCIEDADE DE CRÉDITO, FINANCIAMENTO E INVESTIMENTO S.A</t>
  </si>
  <si>
    <t>NEON PAGAMENTOS IP - PRUDENCIAL</t>
  </si>
  <si>
    <t>C0052285</t>
  </si>
  <si>
    <t>C0085702</t>
  </si>
  <si>
    <t>CREFISA S.A.-CREDITO, FINANCIAMENTO E INVESTIMENTOS</t>
  </si>
  <si>
    <t>CREFISA S.A. CFI - PRUDENCIAL</t>
  </si>
  <si>
    <t>C0052010</t>
  </si>
  <si>
    <t>C0083632</t>
  </si>
  <si>
    <t>COOPERATIVA DE CRÉDITO, POUPANÇA E INVESTIMENTO PLANALTO - SICREDI PLANALTO RS/MG</t>
  </si>
  <si>
    <t>CRUZ ALTA</t>
  </si>
  <si>
    <t>ITAU CORRETORA DE VALORES S.A.</t>
  </si>
  <si>
    <t>OMNI S.A. - CREDITO FINANCIAMENTO E INVESTIMENTO</t>
  </si>
  <si>
    <t>OMNI - PRUDENCIAL</t>
  </si>
  <si>
    <t>C0050940</t>
  </si>
  <si>
    <t>C0080460</t>
  </si>
  <si>
    <t>COOPERATIVA DE CRÉDITO SICOOB METROPOLITANO</t>
  </si>
  <si>
    <t>COOPERATIVA CENTRAL DE CRÉDITO E INVESTIMENTO COM INTERAÇÃO SOLIDÁRIA - CENTRAL CRESOL SICOPER</t>
  </si>
  <si>
    <t>PASSO FUNDO</t>
  </si>
  <si>
    <t>BANCO BANDEPE S.A.</t>
  </si>
  <si>
    <t>CITIBANK DISTRIBUIDORA DE TITULOS E VALORES MOBILIARIOS S.A</t>
  </si>
  <si>
    <t>COOPERATIVA CENTRAL DE CRÉDITO DO NORTE DO BRASIL - SICOOB NORTE</t>
  </si>
  <si>
    <t>PORTO VELHO</t>
  </si>
  <si>
    <t>FISERV DO BRASIL  INSTITUIÇÃO DE PAGAMENTO LTDA</t>
  </si>
  <si>
    <t>FISERV DO BRASIL IP - PRUDENCIAL</t>
  </si>
  <si>
    <t>C0086457</t>
  </si>
  <si>
    <t>COOPERATIVA DE CRÉDITO, POUPANÇA E INVESTIMENTO DA REGIÃO DOS VALES - SICREDI REGIÃO DOS VALES RS</t>
  </si>
  <si>
    <t>ENCANTADO</t>
  </si>
  <si>
    <t>HAITONG BANCO DE INVESTIMENTO DO BRASIL S.A.</t>
  </si>
  <si>
    <t>HAITONG - PRUDENCIAL</t>
  </si>
  <si>
    <t>C0051482</t>
  </si>
  <si>
    <t>C0080666</t>
  </si>
  <si>
    <t>COOPERATIVA DE CRÉDITO ALIANÇA - SICREDI ALIANÇA</t>
  </si>
  <si>
    <t>MARAU</t>
  </si>
  <si>
    <t>BANCO TRATON BRASIL S.A.</t>
  </si>
  <si>
    <t>BANCO TRATON BRASIL S.A. - PRUDENCIAL</t>
  </si>
  <si>
    <t>C0088534</t>
  </si>
  <si>
    <t>COOPERATIVA DE CRÉDITO, POUPANÇA E INVESTIMENTO NORTE MATO-GROSSENSE E OESTE PARAENSE - SICREDI GRANDES RIOS MT/PA/AM</t>
  </si>
  <si>
    <t>COLIDER</t>
  </si>
  <si>
    <t>COOPERATIVA DE CRÉDITO ARACOOP LTDA. - SICOOB ARACOOP</t>
  </si>
  <si>
    <t>ARAGUARI</t>
  </si>
  <si>
    <t>COOPERATIVA DE CREDITO, POUPANÇA E INVESTIMENTO ALIANÇA - SICREDI ALIANÇA PR/SP</t>
  </si>
  <si>
    <t>MARECHAL CANDIDO RONDON</t>
  </si>
  <si>
    <t>COOPERATIVA DE CRÉDITO SUL DO ESPÍRITO SANTO - SICOOB SUL</t>
  </si>
  <si>
    <t>CACHOEIRO DE ITAPEMIRIM</t>
  </si>
  <si>
    <t>REALIZE SOCIEDADE DE CRÉDITO, FINANCIAMENTO E INVESTIMENTO S.A.</t>
  </si>
  <si>
    <t>REALIZE SCFI - PRUDENCIAL</t>
  </si>
  <si>
    <t>C0084703</t>
  </si>
  <si>
    <t>COOPERATIVA DE CRÉDITO, POUPANÇA E INVESTIMENTO CONEXÃO - SICREDI CONEXÃO</t>
  </si>
  <si>
    <t>RODEIO BONITO</t>
  </si>
  <si>
    <t>COOPERATIVA DE CRÉDITO DE LIVRE ADMISSÃO DO CENTRO SUL RONDONIENSE - SICOOB CREDIP.</t>
  </si>
  <si>
    <t>PIMENTA BUENO</t>
  </si>
  <si>
    <t>MIDWAY S.A. - SOCIEDADE DE CRÉDITO, FINANCIAMENTO E INVESTIMENTO</t>
  </si>
  <si>
    <t>MIDWAY S.A. - SCFI - PRUDENCIAL</t>
  </si>
  <si>
    <t>C0083553</t>
  </si>
  <si>
    <t>BANCO CATERPILLAR S.A.</t>
  </si>
  <si>
    <t>BCO CATERPILLAR S.A. - PRUDENCIAL</t>
  </si>
  <si>
    <t>C0081397</t>
  </si>
  <si>
    <t>COOPERATIVA DE CRÉDITO DE LIVRE ADMISSÃO DE ASSOCIADOS DO VALE DO CANOINHAS - SICOOB CREDICANOINHAS/SC</t>
  </si>
  <si>
    <t>CANOINHAS</t>
  </si>
  <si>
    <t>BANRISUL SOLUÇÕES EM PAGAMENTOS S.A. - INSTITUIÇÃO DE PAGAMENTO</t>
  </si>
  <si>
    <t>COOPERATIVA CENTRAL DE CRÉDITO E ECONOMIA COM INTERAÇÃO SOLIDÁRIA - CRESOL CENTRAL BRASIL</t>
  </si>
  <si>
    <t>COOPERATIVA DE CRÉDITO DO VALE DO ITAJAÍ E LITORAL CATARINENSE - SICREDI VALE LITORAL SC</t>
  </si>
  <si>
    <t>ITAPEMA</t>
  </si>
  <si>
    <t>NEON PAGAMENTOS S.A. - INSTITUIÇÃO DE PAGAMENTO</t>
  </si>
  <si>
    <t>BB-BANCO DE INVESTIMENTO S/A</t>
  </si>
  <si>
    <t>WARREN RENA DISTRIBUIDORA DE TÍTULOS E VALORES MOBILIÁRIOS LTDA</t>
  </si>
  <si>
    <t>WARREN CCVM LTDA - PRUDENCIAL</t>
  </si>
  <si>
    <t>C0052333</t>
  </si>
  <si>
    <t>C0082664</t>
  </si>
  <si>
    <t>MAREE INSTITUIÇÃO DE PAGAMENTO LTDA.</t>
  </si>
  <si>
    <t>MAREE IP - PRUDENCIAL</t>
  </si>
  <si>
    <t>C0086275</t>
  </si>
  <si>
    <t>IFOOD PAGO INSTITUIÇÃO DE PAGAMENTO S.A.</t>
  </si>
  <si>
    <t>IFOOD PAGO IP - PRUDENCIAL</t>
  </si>
  <si>
    <t>C0087346</t>
  </si>
  <si>
    <t>COOPERATIVA DE CRÉDITO, POUPANÇA E INVESTIMENTO OURO BRANCO - SICREDI OURO BRANCO RS/MG</t>
  </si>
  <si>
    <t>TEUTONIA</t>
  </si>
  <si>
    <t>COOPERATIVA DE CRÉDITO, POUPANÇA E INVESTIMENTO INTERESTADOS - SICREDI INTERESTADOS</t>
  </si>
  <si>
    <t>PELOTAS</t>
  </si>
  <si>
    <t>PEFISA S.A. - CRÉDITO, FINANCIAMENTO E INVESTIMENTO</t>
  </si>
  <si>
    <t>PEFISA S.A. - PRUDENCIAL</t>
  </si>
  <si>
    <t>C0080305</t>
  </si>
  <si>
    <t>BANCO GENIAL S.A.</t>
  </si>
  <si>
    <t>GENIAL - PRUDENCIAL</t>
  </si>
  <si>
    <t>C0051839</t>
  </si>
  <si>
    <t>C0080941</t>
  </si>
  <si>
    <t>BB-LEASING S/A ARRENDAMENTO MERCANTIL</t>
  </si>
  <si>
    <t>COOPERATIVA DE CRÉDITO DE LIVRE ADMISSÃO DO SUDOESTE GOIANO</t>
  </si>
  <si>
    <t>RIO VERDE</t>
  </si>
  <si>
    <t>COOPERATIVA DE CRÉDITO, POUPANÇA E INVESTIMENTO DA REGIÃO ALTOS DA SERRA - SICREDI ALTOS DA SERRA RS/SC</t>
  </si>
  <si>
    <t>TAPEJARA</t>
  </si>
  <si>
    <t>COOPERATIVA DE CRÉDITO, POUPANÇA E INVESTIMENTO DO NORTE E NORDESTE DE SANTA CATARINA - SICREDI NORTE SC</t>
  </si>
  <si>
    <t>JOINVILLE</t>
  </si>
  <si>
    <t>NU INVESTIMENTOS S.A. - CORRETORA DE TÍTULOS E VALORES MOBILIÁRIOS</t>
  </si>
  <si>
    <t>COOPERATIVA DE CRÉDITO, POUPANÇA E INVESTIMENTO FRONTEIRAS DO PARANÁ, SANTA CATARINA E SÃO PAULO - SICREDI FRONTEIRAS PR/SC/SP</t>
  </si>
  <si>
    <t>CAPANEMA</t>
  </si>
  <si>
    <t>COOPERATIVA DE CRÉDITO, POUPANÇA E INVESTIMENTO DAS REGIÕES CENTRO DO RS E MG - SICREDI REGIÃO CENTRO RS/MG</t>
  </si>
  <si>
    <t>SANTA MARIA</t>
  </si>
  <si>
    <t>COOPERATIVA DE CRÉDITO, POUPANÇA E INVESTIMENTO DE LAJEADO - SICREDI INTEGRAÇÃO RS/MG</t>
  </si>
  <si>
    <t>LAJEADO</t>
  </si>
  <si>
    <t>COOPERATIVA DE CRÉDITO COOPERMAIS - SICOOB COOPERMAIS</t>
  </si>
  <si>
    <t>SANTA MARIA DE JETIBA</t>
  </si>
  <si>
    <t>COOPERATIVA DE CRÉDITO E INVESTIMENTO DE LIVRE ADMISSÃO AGROEMPRESARIAL - SICREDI AGROEMPRESARIAL PR/SP</t>
  </si>
  <si>
    <t>MANDAGUARI</t>
  </si>
  <si>
    <t>FINANCEIRA ALFA S.A. - SOCIEDADE DE CRÉDITO, FINANCIAMENTO E INVESTIMENTO</t>
  </si>
  <si>
    <t>J.P. MORGAN CORRETORA DE TÍTULOS E VALORES MOBILIÁRIOS S.A.</t>
  </si>
  <si>
    <t>COOPERATIVA DE CRÉDITO, POUPANÇA E INVESTIMENTO CELEIRO CENTRO OESTE - SICREDI CELEIRO CENTRO OESTE</t>
  </si>
  <si>
    <t>SAO GABRIEL DO OESTE</t>
  </si>
  <si>
    <t>COOPERATIVA DE CRÉDITO DE LIVRE ADMISSÃO DO CENTRO NORTE BRASILEIRO</t>
  </si>
  <si>
    <t>ANAPOLIS</t>
  </si>
  <si>
    <t>NOVO BANCO CONTINENTAL S.A. - BANCO MÚLTIPLO</t>
  </si>
  <si>
    <t>NOVO BCO CONTINENTAL S.A. - BM - PRUDENCIAL</t>
  </si>
  <si>
    <t>C0081768</t>
  </si>
  <si>
    <t>COOPERATIVA DE CRÉDITO, POUPANÇA E INVESTIMENTO SUL RIOGRANDENSE - SICREDI ORIGENS RS</t>
  </si>
  <si>
    <t>COOPERATIVA DE CRÉDITO, POUPANÇA E INVESTIMENTO DO ARAGUAIA E XINGU - SICREDI ARAXINGU</t>
  </si>
  <si>
    <t>CANARANA</t>
  </si>
  <si>
    <t>CREDICOAMO CREDITO RURAL COOPERATIVA</t>
  </si>
  <si>
    <t>CAMPO MOURAO</t>
  </si>
  <si>
    <t>COOPERATIVA DE CRÉDITO, POUPANÇA E INVESTIMENTO DA REGIÃO DA PRODUÇÃO - SICREDI REGIÃO DA PRODUÇÃO RS/SC/MG</t>
  </si>
  <si>
    <t>SARANDI</t>
  </si>
  <si>
    <t>SAFRA LEASING S.A. ARRENDAMENTO MERCANTIL</t>
  </si>
  <si>
    <t>COOPERATIVA DE CRÉDITO, POUPANÇA E INVESTIMENTO SOMA PR/SC/SP - SICREDI SOMA</t>
  </si>
  <si>
    <t>MARIOPOLIS</t>
  </si>
  <si>
    <t>COOPERATIVA DE CRÉDITO, POUPANÇA E INVESTIMENTO DE IBIRAIARAS - SICREDI IBIRAIARAS RS/MG</t>
  </si>
  <si>
    <t>IBIRAIARAS</t>
  </si>
  <si>
    <t>BANCO TRIANGULO S.A.</t>
  </si>
  <si>
    <t>BCO TRIANGULO S.A. - PRUDENCIAL</t>
  </si>
  <si>
    <t>C0081438</t>
  </si>
  <si>
    <t>UBERLANDIA</t>
  </si>
  <si>
    <t>AGÊNCIA DE FOMENTO DO PARANÁ S.A.</t>
  </si>
  <si>
    <t>AF PARANÁ - PRUDENCIAL</t>
  </si>
  <si>
    <t>C0081115</t>
  </si>
  <si>
    <t>BANCO RENDIMENTO S.A.</t>
  </si>
  <si>
    <t>RENDIMENTO - PRUDENCIAL</t>
  </si>
  <si>
    <t>C0051468</t>
  </si>
  <si>
    <t>C0080659</t>
  </si>
  <si>
    <t>COOPERATIVA DE CRÉDITO, POUPANÇA E INVESTIMENTO IGUAÇU - SICREDI IGUAÇU PR/SC E REGIÃO METROPOLITANA DE CAMPINAS/SP</t>
  </si>
  <si>
    <t>SAO JOAO</t>
  </si>
  <si>
    <t>COOPERATIVA DE CRÉDITO UNICRED UNIÃO LTDA - UNICRED UNIÃO</t>
  </si>
  <si>
    <t>ITAJAI</t>
  </si>
  <si>
    <t>COOPERATIVA DE CRÉDITO, POUPANÇA E INVESTIMENTO SICREDI EVOLUÇÃO - SICREDI EVOLUÇÃO</t>
  </si>
  <si>
    <t>JOAO PESSOA</t>
  </si>
  <si>
    <t>PB</t>
  </si>
  <si>
    <t>COOPERATIVA DE CRÉDITO, POUPANÇA E INVESTIMENTO NOVOS HORIZONTES - SICREDI NOVOS HORIZONTES PR/SP/RJ</t>
  </si>
  <si>
    <t>ARAPOTI</t>
  </si>
  <si>
    <t>COOPERATIVA DE CRÉDITO UNICRED VALOR CAPITAL LTDA - UNICRED VALOR CAPITAL</t>
  </si>
  <si>
    <t>COOPERATIVA DE CRÉDITO SICOOB ENGECRED LTDA.</t>
  </si>
  <si>
    <t>DM SOCIEDADE DE CRÉDITO, FINANCIAMENTO E INVESTIMENTO S.A</t>
  </si>
  <si>
    <t>DM SCFI - PRUDENCIAL</t>
  </si>
  <si>
    <t>C0052357</t>
  </si>
  <si>
    <t>C0083467</t>
  </si>
  <si>
    <t>SAO JOSE DOS CAMPOS</t>
  </si>
  <si>
    <t>COOPERATIVA DE CRÉDITO, POUPANÇA E INVESTIMENTO ESSÊNCIA RS/ES - SICREDI ESSÊNCIA</t>
  </si>
  <si>
    <t>ITAQUI</t>
  </si>
  <si>
    <t>COOPERATIVA DE CRÉDITO, POUPANÇA E INVESTIMENTO UNIVALES - SICREDI UNIVALES MT/RO</t>
  </si>
  <si>
    <t>JUINA</t>
  </si>
  <si>
    <t>COOPERATIVA DE CRÉDITO, POUPANÇA E INVESTIMENTO DO SUL DO ESTADO DE SANTA CATARINA - SICREDI SUL SC</t>
  </si>
  <si>
    <t>CRICIUMA</t>
  </si>
  <si>
    <t>COOPERATIVA DE CRÉDITO, POUPANÇA E INVESTIMENTO VALE DO CERRADO - SICREDI VALE DO CERRADO</t>
  </si>
  <si>
    <t>CAMPO VERDE</t>
  </si>
  <si>
    <t>DLOCAL BRASIL INSTITUIÇÃO DE PAGAMENTO S.A.</t>
  </si>
  <si>
    <t>DLOCAL BRASIL INSTITUIÇÃO DE PAGAMENTO - PRUDENCIA</t>
  </si>
  <si>
    <t>C0087133</t>
  </si>
  <si>
    <t>COOPERATIVA DE CRÉDITO SICOOB PRIMAVERA - SICOOB PRIMAVERA</t>
  </si>
  <si>
    <t>PRIMAVERA DO LESTE</t>
  </si>
  <si>
    <t>DESENVOLVE SP - AGÊNCIA DE FOMENTO DO ESTADO DE SÃO PAULO S.A.</t>
  </si>
  <si>
    <t>AF DESENVOLVE SP S.A. - PRUDENCIAL</t>
  </si>
  <si>
    <t>C0081153</t>
  </si>
  <si>
    <t>BANCO LUSO BRASILEIRO S.A.</t>
  </si>
  <si>
    <t>BCO LUSO BRASILEIRO S.A. - PRUDENCIAL</t>
  </si>
  <si>
    <t>C0081706</t>
  </si>
  <si>
    <t>COOPERATIVA DE CRÉDITO DE LIVRE ADMISSÃO DE ASSOCIADOS DO ALTO URUGUAI CATARINENSE - SICOOB CREDIAUC</t>
  </si>
  <si>
    <t>CONCORDIA</t>
  </si>
  <si>
    <t>COOPERATIVA DE CRÉDITO, POUPANÇA E INVESTIMENTO DO PLANALTO CENTRAL - SICREDI PLANALTO CENTRAL</t>
  </si>
  <si>
    <t>CRISTALINA</t>
  </si>
  <si>
    <t>BANCO CARGILL S.A.</t>
  </si>
  <si>
    <t>BCO CARGILL S.A. - PRUDENCIAL</t>
  </si>
  <si>
    <t>C0081414</t>
  </si>
  <si>
    <t>COOPERATIVA DE CRÉDITO DE LIVRE ADMISSÃO DO MÉDIO PIRACICABA, CIRCUITO DO OURO, GRANDE BH E RIO GRANDE DO NORTE LTDA. -  SICOOB CREDIMEPI</t>
  </si>
  <si>
    <t>JOAO MONLEVADE</t>
  </si>
  <si>
    <t>COOPERATIVA DE CRÉDITO DE LIVRE ADMISSÃO DO OESTE MINEIRO LTDA. - SICOOB CREDICOPA</t>
  </si>
  <si>
    <t>PATOS DE MINAS</t>
  </si>
  <si>
    <t>BANCO YAMAHA MOTOR DO BRASIL S.A.</t>
  </si>
  <si>
    <t>YAMAHA MOTOR - PRUDENCIAL</t>
  </si>
  <si>
    <t>C0080721</t>
  </si>
  <si>
    <t>BANCO ANDBANK (BRASIL) S.A.</t>
  </si>
  <si>
    <t>ANDBANK - PRUDENCIAL</t>
  </si>
  <si>
    <t>C0051949</t>
  </si>
  <si>
    <t>C0081256</t>
  </si>
  <si>
    <t>INTESA SANPAOLO BRASIL S.A. - BANCO MÚLTIPLO</t>
  </si>
  <si>
    <t>INTESA SANPAOLO BRASIL S.A. - PRUDENCIAL</t>
  </si>
  <si>
    <t>C0084057</t>
  </si>
  <si>
    <t>DAYCOVAL LEASING SOCIEDADE DE ARRENDAMENTO MERCANTIL S.A.</t>
  </si>
  <si>
    <t>OURIBANK S.A. BANCO MÚLTIPLO</t>
  </si>
  <si>
    <t>OURIBANK - PRUDENCIAL</t>
  </si>
  <si>
    <t>C0081012</t>
  </si>
  <si>
    <t>COOPERATIVA DE CREDITO E INVESTIMENTO COM INTERACAO SOLIDARIA PIONEIRA - CRESOL PIONEIRA</t>
  </si>
  <si>
    <t>DOIS VIZINHOS</t>
  </si>
  <si>
    <t>COOPERATIVA DE CRÉDITO UNICRED CENTRO-SUL LTDA - UNICRED CENTRO-SUL</t>
  </si>
  <si>
    <t>COOPERATIVA DE CRÉDITO, POUPANÇA E INVESTIMENTO INTEGRAÇÃO DE ESTADOS DO RIO GRANDE DO SUL, SANTA CATARINA E MINAS GERAIS - SICREDI INTEGRAÇÃO DE ESTADOS RS/SC/MG</t>
  </si>
  <si>
    <t>BMW FINANCEIRA S.A. - CREDITO, FINANCIAMENTO E INVESTIMENTO</t>
  </si>
  <si>
    <t>BMW - PRUDENCIAL</t>
  </si>
  <si>
    <t>C0051420</t>
  </si>
  <si>
    <t>C0080635</t>
  </si>
  <si>
    <t>BB GESTÃO DE RECURSOS - DISTRIBUIDORA DE TÍTULOS E VALORES MOBILIÁRIOS S.A.</t>
  </si>
  <si>
    <t>BANCO RODOBENS S.A.</t>
  </si>
  <si>
    <t>RODOBENS - PRUDENCIAL</t>
  </si>
  <si>
    <t>C0080855</t>
  </si>
  <si>
    <t>COOPERATIVA DE CRÉDITO, POUPANÇA E INVESTIMENTO REGIÕES DAS CULTURAS - SICREDI DAS CULTURAS RS/MG</t>
  </si>
  <si>
    <t>IJUI</t>
  </si>
  <si>
    <t>MORGAN STANLEY CORRETORA DE TÍTULOS E VALORES MOBILIÁRIOS S.A.</t>
  </si>
  <si>
    <t>BADESUL DESENVOLVIMENTO S.A - AGÊNCIA DE FOMENTO/RS</t>
  </si>
  <si>
    <t>AGENCIA FOMENTO RS BADESUL - PRUDENCIAL</t>
  </si>
  <si>
    <t>C0081029</t>
  </si>
  <si>
    <t>BANCO J. SAFRA S.A.</t>
  </si>
  <si>
    <t>COOPERFORTE COOPERATIVA DE CRÉDITO E INVESTIMENTOS LTDA</t>
  </si>
  <si>
    <t>COOPERATIVA DE CRÉDITO, POUPANÇA E INVESTIMENTO RAÍZES - SICREDI RAÍZES RS/SC/MG</t>
  </si>
  <si>
    <t>CAMPO NOVO</t>
  </si>
  <si>
    <t>COOPERATIVA DE ECONOMIA E CREDITO MUTUO DOS MEDICOS DE PORTO ALEGRE LTDA-UNICRED PORTO ALEGRE</t>
  </si>
  <si>
    <t>COOPERATIVA DE CREDITO CREDIROCHAS - SICOOB CREDIROCHAS</t>
  </si>
  <si>
    <t>COOPERATIVA DE CRÉDITO, POUPANÇA E INVESTIMENTO CENTRO SUL - SICREDI CENTRO SUL PR/SC/RJ</t>
  </si>
  <si>
    <t>PRUDENTOPOLIS</t>
  </si>
  <si>
    <t>VORTX DISTRIBUIDORA DE TITULOS E VALORES MOBILIARIOS LTDA.</t>
  </si>
  <si>
    <t>VORTX DTVM - PRUDENCIAL</t>
  </si>
  <si>
    <t>C0052364</t>
  </si>
  <si>
    <t>C0084538</t>
  </si>
  <si>
    <t>COOPERATIVA DE CRÉDITO AGROCREDI LTDA. - SICOOB AGROCREDI</t>
  </si>
  <si>
    <t>GUAXUPE</t>
  </si>
  <si>
    <t>COOPERATIVA DE CRÉDITO CREDIVAR LTDA. - SICOOB CREDIVAR</t>
  </si>
  <si>
    <t>VARGINHA</t>
  </si>
  <si>
    <t>COOPERATIVA DE CRÉDITO, POUPANÇA E INVESTIMENTO BOTUCARAÍ - SICREDI BOTUCARAÍ RS/MG</t>
  </si>
  <si>
    <t>SOLEDADE</t>
  </si>
  <si>
    <t>COOPERATIVA DE CRÉDITO SICOOB VALE SUL</t>
  </si>
  <si>
    <t>COOPERATIVA DE CRÉDITO, POUPANÇA E INVESTIMENTO PROGRESSO - SICREDI PROGRESSO PR/SP</t>
  </si>
  <si>
    <t>TOLEDO</t>
  </si>
  <si>
    <t>CREDSYSTEM INSTITUIÇÃO DE PAGAMENTO LTDA</t>
  </si>
  <si>
    <t>CREDSYSTEM IP - PRUDENCIAL</t>
  </si>
  <si>
    <t>C0085441</t>
  </si>
  <si>
    <t>COOPERATIVA DE CRÉDITO, POUPANÇA E INVESTIMENTO DE CAMPO GRANDE E REGIÃO - SICREDI CAMPO GRANDE MS/GO</t>
  </si>
  <si>
    <t>99PAY INSTITUICAO DE PAGAMENTO S.A.</t>
  </si>
  <si>
    <t>99PAY IP - PRUDENCIAL</t>
  </si>
  <si>
    <t>C0087793</t>
  </si>
  <si>
    <t>BBVA BRASIL BANCO DE INVESTIMENTO S.A.</t>
  </si>
  <si>
    <t>BBVA BRASIL BI S.A. - PRUDENCIAL</t>
  </si>
  <si>
    <t>C0081366</t>
  </si>
  <si>
    <t>QI CORRETORA DE TÍTULOS E VALORES MOBILIÁRIOS S.A.</t>
  </si>
  <si>
    <t>QI SCD - PRUDENCIAL</t>
  </si>
  <si>
    <t>C0052395</t>
  </si>
  <si>
    <t>C0084882</t>
  </si>
  <si>
    <t>COOPERATIVA DE CRÉDITO, POUPANÇA E INVESTIMENTO INTEGRAÇÃO DO SUL DE MATO GROSSO, AMAPÁ E PARÁ - SICREDI INTEGRAÇÃO MT/AP/PA</t>
  </si>
  <si>
    <t>RONDONOPOLIS</t>
  </si>
  <si>
    <t>COOPERATIVA DE CRÉDITO, POUPANÇA E INVESTIMENTO CAMINHO DAS ÁGUAS RS - SICREDI CAMINHO DAS ÁGUAS RS</t>
  </si>
  <si>
    <t>ROLANTE</t>
  </si>
  <si>
    <t>COOPERATIVA DE CRÉDITO, POUPANÇA E INVESTIMENTO DO CERRADO DE GOIÁS - SICREDI CERRADO GO</t>
  </si>
  <si>
    <t>ADYEN DO BRASIL INSTITUICAO DE PAGAMENTO LTDA.</t>
  </si>
  <si>
    <t>ADYEN DO BRASIL IP - PRUDENCIAL</t>
  </si>
  <si>
    <t>C0087401</t>
  </si>
  <si>
    <t>COOPERATIVA DE CRÉDITO, POUPANÇA E INVESTIMENTO PARANAPANEMA SERRANA PR/SP/RJ - SICREDI PARANAPANEMA SERRANA PR/SP/RJ</t>
  </si>
  <si>
    <t>CAMBARA</t>
  </si>
  <si>
    <t>COOPERATIVA DE CRÉDITO DE LIVRE ADMISSÃO DE ASSOCIADOS SUL CATARINENSE - SICOOB CREDISULCA SC</t>
  </si>
  <si>
    <t>TURVO</t>
  </si>
  <si>
    <t>COOPERATIVA DE CRÉDITO, POUPANÇA E INVESTIMENTO RIO PARANÁ - SICREDI RIO PARANÁ</t>
  </si>
  <si>
    <t>NOVA LONDRINA</t>
  </si>
  <si>
    <t>CREDISIS - CENTRAL DE COOPERATIVAS DE CRÉDITO</t>
  </si>
  <si>
    <t>JI-PARANA</t>
  </si>
  <si>
    <t>COOPERATIVA DE CREDITO DE LIVRE ADMISSÃO DO SUL DE MINAS LTDA - SICOOB CREDIVASS</t>
  </si>
  <si>
    <t>SAO GONCALO DO SAPUCAI</t>
  </si>
  <si>
    <t>CORA SOCIEDADE DE CRÉDITO, FINANCIAMENTO E INVESTIMENTO S.A.</t>
  </si>
  <si>
    <t>CORA SCFI - PRUDENCIAL</t>
  </si>
  <si>
    <t>C0085317</t>
  </si>
  <si>
    <t>COOPERATIVA DE CRÉDITO SICOOB OURO VERDE</t>
  </si>
  <si>
    <t>COOPERATIVA DE CRÉDITO DE LIVRE ADMISSÃO DO PONTAL DO TRIANGULO LTDA - SICOOB CREDIPONTAL</t>
  </si>
  <si>
    <t>ITUIUTABA</t>
  </si>
  <si>
    <t>BANCO KDB DO BRASIL S.A.</t>
  </si>
  <si>
    <t>BCO KDB BRASIL S.A. - PRUDENCIAL</t>
  </si>
  <si>
    <t>C0081603</t>
  </si>
  <si>
    <t>COOPERATIVA DE CRÉDITO ROTA DAS TERRAS - SICREDI   ROTA DAS TERRAS</t>
  </si>
  <si>
    <t>TAPERA</t>
  </si>
  <si>
    <t>ASA SOCIEDADE DE CRÉDITO FINANCIAMENTO E INVESTIMENTO S.A.</t>
  </si>
  <si>
    <t>ASA SCFI - PRUDENCIAL</t>
  </si>
  <si>
    <t>C0086608</t>
  </si>
  <si>
    <t>COOPERATIVA DE CRÉDITO DE LIVRE ADMISSÃO DE ASSOCIADOS DO VALE DO VINHO - SICOOB VALE DO VINHO</t>
  </si>
  <si>
    <t>VIDEIRA</t>
  </si>
  <si>
    <t>COOPERATIVA DE CRÉDITO, POUPANÇA E INVESTIMENTO TERRA DOS PINHEIRAIS DO PARANÁ E NOROESTE PAULISTA - SICREDI PLANALTO DAS ÁGUAS PR/SP</t>
  </si>
  <si>
    <t>GUARAPUAVA</t>
  </si>
  <si>
    <t>ASAAS GESTÃO FINANCEIRA INSTITUIÇÃO DE PAGAMENTO S.A.</t>
  </si>
  <si>
    <t>ASAAS GESTAO FINANCEIRA IP - PRUDENCIAL</t>
  </si>
  <si>
    <t>C0085771</t>
  </si>
  <si>
    <t>BANCO BRASILEIRO DE CRÉDITO SOCIEDADE ANÔNIMA</t>
  </si>
  <si>
    <t>BBC S.A. - PRUDENCIAL</t>
  </si>
  <si>
    <t>C0084480</t>
  </si>
  <si>
    <t>COOPERATIVA DE CRÉDITO, POUPANÇA E INVESTIMENTO NORTE SUL - SICREDI NORTE SUL</t>
  </si>
  <si>
    <t>SANTO ANTONIO DA PLATINA</t>
  </si>
  <si>
    <t>COOPERATIVA DE CRÉDITO E INVESTIMENTO COM INTERAÇÃO SOLIDÁRIA FRONTEIRAS PR/SC/SP/ES - CRESOL FRONTEIRAS PR/SC/SP/ES</t>
  </si>
  <si>
    <t>REALEZA</t>
  </si>
  <si>
    <t>COOPERATIVA DE CRÉDITO, POUPANÇA E INVESTIMENTO SUL MINAS DO RIO GRANDE DO SUL E MINAS GERAIS - SICREDI SUL MINAS RS/MG.</t>
  </si>
  <si>
    <t>ESTACAO</t>
  </si>
  <si>
    <t>COOPERATIVA DE CRÉDITO, POUPANÇA E INVESTIMENTO NOSSA TERRA - SICREDI NOSSA TERRA PR/SP</t>
  </si>
  <si>
    <t>CAFELANDIA</t>
  </si>
  <si>
    <t>COOPERATIVA CENTRAL DE ECONOMIA E CRÉDITO SICOOB UNIMAIS RIO LTDA.</t>
  </si>
  <si>
    <t>BANCO ALFA DE INVESTIMENTO S.A.</t>
  </si>
  <si>
    <t>COOPERATIVA DE CRÉDITO, POUPANÇA E INVESTIMENTO DO NOROESTE DE MATO GROSSO, ACRE E AMAZONAS - SICREDI BIOMAS</t>
  </si>
  <si>
    <t>ARAPUTANGA</t>
  </si>
  <si>
    <t>COOPERATIVA DE CRÉDITO, POUPANÇA E INVESTIMENTO CONFIANÇA - SICREDI CONFIANÇA</t>
  </si>
  <si>
    <t>TRES DE MAIO</t>
  </si>
  <si>
    <t>COOPERATIVA DE CRÉDITO E INVESTIMENTO COM INTERAÇÃO SOLIDÁRIA RAIZ - CRESOL RAIZ</t>
  </si>
  <si>
    <t>FREDERICO WESTPHALEN</t>
  </si>
  <si>
    <t>INTER PAG INSTITUIÇÃO DE PAGAMENTO S.A.</t>
  </si>
  <si>
    <t>BANCO ABN AMRO CLEARING S.A.</t>
  </si>
  <si>
    <t>BCO ABN AMRO CLEARING - PRUDENCIAL</t>
  </si>
  <si>
    <t>C0052302</t>
  </si>
  <si>
    <t>C0081579</t>
  </si>
  <si>
    <t>COOPERATIVA DE CRÉDITO, POUPANÇA E INVESTIMENTO DO VALE DO RIO PARDO - SICREDI VALE DO RIO PARDO RS</t>
  </si>
  <si>
    <t>SANTA CRUZ DO SUL</t>
  </si>
  <si>
    <t>COOPERATIVA DE CRÉDITO DE LIVRE ADMISSÃO DE ASSOCIADOS AURIVERDE -  SICOOB - CREDIAL SC/RS</t>
  </si>
  <si>
    <t>CUNHA PORA</t>
  </si>
  <si>
    <t>COOPERATIVA DE CREDITO DE LIVRE ADMISSÃO DE ASSOCIADOS ITAIPU SICOOB CREDITAIPU</t>
  </si>
  <si>
    <t>PINHALZINHO</t>
  </si>
  <si>
    <t>COOPERATIVA DE CRÉDITO GERAÇÕES - SICREDI GERAÇÕES RS/MG</t>
  </si>
  <si>
    <t>CACHOEIRA DO SUL</t>
  </si>
  <si>
    <t>SUMUP INSTITUICAO DE PAGAMENTO BRASIL LTDA</t>
  </si>
  <si>
    <t>SUMUP IP - PRUDENCIAL</t>
  </si>
  <si>
    <t>C0085238</t>
  </si>
  <si>
    <t>COOPERATIVA DE CRÉDITO LITORÂNEA</t>
  </si>
  <si>
    <t>JACINTO MACHADO</t>
  </si>
  <si>
    <t>COOPERATIVA CENTRAL DE CRÉDITO, POUPANÇA E INVESTIMENTO DO SUL E SUDESTE - CENTRAL SICREDI SUL/SUDESTE</t>
  </si>
  <si>
    <t>COOPERATIVA DE CRÉDITO SUL - SICOOB SUL</t>
  </si>
  <si>
    <t>OMNI BANCO S.A.</t>
  </si>
  <si>
    <t>PAYPAL DO BRASIL INSTITUIÇÃO DE PAGAMENTO LTDA.</t>
  </si>
  <si>
    <t>PAYPAL DO BRASIL IP - PRUDENCIAL</t>
  </si>
  <si>
    <t>C0085018</t>
  </si>
  <si>
    <t>BANCO AFINZ S.A. - BANCO MÚLTIPLO</t>
  </si>
  <si>
    <t>BANCO AFINZ BM - PRUDENCIAL</t>
  </si>
  <si>
    <t>C0083539</t>
  </si>
  <si>
    <t>SOROCABA</t>
  </si>
  <si>
    <t>COOPERATIVA DE CRÉDITO, POUPANÇA E INVESTIMENTO SEMENTES DO SUL - SICREDI SEMENTES DO SUL</t>
  </si>
  <si>
    <t>ESPUMOSO</t>
  </si>
  <si>
    <t>COOPERATIVA DE CRÉDITO DOS TRANSPORTES, CORREIOS E LOGÍSTICA DO BRASIL - TRANSPOCRED</t>
  </si>
  <si>
    <t>COOPERATIVA DE CRÉDITO PRO</t>
  </si>
  <si>
    <t>GUARIBA</t>
  </si>
  <si>
    <t>COOPERATIVA DE CRÉDITO, POUPANÇA E INVESTIMENTO CENTRO SERRA - SICREDI CENTRO SERRA RS</t>
  </si>
  <si>
    <t>AGUDO</t>
  </si>
  <si>
    <t>COOPERATIVA DE CRÉDITO DE EMPRESÁRIOS - SICOOB/TRANSCREDI</t>
  </si>
  <si>
    <t>BANCO RANDON S.A.</t>
  </si>
  <si>
    <t>RANDON - PRUDENCIAL</t>
  </si>
  <si>
    <t>C0080800</t>
  </si>
  <si>
    <t>CAXIAS DO SUL</t>
  </si>
  <si>
    <t>BTG PACTUAL SERVIÇOS FINANCEIROS S.A. DISTRIBUIDORA DE TÍTULOS E VALORES MOBILIÁRIOS</t>
  </si>
  <si>
    <t>COOPERATIVA DE CRÉDITO E INVESTIMENTO COM INTERAÇÃO SOLIDÁRIA DO VALE EUROPEU - CRESOL VALE EUROPEU</t>
  </si>
  <si>
    <t>AGUAS MORNAS</t>
  </si>
  <si>
    <t>DOCK INSTITUIÇÃO DE PAGAMENTO S.A.</t>
  </si>
  <si>
    <t>DOCK IP - PRUDENCIAL</t>
  </si>
  <si>
    <t>C0084789</t>
  </si>
  <si>
    <t>COOPERATIVA DE CRÉDITO DE LIVRE ADMISSÃO DO VALE - SICOOB CREDIVALE/SC</t>
  </si>
  <si>
    <t>BRACO DO NORTE</t>
  </si>
  <si>
    <t>COOPERATIVA DE CRÉDITO DE LIVRE ADMISSÃO DA REGIÃO CENTRAL E OESTE MINEIRO LTDA. - SICOOB DIVICRED</t>
  </si>
  <si>
    <t>DIVINOPOLIS</t>
  </si>
  <si>
    <t>COOPERATIVA DE CRÉDITO SUL-LITORÂNEA DO ESPÍRITO SANTO</t>
  </si>
  <si>
    <t>ALFREDO CHAVES</t>
  </si>
  <si>
    <t>S3 CACEIS BRASIL DISTRIBUIDORA DE TÍTULOS E VALORES MOBILIÁRIOS S.A.</t>
  </si>
  <si>
    <t>S3 CACEIS BRASIL DTVM - PRUDENCIAL</t>
  </si>
  <si>
    <t>C0086622</t>
  </si>
  <si>
    <t>BRASIL CARD INSTITUIÇÃO DE PAGAMENTOS LTDA</t>
  </si>
  <si>
    <t>COBUCCIO SCFI - PRUDENCIAL</t>
  </si>
  <si>
    <t>C0085173</t>
  </si>
  <si>
    <t>MONTE BELO</t>
  </si>
  <si>
    <t>CENTRAL DAS COOPERATIVAS DE CRÉDITO DOS ESTADOS DE MATO GROSSO, MATO GROSSO DO SUL E DO MUNICÍPIO DE CACOAL/RO - SICOOB CENTRAL RONDON</t>
  </si>
  <si>
    <t>CUIABA</t>
  </si>
  <si>
    <t>COOPERATIVA DE CRÉDITO DE LIVRE ADMISSÃO DA UNIÃO DOS VALES DO PIRANGA E MATIPÓ LTDA. - SICOOB UNIÃO DOS VALES</t>
  </si>
  <si>
    <t>RAUL SOARES</t>
  </si>
  <si>
    <t>COOPERATIVA DE CRÉDITO, POUPANÇA E INVESTIMENTO DA REGIÃO CENTRO OESTE PAULISTA - SICREDI CENTRO OESTE PAULISTA</t>
  </si>
  <si>
    <t>MARILIA</t>
  </si>
  <si>
    <t>COOPERATIVA DE CRÉDITO, POUPANÇA E INVESTIMENTO GRANDES LAGOS DO PARANÁ E LITORAL PAULISTA - SICREDI GRANDES LAGOS PR/SP</t>
  </si>
  <si>
    <t>LARANJEIRAS DO SUL</t>
  </si>
  <si>
    <t>FLASH TECNOLOGIA E  INSTITUICAO DE PAGAMENTO LTDA</t>
  </si>
  <si>
    <t>FLASH TECNOLOGIA IP - PRUDENCIAL</t>
  </si>
  <si>
    <t>C0087315</t>
  </si>
  <si>
    <t>COOPERATIVA DE CRÉDITO DOS MÉDICOS, PROFISSIONAIS DA SAÚDE E EMPRESÁRIOS - UNICRED RAÍZES</t>
  </si>
  <si>
    <t>COOPERATIVA DE CRÉDITO CREDILIVRE LTDA. - SICOOB CREDILIVRE</t>
  </si>
  <si>
    <t>MANHUACU</t>
  </si>
  <si>
    <t>COOPERATIVA DE CRÉDITO E INVESTIMENTO COM INTERAÇÃO SOLIDÁRIA TRADIÇÃO - CRESOL TRADIÇÃO</t>
  </si>
  <si>
    <t>COOPERATIVA DE CRÉDITO - SICREDI EXPANSÃO</t>
  </si>
  <si>
    <t>MACEIO</t>
  </si>
  <si>
    <t>AL</t>
  </si>
  <si>
    <t>COOPERATIVA DE CRÉDITO, POUPANÇA E INVESTIMENTO DO RIO GRANDE DO NORTE - SICREDI RIO GRANDE DO NORTE</t>
  </si>
  <si>
    <t>NATAL</t>
  </si>
  <si>
    <t>RN</t>
  </si>
  <si>
    <t>BANCO CREFISA S.A.</t>
  </si>
  <si>
    <t>COOPERATIVA DE CRÉDITO UNICRED DESBRAVADORA LTDA - UNICRED DESBRAVADORA</t>
  </si>
  <si>
    <t>COOPERATIVA DE CRÉDITO, POUPANÇA E INVESTIMENTO INTEGRAÇÃO - SICREDI INTEGRAÇÃO PR/SC</t>
  </si>
  <si>
    <t>LAPA</t>
  </si>
  <si>
    <t>COOPERATIVA DE CRÉDITO DE LIVRE ADMISSÃO DE ASSOCIADOS OESTE CATARINENSE</t>
  </si>
  <si>
    <t>PALMITOS</t>
  </si>
  <si>
    <t>BANCO DA CHINA BRASIL S.A.</t>
  </si>
  <si>
    <t>COOPERATIVA DE CRÉDITO DA REGIÃO MERIDIONAL DO BRASIL - SICOOB UNICOOB MERIDIONAL</t>
  </si>
  <si>
    <t>COOPERATIVA DE CRÉDITO DE LIVRE ADMISSÃO DA REGIÃO DO CIRCUITO CAMPOS DAS VERTENTES LTDA - SICOOB COPERMEC</t>
  </si>
  <si>
    <t>CLAUDIO</t>
  </si>
  <si>
    <t>COOPERATIVA DE CRÉDITO DO NORTE CATARINENSE E SUL PARANAENSE - SICOOB CREDINORTE</t>
  </si>
  <si>
    <t>MAFRA</t>
  </si>
  <si>
    <t>BTG PACTUAL ASSET MANAGEMENT S.A. DISTRIBUIDORA DE TÍTULOS E VALORES MOBILIÁRIOS</t>
  </si>
  <si>
    <t>COOPERATIVA DE CRÉDITO, POUPANÇA E INVESTIMENTO VALOR SUSTENTÁVEL - SICREDI VALOR SUSTENTÁVEL PR/SP</t>
  </si>
  <si>
    <t>JANDAIA DO SUL</t>
  </si>
  <si>
    <t>COOPERATIVA DE CRÉDITO DE LIVRE ADMISSÃO DA ZONA DA MATA LTDA   SICOOB COOPEMATA</t>
  </si>
  <si>
    <t>CATAGUASES</t>
  </si>
  <si>
    <t>MAGALUPAY INSTITUIÇÃO DE PAGAMENTO S.A.</t>
  </si>
  <si>
    <t>MAGALUPAY IP - PRUDENCIAL</t>
  </si>
  <si>
    <t>C0085348</t>
  </si>
  <si>
    <t>COOPERATIVA DE CRÉDITO DE LIVRE ADMISSÃO DO ALTO VALE DO ITAJAÍ - VIACREDI ALTO VALE</t>
  </si>
  <si>
    <t>IBIRAMA</t>
  </si>
  <si>
    <t>COOPERATIVA DE CRÉDITO E INVESTIMENTO COM INTERAÇÃO SOLIDÁRIA CENTRO SUL - CRESOL CENTRO SUL</t>
  </si>
  <si>
    <t>COOPERATIVA DE CRÉDITO E INVESTIMENTO COM INTERAÇÃO SOLIDÁRIA UNIÃO DOS VALES - CRESOL UNIÃO DOS VALES</t>
  </si>
  <si>
    <t>IVAIPORA</t>
  </si>
  <si>
    <t>CENTRAL DAS COOPERATIVAS DE CRÉDITO DO ESTADO DE SÃO PAULO - SICOOB CENTRAL CECRESP</t>
  </si>
  <si>
    <t>COOPERATIVA DE CRÉDITO E ECONOMIA COM INTERAÇÃO SOLIDÁRIA - CRESOL NOROESTE</t>
  </si>
  <si>
    <t>CONSTANTINA</t>
  </si>
  <si>
    <t>COOPERATIVA DE CRÉDITO COCRE</t>
  </si>
  <si>
    <t>PIRACICABA</t>
  </si>
  <si>
    <t>BANCO DE DESENVOLVIMENTO DO ESPIRITO SANTO S.A.</t>
  </si>
  <si>
    <t>BCO DES. DO ES S.A. - PRUDENCIAL</t>
  </si>
  <si>
    <t>C0081304</t>
  </si>
  <si>
    <t>SANTANDER INSTITUCIONAL CORRETORA DE CÂMBIO E VALORES MOBILIÁRIOS S.A.</t>
  </si>
  <si>
    <t>AGÊNCIA DE FOMENTO DO ESTADO DE SANTA CATARINA S.A.-BADESC</t>
  </si>
  <si>
    <t>AF DO ESTADO DE SC S.A. - PRUDENCIAL</t>
  </si>
  <si>
    <t>C0081074</t>
  </si>
  <si>
    <t>COOPERATIVA DE CRÉDITO, POUPANÇA E INVESTIMENTO VALE DO JAGUARI E ZONA DA MATA - SICREDI VALE DO JAGUARI E ZONA DA MATA RS/MG</t>
  </si>
  <si>
    <t>SANTIAGO</t>
  </si>
  <si>
    <t>BANCO PAULISTA S.A.</t>
  </si>
  <si>
    <t>BANCO PAULISTA - PRUDENCIAL</t>
  </si>
  <si>
    <t>C0080381</t>
  </si>
  <si>
    <t>EBANX INSTITUICAO DE PAGAMENTOS LTDA.</t>
  </si>
  <si>
    <t>EBANX IP - PRUDENCIAL</t>
  </si>
  <si>
    <t>C0085094</t>
  </si>
  <si>
    <t>COOPERATIVA DE CRÉDITO ALTO VALE DO ITAJAÍ - SICOOB ALTO VALE</t>
  </si>
  <si>
    <t>RIO DO SUL</t>
  </si>
  <si>
    <t>GOLDMAN SACHS DO BRASIL CORRETORA DE TÍTULOS E VALORES MOBILIÁRIOS S.A.</t>
  </si>
  <si>
    <t>COOPERATIVA DE CREDITO CREDICERIPA - SICOOB CREDICERIPA</t>
  </si>
  <si>
    <t>ITAI</t>
  </si>
  <si>
    <t>COOPERATIVA DE ECONOMIA E CRÉDITO MÚTUO UNICRED PREMIUM CAPITAL - UNICRED PREMIUM CAPITAL</t>
  </si>
  <si>
    <t>SICOOB MANTIQUEIRA - COOPERATIVA DE CRÉDITO DE LIVRE ADMISSÃO</t>
  </si>
  <si>
    <t>TAUBATE</t>
  </si>
  <si>
    <t>PAGUEVELOZ INSTITUIÇÃO DE PAGAMENTO LTDA.</t>
  </si>
  <si>
    <t>PAGUEVELOZ IP - PRUDENCIAL</t>
  </si>
  <si>
    <t>C0086505</t>
  </si>
  <si>
    <t>COOPERATIVA CENTRAL DE CRÉDITO, POUPANÇA E INVESTIMENTO DOS ESTADOS DO PARANÁ, SÃO PAULO E RIO DE JANEIRO - CENTRAL SICREDI PR/SP/RJ</t>
  </si>
  <si>
    <t>SICREDI VEREDAS COOPERATIVA DE CREDITO</t>
  </si>
  <si>
    <t>COOPERATIVA CENTRAL DE CRÉDITO DA BAHIA LTDA - SICOOB CENTRAL BA</t>
  </si>
  <si>
    <t>COOPERATIVA DE CRÉDITO CREDIGUAÇU - SICOOB CREDIGUAÇU</t>
  </si>
  <si>
    <t>DESCALVADO</t>
  </si>
  <si>
    <t>J.P. MORGAN S.A. - DISTRIBUIDORA DE TÍTULOS E VALORES MOBILIÁRIOS</t>
  </si>
  <si>
    <t>BANCO TOPÁZIO S.A.</t>
  </si>
  <si>
    <t>BANCO TOPÁZIO S.A. - PRUDENCIAL</t>
  </si>
  <si>
    <t>C0081517</t>
  </si>
  <si>
    <t>BANCO BARI DE INVESTIMENTOS E FINANCIAMENTOS S.A.</t>
  </si>
  <si>
    <t>BANCO BARI DE INVESTIMENTO E FINANCI. - PRUDENCIAL</t>
  </si>
  <si>
    <t>C0051774</t>
  </si>
  <si>
    <t>C0080893</t>
  </si>
  <si>
    <t>CREDISIS PRIMACREDI COOPERATIVA DE CRÉDITO</t>
  </si>
  <si>
    <t>QI SOCIEDADE DE CRÉDITO DIRETO S.A.</t>
  </si>
  <si>
    <t>CITIGROUP GLOBAL MARKETS BRASIL, CORRETORA DE CÂMBIO, TÍTULOS E VALORES MOBILIÁRIOS S.A.</t>
  </si>
  <si>
    <t>HPE FINANCIAL SERVICES ARRENDAMENTO MERCANTIL S.A.</t>
  </si>
  <si>
    <t>HPE FINANCIAL SERVICES AM - PRUDENCIAL</t>
  </si>
  <si>
    <t>C0082987</t>
  </si>
  <si>
    <t>COOPERATIVA DE CRÉDITO DE LIVRE ADMISSÃO DA REGIÃO METROPOLITANA DE GOIÂNIA LTDA.</t>
  </si>
  <si>
    <t>COOPERATIVA DE CRÉDITO DE LIVRE ADMISSÃO DE ASSOCIADOS DO PLANALTO CATARINENSE SICOOB CREDIPLANALTO SC/RS</t>
  </si>
  <si>
    <t>PAPANDUVA</t>
  </si>
  <si>
    <t>COOPERATIVA DE CRÉDITO UNICRED EVOLUÇÃO LTDA. - UNICRED EVOLUÇÃO</t>
  </si>
  <si>
    <t>COOPERATIVA DE CRÉDITO DE LIVRE ADMISSÃO SICOOB ARENITO PARANÁ / SÃO PAULO</t>
  </si>
  <si>
    <t>UMUARAMA</t>
  </si>
  <si>
    <t>COOPERATIVA DE CRÉDITO E INVESTIMENTO LIBERDADE - SICREDI LIBERDADE</t>
  </si>
  <si>
    <t>BAGE</t>
  </si>
  <si>
    <t>COOPERATIVA DE CRÉDITO DE LIVRE ADMISSÃO DA PARAÍBA - SICOOB PARAÍBA</t>
  </si>
  <si>
    <t>CAMPINA GRANDE</t>
  </si>
  <si>
    <t>DAYCOVAL LEASING - BANCO MÚLTIPLO S.A.</t>
  </si>
  <si>
    <t>COOPERATIVA DE CRÉDITO DA AMAZÔNIA - SICOOB AMAZÔNIA</t>
  </si>
  <si>
    <t>BURITIS</t>
  </si>
  <si>
    <t>LEASEPLAN ARRENDAMENTO MERCANTIL S.A.</t>
  </si>
  <si>
    <t>LEASEPLAN AM S.A. - PRUDENCIAL</t>
  </si>
  <si>
    <t>C0082963</t>
  </si>
  <si>
    <t>CLOUDWALK FINANCEIRA S.A. CRÉDITO, FINANCIAMENTO E INVESTIMENTO</t>
  </si>
  <si>
    <t>AFINZ INSTITUIÇÃO DE PAGAMENTO S.A.</t>
  </si>
  <si>
    <t>BANCO CAIXA GERAL - BRASIL S.A.</t>
  </si>
  <si>
    <t>CAIXA GERAL - PRUDENCIAL</t>
  </si>
  <si>
    <t>C0051815</t>
  </si>
  <si>
    <t>C0080927</t>
  </si>
  <si>
    <t>COOPERATIVA DE CRÉDITO E INVESTIMENTO COM INTERAÇÃO SOLIDÁRIA UNIÃO - CRESOL UNIÃO</t>
  </si>
  <si>
    <t>CORONEL VIVIDA</t>
  </si>
  <si>
    <t>STATE STREET BRASIL S.A. - BANCO COMERCIAL</t>
  </si>
  <si>
    <t>STATE STREET BRASIL - PRUDENCIAL</t>
  </si>
  <si>
    <t>C0081627</t>
  </si>
  <si>
    <t>COOPERATIVA DE CRÉDITO UNICRED DO ESTADO DE SÃO PAULO LTDA.</t>
  </si>
  <si>
    <t>COOPERATIVA DE ECONOMIA E CRÉDITO MÚTUO UNICRED INTEGRAÇÃO LTDA.</t>
  </si>
  <si>
    <t>BANCO BMG CONSIGNADO S.A.</t>
  </si>
  <si>
    <t>RECARGAPAY INSTITUICAO DE PAGAMENTO LTDA.</t>
  </si>
  <si>
    <t>RECARGAPAY IP - PRUDENCIAL</t>
  </si>
  <si>
    <t>C0085898</t>
  </si>
  <si>
    <t>COOPERATIVA DE CRÉDITO SAROM</t>
  </si>
  <si>
    <t>SAO ROQUE DE MINAS</t>
  </si>
  <si>
    <t>COOPERATIVA DE CRÉDITO CREDICOCAPEC</t>
  </si>
  <si>
    <t>FRANCA</t>
  </si>
  <si>
    <t>BANCO RIBEIRAO PRETO S.A.</t>
  </si>
  <si>
    <t>BANCO RIBEIRÃO PRETO - PRUDENCIAL</t>
  </si>
  <si>
    <t>C0084349</t>
  </si>
  <si>
    <t>COOPERATIVA DE CRÉDITO E INVESTIMENTO SICOOB CENTRO</t>
  </si>
  <si>
    <t>COOPERATIVA DE CRÉDITO UNICRED VALE LTDA - UNICRED VALE</t>
  </si>
  <si>
    <t>COOPERATIVA DE CRÉDITO COOPACREDI LTDA. - SICOOB COOPACREDI</t>
  </si>
  <si>
    <t>PATROCINIO</t>
  </si>
  <si>
    <t>COOPERATIVA DE CRÉDITO INTEGRADO - SICOOB INTEGRADO</t>
  </si>
  <si>
    <t>PATO BRANCO</t>
  </si>
  <si>
    <t>QISTA S.A. - CRÉDITO, FINANCIAMENTO E INVESTIMENTO</t>
  </si>
  <si>
    <t>QISTA S.A. CFI - PRUDENCIAL</t>
  </si>
  <si>
    <t>C0085506</t>
  </si>
  <si>
    <t>ICBC DO BRASIL BANCO MÚLTIPLO S.A.</t>
  </si>
  <si>
    <t>ICBC DO BRASIL BM S.A. - PRUDENCIAL</t>
  </si>
  <si>
    <t>C0081830</t>
  </si>
  <si>
    <t>CENTRAL DAS COOPERATIVAS DE CRÉDITO DO NORDESTE - SICOOB CENTRAL NE</t>
  </si>
  <si>
    <t>BANCO MONEO S.A.</t>
  </si>
  <si>
    <t>BANCO MONEO S.A. - PRUDENCIAL</t>
  </si>
  <si>
    <t>C0081500</t>
  </si>
  <si>
    <t>COOPERATIVA DE CRÉDITO COOPERAÇÃO - SICREDI COOPERAÇÃO</t>
  </si>
  <si>
    <t>NAO-ME-TOQUE</t>
  </si>
  <si>
    <t>COOPERATIVA DE ECONOMIA E CRÉDITO MÚTUO UNICRED ELEVA LTDA.</t>
  </si>
  <si>
    <t>SANTO ANGELO</t>
  </si>
  <si>
    <t>BMP SOCIEDADE DE CRÉDITO AO MICROEMPREENDEDOR E A EMPRESA DE PEQUENO PORTE LTDA.</t>
  </si>
  <si>
    <t>BMP SCMEPP LTDA - PRUDENCIAL</t>
  </si>
  <si>
    <t>C0052137</t>
  </si>
  <si>
    <t>C0083292</t>
  </si>
  <si>
    <t>COOPERATIVA DE CREDITO CREDISUDESTE LTDA. - SICOOB CREDISUDESTE</t>
  </si>
  <si>
    <t>MURIAE</t>
  </si>
  <si>
    <t>COOPERATIVA DE CRÉDITO DE LIVRE ADMISSÃO DE ITAÚNA E REGIÃO LTDA - SICOOB CENTRO-OESTE</t>
  </si>
  <si>
    <t>ITAUNA</t>
  </si>
  <si>
    <t>COOPERATIVA DE CRÉDITO E INVESTIMENTO COM INTERAÇÃO SOLIDÁRIA DA AMAZÔNIA - CRESOL AMAZÔNIA</t>
  </si>
  <si>
    <t>COOPERATIVA DE CRÉDITO CREDIVERTENTES LTDA. - SICOOB CREDIVERTENTES</t>
  </si>
  <si>
    <t>SAO TIAGO</t>
  </si>
  <si>
    <t>COOPERATIVA DE CRÉDITO E INVESTIMENTO COM INTERAÇÃO SOLIDÁRIA INTEGRAÇÃO - CRESOL INTEGRAÇÃO</t>
  </si>
  <si>
    <t>COOPERATIVA DE CRÉDITO, CAPTAÇÃO, POUPANÇA E SOLUÇÕES FINANCEIRAS SICOOB CREDICAPITAL</t>
  </si>
  <si>
    <t>CASCAVEL</t>
  </si>
  <si>
    <t>COOPERATIVA DE CRÉDITO CREDINOR LTDA - SICOOB CREDINOR</t>
  </si>
  <si>
    <t>MONTES CLAROS</t>
  </si>
  <si>
    <t>COOPERATIVA DE CRÉDITO CREDICAF LTDA - SICOOB CREDICAF</t>
  </si>
  <si>
    <t>LAJINHA</t>
  </si>
  <si>
    <t>UBS (BRASIL) CORRETORA DE VALORES S.A.</t>
  </si>
  <si>
    <t>COOPERATIVA DE CRÉDITO DE LIVRE ADMISSÃO DE ASSOCIADOS - SICOOB CREDICARU SC/RS</t>
  </si>
  <si>
    <t>SAO JOSE DO CERRITO</t>
  </si>
  <si>
    <t>MERRILL LYNCH S.A. CORRETORA DE TÍTULOS E VALORES MOBILIÁRIOS</t>
  </si>
  <si>
    <t>CHG-MERIDIAN DO BRASIL ARRENDAMENTO MERCANTIL S.A.</t>
  </si>
  <si>
    <t>CHG-MERIDIAN DO BRASIL AM S.A. - PRUDENCIAL</t>
  </si>
  <si>
    <t>C0082994</t>
  </si>
  <si>
    <t>STARA FINANCEIRA S.A. - CRÉDITO FINANCIAMENTO E INVESTIMENTO</t>
  </si>
  <si>
    <t>STARA FINANCEIRA S.A. - CFI - PRUDENCIAL</t>
  </si>
  <si>
    <t>C0083711</t>
  </si>
  <si>
    <t>COOPERATIVA DE CRÉDITO CREDINTER LTDA. - SICOOB CREDINTER</t>
  </si>
  <si>
    <t>GUARANESIA</t>
  </si>
  <si>
    <t>COOPERATIVA DE CRÉDITO E INVESTIMENTO COM INTERAÇÃO SOLIDÁRIA VANGUARDA - CRESOL VANGUARDA</t>
  </si>
  <si>
    <t>COOPERATIVA DE CRÉDITO DE LIVRE ADMISSÃO DO NORTE DE MATO GROSSO - SICOOB NORTE MT</t>
  </si>
  <si>
    <t>SINOP</t>
  </si>
  <si>
    <t>COOPERATIVA DE POUPANÇA E CRÉDITO DO VALE DO RIO DOCE LTDA - SICOOB CREDIRIODOCE</t>
  </si>
  <si>
    <t>GOVERNADOR VALADARES</t>
  </si>
  <si>
    <t>BANCO ALFA S.A.</t>
  </si>
  <si>
    <t>SAFRA DISTRIBUIDORA DE TÍTULOS E VALORES MOBILIÁRIOS LTDA.</t>
  </si>
  <si>
    <t>COOPERATIVA DE CRÉDITO CREDCOOPER LTDA - SICOOB CREDCOOPER</t>
  </si>
  <si>
    <t>CARATINGA</t>
  </si>
  <si>
    <t>WISE BRASIL INSTITUICAO DE PAGAMENTO LTDA</t>
  </si>
  <si>
    <t>WISE BRASIL CC - PRUDENCIAL</t>
  </si>
  <si>
    <t>C0085647</t>
  </si>
  <si>
    <t>BANCO KOMATSU DO BRASIL S.A.</t>
  </si>
  <si>
    <t>BANCO KOMATSU DO BRASIL - PRUDENCIAL</t>
  </si>
  <si>
    <t>C0084576</t>
  </si>
  <si>
    <t>COOPERATIVA DE CRÉDITO, POUPANÇA E INVESTIMENTO DO NOROESTE DO ESTADO DE SÃO PAULO - SICREDI NOROESTE SP</t>
  </si>
  <si>
    <t>SAO JOSE DO RIO PRETO</t>
  </si>
  <si>
    <t>COOPERATIVA DE CRÉDITO DE LIVRE ADMISSÃO TRÊS FRONTEIRAS - SICOOB TRÊS FRONTEIRAS</t>
  </si>
  <si>
    <t>FOZ DO IGUACU</t>
  </si>
  <si>
    <t>BANCO KEB HANA DO BRASIL S.A.</t>
  </si>
  <si>
    <t>BCO KEB DO BRASIL SA - PRUDENCIAL</t>
  </si>
  <si>
    <t>C0081232</t>
  </si>
  <si>
    <t>COOPERATIVA DE CRÉDITO DE LIVRE ADMISSÃO DE ASSOCIADOS ITAPIRANGA - SICOOB CREDITAPIRANGA SC/RS</t>
  </si>
  <si>
    <t>ITAPIRANGA</t>
  </si>
  <si>
    <t>BANCO ARBI S.A.</t>
  </si>
  <si>
    <t>BCO ARBI S.A. - PRUDENCIAL</t>
  </si>
  <si>
    <t>C0081201</t>
  </si>
  <si>
    <t>COOPERATIVA DE CRÉDITO DE LIVRE ADMISSÃO DE ASSOCIADOS VALE DO CHAPECOZINHO - SICOOB VALCREDI SUL</t>
  </si>
  <si>
    <t>PASSOS MAIA</t>
  </si>
  <si>
    <t>COOPERATIVA DE CRÉDITO NOSSOCRÉDITO LTDA - SICOOB NOSSOCRÉDITO</t>
  </si>
  <si>
    <t>SAO SEBASTIAO DO PARAISO</t>
  </si>
  <si>
    <t>AGROLEND SOCIEDADE DE CREDITO, FINANCIAMENTO E INVESTIMENTO S.A.</t>
  </si>
  <si>
    <t>AGROLEND SCFI - PRUDENCIAL</t>
  </si>
  <si>
    <t>C0085867</t>
  </si>
  <si>
    <t>COOPERATIVA DE CRÉDITO DE LIVRE ADMISSÃO DE ASSOCIADOS NOVA TRENTO   SICOOB TRENTOCREDI SC</t>
  </si>
  <si>
    <t>NOVA TRENTO</t>
  </si>
  <si>
    <t>COOPERATIVA DE CRÉDITO E ECONOMIA COM INTERAÇÃO SOLIDÁRIA DO PLANALTO SERRA SUL DO RIO GRANDE DO SUL - CRESOL PLANALTO SERRA SUL</t>
  </si>
  <si>
    <t>SANANDUVA</t>
  </si>
  <si>
    <t>BANCO B3 S.A.</t>
  </si>
  <si>
    <t>BANCO B3 - PRUDENCIAL</t>
  </si>
  <si>
    <t>C0081225</t>
  </si>
  <si>
    <t>COOPERATIVA DE CRÉDITO E INVESTIMENTO COM INTERAÇÃO SOLIDÁRIA TRIUNFO - CRESOL TRIUNFO</t>
  </si>
  <si>
    <t>SAO JOAO DO TRIUNFO</t>
  </si>
  <si>
    <t>COOPERATIVA DE CRÉDITO CREDIUNA LTDA - SICOOB CREDIUNA</t>
  </si>
  <si>
    <t>COOPERATIVA DE CRÉDITO E INVESTIMENTO COM INTERAÇÃO SOLIDÁRIA DE MINAS GERAIS - CRESOL MINAS GERAIS</t>
  </si>
  <si>
    <t>EMPRESA BRASILEIRA DE BENEFICIOS E PAGAMENTOS INSTITUICAO DE PAGAMENTO LTDA</t>
  </si>
  <si>
    <t>EMPRESA BRASILEIRA DE BENEFICIOS E PAGAMENTOS IP -</t>
  </si>
  <si>
    <t>C0087834</t>
  </si>
  <si>
    <t>COOPERATIVA DE CREDITO COOPLIVRE</t>
  </si>
  <si>
    <t>CAPIVARI</t>
  </si>
  <si>
    <t>UBS BB CORRETORA DE CÂMBIO, TÍTULOS E VALORES MOBILIÁRIOS S.A.</t>
  </si>
  <si>
    <t>COOPERATIVA DE CRÉDITO DOS PROFISSIONAIS DA ÁREA DA SAÚDE E DE LIVRE ADMISSÃO LTDA - UNICRED ALIANÇA</t>
  </si>
  <si>
    <t>COOPERATIVA CENTRAL DE CRÉDITO, POUPANÇA E INVESTIMENTO DO CENTRO NORTE DO BRASIL - CENTRAL SICREDI CENTRO NORTE</t>
  </si>
  <si>
    <t>COOPERATIVA DE CRÉDITO CREDISETE LTDA. - SICOOB CREDISETE</t>
  </si>
  <si>
    <t>SETE LAGOAS</t>
  </si>
  <si>
    <t>COOPERATIVA DE CRÉDITO E INVESTIMENTO COM INTERAÇÃO SOLIDÁRIA ESSÊNCIA - CRESOL ESSÊNCIA</t>
  </si>
  <si>
    <t>SANTO CRISTO</t>
  </si>
  <si>
    <t>OPEA SOCIEDADE DE CRÉDITO DIRETO S.A.</t>
  </si>
  <si>
    <t>OPEA SCD - PRUDENCIAL</t>
  </si>
  <si>
    <t>C0085269</t>
  </si>
  <si>
    <t>COOPERATIVA DE CRÉDITO DE LIVRE ADMISSÃO DO ESTADO DE SÃO PAULO - SICOOB PAULISTA</t>
  </si>
  <si>
    <t>PRESIDENTE PRUDENTE</t>
  </si>
  <si>
    <t>COOPERATIVA DE CRÉDITO DA FOZ DO RIO ITAJAÍ AÇU - CREDIFOZ</t>
  </si>
  <si>
    <t>BANCO SENFF S.A.</t>
  </si>
  <si>
    <t>SENFFNET IP - PRUDENCIAL</t>
  </si>
  <si>
    <t>C0083670</t>
  </si>
  <si>
    <t>TERRA INVESTIMENTOS DISTRIBUIDORA DE TÍTULOS E VALORES MOBILIÁRIOS LTDA.</t>
  </si>
  <si>
    <t>TERRA INVESTIMENTOS DTVM - PRUDENCIAL</t>
  </si>
  <si>
    <t>C0084514</t>
  </si>
  <si>
    <t>SWAP INSTITUIÇÃO DE PAGAMENTO S.A.</t>
  </si>
  <si>
    <t>SWAP IP - PRUDENCIAL</t>
  </si>
  <si>
    <t>C0086732</t>
  </si>
  <si>
    <t>COOPERATIVA DE CRÉDITO, POUPANÇA E INVESTIMENTO DE ARARAQUARA E REGIÃO - SICREDI MORADA DO SOL SP</t>
  </si>
  <si>
    <t>ARARAQUARA</t>
  </si>
  <si>
    <t>CREDISIS JICRED - COOPERATIVA DE CRÉDITO DE LIVRE ADMISSÃO JICRED</t>
  </si>
  <si>
    <t>COOPERATIVA DE CRÉDITO CREDICARPA LTDA. - SICOOB CREDICARPA</t>
  </si>
  <si>
    <t>CARMO DO PARANAIBA</t>
  </si>
  <si>
    <t>COOPERATIVA DE CRÉDITO E INVESTIMENTO COM INTERAÇÃO SOLIDÁRIA TRANSFORMAÇÃO - CRESOL TRANSFORMAÇÃO</t>
  </si>
  <si>
    <t>DONA EMMA</t>
  </si>
  <si>
    <t>COOPERATIVA DE CRÉDITO CREDIBOM LTDA. - SICOOB CREDIBOM</t>
  </si>
  <si>
    <t>BOM DESPACHO</t>
  </si>
  <si>
    <t>COOPERATIVA DE CRÉDITO DE LIVRE ADMISSÃO DE ASSOCIADOS VALE DO RIO DO PEIXE - SICOOB CREDIRIO SC</t>
  </si>
  <si>
    <t>JOACABA</t>
  </si>
  <si>
    <t>CREDISIS CREDIARI - COOPERATIVA DE CRÉDITO LTDA.</t>
  </si>
  <si>
    <t>ARIQUEMES</t>
  </si>
  <si>
    <t>IUGU INSTITUIÇÃO DE PAGAMENTO S.A.</t>
  </si>
  <si>
    <t>IUGU IP - PRUDENCIAL</t>
  </si>
  <si>
    <t>C0085434</t>
  </si>
  <si>
    <t>COOPERATIVA DE CRÉDITO DE LIVRE ADMISSÃO DE PERNAMBUCO - SICOOB PERNAMBUCO</t>
  </si>
  <si>
    <t>SAO JOSE DO EGITO</t>
  </si>
  <si>
    <t>PE</t>
  </si>
  <si>
    <t>COOPERATIVA DE CRÉDITO CREDIFOR LTDA - SICOOB CREDIFOR</t>
  </si>
  <si>
    <t>FORMIGA</t>
  </si>
  <si>
    <t>COOPERATIVA DE CRÉDITO E INVESTIMENTO COM INTERAÇÃO SOLIDÁRIA PROGRESSO - CRESOL PROGRESSO</t>
  </si>
  <si>
    <t>COOPERATIVA DE CRÉDITO DE LIVRE ADMISSÃO UNIÃO E NEGÓCIOS - SICOOB INTEGRAÇÃO</t>
  </si>
  <si>
    <t>INTRAG DISTRIBUIDORA DE TITULOS E VALORES MOBILIARIOS LTDA.</t>
  </si>
  <si>
    <t>COOPERATIVA DE CRÉDITO CREDISG LTDA. - SICOOB CREDISG</t>
  </si>
  <si>
    <t>SAO GOTARDO</t>
  </si>
  <si>
    <t>COOPERATIVA DE CRÉDITO CREDIVALE LTDA - SICOOB CREDIVALE</t>
  </si>
  <si>
    <t>TEOFILO OTONI</t>
  </si>
  <si>
    <t>BPCE EQUIPMENT SOLUTIONS BRASIL S.A. - ARRENDAMENTO MERCANTIL</t>
  </si>
  <si>
    <t>BPCE EQUIPMENT AM - PRUDENCIAL</t>
  </si>
  <si>
    <t>C0088390</t>
  </si>
  <si>
    <t>BS2 PAYMENTS INSTITUIÇÃO DE PAGAMENTO S.A.</t>
  </si>
  <si>
    <t>BANCO IBM S.A.</t>
  </si>
  <si>
    <t>BANCO IBM S.A. - PRUDENCIAL</t>
  </si>
  <si>
    <t>C0081689</t>
  </si>
  <si>
    <t>COOPERATIVA DE CRÉDITO, POUPANÇA E INVESTIMENTO SICREDI SERIGY - SICREDI SERIGY SE/BA</t>
  </si>
  <si>
    <t>DESENBAHIA - AGENCIA DE FOMENTO DO ESTADO DA BAHIA S.A.</t>
  </si>
  <si>
    <t>DESENBAHIA AG FOMENTO BAHIA SA - PRUDENCIAL</t>
  </si>
  <si>
    <t>C0081067</t>
  </si>
  <si>
    <t>COOPERATIVA DE CRÉDITO POUPANÇA E INVESTIMENTO DA ALTA NOROESTE DE SÃO PAULO - SICREDI ALTA NOROESTE SP</t>
  </si>
  <si>
    <t>BIRIGUI</t>
  </si>
  <si>
    <t>COOPERATIVA DE CREDITO NOSSO - SICOOB NOSSO</t>
  </si>
  <si>
    <t>ADAMANTINA</t>
  </si>
  <si>
    <t>STARK BANK S.A. - INSTITUICAO DE PAGAMENTO</t>
  </si>
  <si>
    <t>STARK SCD - PRUDENCIAL</t>
  </si>
  <si>
    <t>C0085513</t>
  </si>
  <si>
    <t>COOPERATIVA DE CRÉDITO E INVESTIMENTO COM INTERAÇÃO SOLIDÁRIA NORTE PARANAENSE - CRESOL NORTE PARANAENSE</t>
  </si>
  <si>
    <t>COOPERATIVA DE CRÉDITO DE LIVRE ADMISSÃO DO VALE DO PARANAPANEMA</t>
  </si>
  <si>
    <t>COOPERATIVA DE CRÉDITO EVOLUA</t>
  </si>
  <si>
    <t>WORLDPAY DO BRASIL INSTITUICAO DE PAGAMENTO LTDA</t>
  </si>
  <si>
    <t>WORLDPAY DO BRASIL IP - PRUDENCIAL</t>
  </si>
  <si>
    <t>C0086110</t>
  </si>
  <si>
    <t>COOPERATIVA DE ECONOMIA E CRÉDITO MÚTUO DOS PROFISSIONAIS DA SAÚDE DA REGIÃO DA ALTA MOGIANA - SICOOB CREDIMOGIANA</t>
  </si>
  <si>
    <t>CARUANA S.A. - SOCIEDADE DE CRÉDITO, FINANCIAMENTO E INVESTIMENTO</t>
  </si>
  <si>
    <t>CARUANA SCFI - PRUDENCIAL</t>
  </si>
  <si>
    <t>C0083591</t>
  </si>
  <si>
    <t>REPOM INSTITUIÇÃO DE PAGAMENTO HUSA S.A.</t>
  </si>
  <si>
    <t>EDENRED SOLUCOES E IP AHA - PRUDENCIAL</t>
  </si>
  <si>
    <t>C0084916</t>
  </si>
  <si>
    <t>COOPERATIVA DE CRÉDITO NOROESTE DE MINAS LTDA. - SICOOB NOROESTE DE MINAS</t>
  </si>
  <si>
    <t>UNAI</t>
  </si>
  <si>
    <t>COOPERATIVA DE CRÉDITO E INVESTIMENTO COM INTERAÇÃO SOLIDÁRIA GRANDES LAGOS PR/SP - CRESOL GRANDES LAGOS PR/SP</t>
  </si>
  <si>
    <t>COOPERATIVA DE CRÉDITO DE LIVRE ADMISSÃO E DOS TRANSPORTADORES RODOVIÁRIOS DE VEÍCULOS - SICOOB CREDCEG</t>
  </si>
  <si>
    <t>BANCO BMG SOLUÇÕES FINANCEIRAS S.A.</t>
  </si>
  <si>
    <t>COOPERATIVA DE CRÉDITO DE LIVRE ADMISSÃO DA REGIÃO DE FRUTAL LTDA.   SICOOB FRUTAL</t>
  </si>
  <si>
    <t>FRUTAL</t>
  </si>
  <si>
    <t>COOPERATIVA DE CREDITO DE LIVRE ADMISSAO DO CENTRO NORDESTE MINEIRO LTDA - SICOOB CREDICENM</t>
  </si>
  <si>
    <t>GUANHAES</t>
  </si>
  <si>
    <t>SEM PARAR SOCIEDADE DE CRÉDITO DIRETO S.A.</t>
  </si>
  <si>
    <t>MULVI INSTITUICAO DE PAGAMENTO S.A.</t>
  </si>
  <si>
    <t>COOPERATIVA DE CRÉDITO E INVESTIMENTO COM INTERAÇÃO SOLIDÁRIA HORIZONTE - CRESOL HORIZONTE</t>
  </si>
  <si>
    <t>UNIAO DA VITORIA</t>
  </si>
  <si>
    <t>SICREDI RECIFE - COOPERATIVA DE CRÉDITO, POUPANÇA E INVESTIMENTO SICREDI RECIFE</t>
  </si>
  <si>
    <t>RECIFE</t>
  </si>
  <si>
    <t>COOPERATIVA DE CRÉDITO E INVESTIMENTO COM INTERAÇÃO SOLIDÁRIA LIDERANÇA - CRESOL LIDERANÇA</t>
  </si>
  <si>
    <t>CHOPINZINHO</t>
  </si>
  <si>
    <t>BANCO SEMEAR S.A.</t>
  </si>
  <si>
    <t>BANCO SEMEAR - PRUDENCIAL</t>
  </si>
  <si>
    <t>C0081380</t>
  </si>
  <si>
    <t>COOPERATIVA DE CRÉDITO UNIQUE BR</t>
  </si>
  <si>
    <t>COOPERATIVA DE CRÉDITO DO NORTE CATARINENSE - ACREDICOOP</t>
  </si>
  <si>
    <t>SANTANDER CORRETORA DE TÍTULOS E VALORES MOBILIÁRIOS S.A.</t>
  </si>
  <si>
    <t>COOPERATIVA DE CRÉDITO DOS PROFISSIONAIS DOS CREAS E DEMAIS ÁREAS TECNOLÓGICAS - CREDCREA</t>
  </si>
  <si>
    <t>COOPERATIVA DE CRÉDITO DE LIVRE ADMISSÃO DE  LAGOA DA PRATA E REGIÃO LTDA.   SICOOB LAGOACRED GERAIS</t>
  </si>
  <si>
    <t>LAGOA DA PRATA</t>
  </si>
  <si>
    <t>COOPERATIVA DE CRÉDITO CREDICOPE LTDA. - SICOOB CREDICOPE</t>
  </si>
  <si>
    <t>CONSELHEIRO PENA</t>
  </si>
  <si>
    <t>NATURA &amp;CO PAY SOCIEDADE DE CRÉDITO DIRETO S.A.</t>
  </si>
  <si>
    <t>NATURA &amp;CO PAY SCD</t>
  </si>
  <si>
    <t>C0086598</t>
  </si>
  <si>
    <t>COOPERATIVA DE CRÉDITO ORIGINAL - SICOOB ORIGINAL</t>
  </si>
  <si>
    <t>SAO LOURENCO D'OESTE</t>
  </si>
  <si>
    <t>COOPERATIVA DE CRÉDITO DE LIVRE ADMISSÃO DA REGIÃO DE  PARÁ DE MINAS LTDA - SICOOB CREDIRURAL</t>
  </si>
  <si>
    <t>PARA DE MINAS</t>
  </si>
  <si>
    <t>COOPERATIVA DE CRÉDITO DE PRODUTORES RURAIS E DE LIVRE ADMISSÃO DO TRIÂNGULO LTDA    SICOOB CREDITRIL</t>
  </si>
  <si>
    <t>RP FINANCEIRA S.A. - SOCIEDADE DE CRÉDITO, FINANCIAMENTO E INVESTIMENTO</t>
  </si>
  <si>
    <t>COOPERATIVA DE CRÉDITO E INVESTIMENTO COM INTERAÇÃO SOLIDÁRIA DO RIO GRANDE DO SUL - CRESOL RIO GRANDE DO SUL</t>
  </si>
  <si>
    <t>BENTO GONCALVES</t>
  </si>
  <si>
    <t>COOPERATIVA DE CRÉDITO E CAPTAÇÃO SICOOB UNICIDADES</t>
  </si>
  <si>
    <t>OLIVEIRA TRUST DISTRIBUIDORA DE TÍTULOS E VALORES MOBILIARIOS S.A.</t>
  </si>
  <si>
    <t>OLIVEIRA TRUST DTVM S.A. - PRUDENCIAL</t>
  </si>
  <si>
    <t>C0084040</t>
  </si>
  <si>
    <t>SAFRA ASSET CORRETORA DE TÍTULOS E VALORES MOBILIÁRIOS S.A.</t>
  </si>
  <si>
    <t>COOPERATIVA DE CRÉDITO DE LIVRE ADMISSÃO DO VALE DO PARANAÍBA LTDA.</t>
  </si>
  <si>
    <t>QUIRINOPOLIS</t>
  </si>
  <si>
    <t>COOPERATIVA DE CRÉDITO E INVESTIMENTO COM INTERAÇÃO SOLIDÁRIA ORIGENS - CRESOL ORIGENS</t>
  </si>
  <si>
    <t>SICOOB UNIMAIS METROPOLITANA - COOPERATIVA DE CRÉDITO DE LIVRE ADMISSÃO</t>
  </si>
  <si>
    <t>SANTOS</t>
  </si>
  <si>
    <t>COOPERATIVA DE CRÉDITO SICOOB CREDSEGURO LTDA.</t>
  </si>
  <si>
    <t>COOPERATIVA DE CRÉDITO DE LIVRE ADMISSÃO CREDINOVA LTDA. - SICOOB CREDINOVA</t>
  </si>
  <si>
    <t>NOVA SERRANA</t>
  </si>
  <si>
    <t>COOPERATIVA DE CRÉDITO MÚTUO DOS ADVOGADOS DE SANTA CATARINA</t>
  </si>
  <si>
    <t>SAO JOSE</t>
  </si>
  <si>
    <t>COOPERATIVA DE CREDITO DE LIVRE ADMISSAO DO VALE DO AÇO LTDA - SICOOB VALE DO AÇO</t>
  </si>
  <si>
    <t>IPATINGA</t>
  </si>
  <si>
    <t>COOPERATIVA DE CRÉDITO CREDIPEU LTDA.  - SICOOB CREDIPEU</t>
  </si>
  <si>
    <t>POMPEU</t>
  </si>
  <si>
    <t>COOPERATIVA DE CRÉDITO SICOOB EXTREMO SUL LTDA.</t>
  </si>
  <si>
    <t>TEIXEIRA DE FREITAS</t>
  </si>
  <si>
    <t>COOPERATIVA DE CRÉDITO SICOOB UNIMAIS CENTRO LESTE PAULISTA - SICOOB UNIMAIS CLP</t>
  </si>
  <si>
    <t>RIO CLARO</t>
  </si>
  <si>
    <t>INTER DISTRIBUIDORA DE TITULOS E VALORES MOBILIARIOS LTDA</t>
  </si>
  <si>
    <t>COOPERATIVA DE CRÉDITO DE LIVRE ADMISSÃO DA REGIÃO LESTE DA BACIA DO RIO DOCE LTDA   SICOOB CREDILESTE</t>
  </si>
  <si>
    <t>COOPERATIVA DE CRÉDITO DE LIVRE ADMISSÃO DE BELO HORIZONTE E CIDADES POLO DO ESTADO DE MINAS GERAIS LTDA. - SICOOB NOSSACOOP</t>
  </si>
  <si>
    <t>JPMORGAN CHASE BANK, NATIONAL ASSOCIATION</t>
  </si>
  <si>
    <t>COOPERATIVA DE CRÉDITO MÚTUO DOS EMPREGADOS DA EMBRAER- SICOOB COOPEREMB</t>
  </si>
  <si>
    <t>COOPERATIVA DE CRÉDITO CREDPLUS LTDA. - SICOOB CREDPLUS</t>
  </si>
  <si>
    <t>LUZ</t>
  </si>
  <si>
    <t>BULLLA INSTITUICAO DE PAGAMENTO S.A.</t>
  </si>
  <si>
    <t>BULLLA IP - PRUDENCIAL</t>
  </si>
  <si>
    <t>C0084985</t>
  </si>
  <si>
    <t>COOPERATIVA DE CRÉDITO DE LIVRE ADMISSÃO DO VALE DO ARAGUAIA LTDA.</t>
  </si>
  <si>
    <t>MINEIROS</t>
  </si>
  <si>
    <t>COOPERATIVA DE CRÉDITO UNIÃO CENTRO OESTE LTDA. - SICOOB UNIÃO CENTRO OESTE</t>
  </si>
  <si>
    <t>BMG LEASING S.A. ARRENDAMENTO MERCANTIL</t>
  </si>
  <si>
    <t>COOPERATIVA DE CRÉDITO DO CENTRO SUL MINEIRO LTDA. - SICOOB CENTRO SUL MINEIRO</t>
  </si>
  <si>
    <t>CARMOPOLIS DE MINAS</t>
  </si>
  <si>
    <t>CSILATINA ARRENDAMENTO MERCANTIL S.A.</t>
  </si>
  <si>
    <t>CSILATINA A.M. S.A. - PRUDENCIAL</t>
  </si>
  <si>
    <t>C0082970</t>
  </si>
  <si>
    <t>STRIPE BRASIL SOLUCOES DE PAGAMENTO INSTITUICAO DE PAGAMENTO LTDA</t>
  </si>
  <si>
    <t>STRIPE BRASIL IP PRUDENCIAL</t>
  </si>
  <si>
    <t>C0086251</t>
  </si>
  <si>
    <t>COOPERATIVA DE CRÉDITO RURAL COOPAVEL</t>
  </si>
  <si>
    <t>COOPERATIVA DE CRÉDITO DA REGIÃO DO CONTESTADO - CIVIA</t>
  </si>
  <si>
    <t>SAO BENTO DO SUL</t>
  </si>
  <si>
    <t>COOPERATIVA DE CRÉDITO E INVESTIMENTO COM INTERAÇÃO SOLIDÁRIA CONEXÃO - CRESOL CONEXÃO</t>
  </si>
  <si>
    <t>COOPERATIVA DE CRÉDITO CENTRO LESTE NORTE MARANHENSE - SICOOB CENTROLESTE</t>
  </si>
  <si>
    <t>GRAJAU</t>
  </si>
  <si>
    <t>MA</t>
  </si>
  <si>
    <t>COOPERATIVA DE CRÉDITO SICOOB UNI SUDESTE</t>
  </si>
  <si>
    <t>UBA</t>
  </si>
  <si>
    <t>COOPERATIVA DE CRÉDITO DE LIVRE ADMISSÃO DO TOCANTINS LTDA</t>
  </si>
  <si>
    <t>PARAISO DO NORTE DO TOCANTINS</t>
  </si>
  <si>
    <t>TO</t>
  </si>
  <si>
    <t>BANCO XCMG BRASIL S.A.</t>
  </si>
  <si>
    <t>BANCO XCMG BRASIL - PRUDENCIAL</t>
  </si>
  <si>
    <t>C0085300</t>
  </si>
  <si>
    <t>POUSO ALEGRE</t>
  </si>
  <si>
    <t>COOPERATIVA DE CRÉDITO SICOOB 3 COLINAS</t>
  </si>
  <si>
    <t>SICOOB AC CREDI - COOPERATIVA DE CRÉDITO DE LIVRE ADMISSÃO DO LESTE E NORDESTE MINEIRO LTDA.</t>
  </si>
  <si>
    <t>UNIPRIME PIONEIRA COOPERATIVA DE CRÉDITO</t>
  </si>
  <si>
    <t>COOPERATIVA DE CRÉDITO COOCRELIVRE</t>
  </si>
  <si>
    <t>ORLANDIA</t>
  </si>
  <si>
    <t>COOPERATIVA DE CRÉDITO CREDIMATA LTDA. - SICOOB CREDIMATA</t>
  </si>
  <si>
    <t>VOLTA GRANDE</t>
  </si>
  <si>
    <t>COOPERATIVA DE CRÉDITO CREDIJEQUITINHONHA LTDA. - SICOOB CREDIJEQUITINHONHA</t>
  </si>
  <si>
    <t>CAPELINHA</t>
  </si>
  <si>
    <t>MIRAE ASSET (BRASIL) CORRETORA DE CÂMBIO, TÍTULOS  E VALORES MOBILIÁRIOS LTDA.</t>
  </si>
  <si>
    <t>MIRAE ASSET (BRASIL) CCTVM - PRUDENCIAL</t>
  </si>
  <si>
    <t>C0082932</t>
  </si>
  <si>
    <t>REDECARD SOCIEDADE DE CRÉDITO DIRETO S.A.</t>
  </si>
  <si>
    <t>COOPERATIVA DE CRÉDITO CREDIFIEMG LTDA. - SICOOB CREDIFIEMG</t>
  </si>
  <si>
    <t>COOPERATIVA DE CREDITO DE LIVRE ADMISSAO DE PARA DE MINAS LTDA - SICOOB ASCICRED</t>
  </si>
  <si>
    <t>SANTANDER DISTRIBUIDORA DE TÍTULOS E VALORES MOBILIÁRIOS S.A.</t>
  </si>
  <si>
    <t>COOPERATIVA DE CRÉDITO E ECONOMIA COM INTERAÇÃO SOLIDÁRIA - CRESOL INTERAÇÃO</t>
  </si>
  <si>
    <t>XANXERE</t>
  </si>
  <si>
    <t>SENFFNET INSTITUIÇÃO DE PAGAMENTO LTDA.</t>
  </si>
  <si>
    <t>COOPERATIVA DE CRÉDITO DE LIVRE ADMISSÃO DE ASSOCIADOS NOVOS CAMPOS - SICOOB NOVOS CAMPOS</t>
  </si>
  <si>
    <t>CAMPOS NOVOS</t>
  </si>
  <si>
    <t>UNIPRIME CENTRAL NACIONAL - CENTRAL NACIONAL DE COOPERATIVA DE CREDITO</t>
  </si>
  <si>
    <t>AGENCIA DE FOMENTO DO ESTADO DO RIO DE JANEIRO S.A.</t>
  </si>
  <si>
    <t>AGENCIA FOMENTO EST RJ S.A. - PRUDENCIAL</t>
  </si>
  <si>
    <t>C0081139</t>
  </si>
  <si>
    <t>DM INSTITUICAO DE PAGAMENTO S.A.</t>
  </si>
  <si>
    <t>SIMPALA S.A. CRÉDITO, FINANCIAMENTO E INVESTIMENTO</t>
  </si>
  <si>
    <t>SIMPALA CFI - PRUDENCIAL</t>
  </si>
  <si>
    <t>C0085070</t>
  </si>
  <si>
    <t>COOPERATIVA DE CRÉDITO CREDIARA LTDA - SICOOB CREDIARA</t>
  </si>
  <si>
    <t>ARAXA</t>
  </si>
  <si>
    <t>COOPERATIVA DE CRÉDITO SICOOB ALIANÇA</t>
  </si>
  <si>
    <t>APUCARANA</t>
  </si>
  <si>
    <t>BANCO TRICURY S.A.</t>
  </si>
  <si>
    <t>BCO TRICURY S.A. - PRUDENCIAL</t>
  </si>
  <si>
    <t>C0081696</t>
  </si>
  <si>
    <t>BANCO VR S.A.</t>
  </si>
  <si>
    <t>VR - PRUDENCIAL</t>
  </si>
  <si>
    <t>C0050524</t>
  </si>
  <si>
    <t>C0080408</t>
  </si>
  <si>
    <t>STONE SOCIEDADE DE CRÉDITO DIRETO S.A.</t>
  </si>
  <si>
    <t>COOPERATIVA DE CRÉDITO E INVESTIMENTO COM INTERAÇÃO SOLIDÁRIA COOPERAR - CRESOL COOPERAR</t>
  </si>
  <si>
    <t>HUMAITA</t>
  </si>
  <si>
    <t>COOPERATIVA DE CRÉDITO E INVESTIMENTO COM INTERAÇÃO SOLIDÁRIA ATIVA - CRESOL ATIVA</t>
  </si>
  <si>
    <t>TANGARA</t>
  </si>
  <si>
    <t>COOPERATIVA DE CRÉDITO E INVESTIMENTO COM INTERAÇÃO SOLIDÁRIA ALTO VALE - CRESOL ALTO VALE</t>
  </si>
  <si>
    <t>WITMARSUM</t>
  </si>
  <si>
    <t>COOPERATIVA DE CRÉDITO DE LIVRE ADMISSÃO CENTRO OESTE LTDA.</t>
  </si>
  <si>
    <t>GOIANESIA</t>
  </si>
  <si>
    <t>COOPERATIVA DE CREDITO DE LIVRE ADMISSAO DE RUBIATABA E REGIAO LTDA</t>
  </si>
  <si>
    <t>RUBIATABA</t>
  </si>
  <si>
    <t>COOPERATIVA DE CRÉDITO DE LIVRE ADMISSÃO DE SANTO ANTÔNIO DO MONTE LTDA.   SICOOB CREDIMONTE</t>
  </si>
  <si>
    <t>SANTO ANTONIO DO MONTE</t>
  </si>
  <si>
    <t>NAIP INSTITUIÇÃO DE PAGAMENTO S.A.</t>
  </si>
  <si>
    <t>NAIP IP - PRUDENCIAL</t>
  </si>
  <si>
    <t>C0088802</t>
  </si>
  <si>
    <t>COOPERATIVA DE CRÉDITO COPERSUL LTDA - SICOOB COPERSUL</t>
  </si>
  <si>
    <t>TRES PONTAS</t>
  </si>
  <si>
    <t>COOPERATIVA DE CRÉDITO SICOOB MÉDIO OESTE</t>
  </si>
  <si>
    <t>ASSIS CHATEAUBRIAND</t>
  </si>
  <si>
    <t>FITS INSTITUIÇÃO DE PAGAMENTO S.A.</t>
  </si>
  <si>
    <t>FITS IP - PRUDENCIAL</t>
  </si>
  <si>
    <t>C0085726</t>
  </si>
  <si>
    <t>EFÍ S.A. - INSTITUIÇÃO DE PAGAMENTO</t>
  </si>
  <si>
    <t>EFI S.A. IP - PRUDENCIAL</t>
  </si>
  <si>
    <t>C0084978</t>
  </si>
  <si>
    <t>OURO PRETO</t>
  </si>
  <si>
    <t>BITZ INSTITUICAO DE PAGAMENTO S.A.</t>
  </si>
  <si>
    <t>COOPERATIVA DE CRÉDITO CREDINACIONAL LTDA. - SICOOB CREDINACIONAL</t>
  </si>
  <si>
    <t>ABAETE</t>
  </si>
  <si>
    <t>QUERO-QUERO VERDECARD INSTITUIÇÃO DE PAGAMENTO S.A.</t>
  </si>
  <si>
    <t>QUERO-QUERO VERDECARD IP - PRUDENCIAL</t>
  </si>
  <si>
    <t>C0085678</t>
  </si>
  <si>
    <t>CACHOEIRINHA</t>
  </si>
  <si>
    <t>COOPERATIVA DE CRÉDITO DE LIVRE ADMISSÃO DA GRANDE GOIÂNIA LTDA.</t>
  </si>
  <si>
    <t>CAIXA DISTRIBUIDORA DE TÍTULOS E VALORES MOBILIÁRIOS S.A.</t>
  </si>
  <si>
    <t>COOPERATIVA DE CRÉDITO  DE FRONTEIRAS  LTDA. - SICOOB FRONTEIRAS</t>
  </si>
  <si>
    <t>CACOAL</t>
  </si>
  <si>
    <t>BANCO WOORI BANK DO BRASIL S.A.</t>
  </si>
  <si>
    <t>BCO WOORI BANK DO BRASIL S.A. - PRUDENCIAL</t>
  </si>
  <si>
    <t>C0081823</t>
  </si>
  <si>
    <t>BANCO FATOR S.A.</t>
  </si>
  <si>
    <t>FATOR - PRUDENCIAL</t>
  </si>
  <si>
    <t>C0080350</t>
  </si>
  <si>
    <t>COOPERATIVA CENTRAL DE CRÉDITO, POUPANÇA E INVESTIMENTO DE MATO GROSSO DO SUL, GOIÁS, DISTRITO FEDERAL E TOCANTINS - CENTRAL SICREDI BRASIL CENTRAL</t>
  </si>
  <si>
    <t>COOPERATIVA DE CRÉDITO ARACREDI LTDA. - SICOOB ARACREDI</t>
  </si>
  <si>
    <t>COOPERATIVA DE CRÉDITO - CREDICOMIN</t>
  </si>
  <si>
    <t>LAGES</t>
  </si>
  <si>
    <t>BANCO INVESTCRED UNIBANCO S.A.</t>
  </si>
  <si>
    <t>CLARA INSTITUICAO DE PAGAMENTO LTDA.</t>
  </si>
  <si>
    <t>CLARA IP - PRUDENCIAL</t>
  </si>
  <si>
    <t>C0087205</t>
  </si>
  <si>
    <t>COOPERATIVA DE CRÉDITO DE LIVRE ADMISSÃO DE ASSOCIADOS DO MEIO OESTE CATARINENSE - SICOOB CREDIMOC SC</t>
  </si>
  <si>
    <t>COOPERATIVA DE CRÉDITO E INVESTIMENTO COM INTERAÇÃO SOLIDÁRIA VALE DAS ÁGUAS PR/MG - CRESOL VALE DAS ÁGUAS PR/MG</t>
  </si>
  <si>
    <t>COOPERATIVA DE CRÉDITO CREDIVERDE LTDA. - SICOOB CREDIVERDE</t>
  </si>
  <si>
    <t>COOPERATIVA DE CRÉDITO CREDICAMPO LTDA.- SICOOB CREDICAMPO</t>
  </si>
  <si>
    <t>ENTRE RIOS DE MINAS</t>
  </si>
  <si>
    <t>COOPERATIVA DE CRÉDITO E ECONOMIA COM INTERAÇÃO SOLIDÁRIA CRESOL EVOLUÇÃO</t>
  </si>
  <si>
    <t>DIONISIO CERQUEIRA</t>
  </si>
  <si>
    <t>BRADESCO-KIRTON CORRETORA DE CÂMBIO S.A.</t>
  </si>
  <si>
    <t>COOPERATIVA DE CRÉDITO GUARANICREDI LTDA. - SICOOB GUARANICREDI</t>
  </si>
  <si>
    <t>GUARANI</t>
  </si>
  <si>
    <t>BARI COMPANHIA HIPOTECÁRIA</t>
  </si>
  <si>
    <t>BNY MELLON BANCO S.A.</t>
  </si>
  <si>
    <t>BNY MELLON - PRUDENCIAL</t>
  </si>
  <si>
    <t>C0051808</t>
  </si>
  <si>
    <t>C0080910</t>
  </si>
  <si>
    <t>SOCIEDADE COOPERATIVA DE CRÉDITO COOPERE LTDA.  - SICOOB COOPERE</t>
  </si>
  <si>
    <t>VALENTE</t>
  </si>
  <si>
    <t>BANCO TRAVELEX S.A.</t>
  </si>
  <si>
    <t>BANCO TRAVELEX - PRUDENCIAL</t>
  </si>
  <si>
    <t>C0051671</t>
  </si>
  <si>
    <t>C0080783</t>
  </si>
  <si>
    <t>COOPERATIVA DE CRÉDITO SICOOB SERTÃO LTDA</t>
  </si>
  <si>
    <t>PINTADAS</t>
  </si>
  <si>
    <t>DEUTSCHE SPARKASSEN LEASING DO BRASIL BANCO MÚLTIPLO S.A.</t>
  </si>
  <si>
    <t>DEUTSCHE SPARKASSEN LEASING DO BRASIL - PRUDENCIAL</t>
  </si>
  <si>
    <t>C0084545</t>
  </si>
  <si>
    <t>COOPERATIVA DE CRÉDITO DE LIVRE ADMISSÃO DA REGIÃO CENTRAL DE RONDÔNIA   SICOOB OUROCREDI</t>
  </si>
  <si>
    <t>OURO PRETO DO OESTE</t>
  </si>
  <si>
    <t>SUPERLÓGICA SOCIEDADE DE CRÉDITO DIRETO S.A.</t>
  </si>
  <si>
    <t>SUPERLÓGICA SCD PRUDENCIAL</t>
  </si>
  <si>
    <t>C0085843</t>
  </si>
  <si>
    <t>COOPERATIVA DE CRÉDITO E INVESTIMENTO COM INTERAÇÃO SOLIDÁRIA DE GOIÁS - CRESOL GOIÁS</t>
  </si>
  <si>
    <t>ORIZONA</t>
  </si>
  <si>
    <t>COOPERATIVA DE CRÉDITO E ECONOMIA COM INTERAÇÃO SOLIDÁRIA - CRESOL ALIANÇA</t>
  </si>
  <si>
    <t>COOPERATIVA DE CRÉDITO E INVESTIMENTO SICOOB COOPERCRED LTDA.</t>
  </si>
  <si>
    <t>DIBENS LEASING S.A. ARRENDAMENTO MERCANTIL</t>
  </si>
  <si>
    <t>COOPERATIVA DE ECONOMIA E CRÉDITO MÚTUO UNICRED PROSPERAR LTDA. - UNICRED PROSPERAR</t>
  </si>
  <si>
    <t>SANTANA DO LIVRAMENTO</t>
  </si>
  <si>
    <t>COOPERATIVA DE CRÉDITO DE LIVRE ADMISSÃO DO VALE DO RIO GRANDE LTDA. - SICOOB UBERABA</t>
  </si>
  <si>
    <t>UBERABA</t>
  </si>
  <si>
    <t>COOPERATIVA DE CRÉDITO DA REGIÃO CENTRAL DE MINAS LTDA. - SICOOB UNIÃO CENTRAL</t>
  </si>
  <si>
    <t>PARAOPEBA</t>
  </si>
  <si>
    <t>COOPERATIVA DE CRÉDITO DO DISTRITO FEDERAL E ENTORNO LTDA</t>
  </si>
  <si>
    <t>CREDI-SHOP S/A - INSTITUIÇÃO DE PAGAMENTO</t>
  </si>
  <si>
    <t>CREDI SHOP S.A. - PRUDENCIAL</t>
  </si>
  <si>
    <t>C0084923</t>
  </si>
  <si>
    <t>TERESINA</t>
  </si>
  <si>
    <t>PI</t>
  </si>
  <si>
    <t>COOPERATIVA DE CRÉDITO DE LIVRE ADMISSÃO DO ALTO SÃO FRANCISCO LTDA.</t>
  </si>
  <si>
    <t>PIUMHI</t>
  </si>
  <si>
    <t>COOPERATIVA DE CRÉDITO DE LIVRE ADMISSÃO LTDA. - SICOOB CREDIJUSTRA</t>
  </si>
  <si>
    <t>COOPERATIVA DE CRÉDITO E INVESTIMENTO COM INTERAÇÃO SOLIDÁRIA EXCELÊNCIA - CRESOL EXCELÊNCIA</t>
  </si>
  <si>
    <t>SAO JOAQUIM</t>
  </si>
  <si>
    <t>XP SERVIÇOS FINANCEIROS DTVM LTDA</t>
  </si>
  <si>
    <t>MERCANTIL FINANCEIRA S.A. - SOCIEDADE DE CRÉDITO, FINANCIAMENTO E INVESTIMENTO.</t>
  </si>
  <si>
    <t>SICOOB CREDIGOIÁS COOPERATIVA DE CRÉDITO LTDA.</t>
  </si>
  <si>
    <t>COOPERATIVA DE CRÉDITO DE LIVRE ADMISSÃO DE RIO VERDE E REGIÃO LTDA.</t>
  </si>
  <si>
    <t>COOPERATIVA DE CREDITO DO MERCADO IMOBILIÁRIO - SICOOB IMOB.VC</t>
  </si>
  <si>
    <t>COOPERATIVA DE CRÉDITO MONTECREDI LTDA. - SICOOB MONTECREDI</t>
  </si>
  <si>
    <t>MONTE CARMELO</t>
  </si>
  <si>
    <t>COOPERATIVA DE CRÉDITO CARLOS CHAGAS LTDA. - SICOOB CARLOS CHAGAS</t>
  </si>
  <si>
    <t>CARLOS CHAGAS</t>
  </si>
  <si>
    <t>BANCO MERCANTIL DE INVESTIMENTOS S/A</t>
  </si>
  <si>
    <t>ZEMA CRÉDITO, FINANCIAMENTO E INVESTIMENTO S/A</t>
  </si>
  <si>
    <t>ZEMA CFI - PRUDENCIAL</t>
  </si>
  <si>
    <t>C0083584</t>
  </si>
  <si>
    <t>COOPERATIVA DE CRÉDITO DE LIVRE ADMISSÃO BURITIS - SICOOB BURITIS</t>
  </si>
  <si>
    <t>COOPERATIVA DE CRÉDITO E INVESTIMENTO COM INTERAÇÃO SOLIDÁRIA CONFIANÇA - CRESOL CONFIANÇA</t>
  </si>
  <si>
    <t>PAIM FILHO</t>
  </si>
  <si>
    <t>COOPERATIVA DE CRÉDITO, POUPANÇA E INVESTIMENTO NATIVA - SICREDI NATIVA PE/BA</t>
  </si>
  <si>
    <t>PETROLINA</t>
  </si>
  <si>
    <t>BANCO NACIONAL DE INVESTIMENTOS S.A.</t>
  </si>
  <si>
    <t>COOPERATIVA DE CRÉDITO DE LIVRE ADMISSÃO DO ESTADO DO RIO DE JANEIRO - SICOOB FLUMINENSE</t>
  </si>
  <si>
    <t>CAMPOS DOS GOYTACAZES</t>
  </si>
  <si>
    <t>COOPERATIVA DE CRÉDITO CREDIALP LTDA - SICOOB CREDIALP</t>
  </si>
  <si>
    <t>ALPINOPOLIS</t>
  </si>
  <si>
    <t>COOPERATIVA DE CRÉDITO UNIÃO DO CENTRO OESTE DE MINAS LTDA. - SICOOB CENTRO UNIÃO</t>
  </si>
  <si>
    <t>CARMO DO CAJURU</t>
  </si>
  <si>
    <t>COOPERATIVA DE CRÉDITO DE LIVRE ADMISSÃO DE ASSOCIADOS URUBICI - SICOOB CREDIARAUCÁRIA/SC</t>
  </si>
  <si>
    <t>URUBICI</t>
  </si>
  <si>
    <t>COOPERATIVA DE CRÉDITO DE LIVRE ADMISSÃO DE BOA ESPERANÇA LTDA. - SICOOB BELCREDI</t>
  </si>
  <si>
    <t>BOA ESPERANCA</t>
  </si>
  <si>
    <t>COOPERATIVA DE CRÉDITO CREDSAOPAULO - SICOOB CREDSAOPAULO</t>
  </si>
  <si>
    <t>COOPERATIVA DE CRÉDITO DE LIVRE ADMISSÃO DO CENTRO-SUL GOIANO LTDA</t>
  </si>
  <si>
    <t>MORRINHOS</t>
  </si>
  <si>
    <t>EDENRED SOLUCOES DE MOBILIDADE E INSTITUICAO DE PAGAMENTO HU S.A.</t>
  </si>
  <si>
    <t>BLU INSTITUIÇÃO DE PAGAMENTO LTDA.</t>
  </si>
  <si>
    <t>BLU IP - PRUDENCIAL</t>
  </si>
  <si>
    <t>C0086677</t>
  </si>
  <si>
    <t>COOPERATIVA DE CRÉDITO DE LIVRE ADMISSÃO SICOOB CREDIACIL</t>
  </si>
  <si>
    <t>LEME</t>
  </si>
  <si>
    <t>ACESSO SOLUÇÕES DE PAGAMENTO S.A. - INSTITUIÇÃO DE PAGAMENTO</t>
  </si>
  <si>
    <t>COOPERATIVA DE CRÉDITO CREDIRAMA LTDA - SICOOB CREDIRAMA</t>
  </si>
  <si>
    <t>ITURAMA</t>
  </si>
  <si>
    <t>COOPERATIVA DE CRÉDITO DE LIVRE ADMISSÃO DO ESTADO DO ACRE LTDA.</t>
  </si>
  <si>
    <t>RIO BRANCO</t>
  </si>
  <si>
    <t>AC</t>
  </si>
  <si>
    <t>COOPERATIVA DE CRÉDITO DA REGIÃO E COLAR METROPOLITANO DO VALE DO AÇO LTDA. - SICOOB COSMIPA</t>
  </si>
  <si>
    <t>COOPERATIVA DE CRÉDITO CREDIBELO LTDA. - SICOOB CREDIBELO</t>
  </si>
  <si>
    <t>CAMPO BELO</t>
  </si>
  <si>
    <t>CONTA SIMPLES SOCIEDADE DE CRÉDITO DIRETO S.A.</t>
  </si>
  <si>
    <t>CONTA SIMPLES SCD - PRUDENCIAL</t>
  </si>
  <si>
    <t>C0087384</t>
  </si>
  <si>
    <t>COOPERATIVA DE CRÉDITO E INVESTIMENTO COM INTERAÇÃO SOLIDÁRIA MISSÕES FRONTEIRA RS - CRESOL MISSÕES FRONTEIRA RS</t>
  </si>
  <si>
    <t>GUARANI DAS MISSOES</t>
  </si>
  <si>
    <t>TODESCREDI S/A - CRÉDITO, FINANCIAMENTO E INVESTIMENTO</t>
  </si>
  <si>
    <t>TODESCREDI S/A - CFI - PRUDENCIAL</t>
  </si>
  <si>
    <t>C0083546</t>
  </si>
  <si>
    <t>COOPERATIVA DE ECONOMIA E CRÉDITO MÚTUO UNICRED COALIZÃO LTDA - UNICRED COALIZÃO</t>
  </si>
  <si>
    <t>COOPERATIVA DE CRÉDITO CREDINORTE LTDA. - SICOOB CREDINORTE</t>
  </si>
  <si>
    <t>NANUQUE</t>
  </si>
  <si>
    <t>VIA CERTA FINANCIADORA S.A. - CRÉDITO, FINANCIAMENTO E INVESTIMENTOS</t>
  </si>
  <si>
    <t>VIA CERTA CFI - PRUDENCIAL</t>
  </si>
  <si>
    <t>C0080831</t>
  </si>
  <si>
    <t>COOPERATIVA DE CRÉDITO SICOOB COSTA DO DESCOBRIMENTO LTDA.</t>
  </si>
  <si>
    <t>ITAMARAJU</t>
  </si>
  <si>
    <t>COOPERATIVA DE ECONOMIA E CRÉDITO MÚTUO DOS EMPREGADOS DE FURNAS E DAS DEMAIS EMPRESAS DO SISTEMA ELETROBRÁS LTDA. - SICOOB CECREMEF</t>
  </si>
  <si>
    <t>MAGALUPAY - SOCIEDADE DE CRÉDITO, FINANCIAMENTO E INVESTIMENTO S.A.</t>
  </si>
  <si>
    <t>COOPERATIVA DE CRÉDITO NOSSA SENHORA DO DESTERRO - SICOOB CREDISC</t>
  </si>
  <si>
    <t>COOPERATIVA DE CRÉDITO UNIPRIME SUL</t>
  </si>
  <si>
    <t>CREDISIS CREDIPLAN - COOPERATIVA DE CRÉDITO DE LIVRE ADMISSÃO DO PLANALTO MÉDIO DO RIO GRANDE DO SUL LTDA</t>
  </si>
  <si>
    <t>COOPERATIVA DE CREDITO CREDIAGRO LTDA. - SICOOB CREDIAGRO</t>
  </si>
  <si>
    <t>CAMPOS ALTOS</t>
  </si>
  <si>
    <t>COOPERATIVA DE CRÉDITO DE LIVRE ADMISSÃO DE ANÁPOLIS E REGIÃO LTDA</t>
  </si>
  <si>
    <t>AL5 S.A. SOCIEDADE DE CRÉDITO, FINANCIAMENTO E INVESTIMENTO</t>
  </si>
  <si>
    <t>AL5 S.A. SCFI - PRUDENCIAL</t>
  </si>
  <si>
    <t>C0084734</t>
  </si>
  <si>
    <t>CASAS BAHIA PAY INSTITUIÇÃO DE PAGAMENTO LTDA.</t>
  </si>
  <si>
    <t>CASAS BAHIA PAY IP - PRUDENCIAL</t>
  </si>
  <si>
    <t>C0085829</t>
  </si>
  <si>
    <t>COOPERATIVA DE CRÉDITO DE LIVRE ADMISSÃO UNIÃO DO CENTRO OESTE DE MINAS LTDA - SICOOB CREDESP</t>
  </si>
  <si>
    <t>COOPERATIVA DE CRÉDITO E INVESTIMENTO COM INTERAÇÃO SOLIDÁRIA NASCENTE - CRESOL NASCENTE</t>
  </si>
  <si>
    <t>ALFREDO WAGNER</t>
  </si>
  <si>
    <t>COOPERATIVA DE CRÉDITO DOS SERVIDORES MILITARES, DA POLÍCIA CIVIL, DA SECRETARIA DE EDUCAÇÃO DO ESTADO DE MINAS GERAIS E DE LIVRE ADMISSÃO LTDA - SICOOB COOPEMG</t>
  </si>
  <si>
    <t>COOPERATIVA DE CREDITO DE LIVRE ADMISSAO DE PITANGUI E REGIAO LTDA. - SICOOB CREDPIT</t>
  </si>
  <si>
    <t>PITANGUI</t>
  </si>
  <si>
    <t>COOPERATIVA DE CREDITO DO PLANALTO SUL - SICOOB CREDISSERRANA</t>
  </si>
  <si>
    <t>COOPERATIVA DE CRÉDITO DE LIVRE ADMISSÃO E DOS ADVOGADOS LTDA. - SICOOB CREDIJUR</t>
  </si>
  <si>
    <t>COOPERATIVA DE CRÉDITO DOS PROFISSIONAIS DA SAÚDE E LIVRE ADMISSÃO DO SUL DE MINAS LTDA</t>
  </si>
  <si>
    <t>COOPERATIVA DE CRÉDITO CREDICOOP LTDA - SICOOB CREDICOOP</t>
  </si>
  <si>
    <t>SOCINAL S.A. - CRÉDITO, FINANCIAMENTO E INVESTIMENTO</t>
  </si>
  <si>
    <t>SOCINAL S.A. CFI - PRUDENCIAL</t>
  </si>
  <si>
    <t>C0083577</t>
  </si>
  <si>
    <t>ARARUAMA</t>
  </si>
  <si>
    <t>COOPERATIVA DE CRÉDITO DE LIVRE ADMISSÃO DE ASSOCIADOS DO PLANALTO SERRANO - SICOOB CREDISERRA SC</t>
  </si>
  <si>
    <t>URUPEMA</t>
  </si>
  <si>
    <t>COOPERATIVA DE CRÉDITO DOS INTEGRANTES DO PODER JUDICIÁRIO E DO MINISTÉRIO PÚBLICO DO ESTADO DE MINAS GERAIS LTDA. - SICOOB JUS-MP</t>
  </si>
  <si>
    <t>TENTOS S.A. CRÉDITO, FINANCIAMENTO E INVESTIMENTO</t>
  </si>
  <si>
    <t>TENTOS CFI - PRUDENCIAL</t>
  </si>
  <si>
    <t>C0085788</t>
  </si>
  <si>
    <t>COOPERATIVA DE CRÉDITO UNICRED AMPLA LTDA - UNICRED AMPLA</t>
  </si>
  <si>
    <t>COOPERATIVA DE CRÉDITO E ECONOMIA COM INTERAÇÃO SOLIDÁRIA - CRESOL ENCOSTAS DA SERRA GERAL</t>
  </si>
  <si>
    <t>SANTA ROSA DE LIMA</t>
  </si>
  <si>
    <t>URBANO S.A. - SOCIEDADE DE CRÉDITO, FINANCIAMENTO E INVESTIMENTO</t>
  </si>
  <si>
    <t>URBANO SCFI - PRUDENCIAL</t>
  </si>
  <si>
    <t>C0087786</t>
  </si>
  <si>
    <t>GENIAL INVESTIMENTOS CORRETORA DE VALORES MOBILIÁRIOS S.A.</t>
  </si>
  <si>
    <t>COOPERATIVA DE CRÉDITO DO VALE DO ITAJAÍ E VALE DO ITAPOCÚ - SICOOB MULTICREDI</t>
  </si>
  <si>
    <t>COOPERATIVA DE CRÉDITO SACRAMENTO LTDA - SICOOB SACRAMENTO</t>
  </si>
  <si>
    <t>SACRAMENTO</t>
  </si>
  <si>
    <t>COOPERATIVA DE CREDITO, POUPANCA E INVESTIMENTO DO RIO DE JANEIRO - SICREDI RIO RJ</t>
  </si>
  <si>
    <t>COOPERATIVA DE ECONOMIA E CRÉDITO MÚTUO DOS INTEGRANTES DO MINISTÉRIO PÚBLICO E DA DEFENSORIA PÚBLICA NO ESTADO DO RIO DE JANEIRO LIMITADA. - SICOOB COMPERJ</t>
  </si>
  <si>
    <t>COOPERATIVA DE ECONOMIA E CRÉDITO MÚTUO DOS SERVIDORES DO PODER JUDICIÁRIO, DO TRIBUNAL DE CONTAS ESTADUAL E DEMAIS ÓRGÃOS PÚBLICOS MUNICIPAIS, ESTADUAIS E FEDERAIS NO ESTADO DO RIO DE JANEIRO LTDA.</t>
  </si>
  <si>
    <t>CREDI&amp;GENTE - COOPERATIVA DE CRÉDITO E INVESTIMENTOS</t>
  </si>
  <si>
    <t>LAR COOPERATIVA DE CRÉDITO - LAR CREDI</t>
  </si>
  <si>
    <t>CREDIARE S.A. - CRÉDITO, FINANCIAMENTO E INVESTIMENTO</t>
  </si>
  <si>
    <t>CREDIARE CFI - PRUDENCIAL</t>
  </si>
  <si>
    <t>C0085427</t>
  </si>
  <si>
    <t>FARROUPILHA</t>
  </si>
  <si>
    <t>WISE BRASIL CORRETORA DE CÂMBIO LTDA</t>
  </si>
  <si>
    <t>COOPERATIVA DE CRÉDITO UNICRED COOMARCA LTDA. - COOMARCA</t>
  </si>
  <si>
    <t>COOPERATIVA DE CRÉDITO E ECONOMIA COM INTERAÇÃO SOLIDÁRIA DE JACUTINGA - CRESOL JACUTINGA</t>
  </si>
  <si>
    <t>JACUTINGA</t>
  </si>
  <si>
    <t>COOPERATIVA DE CREDITO CREDIMOTA   SICOOB CREDIMOTA</t>
  </si>
  <si>
    <t>CANDIDO MOTA</t>
  </si>
  <si>
    <t>COOPERATIVA DE CRÉDITO DE LIVRE ADMISSÃO DE PIRACANJUBA LTDA. - SICOOB CERRADO</t>
  </si>
  <si>
    <t>PIRACANJUBA</t>
  </si>
  <si>
    <t>KREDILIG S.A. - CRÉDITO, FINANCIAMENTO E INVESTIMENTO</t>
  </si>
  <si>
    <t>KREDILIG S.A. - CFI - PRUDENCIAL</t>
  </si>
  <si>
    <t>C0083498</t>
  </si>
  <si>
    <t>BIGUACU</t>
  </si>
  <si>
    <t>COOPERATIVA DE CRÉDITO DO VALE EUROPEU - SICOOB EURO VALE</t>
  </si>
  <si>
    <t>TIMBO</t>
  </si>
  <si>
    <t>OXY COMPANHIA HIPOTECÁRIA</t>
  </si>
  <si>
    <t>OXY CH - PRUDENCIAL</t>
  </si>
  <si>
    <t>C0085520</t>
  </si>
  <si>
    <t>BMP SOCIEDADE DE CRÉDITO DIRETO S.A</t>
  </si>
  <si>
    <t>COOPERATIVA DE CRÉDITO E INVESTIMENTO COM INTERAÇÃO SOLIDÁRIA CENTRO SERRA - CRESOL CENTRO SERRA</t>
  </si>
  <si>
    <t>CURITIBANOS</t>
  </si>
  <si>
    <t>COOPERATIVA DE CRÉDITO DE LIVRE ADMISSÃO DE PEDRO LEOPOLDO LTDA - SICOOB CREDIPEL</t>
  </si>
  <si>
    <t>PEDRO LEOPOLDO</t>
  </si>
  <si>
    <t>SUMUP SOCIEDADE DE CRÉDITO DIRETO S.A.</t>
  </si>
  <si>
    <t>COOPERATIVA DE ECONOMIA E CRÉDITO MÚTUO NOS ESTADOS DE ALAGOAS, SERGIPE E BAHIA - SICOOB LESTE</t>
  </si>
  <si>
    <t>ALFA ARRENDAMENTO MERCANTIL S.A.</t>
  </si>
  <si>
    <t>RENDIMENTOPAY INSTITUIÇÃO DE PAGAMENTO S.A.</t>
  </si>
  <si>
    <t>COOPERATIVA DE CRÉDITO CREDIPINHO LTDA - SICOOB CREDIPINHO</t>
  </si>
  <si>
    <t>JOAO PINHEIRO</t>
  </si>
  <si>
    <t>GREENPASS TECNOLOGIA E INSTITUICAO DE PAGAMENTO HUE S.A.</t>
  </si>
  <si>
    <t>SWILE INSTITUICAO DE PAGAMENTO LTDA</t>
  </si>
  <si>
    <t>SWILE IP - PRUDENCIAL</t>
  </si>
  <si>
    <t>C0088163</t>
  </si>
  <si>
    <t>CREDISAN COOPERATIVA DE CRÉDITO</t>
  </si>
  <si>
    <t>SAO JOAO DA BOA VISTA</t>
  </si>
  <si>
    <t>COOPERATIVA DE CRÉDITO DE LIVRE ADMISSÃO DE CAMPOS GERAIS E CAMPO DO MEIO LTDA - SICOOB CREDCAM</t>
  </si>
  <si>
    <t>CAMPOS GERAIS</t>
  </si>
  <si>
    <t>COOPERATIVA DE CRÉDITO E ECONOMIA COM INTERAÇÃO SOLIDÁRIA CAMINHOS - CRESOL CAMINHOS</t>
  </si>
  <si>
    <t>GETULIO VARGAS</t>
  </si>
  <si>
    <t>COOPERATIVA DE CRÉDITO DE LIVRE ADMISSÃO DE ASSOCIADOS DO SUL DO BRASIL - CREVISC</t>
  </si>
  <si>
    <t>GUARAMIRIM</t>
  </si>
  <si>
    <t>COOPERATIVA DE CRÉDITO DE LIVRE ADMISSÃO DO CENTRO SUL DE MATO GROSSO DO SUL - SICOOB CENTRO SUL MS</t>
  </si>
  <si>
    <t>AGORACRED S/A SOCIEDADE DE CRÉDITO, FINANCIAMENTO E INVESTIMENTO</t>
  </si>
  <si>
    <t>AGORACRED S/A SCFI - PRUDENCIAL</t>
  </si>
  <si>
    <t>C0083618</t>
  </si>
  <si>
    <t>COOPERATIVA DE CRÉDITO DOS SERVIDORES DOS PODERES LEGISLATIVOS DO ESTADO DE MINAS GERAIS E DO SEU ÓRGÃO AUXILIAR E DE LIVRE ADMISSÃO LTDA. - SICOOB COFAL</t>
  </si>
  <si>
    <t>EBURY BANCO DE CÂMBIO S.A.</t>
  </si>
  <si>
    <t>EBURY BANCO DE CÂMBIO - PRUDENCIAL</t>
  </si>
  <si>
    <t>C0080862</t>
  </si>
  <si>
    <t>COOPERATIVA DE ECONOMIA E CRÉDITO MÚTUO UNICRED HORIZONTES LTDA - UNICRED HORIZONTES</t>
  </si>
  <si>
    <t>COOPERATIVA DE CRÉDITO DE LIVRE ADMISSÃO DO SUL CATARINENSE - ACENTRA</t>
  </si>
  <si>
    <t>OKTO INSTITUIÇÃO DE PAGAMENTO S.A.</t>
  </si>
  <si>
    <t>OKTO IP - PRUDENCIAL</t>
  </si>
  <si>
    <t>C0086323</t>
  </si>
  <si>
    <t>COOPERATIVA DE CRÉDITO DOS SERVIDORES PÚBLICOS NO ESTADO DA BAHIA LTDA. - SICOOB INOVA</t>
  </si>
  <si>
    <t>COOPERATIVA DE CRÉDITO, POUPANÇA E INVESTIMENTO BANDEIRANTES - SICREDI BANDEIRANTES SP</t>
  </si>
  <si>
    <t>SAO CARLOS</t>
  </si>
  <si>
    <t>COOPERATIVA DE CRÉDITO DE TIROS E MATUTINA LTDA.- SICOOB CREDITIROS</t>
  </si>
  <si>
    <t>TIROS</t>
  </si>
  <si>
    <t>COOPERATIVA DE CREDITO SULCREDI AMPLEA</t>
  </si>
  <si>
    <t>EQI INVESTIMENTOS CORRETORA DE TÍTULOS E VALORES MOBILIÁRIOS S.A.</t>
  </si>
  <si>
    <t>EQI INVESTIMENTOS CTVM - PRUDENCIAL</t>
  </si>
  <si>
    <t>C0087119</t>
  </si>
  <si>
    <t>BNY MELLON SERVIÇOS FINANCEIROS DISTRIBUIDORA DE TÍTULOS E VALORES MOBILIÁRIOS S.A.</t>
  </si>
  <si>
    <t>COOPERATIVA DE CRÉDITO DA GRANDE FLORIANÓPOLIS - ÚNILOS</t>
  </si>
  <si>
    <t>COOPERATIVA DE CRÉDITO RURAL DE IRAÍ DE MINAS LTDA -SICOOB CREDIMIL</t>
  </si>
  <si>
    <t>IRAI DE MINAS</t>
  </si>
  <si>
    <t>COOPERATIVA DE CRÉDITO SICOOB CONFIANÇA</t>
  </si>
  <si>
    <t>COOPERATIVA DE CRÉDITO DE LIVRE ADMISSÃO DE CARMO DO RIO CLARO LTDA - SICOOB CREDICARMO</t>
  </si>
  <si>
    <t>CARMO DO RIO CLARO</t>
  </si>
  <si>
    <t>COOPERATIVA DE CRÉDITO, POUPANÇA E INVESTIMENTO DOS JUÍZES E CARREIRAS PÚBLICAS DO DIREITO DO ESTADO DO RIO GRANDE DO SUL - SICREDI AJURIS RS</t>
  </si>
  <si>
    <t>COOPERATIVA DE CRÉDITO CREDIVAG LTDA - SICOOB CREDIVAG</t>
  </si>
  <si>
    <t>JANAUBA</t>
  </si>
  <si>
    <t>EDENRED SOLUCOES E INSTITUICAO DE PAGAMENTO AHA S.A.</t>
  </si>
  <si>
    <t>COOPERATIVA DE CRÉDITO DE LIVRE ADMISSÃO DO ESTADO DE GOIÁS</t>
  </si>
  <si>
    <t>GAZINCRED S.A. SOCIEDADE DE CRÉDITO, FINANCIAMENTO E INVESTIMENTO</t>
  </si>
  <si>
    <t>GAZINCRED SCFI - PRUDENCIAL</t>
  </si>
  <si>
    <t>C0080824</t>
  </si>
  <si>
    <t>DOURADINA</t>
  </si>
  <si>
    <t>UNIPRIME DO IGUAÇU - COOPERATIVA DE CRÉDITO, POUPANÇA E INVESTIMENTO</t>
  </si>
  <si>
    <t>COOPERATIVA DE CRÉDITO SICREDI ALTO SERTÃO PARAIBANO - SICREDI ALTO SERTÃO PARAIBANO</t>
  </si>
  <si>
    <t>SOUSA</t>
  </si>
  <si>
    <t>COOPERATIVA DE CRÉDITO, POUPANÇA E INVESTIMENTO CENTRO PERNAMBUCANA - SICREDI CENTRO PERNAMBUCANA PE</t>
  </si>
  <si>
    <t>CARUARU</t>
  </si>
  <si>
    <t>COOPERATIVA DE CRÉDITO E ECONOMIA COM INTERAÇÃO SOLIDÁRIA - CRESOL MAIS</t>
  </si>
  <si>
    <t>QUILOMBO</t>
  </si>
  <si>
    <t>COOPERATIVA DE CRÉDITO DO SUDOESTE BAIANO LTDA - SICOOB CREDICONQUISTA</t>
  </si>
  <si>
    <t>VITORIA DA CONQUISTA</t>
  </si>
  <si>
    <t>COOPERATIVA DE CRÉDITO E ECONOMIA COM INTERAÇÃO SOLIDÁRIA DE ARATIBA - CRESOL ARATIBA</t>
  </si>
  <si>
    <t>ARATIBA</t>
  </si>
  <si>
    <t>COOPERATIVA DE CRÉDITO RURAL DE ABELARDO LUZ - SULCREDI/CREDILUZ</t>
  </si>
  <si>
    <t>ABELARDO LUZ</t>
  </si>
  <si>
    <t>BANCO LOSANGO S.A. - BANCO MÚLTIPLO</t>
  </si>
  <si>
    <t>RENDIMENTO SOCIEDADE DE CRÉDITO DIRETO S.A.</t>
  </si>
  <si>
    <t>BEM - DISTRIBUIDORA DE TITULOS E VALORES MOBILIARIOS LTDA</t>
  </si>
  <si>
    <t>BGC LIQUIDEZ DISTRIBUIDORA DE TÍTULOS E VALORES MOBILIÁRIOS LTDA</t>
  </si>
  <si>
    <t>BGC LIQUIDEZ DTVM LTDA - PRUDENCIAL</t>
  </si>
  <si>
    <t>C0084033</t>
  </si>
  <si>
    <t>REVOLUT SOCIEDADE DE CRÉDITO DIRETO S.A.</t>
  </si>
  <si>
    <t>REVOLUT SCD - PRUDENCIAL</t>
  </si>
  <si>
    <t>C0087054</t>
  </si>
  <si>
    <t>COOPERATIVA DE CRÉDITO, POUPANÇA E INVESTIMENTO INTEGRAÇÃO BAHIA - SICREDI INTEGRAÇÃO BAHIA - BA</t>
  </si>
  <si>
    <t>ITABUNA</t>
  </si>
  <si>
    <t>AGÊNCIA DE FOMENTO DO ESTADO DO AMAZONAS S.A. - AFEAM</t>
  </si>
  <si>
    <t>AFEAM - PRUDENCIAL</t>
  </si>
  <si>
    <t>C0081108</t>
  </si>
  <si>
    <t>MANAUS</t>
  </si>
  <si>
    <t>AM</t>
  </si>
  <si>
    <t>NEGRESCO S.A. - CREDITO, FINANCIAMENTO E INVESTIMENTOS</t>
  </si>
  <si>
    <t>NEGRESCO S.A. - CFI - PRUDENCIAL</t>
  </si>
  <si>
    <t>C0083450</t>
  </si>
  <si>
    <t>IDEAL CORRETORA DE TÍTULOS E VALORES MOBILIÁRIOS S.A.</t>
  </si>
  <si>
    <t>COOPERATIVA DE CRÉDITO SICOOB NORTE SUL LTDA</t>
  </si>
  <si>
    <t>GANDU</t>
  </si>
  <si>
    <t>COOPERATIVA DE CRÉDITO DE LIVRE ADMISSÃO DE PALMEIRAS E REGIÃO LTDA.</t>
  </si>
  <si>
    <t>PALMEIRAS DE GOIAS</t>
  </si>
  <si>
    <t>ZERO INSTITUIÇÃO DE PAGAMENTO S.A.</t>
  </si>
  <si>
    <t>ZERO IP - PRUDENCIAL</t>
  </si>
  <si>
    <t>C0087896</t>
  </si>
  <si>
    <t>COOPERATIVA DE ECONOMIA E CRÉDITO DE LIVRE ADMISSÃO LTDA. - SICOOB EMPRESARIAL</t>
  </si>
  <si>
    <t>SANTINVEST S.A. - CREDITO, FINANCIAMENTO E INVESTIMENTOS</t>
  </si>
  <si>
    <t>SANTINVEST - PRUDENCIAL</t>
  </si>
  <si>
    <t>C0080446</t>
  </si>
  <si>
    <t>STRADA PAY INSTITUIÇÃO DE PAGAMENTO LTDA.</t>
  </si>
  <si>
    <t>STRADA PAY IP - PRUDENCIAL</t>
  </si>
  <si>
    <t>C0085362</t>
  </si>
  <si>
    <t>COOPERATIVA DE CRÉDITO E INVESTIMENTO COM INTERAÇÃO SOLIDÁRIA DE NOVA MUTUM E REGIÃO - CRESOL MATO GROSSO</t>
  </si>
  <si>
    <t>NOVA MUTUM</t>
  </si>
  <si>
    <t>GENIAL INSTITUCIONAL CORRETORA DE CÂMBIO, TÍTULOS E VALORES MOBILIÁRIOS S.A.</t>
  </si>
  <si>
    <t>COOPERATIVA DE CRÉDITO E ECONOMIA COM INTERAÇÃO SOLIDÁRIA CRESOL VALE</t>
  </si>
  <si>
    <t>VITOR MEIRELES</t>
  </si>
  <si>
    <t>BRAZA BANK S.A. BANCO DE CÂMBIO</t>
  </si>
  <si>
    <t>BRAZA BANK BCO CÂMBIO - PRUDENCIAL</t>
  </si>
  <si>
    <t>C0081294</t>
  </si>
  <si>
    <t>COOPERATIVA DE CRÉDITO, POUPANÇA E INVESTIMENTO EMPREENDEDORES - SICREDI EMPREENDEDORES PR</t>
  </si>
  <si>
    <t>COOPERATIVA DE CRÉDITO CREDIBAM LTDA. - SICOOB CREDIBAM</t>
  </si>
  <si>
    <t>BAMBUI</t>
  </si>
  <si>
    <t>COBUCCIO S/A - SOCIEDADE DE CRÉDITO, FINANCIAMENTO E INVESTIMENTOS</t>
  </si>
  <si>
    <t>COOPERATIVA DE ECONOMIA E CRÉDITO MÚTUO DOS PROFISSIONAIS DA ÁREA NOTARIAL E REGISTRAL - COOPNORE</t>
  </si>
  <si>
    <t>CALCARD S.A. - INSTITUIÇÃO DE PAGAMENTOS</t>
  </si>
  <si>
    <t>CALCARD IP - PRUDENCIAL</t>
  </si>
  <si>
    <t>C0088170</t>
  </si>
  <si>
    <t>PALHOCA</t>
  </si>
  <si>
    <t>BRINKS PAY INSTITUICAO DE PAGAMENTO LTDA</t>
  </si>
  <si>
    <t>BRINKS PAY IP - PRUDENCIAL</t>
  </si>
  <si>
    <t>C0086811</t>
  </si>
  <si>
    <t>COOPERATIVA DE CRÉDITO HORIZONTE - SICOOB HORIZONTE</t>
  </si>
  <si>
    <t>ARAPONGAS</t>
  </si>
  <si>
    <t>COOPERATIVA DE CRÉDITO CREDICAMPINA LTDA. - SICOOB CREDICAMPINA</t>
  </si>
  <si>
    <t>CAMPINA VERDE</t>
  </si>
  <si>
    <t>MÊNTORE INSTITUIÇÃO DE PAGAMENTO S.A.</t>
  </si>
  <si>
    <t>MÊNTORE IP - PRUDENCIAL</t>
  </si>
  <si>
    <t>C0088527</t>
  </si>
  <si>
    <t>COOPERATIVA DE CRÉDITO DO VALE DOS PINHAIS - SICOOB VALE DOS PINHAIS</t>
  </si>
  <si>
    <t>CACADOR</t>
  </si>
  <si>
    <t>BARRACRED - COOPERATIVA DE ECONOMIA E CRÉDITO MÚTUO</t>
  </si>
  <si>
    <t>BARRA BONITA</t>
  </si>
  <si>
    <t>COOPERATIVA DE ECONOMIA E CRÉDITO MÚTUO - SICOOB COOPERAC</t>
  </si>
  <si>
    <t>PARATI - CREDITO, FINANCIAMENTO E INVESTIMENTO S.A.</t>
  </si>
  <si>
    <t>PARATI CFI - PRUDENCIAL</t>
  </si>
  <si>
    <t>C0088778</t>
  </si>
  <si>
    <t>AGENCIA DE FOMENTO DE GOIAS S/A</t>
  </si>
  <si>
    <t>AGENCIA FOMENTO GOIAS - PRUDENCIAL</t>
  </si>
  <si>
    <t>C0081050</t>
  </si>
  <si>
    <t>COOPERATIVA DE CRÉDITO DE LIVRE ADMISSÃO SICOOB CREDMISSÃO LTDA. - SICOOB CREDMISSÃO</t>
  </si>
  <si>
    <t>PIRAPORA</t>
  </si>
  <si>
    <t>COOPERATIVA DE CRÉDITO E ECONOMIA COM INTERAÇÃO SOLIDÁRIA - CRESOL DESENVOLVIMENTO</t>
  </si>
  <si>
    <t>LAUNCH PAD SOCIEDADE DE CRÉDITO DIRETO S.A.</t>
  </si>
  <si>
    <t>LAUNCH PAD SCD - PRUDENCIAL</t>
  </si>
  <si>
    <t>C0086048</t>
  </si>
  <si>
    <t>VIC-DISTRIBUIDORA DE TITULOS E VALORES MOBILIARIOS S/A</t>
  </si>
  <si>
    <t>VIC DTVM S/A - PRUDENCIAL</t>
  </si>
  <si>
    <t>C0084002</t>
  </si>
  <si>
    <t>Z-ON SOCIEDADE DE CRÉDITO DIRETO S.A.</t>
  </si>
  <si>
    <t>Z-ON SCD - PRUDENCIAL</t>
  </si>
  <si>
    <t>C0087267</t>
  </si>
  <si>
    <t>DAYCOVAL CORRETORA DE TÍTULOS E VALORES MOBILIÁRIOS LTDA.</t>
  </si>
  <si>
    <t>COOPERATIVA DE CRÉDITO DOS PROFISSIONAIS DE SAÚDE E DE LIVRE ADMISSÃO DO TRIÂNGULO MINEIRO E SUL DE MINAS LTDA. - UNICRED PROGRESSO</t>
  </si>
  <si>
    <t>COOPERATIVA DE CRÉDITO DE LIVRE ADMISSÃO DE ASSOCIADOS LTDA. - SICOOB JUDICIÁRIO</t>
  </si>
  <si>
    <t>COOPERATIVA DE CRÉDITO E INVESTIMENTO COM INTERAÇÃO SOLIDÁRIA TRANSAMAZÔNICA - CRESOL TRANSAMAZÔNICA</t>
  </si>
  <si>
    <t>PACAJA</t>
  </si>
  <si>
    <t>PLUXEE INSTITUIÇÃO DE PAGAMENTO BRASIL S.A.</t>
  </si>
  <si>
    <t>PLUXEE IP - PRUDENCIAL</t>
  </si>
  <si>
    <t>C0087889</t>
  </si>
  <si>
    <t>COOPERATIVA DE ECONOMIA E CRÉDITO MÚTUO DO VALE DAS ANTAS LTDA. - UNICRED PIONEIRA</t>
  </si>
  <si>
    <t>CASCA</t>
  </si>
  <si>
    <t>COOPERATIVA DE CRÉDITO DOS MAGISTRADOS, SERVIDORES DA JUSTIÇA DO ESTADO DE GOIÁS E EMPREGADOS DA CELG LTDA. - SICOOB JURISCRED</t>
  </si>
  <si>
    <t>COOPERATIVA DE CRÉDITO CREDIVAZ LTDA. - SICOOB CREDIVAZ</t>
  </si>
  <si>
    <t>VAZANTE</t>
  </si>
  <si>
    <t>COOPERATIVA DE CRÉDITO DE LIVRE ADMISSÃO DE JATAÍ E REGIÃO LTDA.</t>
  </si>
  <si>
    <t>JATAI</t>
  </si>
  <si>
    <t>ONEKEY PAYMENTS INSTITUICAO DE PAGAMENTO SA</t>
  </si>
  <si>
    <t>ONEKEY PAYMENTS IP - PRUDENCIAL</t>
  </si>
  <si>
    <t>C0087535</t>
  </si>
  <si>
    <t>COOPERATIVA DE CRÉDITO DE LIVRE ADMISSÃO DE ITAJUBÁ LTDA - SICOOB SUDESTE MAIS</t>
  </si>
  <si>
    <t>ITAJUBA</t>
  </si>
  <si>
    <t>COOPERATIVA DE CRÉDITO E ECONOMIA COM INTERAÇÃO SOLIDÁRIA - CRESOL INOVAÇÃO</t>
  </si>
  <si>
    <t>CORONEL MARTINS</t>
  </si>
  <si>
    <t>COOPERATIVA DE CRÉDITO DE LIVRE ADMISSÃO DO BRASIL CENTRAL LTDA. - SICOOB EXECUTIVO</t>
  </si>
  <si>
    <t>COOPERATIVA DE CRÉDITO E ECONOMIA COM INTERAÇÃO SOLIDÁRIA DE SÃO VALENTIM - CRESOL SÃO VALENTIM</t>
  </si>
  <si>
    <t>SAO VALENTIM</t>
  </si>
  <si>
    <t>BEES INSTITUICAO DE PAGAMENTO LTDA.</t>
  </si>
  <si>
    <t>BEES IP - PRUDENCIAL</t>
  </si>
  <si>
    <t>C0087731</t>
  </si>
  <si>
    <t>COOPERATIVA DE ECONOMIA E CRÉDITO MÚTUO DOS FUNCIONÁRIOS DA SECRETARIA DE ESTADO DA FAZENDA  DO ESTADO DE MINAS GERAIS E DE LIVRE ADMISSÃO LTDA - SICOOB COOPSEF</t>
  </si>
  <si>
    <t>COOPERATIVA DE CRÉDITO COOPCRED</t>
  </si>
  <si>
    <t>VALPARAISO</t>
  </si>
  <si>
    <t>COOPERATIVA DE CRÉDITO DE LIVRE ADMISSÃO CREDFAZ LTDA. - SICOOB CREDFAZ</t>
  </si>
  <si>
    <t>COOPERATIVA DE CRÉDITO CREDISUCESSO LTDA.- SICOOB CREDISUCESSO</t>
  </si>
  <si>
    <t>BOM SUCESSO</t>
  </si>
  <si>
    <t>STONEX DISTRIBUIDORA DE TÍTULOS E VALORES MOBILIÁRIOS LTDA.</t>
  </si>
  <si>
    <t>STONEX DTVM - PRUDENCIAL</t>
  </si>
  <si>
    <t>C0052041</t>
  </si>
  <si>
    <t>C0084088</t>
  </si>
  <si>
    <t>COOPERATIVA DE CRÉDITO DE LIVRE ADMISSÃO DE ARCOS LTDA. - SICOOB ARCOMCREDI</t>
  </si>
  <si>
    <t>ARCOS</t>
  </si>
  <si>
    <t>BOC BRASIL ARRENDAMENTO MERCANTIL S/A</t>
  </si>
  <si>
    <t>FIDÚCIA SOCIEDADE DE CRÉDITO AO MICROEMPREENDEDOR E À EMPRESA DE PEQUENO PORTE LIMITADA.</t>
  </si>
  <si>
    <t>FIDUCIA SCMEPP LTDA - PRUDENCIAL</t>
  </si>
  <si>
    <t>C0083010</t>
  </si>
  <si>
    <t>COOPERATIVA DE CRÉDITO DE LIVRE ADMISSÃO SICOOB COOPJUS LTDA.</t>
  </si>
  <si>
    <t>COOPERATIVA DE CREDITO CLASSICA DO ESTADO DO RIO DE JANEIRO - SICOOB EMPRESAS RJ</t>
  </si>
  <si>
    <t>SICOOB CRESSEM - COOPERATIVA DE ECONOMIA E CRÉDITO MUTUO DOS SERVIDORES MUNICIPAIS DA REGIÃO METROPOLITANA DO VALE DO PARAIBA E LITORAL NORTE</t>
  </si>
  <si>
    <t>CONTAAZUL INSTITUICAO DE PAGAMENTO LTDA.</t>
  </si>
  <si>
    <t>CONTAAZUL IP - PRUDENCIAL</t>
  </si>
  <si>
    <t>C0088060</t>
  </si>
  <si>
    <t>COOPERATIVA DE CRÉDITO SICOOB COOPMIL</t>
  </si>
  <si>
    <t>COOPERATIVA DE CRÉDITO CREDIESMERALDAS LTDA. - SICOOB CREDIESMERALDAS</t>
  </si>
  <si>
    <t>ESMERALDAS</t>
  </si>
  <si>
    <t>COOPERATIVA DE CRÉDITO DE LIVRE ADMISSÃO BRMIL LTDA. - SICOOB BRMIL</t>
  </si>
  <si>
    <t>HS FINANCEIRA S/A CREDITO, FINANCIAMENTO E INVESTIMENTOS</t>
  </si>
  <si>
    <t>HS FINANCEIRA - PRUDENCIAL</t>
  </si>
  <si>
    <t>C0083522</t>
  </si>
  <si>
    <t>DOIS IRMAOS</t>
  </si>
  <si>
    <t>CACTVS INSTITUICAO DE PAGAMENTO S.A</t>
  </si>
  <si>
    <t>CACTVS IP - PRUDENCIAL</t>
  </si>
  <si>
    <t>C0088792</t>
  </si>
  <si>
    <t>RPW S/A SOCIEDADE DE CRÉDITO, FINANCIAMENTO E INVESTIMENTO</t>
  </si>
  <si>
    <t>RPW S/A SCFI - PRUDENCIAL</t>
  </si>
  <si>
    <t>C0083209</t>
  </si>
  <si>
    <t>STARK SOCIEDADE DE CRÉDITO DIRETO S.A.</t>
  </si>
  <si>
    <t>COOPERATIVA DE CRÉDITO VALE DO CANOAS - SICOOB/SC CREDICANOAS</t>
  </si>
  <si>
    <t>ABDON BATISTA</t>
  </si>
  <si>
    <t>COOPERATIVA DE CRÉDITO SICOOB ITAPAGIPE LTDA - SICOOB ITAPAGIPE</t>
  </si>
  <si>
    <t>ITAPAGIPE</t>
  </si>
  <si>
    <t>BANESTES DISTRIBUIDORA DE TITULOS E VALORES MOBILIARIOS S/A</t>
  </si>
  <si>
    <t>CAPPTA INSTITUIÇÃO DE PAGAMENTO S.A.</t>
  </si>
  <si>
    <t>CAPPTA IP - PRUDENCIAL</t>
  </si>
  <si>
    <t>C0087827</t>
  </si>
  <si>
    <t>AGÊNCIA DE FOMENTO DO ESTADO DE MATO GROSSO S/A - DESENVOLVE MT</t>
  </si>
  <si>
    <t>AGÊNCIA DE FOMENTO MATO GROSSO - PRUDENCIAL</t>
  </si>
  <si>
    <t>C0081146</t>
  </si>
  <si>
    <t>COOPERATIVA DE CRÉDITO DE LIVRE ADMISSÃO DE SANTA CRUZ DAS PALMEIRAS E REGIÃO</t>
  </si>
  <si>
    <t>SANTA CRUZ DAS PALMEIRAS</t>
  </si>
  <si>
    <t>ALESTA SOCIEDADE DE CREDITO DIRETO S.A.</t>
  </si>
  <si>
    <t>ALESTA SOCIEDADE DE CREDITO DIRETO - PRUDENCIAL</t>
  </si>
  <si>
    <t>C0085379</t>
  </si>
  <si>
    <t>COOPERATIVA DE CRÉDITO SICOOB COOPEMAR LTDA</t>
  </si>
  <si>
    <t>MAIRI</t>
  </si>
  <si>
    <t>COOPERATIVA DE CRÉDITO DE LIVRE ADMISSÃO DA MARGEM ESQUERDA DO URUCUIA E SÃO FRANCISCO LTDA - SICOOB CREDICHAPADA</t>
  </si>
  <si>
    <t>CHAPADA GAUCHA</t>
  </si>
  <si>
    <t>TRANSFEERA INSTITUIÇÃO DE PAGAMENTO S.A</t>
  </si>
  <si>
    <t>TRANSFEERA IP - PRUDENCIAL</t>
  </si>
  <si>
    <t>C0087353</t>
  </si>
  <si>
    <t>COOPERATIVA DE CREDITO POTIGUAR - SICOOB POTIGUAR</t>
  </si>
  <si>
    <t>COOPERATIVA DE CREDITO E ECONOMIA COM INTERAÇÃO SOLIDÁRIA - CRESOL SERRA MAR</t>
  </si>
  <si>
    <t>RIO FORTUNA</t>
  </si>
  <si>
    <t>FINAMAX S.A. - CREDITO, FINANCIAMENTO E INVESTIMENTO</t>
  </si>
  <si>
    <t>FINAMAX S.A. CFI - PRUDENCIAL</t>
  </si>
  <si>
    <t>C0083436</t>
  </si>
  <si>
    <t>JUNDIAI</t>
  </si>
  <si>
    <t>COOPERATIVA DE CRÉDITO DOS INTEGRANTES DO MINISTÉRIO PÚBLICO E DO PODER JUDICIÁRIO NOS ESTADOS DO AMAPÁ E CEARÁ E LIVRE ADMISSÃO NO ESTADO DO PARÁ - SICOOB COIMPPA</t>
  </si>
  <si>
    <t>COOPERATIVA CENTRAL DE CRÉDITO, POUPANÇA E INVESTIMENTO DO NORDESTE - CENTRAL SICREDI NORDESTE</t>
  </si>
  <si>
    <t>COOPERATIVA DE CRÉDITO - SICOOB CREDUNI</t>
  </si>
  <si>
    <t>ATIVA INVESTIMENTOS S.A. CORRETORA DE TÍTULOS, CÂMBIO E VALORES</t>
  </si>
  <si>
    <t>ATIVA S.A. CTCV - PRUDENCIAL</t>
  </si>
  <si>
    <t>C0082547</t>
  </si>
  <si>
    <t>MONTE BRAVO CORRETORA DE TÍTULOS E VALORES MOBILIÁRIOS S.A.</t>
  </si>
  <si>
    <t>MONTE BRAVO CTVM - PRUDENCIAL</t>
  </si>
  <si>
    <t>C0087281</t>
  </si>
  <si>
    <t>CREDISIS SUDOESTE/RO - COOPERATIVA DE CRÉDITO E INVESTIMENTO DO SUDOESTE DE RONDÔNIA</t>
  </si>
  <si>
    <t>ROLIM DE MOURA</t>
  </si>
  <si>
    <t>COOPERATIVA DE CRÉDITO DE LIVRE ADMISSÃO DE CERES E RIALMA LTDA</t>
  </si>
  <si>
    <t>CERES</t>
  </si>
  <si>
    <t>COOPERATIVA DE CRÉDITO LIVRE ADMISSÃO SICOOB OURICRED</t>
  </si>
  <si>
    <t>OURINHOS</t>
  </si>
  <si>
    <t>BRADESCO S.A. CORRETORA DE TITULOS E VALORES MOBILIARIOS</t>
  </si>
  <si>
    <t>REAG IP S.A. - INSTITUIÇÃO DE PAGAMENTO</t>
  </si>
  <si>
    <t>REAG IP - PRUDENCIAL</t>
  </si>
  <si>
    <t>C0088840</t>
  </si>
  <si>
    <t>COOPERATIVA DE CRÉDITO DA REGIÃO DO VALE DO RIO GRANDE LTDA. - SICOOB CREDILEITE</t>
  </si>
  <si>
    <t>CREDISIS CAPITALCREDI - COOPERATIVA DE CRÉDITO DE LIVRE ADMISSÃO DO ACRE LTDA</t>
  </si>
  <si>
    <t>COOPERATIVA DE CREDITO CREDLIDER - SICOOB CREDLIDER</t>
  </si>
  <si>
    <t>VOTUPORANGA</t>
  </si>
  <si>
    <t>COOPERATIVA DE CRÉDITO DE LIVRE ADMISSÃO DA REGIÃO DE GUAXUPÉ LTDA. - SICOOB ACICREDI</t>
  </si>
  <si>
    <t>ROADCARD INSTITUICAO DE PAGAMENTO INTEGRADO DA LOGISTICA S.A.</t>
  </si>
  <si>
    <t>ROADCARD IP - PRUDENCIAL</t>
  </si>
  <si>
    <t>C0087906</t>
  </si>
  <si>
    <t>COOPERATIVA DE CRÉDITO, POUPANÇA E INVESTIMENTO DOS INTEGRANTES DA MAGISTRATURA E DO MINISTÉRIO PÚBLICO NO ESTADO DO PARANÁ - SICREDI CREDJURIS</t>
  </si>
  <si>
    <t>ACG INSTITUIÇÃO DE PAGAMENTO S.A.</t>
  </si>
  <si>
    <t>ACG IP - PRUDENCIAL</t>
  </si>
  <si>
    <t>C0086093</t>
  </si>
  <si>
    <t>COOPERATIVA DE ECONOMIA E CRÉDITO MÚTUO DOS SERVIDORES DA FEDERAÇÃO DO COMÉRCIO, SESC E SENAC DE SÃO PAULO</t>
  </si>
  <si>
    <t>AVENUE SECURITIES BANCO DE INVESTIMENTO S.A.</t>
  </si>
  <si>
    <t>SUL AMERICA INVESTIMENTOS DISTRIBUIDORA DE TITULOS E VALORES MOBILIARIOS S.A.</t>
  </si>
  <si>
    <t>SUL AMERICA INVEST DTVM S.A. - PRUDENCIAL</t>
  </si>
  <si>
    <t>C0084026</t>
  </si>
  <si>
    <t>SERVNET INSTITUIÇÃO DE PAGAMENTO LTDA.</t>
  </si>
  <si>
    <t>SERVNET IP - PRUDENCIAL</t>
  </si>
  <si>
    <t>C0086701</t>
  </si>
  <si>
    <t>SICOOB CREDIMONTES - COOPERATIVA DE CRÉDITO DE LIVRE ADMISSÃO REGIONAL DE MONTES CLAROS LTDA</t>
  </si>
  <si>
    <t>COOPERATIVA DE CRÉDITO DE LIVRE ADMISSÃO DA REGIÃO DE SÃO SEBASTIÃO DO PARAÍSO LTDA. - SICOOB PARAÍSOCRED</t>
  </si>
  <si>
    <t>SRM BANK INSTITUIÇÃO DE PAGAMENTO S/A</t>
  </si>
  <si>
    <t>SRM BANK IP - PRUDENCIAL</t>
  </si>
  <si>
    <t>C0086024</t>
  </si>
  <si>
    <t>BOLT CARD INSTITUIÇÃO DE PAGAMENTOS LTDA.</t>
  </si>
  <si>
    <t>AGÊNCIA DE FOMENTO E DESENVOLVIMENTO DO ESTADO DO PIAUÍ S.A.</t>
  </si>
  <si>
    <t>PIAUÍ FOMENTO - PRUDENCIAL</t>
  </si>
  <si>
    <t>C0081160</t>
  </si>
  <si>
    <t>COOPERATIVA DE CRÉDITO DE LIVRE ADMISSÃO CREDIEMBRAPA LTDA - SICOOB.</t>
  </si>
  <si>
    <t>APEX GROUP DISTRIBUIDORA DE TÍTULOS E VALORES MOBILIÁRIOS S.A.</t>
  </si>
  <si>
    <t>MAF-BRL TRUST - PRUDENCIAL</t>
  </si>
  <si>
    <t>C0052560</t>
  </si>
  <si>
    <t>C0084277</t>
  </si>
  <si>
    <t>MERCEDES-BENZ LEASING DO BRASIL ARRENDAMENTO MERCANTIL S.A.</t>
  </si>
  <si>
    <t>C&amp;A PAY SOCIEDADE DE CRÉDITO DIRETO S.A.</t>
  </si>
  <si>
    <t>C&amp;A PAY SCD - PRUDENCIAL</t>
  </si>
  <si>
    <t>C0086787</t>
  </si>
  <si>
    <t>VITREO DISTRIBUIDORA DE TÍTULOS E VALORES MOBILIÁRIOS S.A.</t>
  </si>
  <si>
    <t>COOPERATIVA DE CRÉDITO SICOOB UNI SUL MS</t>
  </si>
  <si>
    <t>COOPERATIVA DE CREDITO E ECONOMIA COM INTERAÇÃO SOLIDARIA - CRESOL LITORAL</t>
  </si>
  <si>
    <t>JAGUARUNA</t>
  </si>
  <si>
    <t>COOPERATIVA DE CRÉDITO, POUPANÇA E INVESTIMENTO DOS PROFESSORES, FUNCIONÁRIOS E ALUNOS DA UNIVERSIDADE DE CAXIAS DO SUL - SICREDI EDUCAÇÃO RS</t>
  </si>
  <si>
    <t>COOPERATIVA DE CRÉDITO CREDICAPI LTDA - SICOOB CREDICAPI</t>
  </si>
  <si>
    <t>CAPITOLIO</t>
  </si>
  <si>
    <t>WESTERN UNION CORRETORA DE CÂMBIO S.A.</t>
  </si>
  <si>
    <t>WESTERN UNION - PRUDENCIAL</t>
  </si>
  <si>
    <t>C0051767</t>
  </si>
  <si>
    <t>C0080886</t>
  </si>
  <si>
    <t>BRASIL CASH INSTITUICAO DE PAGAMENTO S.A</t>
  </si>
  <si>
    <t>BRASIL CASH IP - PRUDENCIAL</t>
  </si>
  <si>
    <t>C0087566</t>
  </si>
  <si>
    <t>PAGBRASIL INSTITUICAO DE PAGAMENTO LTDA</t>
  </si>
  <si>
    <t>PAGBRASIL IP - PRUDENCIAL</t>
  </si>
  <si>
    <t>C0088912</t>
  </si>
  <si>
    <t>BANRISUL S/A - CORRETORA DE VALORES MOBILIARIOS E CAMBIO</t>
  </si>
  <si>
    <t>BANCO DE LA PROVINCIA DE BUENOS AIRES</t>
  </si>
  <si>
    <t>BCO LA PROVINCIA B AIRES BCE - PRUDENCIAL</t>
  </si>
  <si>
    <t>C0081263</t>
  </si>
  <si>
    <t>CREDISIS CREDIBRÁS COOPERATIVA DE CRÉDITO E INVESTIMENTO DE LIVRE ADMISSÃO DO OESTE DE RONDÔNIA</t>
  </si>
  <si>
    <t>NOVA BRASILANDIA</t>
  </si>
  <si>
    <t>BANCO ITAUBANK S.A.</t>
  </si>
  <si>
    <t>POMELO INSTITUICAO DE PAGAMENTO LTDA.</t>
  </si>
  <si>
    <t>POMELO IP - PRUDENCIAL</t>
  </si>
  <si>
    <t>C0086938</t>
  </si>
  <si>
    <t>COOPERATIVA DE CRÉDITO DE LIVRE ADMISSÃO DE ASSOCIADOS DE DORES DO INDAIÁ LTDA - SICOOB COOPCREDI</t>
  </si>
  <si>
    <t>DORES DO INDAIA</t>
  </si>
  <si>
    <t>PLANNER CORRETORA DE VALORES S.A.</t>
  </si>
  <si>
    <t>PLANNER - PRUDENCIAL</t>
  </si>
  <si>
    <t>C0051341</t>
  </si>
  <si>
    <t>C0080587</t>
  </si>
  <si>
    <t>COOPERATIVA DE ECONOMIA E CRÉDITO MÚTUO DOS FUNCIONÁRIOS DO ATACADÃO</t>
  </si>
  <si>
    <t>TULLETT PREBON BRASIL CORRETORA DE VALORES E CÂMBIO LTDA</t>
  </si>
  <si>
    <t>TULLETT PREBON BRASIL S.A. CTVM - PRUDENCIAL</t>
  </si>
  <si>
    <t>C0052027</t>
  </si>
  <si>
    <t>C0082619</t>
  </si>
  <si>
    <t>COOPERATIVA DE CRÉDITO DE LIVRE ADMISSÃO SICOOB UNIÃO SUDESTE</t>
  </si>
  <si>
    <t>SANTO ANDRE</t>
  </si>
  <si>
    <t>COOPERATIVA DE CRÉDITO DE LIVRE ADMISSÃO DE ASSOCIADOS - SICOOB CRUZ ALTA</t>
  </si>
  <si>
    <t>BANCO UBS (BRASIL) S.A.</t>
  </si>
  <si>
    <t>SINOSSERRA FINANCEIRA S/A - SOCIEDADE DE CRÉDITO, FINANCIAMENTO E INVESTIMENTO</t>
  </si>
  <si>
    <t>SINOSSERRA FINANCEIRA S/A - PRUDENCIAL</t>
  </si>
  <si>
    <t>C0084552</t>
  </si>
  <si>
    <t>NOVO HAMBURGO</t>
  </si>
  <si>
    <t>CALCRED S.A. - CRÉDITO, FINANCIAMENTO E INVESTIMENTO</t>
  </si>
  <si>
    <t>COOPERATIVA DE CRÉDITO DE LIVRE ADMISSÃO DO OESTE MARANHENSE - SICOOB OESTE MARANHENSE</t>
  </si>
  <si>
    <t>ACAILANDIA</t>
  </si>
  <si>
    <t>SCOTIABANK BRASIL S.A. CORRETORA DE TÍTULOS E VALORES MOBILIÁRIOS</t>
  </si>
  <si>
    <t>321 SOCIEDADE DE CRÉDITO DIRETO S.A.</t>
  </si>
  <si>
    <t>VOX INSTITUICAO DE PAGAMENTO S.A.</t>
  </si>
  <si>
    <t>VOX IP - PRUDENCIAL</t>
  </si>
  <si>
    <t>C0088761</t>
  </si>
  <si>
    <t>ITAQUAQUECETUBA</t>
  </si>
  <si>
    <t>COOPERATIVA DE CRÉDITO NO PIAUÍ - SICOOB PIAUÍ</t>
  </si>
  <si>
    <t>COOPERATIVA DE ECONOMIA E CRÉDITO MÚTUO DOS MILITARES ESTADUAIS DE SANTA CATARINA - CREDPOM</t>
  </si>
  <si>
    <t>COOPERATIVA DE CRÉDITO DE LIVRE ADMISSÃO DO CIRCUITO DAS ÁGUAS - SICOOB CIRCUITO DAS ÁGUAS</t>
  </si>
  <si>
    <t>AGUAS DE LINDOIA</t>
  </si>
  <si>
    <t>COOPERATIVA DE CRÉDITO POPULAR DO BRASIL - CREHNOR</t>
  </si>
  <si>
    <t>COOPERATIVA DE CRÉDITO SICOOB IPÊ - SICOOB IPÊ</t>
  </si>
  <si>
    <t>PLANTAE S.A. - CRÉDITO, FINANCIAMENTO E INVESTIMENTO</t>
  </si>
  <si>
    <t>PLANTAE CFI - PRUDENCIAL</t>
  </si>
  <si>
    <t>C0085630</t>
  </si>
  <si>
    <t>COOPERATIVA DE CRÉDITO DE RIO RUFINO - SICOOB CREDIUNIÃO</t>
  </si>
  <si>
    <t>RIO RUFINO</t>
  </si>
  <si>
    <t>BANCO STONEX S.A.</t>
  </si>
  <si>
    <t>PAY4FUN INSTITUICAO DE PAGAMENTO S.A.</t>
  </si>
  <si>
    <t>PAY4FUN IP S.A. - PRUDENCIAL</t>
  </si>
  <si>
    <t>C0086299</t>
  </si>
  <si>
    <t>GPATIVA - COOPERATIVA DE ECONOMIA E CRÉDITO MÚTUO DOS EMPREGADOS DO GRUPO PÃO DE AÇÚCAR</t>
  </si>
  <si>
    <t>COOPERATIVA DE CRÉDITO RURAL DOS FORNECEDORES DE CANA DA REGIÃO DE CATANDUVA-COFOCRED</t>
  </si>
  <si>
    <t>CATANDUVA</t>
  </si>
  <si>
    <t>PINBANK BRASIL INSTITUIÇÃO DE PAGAMENTO S.A.</t>
  </si>
  <si>
    <t>PINBANK BRASIL IP - PRUDENCIAL</t>
  </si>
  <si>
    <t>C0086361</t>
  </si>
  <si>
    <t>COOPERATIVA DE CRÉDITO CREDIMAC LTDA - SICOOB CREDIMAC</t>
  </si>
  <si>
    <t>MARTINHO CAMPOS</t>
  </si>
  <si>
    <t>COOPERATIVA DE CRÉDITO DE LIVRE ADMISSÃO DO ESTADO DO PARÁ - SICOOB COOESA</t>
  </si>
  <si>
    <t>BIZ INSTITUIÇÃO DE PAGAMENTO S.A.</t>
  </si>
  <si>
    <t>COOPERATIVA DE ECONOMIA E CRÉDITO MÚTUO DOS TRABALHADORES DO GRUPO SÃO MARTINHO   USICRED</t>
  </si>
  <si>
    <t>PRADOPOLIS</t>
  </si>
  <si>
    <t>COOPERATIVA DE ECONOMIA E CRÉDITO MÚTUO E BENEFÍCIOS SOCIAIS BECOOPER</t>
  </si>
  <si>
    <t>COOPERATIVA DE CRÉDITO MÚTUO DO CEARÁ - SICOOB CEARÁ</t>
  </si>
  <si>
    <t>COOPERATIVA DE CRÉDITO SICOOB CREDCOOP LTDA.</t>
  </si>
  <si>
    <t>COOPER CARD INSTITUIÇÃO DE PAGAMENTO LTDA.</t>
  </si>
  <si>
    <t>COOPER CARD IP - PRUDENCIAL</t>
  </si>
  <si>
    <t>C0086134</t>
  </si>
  <si>
    <t>COOPERATIVA DE CRÉDITO DE LIVRE ADMISSÃO DE VITÓRIA DA CONQUISTA - UNICRED SUDOESTE DA BAHIA</t>
  </si>
  <si>
    <t>COOPERATIVA DE ECONOMIA E CRÉDITO MÚTUO DE LIVRE ADMISSÃO DOS SERVIDORES DA UNIVERSIDADE FEDERAL DE VIÇOSA LTDA. - SICOOB UFVCREDI</t>
  </si>
  <si>
    <t>VICOSA</t>
  </si>
  <si>
    <t>UY3 SOCIEDADE DE CRÉDITO DIRETO S/A</t>
  </si>
  <si>
    <t>UY3 SCD - PRUDENCIAL</t>
  </si>
  <si>
    <t>C0085472</t>
  </si>
  <si>
    <t>COOPERATIVA DE CREDITO E ECONOMIA COM INTERAÇÃO SOLIDÁRIA - CRESOL JACINTO MACHADO</t>
  </si>
  <si>
    <t>FINSOL SOCIEDADE DE CRÉDITO AO MICROEMPREENDEDOR E À EMPRESA DE PEQUENO PORTE S.A.</t>
  </si>
  <si>
    <t>COOPERATIVA DE CRÉDITO, POUPANÇA E INVESTIMENTO DOS MILITARES ESTADUAIS E SERVIDORES DA SEGURANÇA DO ESTADO DO RIO GRANDE DO SUL - SICREDI TRADIÇÃO RS</t>
  </si>
  <si>
    <t>GREENCRED - COOPERATIVA DE CREDITO</t>
  </si>
  <si>
    <t>COOPERATIVA DE ECONOMIA E CRÉDITO MÚTUO SICOOB METALCRED</t>
  </si>
  <si>
    <t>COOPERATIVA DE CRÉDITO MÚTUO DOS CORRETORES DE SEGUROS DO ESTADO DE SÃO PAULO - SICOOB CREDICOR/SP</t>
  </si>
  <si>
    <t>COOPERATIVA DE CREDITO E ECONOMIA COM INTERAÇÃO SOLIDÁRIA - CRESOL TREZE DE MAIO</t>
  </si>
  <si>
    <t>TREZE DE MAIO</t>
  </si>
  <si>
    <t>BELLUNO INSTITUICAO DE PAGAMENTO LTDA</t>
  </si>
  <si>
    <t>BELLUNO IP - PRUDENCIAL</t>
  </si>
  <si>
    <t>C0086983</t>
  </si>
  <si>
    <t>JARAGUA DO SUL</t>
  </si>
  <si>
    <t>COOPERATIVA DE CRÉDITO E INVESTIMENTOS DE RONDÔNIA - SICOOB CREDJURD</t>
  </si>
  <si>
    <t>COOPERATIVA DE CRÉDITO UNIPRIME CREDICANA</t>
  </si>
  <si>
    <t>ASSIS</t>
  </si>
  <si>
    <t>PICPAY INVEST DISTRIBUIDORA DE TÍTULOS E VALORES MOBILIÁRIOS LTDA</t>
  </si>
  <si>
    <t>ASTRO INSTITUICAO DE PAGAMENTO LTDA.</t>
  </si>
  <si>
    <t>ASTRO IP - PRUDENCIAL</t>
  </si>
  <si>
    <t>C0088156</t>
  </si>
  <si>
    <t>COOPERATIVA DE CRÉDITO CREDINOSSO LTDA - SICOOB CREDINOSSO</t>
  </si>
  <si>
    <t>PAY2ALL INSTITUICAO DE PAGAMENTO LTDA</t>
  </si>
  <si>
    <t>PAY2ALL IP - PRUDENCIAL</t>
  </si>
  <si>
    <t>C0088479</t>
  </si>
  <si>
    <t>NSTECH IP INSTITUICAO DE PAGAMENTO S.A.</t>
  </si>
  <si>
    <t>NSTECH IP - PRUDENCIAL</t>
  </si>
  <si>
    <t>C0088785</t>
  </si>
  <si>
    <t>COOPERFEMSA - COOPERATIVA DE CRÉDITO</t>
  </si>
  <si>
    <t>COOPERATIVA DE CRÉDITO MÚTUO DOS PROFISSIONAIS DA SAÚDE E LIVRE ADMISSÃO DE TEÓFILO OTONI LTDA. - UNICRED TRÊS VALES</t>
  </si>
  <si>
    <t>HAITONG SECURITIES DO BRASIL CORRETORA DE CÂMBIO E VALORES MOBILIÁRIOS S.A.</t>
  </si>
  <si>
    <t>COOPERATIVA DE CRÉDITO MÚTUO DOS DESPACHANTES DE TRÂNSITO DE SANTA CATARINA E RIO GRANDE DO SUL - SICOOB CREDITRAN</t>
  </si>
  <si>
    <t>COOPERATIVA DE CRÉDITO DOS EMPREGADOS DO GRUPO VALLOUREC NO BRASIL - COOVALL LTDA.</t>
  </si>
  <si>
    <t>COOPERATIVA DE ECONOMIA E CRÉDITO MÚTUO - COOPERSERV</t>
  </si>
  <si>
    <t>LENCOIS PAULISTA</t>
  </si>
  <si>
    <t>GOOGLE PAY BRASIL INSTITUICAO DE PAGAMENTO LTDA.</t>
  </si>
  <si>
    <t>GOOGLE PAY BRASIL IP - PRUDENCIAL</t>
  </si>
  <si>
    <t>C0086684</t>
  </si>
  <si>
    <t>COOPERATIVA DE CRÉDITO DE LIVRE ADMISSÃO - SICOOB COPESITA</t>
  </si>
  <si>
    <t>TIMOTEO</t>
  </si>
  <si>
    <t>COOPERATIVA DE ECONOMIA E CRÉDITO DE LIVRE ADMISSÃO DOS EMPREGADOS DOS CORREIOS LTDA. - SICOOB COOPERCORREIOS</t>
  </si>
  <si>
    <t>SOMAPAY SOCIEDADE DE CRÉDITO DIRETO S.A.</t>
  </si>
  <si>
    <t>SOMAPAY SCD - PRUDENCIAL</t>
  </si>
  <si>
    <t>C0086017</t>
  </si>
  <si>
    <t>COOPERATIVA DE ECONOMIA E CRÉDITO MÚTUO DOS SERVIDORES DA JUSTIÇA DO ESTADO DE MINAS GERAIS LTDA. - SICOOB CREDJUS</t>
  </si>
  <si>
    <t>TRIO INSTITUICAO DE PAGAMENTO LTDA.</t>
  </si>
  <si>
    <t>TRIO IP - PRUDENCIAL</t>
  </si>
  <si>
    <t>C0087432</t>
  </si>
  <si>
    <t>EAGLE INSTITUICAO DE PAGAMENTO LTDA.</t>
  </si>
  <si>
    <t>FUTURO SCD - PRUDENCIAL</t>
  </si>
  <si>
    <t>C0086172</t>
  </si>
  <si>
    <t>COOPERATIVA DE CRÉDITO, POUPANÇA E INVESTIMENTO DOS ESCRIVÃES, NOTÁRIOS E REGISTRADORES NO ESTADO DO PARANÁ - SICREDI CREDENOREG PR</t>
  </si>
  <si>
    <t>ACCREDITO - SOCIEDADE DE CRÉDITO DIRETO S.A.</t>
  </si>
  <si>
    <t>ACCREDITO SCD - PRUDENCIAL</t>
  </si>
  <si>
    <t>C0085331</t>
  </si>
  <si>
    <t>PAGME INSTITUIÇÃO DE PAGAMENTO LTDA.</t>
  </si>
  <si>
    <t>PAGME IP - PRUDENCIAL</t>
  </si>
  <si>
    <t>C0087542</t>
  </si>
  <si>
    <t>MICROINVEST S.A. SOCIEDADE DE CRÉDITO A MICROEMPREENDEDOR</t>
  </si>
  <si>
    <t>NVIO BRASIL BITSO INSTITUIÇÃO DE PAGAMENTO LTDA</t>
  </si>
  <si>
    <t>NVIO BRASIL BITSO IP - PRUDENCIAL</t>
  </si>
  <si>
    <t>C0086945</t>
  </si>
  <si>
    <t>SOLVER INSTITUICAO DE PAGAMENTO LTDA</t>
  </si>
  <si>
    <t>SOLVER IP - PRUDENCIAL</t>
  </si>
  <si>
    <t>C0088596</t>
  </si>
  <si>
    <t>COOPERATIVA DE CRÉDITO E ECONOMIA COM INTERAÇÃO SOLIDÁRIA - CRESOL COOPERACRED</t>
  </si>
  <si>
    <t>SAO JOAO DO SUL</t>
  </si>
  <si>
    <t>COOPERATIVA DE CRÉDITO MÚTUO DOS EMPREGADOS DA MAXION - CREDMAXION</t>
  </si>
  <si>
    <t>CRUZEIRO</t>
  </si>
  <si>
    <t>FAIR SOCIEDADE CORRETORA DE CÂMBIO S.A.</t>
  </si>
  <si>
    <t>FAIR CC S.A. - PRUDENCIAL</t>
  </si>
  <si>
    <t>C0081919</t>
  </si>
  <si>
    <t>CAPITAL CONSIG SOCIEDADE DE CRÉDITO DIRETO S.A.</t>
  </si>
  <si>
    <t>CAPITAL CONSIG SCD - PRUDENCIAL</t>
  </si>
  <si>
    <t>C0085599</t>
  </si>
  <si>
    <t>COOPERATIVA DE CRÉDITO, POUPANÇA E INVESTIMENTO DO SISTEMA DE JUSTIÇA NO ESTADO DO CEARÁ - SICREDI COOPERJURIS</t>
  </si>
  <si>
    <t>COOPERATIVA DE CRÉDITO MÚTUO DE LIVRE ADMISSÃO DA REGIÃO ADMINISTRATIVA DE SOROCABA - SICOOB COOPERASO</t>
  </si>
  <si>
    <t>COOPERATIVA DE ECONOMIA E CRÉDITO MÚTUO DOS SERVIDORES PÚBLICOS - SICOOB COOPERPLAN CREDSEF</t>
  </si>
  <si>
    <t>REPASSES FINANCEIROS E SOLUCOES TECNOLOGICAS INSTITUICAO DE PAGAMENTO S.A.</t>
  </si>
  <si>
    <t>MERCADO BITCOIN INSTITUICAO DE PAGAMENTO LTDA</t>
  </si>
  <si>
    <t>MERCADO BITCOIN - PRUDENCIAL</t>
  </si>
  <si>
    <t>C0087061</t>
  </si>
  <si>
    <t>COOPERATIVA DE CRÉDITO DE LIVRE ADMISSÃO SUL MARANHENSE - SICOOB SUL MARANHENSE</t>
  </si>
  <si>
    <t>BALSAS</t>
  </si>
  <si>
    <t>CONFIDENCE SOCIEDADE CORRETORA DE CAMBIO S.A.</t>
  </si>
  <si>
    <t>CREDISIS OESTE - COOPERATIVA DE CRÉDITO E INVESTIMENTO DO OESTE</t>
  </si>
  <si>
    <t>ESPIGAO D'OESTE</t>
  </si>
  <si>
    <t>AGI FINANCEIRA S.A. - SOCIEDADE DE CRÉDITO, FINANCIAMENTO E INVESTIMENTO</t>
  </si>
  <si>
    <t>INOVANTI INSTITUIÇÃO DE PAGAMENTO S.A.</t>
  </si>
  <si>
    <t>INOVANTI IP - PRUDENCIAL</t>
  </si>
  <si>
    <t>C0087456</t>
  </si>
  <si>
    <t>MT INSTITUICAO DE PAGAMENTO SA</t>
  </si>
  <si>
    <t>MT IP - PRUDENCIAL</t>
  </si>
  <si>
    <t>C0088039</t>
  </si>
  <si>
    <t>PLANNER SOCIEDADE DE CRÉDITO DIRETO S.A.</t>
  </si>
  <si>
    <t>COOPERATIVA DE CRÉDITO, POUPANÇA E INVESTIMENTO DOS PROFISSIONAIS MÉDICOS E DA SAÚDE DE CURITIBA E REGIÃO METROPOLITANA - SICREDI MEDICRED PR</t>
  </si>
  <si>
    <t>PAGCERTO INSTITUICAO DE PAGAMENTO LTDA.</t>
  </si>
  <si>
    <t>PAGCERTO IP - PRUDENCIAL</t>
  </si>
  <si>
    <t>C0087724</t>
  </si>
  <si>
    <t>RENDIMENTO DISTRIBUIDORA DE TÍTULOS E VALORES MOBILIÁRIOS S/A</t>
  </si>
  <si>
    <t>CREDITÁ S/A CRÉDITO, FINANCIAMENTO E INVESTIMENTO</t>
  </si>
  <si>
    <t>CREDITÁ S.A. CFI - PRUDENCIAL</t>
  </si>
  <si>
    <t>C0083687</t>
  </si>
  <si>
    <t>GOWD INSTITUIÇÃO DE PAGAMENTO LTDA.</t>
  </si>
  <si>
    <t>GOWD IP - PRUDENCIAL</t>
  </si>
  <si>
    <t>C0087023</t>
  </si>
  <si>
    <t>PAY INSTITUICAO DE PAGAMENTO S.A.</t>
  </si>
  <si>
    <t>PAY IP - PRUDENCIAL</t>
  </si>
  <si>
    <t>C0087920</t>
  </si>
  <si>
    <t>DELFINANCE SOCIEDADE DE CREDITO DIRETO S.A.</t>
  </si>
  <si>
    <t>DELFINANCE SCD - PRUDENCIAL</t>
  </si>
  <si>
    <t>C0085393</t>
  </si>
  <si>
    <t>KANASTRA FINANCEIRA S.A, CREDITO, FINANCIAMENTO E INVESTIMENTO</t>
  </si>
  <si>
    <t>KANASTRA FINANCEIRA CFI - PRUDENCIAL</t>
  </si>
  <si>
    <t>C0086770</t>
  </si>
  <si>
    <t>CELCOIN SOCIEDADE DE CRÉDITO DIRETO S.A.</t>
  </si>
  <si>
    <t>CELCOIN IP - PRUDENCIAL</t>
  </si>
  <si>
    <t>C0085960</t>
  </si>
  <si>
    <t>COOPERATIVA DE CRÉDITO DE LIVRE ADMISSÃO CENTRO NORDESTE - SICOOB CENTRO NORDESTE</t>
  </si>
  <si>
    <t>COOPERATIVA DE ECONOMIA E CRÉDITO MÚTUO DOS MAGISTRADOS DE SÃO PAULO - MAGISCRED</t>
  </si>
  <si>
    <t>AVANCARD PROVER INSTITUIÇÃO DE PAGAMENTO LTDA</t>
  </si>
  <si>
    <t>AVANCARD PROVER IP - PRUDENCIAL</t>
  </si>
  <si>
    <t>C0087212</t>
  </si>
  <si>
    <t>COOPERATIVA DE CRÉDITO, POUPANÇA E INVESTIMENTO DA ADVOCACIA E SERVENTUÁRIOS DO PODER JUDICIÁRIO NO ESTADO DO RIO GRANDE DO SUL - SICREDI COOABCRED RS</t>
  </si>
  <si>
    <t>NG CASH INSTITUIÇÃO DE PAGAMENTO LTDA.</t>
  </si>
  <si>
    <t>NG CASH IP - PRUDENCIAL</t>
  </si>
  <si>
    <t>C0088448</t>
  </si>
  <si>
    <t>JBCRED S.A. SOCIEDADE DE CREDITO, FINANCIAMENTO E INVESTIMENTO</t>
  </si>
  <si>
    <t>JBCRED S.A. SCFI - PRUDENCIAL</t>
  </si>
  <si>
    <t>C0083137</t>
  </si>
  <si>
    <t>CM CAPITAL MARKETS CORRETORA DE CÂMBIO, TÍTULOS E VALORES MOBILIÁRIOS LTDA</t>
  </si>
  <si>
    <t>CM CAPITAL MARKETS - PRUDENCIAL</t>
  </si>
  <si>
    <t>C0080549</t>
  </si>
  <si>
    <t>BANCO ITAÚ VEÍCULOS S.A.</t>
  </si>
  <si>
    <t>COOPERATIVA DE CRÉDITO DE SÃO FRANCISCO DE SALES LTDA. - SICOOB CREDISALES</t>
  </si>
  <si>
    <t>SAO FRANCISCO DE SALES</t>
  </si>
  <si>
    <t>COOPERATIVA DE CRÉDITO COGEM</t>
  </si>
  <si>
    <t>MULTIPLIKE FINANCEIRA S.A. SOCIEDADE DE CRÉDITO, FINANCIAMENTO E INVESTIMENTO</t>
  </si>
  <si>
    <t>MULTIPLIKE FINANCEIRA SCFI - PRUDENCIAL</t>
  </si>
  <si>
    <t>C0088651</t>
  </si>
  <si>
    <t>MAREE SOCIEDADE DE CRÉDITO DIRETO S.A.</t>
  </si>
  <si>
    <t>COOPERATIVA DE CRÉDITO, POUPANÇA E INVESTIMENTO DOS POLICIAIS FEDERAIS DO RIO GRANDE DO SUL E SANTA CATARINA - SICREDI POL RS/SC</t>
  </si>
  <si>
    <t>AGENCIA DE FOMENTO DO RIO GRANDE DO NORTE S.A.</t>
  </si>
  <si>
    <t>AGENCIA DE FOMENTO DO RN S.A. - PRUDENCIAL</t>
  </si>
  <si>
    <t>C0081043</t>
  </si>
  <si>
    <t>GETNET SOCIEDADE DE CREDITO DIRETO S.A.</t>
  </si>
  <si>
    <t>LECCA CRÉDITO, FINANCIAMENTO E INVESTIMENTO S/A</t>
  </si>
  <si>
    <t>LECCA - PRUDENCIAL</t>
  </si>
  <si>
    <t>C0080680</t>
  </si>
  <si>
    <t>COOPERATIVA DE ECONOMIA E CRÉDITO MÚTUO DOS FUNCIONÁRIOS DA  NESTLÉ - NESCRED</t>
  </si>
  <si>
    <t>CENTROCRED S.A. CRÉDITO, FINANCIAMENTO E INVESTIMENTOS</t>
  </si>
  <si>
    <t>CENTROCRED CFI - PRUDENCIAL</t>
  </si>
  <si>
    <t>C0084727</t>
  </si>
  <si>
    <t>COOPERATIVA DE CRÉDITO, POUPANÇA E INVESTIMENTO DAS CARREIRAS DO MINISTÉRIO PÚBLICO, TRIBUNAL DE CONTAS E SECRETARIA DA FAZENDA DO RIO GRANDE DO SUL - SICREDI MP RS</t>
  </si>
  <si>
    <t>SICOOB CRED COPERCANA COOPERATIVA DE CRÉDITO</t>
  </si>
  <si>
    <t>BANCO SANY BRASIL S.A.</t>
  </si>
  <si>
    <t>BANCO SANY BRASIL - PRUDENCIAL</t>
  </si>
  <si>
    <t>C0088510</t>
  </si>
  <si>
    <t>PROTEGE CASH INSTITUIÇÃO DE PAGAMENTO S.A.</t>
  </si>
  <si>
    <t>PROTEGE CASH IP PRUDENCIAL</t>
  </si>
  <si>
    <t>C0086969</t>
  </si>
  <si>
    <t>COOPERATIVA DE CRÉDITO MÚTUO - SICOOB CREDIACISC</t>
  </si>
  <si>
    <t>SITA SOCIEDADE CORRETORA DE CAMBIO E VALORES MOBILIARIOS S.A</t>
  </si>
  <si>
    <t>SITA SCCVM S.A. - PRUDENCIAL</t>
  </si>
  <si>
    <t>C0082743</t>
  </si>
  <si>
    <t>MAF DISTRIBUIDORA DE TÍTULOS E VALORES MOBILIÁRIOS S.A.</t>
  </si>
  <si>
    <t>SICOOB CREDIMED - COOPERATIVA DE CRÉDITO DE LIVRE ADMISSÃO DA CIDADE DE UBERABA LTDA.</t>
  </si>
  <si>
    <t>COOPERATIVA DE CRÉDITO - SICREDI LENÇÓIS</t>
  </si>
  <si>
    <t>SAO LUIS</t>
  </si>
  <si>
    <t>ID CORRETORA DE TÍTULOS E VALORES MOBILIÁRIOS S.A.</t>
  </si>
  <si>
    <t>ID CTVM - PRUDENCIAL</t>
  </si>
  <si>
    <t>C0085582</t>
  </si>
  <si>
    <t>GALAX PAY INSTITUIÇÃO DE PAGAMENTO S.A.</t>
  </si>
  <si>
    <t>WOOVI INSTITUICAO DE PAGAMENTO LTDA</t>
  </si>
  <si>
    <t>WOOVI IP - PRUDENCIAL</t>
  </si>
  <si>
    <t>C0088118</t>
  </si>
  <si>
    <t>BANCO DE LA NACION ARGENTINA</t>
  </si>
  <si>
    <t>BCO LA NACION ARGENTINA - PRUDENCIAL</t>
  </si>
  <si>
    <t>C0081270</t>
  </si>
  <si>
    <t>GRAZZIOTIN FINANCEIRA S/A - CRÉDITO, FINANCIAMENTO E INVESTIMENTOS</t>
  </si>
  <si>
    <t>GRAZZIOTIN FINANCEIRA - PRUDENCIAL</t>
  </si>
  <si>
    <t>C0083481</t>
  </si>
  <si>
    <t>NOVA FUTURA CORRETORA DE TÍTULOS E VALORES MOBILIÁRIOS LTDA.</t>
  </si>
  <si>
    <t>NOVA FUTURA CTVM LTDA - PRUDENCIAL</t>
  </si>
  <si>
    <t>C0083759</t>
  </si>
  <si>
    <t>VERT DISTRIBUIDORA DE TÍTULOS E VALORES MOBILIÁRIOS LTDA</t>
  </si>
  <si>
    <t>VERT DTVM - PRUDENCIAL</t>
  </si>
  <si>
    <t>C0087171</t>
  </si>
  <si>
    <t>COOPERATIVA DE CRÉDITO CREDIPIMENTA LTDA. - SICOOB CREDIPIMENTA</t>
  </si>
  <si>
    <t>PIMENTA</t>
  </si>
  <si>
    <t>COOPERATIVA DE CRÉDITO MÚTUO DOS SERVIDORES MUNICIPAIS DE SÃO JOÃO DA BOA VISTA - CREDIVISTA</t>
  </si>
  <si>
    <t>COOPERATIVA DE CRÉDITO DOS CONTADORES, ADMINISTRADORES DE EMPRESAS, ECONOMISTAS E CORRETORES DE SEGUROS LTDA. - SICOOB CREDITABIL</t>
  </si>
  <si>
    <t>MOVA SOCIEDADE DE EMPRÉSTIMO ENTRE PESSOAS S.A.</t>
  </si>
  <si>
    <t>MOVA SEP - PRUDENCIAL</t>
  </si>
  <si>
    <t>C0084961</t>
  </si>
  <si>
    <t>COOPERATIVA DE ECONOMIA E CRÉDITO MÚTUO DOS EMPRESÁRIOS DE AMERICANA, LIMEIRA E REGIÃO - SICOOB ACICRED</t>
  </si>
  <si>
    <t>AMERICANA</t>
  </si>
  <si>
    <t>99PAY SOCIEDADE DE CRÉDITO DIRETO S.A.</t>
  </si>
  <si>
    <t>CREFAZ SOCIEDADE DE CRÉDITO AO MICROEMPREENDEDOR E A EMPRESA DE PEQUENO PORTE S.A.</t>
  </si>
  <si>
    <t>CREFAZ SCMEPP - PRUDENCIAL</t>
  </si>
  <si>
    <t>C0083357</t>
  </si>
  <si>
    <t>CARTOS SOCIEDADE DE CRÉDITO DIRETO S.A.</t>
  </si>
  <si>
    <t>CARTOS SCD - PRUDENCIAL</t>
  </si>
  <si>
    <t>C0084442</t>
  </si>
  <si>
    <t>TIVIO CAPITAL DISTRIBUIDORA DE TÍTULOS E VALORES MOBILIÁRIOS S.A.</t>
  </si>
  <si>
    <t>COOPERATIVA DE CRÉDITO MÚTUO DOS EMPREGADOS DO MAGAZINE LUIZA, EMPRESAS CONTROLADAS E COLIGADAS - COOPLUIZA</t>
  </si>
  <si>
    <t>COOPERÁGUIA - COOPERATIVA DE ECONOMIA E CRÉDITO MÚTUO DOS EMPREGADOS DO GRUPO ÁGUIA BRANCA</t>
  </si>
  <si>
    <t>CARIACICA</t>
  </si>
  <si>
    <t>SOCIEDADE DE CRÉDITO, FINANCIAMENTO E INVESTIMENTO EFÍ S.A.</t>
  </si>
  <si>
    <t>SIMPAUL CORRETORA DE CAMBIO E VALORES MOBILIARIOS  S.A.</t>
  </si>
  <si>
    <t>SIMPAUL CCVM - PRUDENCIAL</t>
  </si>
  <si>
    <t>C0082640</t>
  </si>
  <si>
    <t>DIREÇÃO S.A. - SOCIEDADE DE CRÉDITO, FINANCIAMENTO E INVESTIMENTO</t>
  </si>
  <si>
    <t>DIRECAO S.A. SCFI - PRUDENCIAL</t>
  </si>
  <si>
    <t>C0083625</t>
  </si>
  <si>
    <t>BK INSTITUIÇÃO DE PAGAMENTO S.A.</t>
  </si>
  <si>
    <t>BK IP - PRUDENCIAL</t>
  </si>
  <si>
    <t>C0088101</t>
  </si>
  <si>
    <t>CREDISIS/CREDISUL COOPERATIVA DE CRÉDITO</t>
  </si>
  <si>
    <t>LIONS TRUST DISTRIBUIDORA DE TÍTULOS E VALORES MOBILIÁRIOS LTDA.</t>
  </si>
  <si>
    <t>LIONS TRUST DTVM PRUDENCIAL</t>
  </si>
  <si>
    <t>C0085654</t>
  </si>
  <si>
    <t>AGÊNCIA DE FOMENTO DO ESTADO DO TOCANTINS S.A.</t>
  </si>
  <si>
    <t>AG. FOMENTO ESTADO DO TOCANTINS - PRUDENCIAL</t>
  </si>
  <si>
    <t>C0081122</t>
  </si>
  <si>
    <t>PALMAS</t>
  </si>
  <si>
    <t>COOPERATIVA DE ECONOMIA E CREDITO MUTUO DOS EMPREGADOS DAS EMPRESAS RANDON</t>
  </si>
  <si>
    <t>SICOOB CREDICONSUMO - COOPERATIVA DE CRÉDITO</t>
  </si>
  <si>
    <t>BANCO INDUSCRED DE INVESTIMENTO S.A.</t>
  </si>
  <si>
    <t>BCO INDUSCRED DE INVESTIM. S/A - PRUDENCIAL</t>
  </si>
  <si>
    <t>C0081342</t>
  </si>
  <si>
    <t>GALAPAGOS CAPITAL DISTRIBUIDORA DE TÍTULOS E VALORES MOBILIÁRIOS S.A.</t>
  </si>
  <si>
    <t>GALAPAGOS CAPITAL DTVM - PRUDENCIAL</t>
  </si>
  <si>
    <t>C0087092</t>
  </si>
  <si>
    <t>COOPERATIVA DE ECONOMIA E CRÉDITO MÚTUO DOS EMPREGADOS DO BANRISUL</t>
  </si>
  <si>
    <t>COOPERATIVA DE ECONOMIA E CRÉDITO MÚTUO DOS SERVIDORES DA FUNDAÇÃO HOSPITALAR E EMPREGADOS DOS ESTABELECIMENTOS HOSPITALARES DE BELO HORIZONTE, REGIÃO METROPOLITANA E ZONA DA MATA LTDA.- SICOOB CECREF</t>
  </si>
  <si>
    <t>HEMERA DISTRIBUIDORA DE TÍTULOS E VALORES MOBILIÁRIOS LTDA.</t>
  </si>
  <si>
    <t>HEMERA DTVM - PRUDENCIAL</t>
  </si>
  <si>
    <t>C0085685</t>
  </si>
  <si>
    <t>AGÊNCIA DE FOMENTO DO ESTADO DE PERNAMBUCO S.A.</t>
  </si>
  <si>
    <t>AF ESTADO DE PERNAMBUCO S.A. - PRUDENCIAL</t>
  </si>
  <si>
    <t>C0081177</t>
  </si>
  <si>
    <t>COOPERATIVA DE ECONOMIA E CRÉDITO MÚTUO DOS SERVIDORES PÚBLICOS DO ESTADO DE SÃO PAULO - CREDIPAULISTA</t>
  </si>
  <si>
    <t>COOPERATIVA DE CRÉDITO DE LIVRE ADMISSÃO DA REGIÃO SUL DO MARANHÃO - SICREDI SUL DO MARANHÃO</t>
  </si>
  <si>
    <t>IMPERATRIZ</t>
  </si>
  <si>
    <t>BRB - DISTRIBUIDORA DE TITULOS E VALORES MOBILIARIOS SA</t>
  </si>
  <si>
    <t>BRB - PRUDENCIAL</t>
  </si>
  <si>
    <t>C0031976</t>
  </si>
  <si>
    <t>C0080288</t>
  </si>
  <si>
    <t>BANCO RNX S.A.</t>
  </si>
  <si>
    <t>BANCO RNX S.A. - PRUDENCIAL</t>
  </si>
  <si>
    <t>C0081775</t>
  </si>
  <si>
    <t>BEC DISTRIBUIDORA DE TITULOS E VALORES MOBILIARIOS LTDA.</t>
  </si>
  <si>
    <t>CREDITAS SOCIEDADE DE CRÉDITO DIRETO S.A.</t>
  </si>
  <si>
    <t>ATTRUS INSTITUIÇÃO DE PAGAMENTO S/A</t>
  </si>
  <si>
    <t>ATTRUS IP - PRUDENCIAL</t>
  </si>
  <si>
    <t>C0087449</t>
  </si>
  <si>
    <t>NOVA LIMA</t>
  </si>
  <si>
    <t>NUPAY FOR BUSINESS INSTITUICAO DE PAGAMENTO LTDA.</t>
  </si>
  <si>
    <t>BANCO WESTERN UNION DO BRASIL S.A.</t>
  </si>
  <si>
    <t>COOPERATIVA DE CRÉDITO CLÁSSICA DOS EMPREGADOS DA VALE S/A E ENTIDADES VINCULADAS LTDA. - SICOOB COOPVALE</t>
  </si>
  <si>
    <t>BMW LEASING DO BRASIL S.A. - ARRENDAMENTO MERCANTIL</t>
  </si>
  <si>
    <t>COOPERATIVA DE CREDITO SICOOB COOPEC LTDA.</t>
  </si>
  <si>
    <t>BANCO CEDULA S.A.</t>
  </si>
  <si>
    <t>BCO CEDULA S.A. - PRUDENCIAL</t>
  </si>
  <si>
    <t>C0081469</t>
  </si>
  <si>
    <t>HINOVA PAY INSTITUICAO DE PAGAMENTO S.A.</t>
  </si>
  <si>
    <t>HINOVA PAY IP - PRUDENCIAL</t>
  </si>
  <si>
    <t>C0086220</t>
  </si>
  <si>
    <t>FLAGSHIP INSTITUICAO DE PAGAMENTO LTDA</t>
  </si>
  <si>
    <t>FLAGSHIP IP - PRUDENCIAL</t>
  </si>
  <si>
    <t>C0086282</t>
  </si>
  <si>
    <t>PINPAG INSTITUIÇÃO DE PAGAMENTO S.A.</t>
  </si>
  <si>
    <t>PINPAG IP - PRUDENCIAL</t>
  </si>
  <si>
    <t>C0088541</t>
  </si>
  <si>
    <t>SAO CAETANO DO SUL</t>
  </si>
  <si>
    <t>IFOOD PAGO SOCIEDADE DE CRÉDITO DIRETO S.A.</t>
  </si>
  <si>
    <t>ARTTA SOCIEDADE DE CRÉDITO DIRETO S.A</t>
  </si>
  <si>
    <t>ARTTA SCD PRUDENCIAL</t>
  </si>
  <si>
    <t>C0085661</t>
  </si>
  <si>
    <t>F &amp; F INSTITUICAO DE PAGAMENTO S. A.</t>
  </si>
  <si>
    <t>FFCRED SCD - PRUDENCIAL</t>
  </si>
  <si>
    <t>C0085489</t>
  </si>
  <si>
    <t>VALOR S/A SOCIEDADE DE CRÉDITO, FINANCIAMENTO E INVESTIMENTO</t>
  </si>
  <si>
    <t>VALOR CFI - PRUDENCIAL</t>
  </si>
  <si>
    <t>C0083223</t>
  </si>
  <si>
    <t>FINVEST DISTRIBUIDORA DE TÍTULOS E VALORES MOBILIÁRIOS LTDA.</t>
  </si>
  <si>
    <t>FINVEST DTVM - PRUDENCIAL</t>
  </si>
  <si>
    <t>C0085544</t>
  </si>
  <si>
    <t>COOPERATIVA DE ECONOMIA E CRÉDITO MÚTUO DOS FUNCIONÁRIOS DA CARGILL</t>
  </si>
  <si>
    <t>COOPERATIVA DE ECONOMIA E CRÉDITO MÚTUO DOS EMPREGADOS DA CENTRAIS ELÉTRICAS DE SANTA CATARINA - CREDELESC</t>
  </si>
  <si>
    <t>H H PICCHIONI S/A CORRETORA DE CAMBIO E VALORES MOBILIARIOS</t>
  </si>
  <si>
    <t>H.H.PICCHIONI - PRUDENCIAL</t>
  </si>
  <si>
    <t>C0080226</t>
  </si>
  <si>
    <t>SMART SOLUTIONS GROUP INSTITUICAO DE PAGAMENTO LTDA</t>
  </si>
  <si>
    <t>SMART SOLUTIONS GROUP IP - PRUDENCIAL</t>
  </si>
  <si>
    <t>C0087425</t>
  </si>
  <si>
    <t>ISSUER INSTITUICAO DE PAGAMENTO LTDA.</t>
  </si>
  <si>
    <t>ISSUER IP - PRUDENCIAL</t>
  </si>
  <si>
    <t>C0087140</t>
  </si>
  <si>
    <t>COOPERATIVA DE ECONOMIA E CRÉDITO MÚTUO DO GRUPO BASF</t>
  </si>
  <si>
    <t>INTEX BANK BANCO DE CÂMBIO S.A.</t>
  </si>
  <si>
    <t>INTEX BANK BCO CÂMBIO - PRUDENCIAL</t>
  </si>
  <si>
    <t>C0081885</t>
  </si>
  <si>
    <t>COOPERATIVA DE CRÉDITO DE ITAPETININGA - SICOOB CRED-ACI</t>
  </si>
  <si>
    <t>ITAPETININGA</t>
  </si>
  <si>
    <t>COOPERATIVA DE CRÉDITO MÚTUO DOS SERVIDORES PÚBLICOS - CREDI-SP</t>
  </si>
  <si>
    <t>SBXPAY INSTITUIÇÃO DE PAGAMENTO LTDA</t>
  </si>
  <si>
    <t>SBXPAY IP - PRUDENCIAL</t>
  </si>
  <si>
    <t>C0086749</t>
  </si>
  <si>
    <t>COOPERATIVA DE CAPITAL E EMPRÉSTIMO COOPERMULTICRED - COOPERMC</t>
  </si>
  <si>
    <t>GUARULHOS</t>
  </si>
  <si>
    <t>FORIS GFS BR INSTITUICAO DE PAGAMENTO LTDA</t>
  </si>
  <si>
    <t>FORIS GFS BR IP - PRUDENCIAL</t>
  </si>
  <si>
    <t>C0086725</t>
  </si>
  <si>
    <t>BANCO FINAXIS S.A.</t>
  </si>
  <si>
    <t>FINAXIS - PRUDENCIAL</t>
  </si>
  <si>
    <t>C0051688</t>
  </si>
  <si>
    <t>C0080790</t>
  </si>
  <si>
    <t>FUTURO SOCIEDADE DE CRÉDITO DIRETO S.A.</t>
  </si>
  <si>
    <t>KIWIFY INSTITUICAO DE PAGAMENTO LTDA</t>
  </si>
  <si>
    <t>KIWIFY IP - PRUDENCIAL</t>
  </si>
  <si>
    <t>C0088266</t>
  </si>
  <si>
    <t>BALNEARIO CAMBORIU</t>
  </si>
  <si>
    <t>ECONOMISA COMPANHIA HIPOTECÁRIA.</t>
  </si>
  <si>
    <t>ECONOMIA CI S.A.-ECONOMISA - PRUDENCIAL</t>
  </si>
  <si>
    <t>C0083364</t>
  </si>
  <si>
    <t>SOLFÁCIL SOCIEDADE DE CRÉDITO, FINANCIAMENTO E INVESTIMENTO S.A.</t>
  </si>
  <si>
    <t>SOLFÁCIL SCFI - PRUDENCIAL</t>
  </si>
  <si>
    <t>C0086440</t>
  </si>
  <si>
    <t>CREDSYSTEM SOCIEDADE DE CRÉDITO DIRETO S.A.</t>
  </si>
  <si>
    <t>COOPERATIVA DE ECONOMIA E CREDITO MUTUO DOS MEDICOS E DEMAIS PROFISSIONAIS DA SAUDE DE JOACABA</t>
  </si>
  <si>
    <t>ALFA CORRETORA DE CAMBIO E VALORES MOBILIARIOS S.A.</t>
  </si>
  <si>
    <t>COOPERATIVA DE ECONOMIA E CRÉDITO MÚTUO DOS EMPREGADOS DA MONDELEZ BRASIL E PHILIP MORRIS BRASIL - SICOOB COOPMOND</t>
  </si>
  <si>
    <t>ICAP DO BRASIL CORRETORA DE TÍTULOS E VALORES MOBILIÁRIOS LTDA.</t>
  </si>
  <si>
    <t>OM DISTRIBUIDORA DE TÍTULOS E VALORES MOBILIÁRIOS LTDA</t>
  </si>
  <si>
    <t>OM DTVM LTDA - PRUDENCIAL</t>
  </si>
  <si>
    <t>C0084239</t>
  </si>
  <si>
    <t>LISTO INSTITUICAO DE PAGAMENTO LTDA</t>
  </si>
  <si>
    <t>LISTO SCD - PRUDENCIAL</t>
  </si>
  <si>
    <t>C0088383</t>
  </si>
  <si>
    <t>BANCO ITAUCARD S.A.</t>
  </si>
  <si>
    <t>REMITLY CORRETORA DE CÂMBIO LTDA.</t>
  </si>
  <si>
    <t>REMITLY CC LTDA. - PRUDENCIAL</t>
  </si>
  <si>
    <t>C0082420</t>
  </si>
  <si>
    <t>GUITTA CORRETORA DE CAMBIO LTDA.</t>
  </si>
  <si>
    <t>GUITTA CC LTDA - PRUDENCIAL</t>
  </si>
  <si>
    <t>C0082107</t>
  </si>
  <si>
    <t>COOPERATIVA DE ECONOMIA E CRÉDITO MÚTUO SICOOB CRED-ACILPA</t>
  </si>
  <si>
    <t>CREDISIS COOPERUFPA - COOPERATIVA DE ECONOMIA E CRÉDITO MÚTUO DOS SERVIDORES PÚBLICOS FEDERAIS E ESTADUAIS E DAS ENTIDADES DE ENSINO COM SEUS RESPECTIVOS FUNCIONÁRIOS NO ESTADO DO PARÁ</t>
  </si>
  <si>
    <t>AGÊNCIA DE FOMENTO DE ALAGOAS S.A.</t>
  </si>
  <si>
    <t>AFAL - PRUDENCIAL</t>
  </si>
  <si>
    <t>C0081081</t>
  </si>
  <si>
    <t>HAITONG DO BRASIL DISTRIBUIDORA DE TÍTULOS E VALORES MOBILIÁRIOS S.A.</t>
  </si>
  <si>
    <t>COOPERATIVA  ECONOMIA CRÉDITO MÚTUO  SERVS E EMPREGADOS PÚBLICOS MUNIC DE BELO HORIZONTE BETIM BRUMADINHO CONTAGEM IBIRITÉ NOVA LIMA RIBEIRÃO DAS NEVES SABARÁ SANTA LUZIA E VESPASIANO SICOOB CREDISERV</t>
  </si>
  <si>
    <t>SANTS SOCIEDADE DE CRÉDITO DIRETO S.A.</t>
  </si>
  <si>
    <t>SANTS SCD - PRUDENCIAL</t>
  </si>
  <si>
    <t>C0087250</t>
  </si>
  <si>
    <t>BOC BRASIL S.A. - CRÉDITO, FINANCIAMENTOS E INVESTIMENTOS</t>
  </si>
  <si>
    <t>COOPERATIVA DE CRÉDITO RURAL DOS PLANTADORES DE CANA DE ALAGOAS</t>
  </si>
  <si>
    <t>COOPERATIVA DE ECONOMIA E CRÉDITO MÚTUO DOS EMPREGADOS DO GRUPO COLORADO</t>
  </si>
  <si>
    <t>GUAIRA</t>
  </si>
  <si>
    <t>AZUMI DISTRIBUIDORA DE TÍTULOS E VALORES MOBILIÁRIOS LTDA.</t>
  </si>
  <si>
    <t>AZUMI DTVM PRUDENCIAL</t>
  </si>
  <si>
    <t>C0085719</t>
  </si>
  <si>
    <t>TRUSTEE DISTRIBUIDORA DE TÍTULOS E VALORES MOBILIÁRIOS LTDA.</t>
  </si>
  <si>
    <t>TRUSTEE/BANVOX - PRUDENCIAL</t>
  </si>
  <si>
    <t>C0086354</t>
  </si>
  <si>
    <t>UBS BB BANCO DE INVESTIMENTO S.A.</t>
  </si>
  <si>
    <t>GLOBAL EXCHANGE DO BRASIL SOCIEDADE CORRETORA DE CÂMBIO LTDA.</t>
  </si>
  <si>
    <t>GLOBAL EXCHANGE CC - PRUDENCIAL</t>
  </si>
  <si>
    <t>C0084435</t>
  </si>
  <si>
    <t>SOFISA S.A. CRÉDITO, FINANCIAMENTO E INVESTIMENTO</t>
  </si>
  <si>
    <t>CODEPE CORRETORA DE VALORES E CÂMBIO S.A.</t>
  </si>
  <si>
    <t>CODEPE CORRETORA DE VAL. S.A. - PRUDENCIAL</t>
  </si>
  <si>
    <t>C0052089</t>
  </si>
  <si>
    <t>C0082712</t>
  </si>
  <si>
    <t>HR DIGITAL - SOCIEDADE DE CRÉDITO DIRETO S/A</t>
  </si>
  <si>
    <t>HR DIGITAL SCD - PRUDENCIAL</t>
  </si>
  <si>
    <t>C0085908</t>
  </si>
  <si>
    <t>PAGINVEST CORRETORA DE TITULOS E VALORES MOBILIARIOS LTDA.</t>
  </si>
  <si>
    <t>MONEYCORP BANCO DE CÂMBIO S.A.</t>
  </si>
  <si>
    <t>MONEYCORP - PRUDENCIAL</t>
  </si>
  <si>
    <t>C0082028</t>
  </si>
  <si>
    <t>BT CORRETORA DE CÂMBIO LTDA.</t>
  </si>
  <si>
    <t>BT CC - PRUDENCIAL</t>
  </si>
  <si>
    <t>C0081995</t>
  </si>
  <si>
    <t>HEDGEPOINT GLOBAL MARKETS DISTRIBUIDORA DE TITULOS E VALORES MOBILIÁRIOS LTDA.</t>
  </si>
  <si>
    <t>HEDGEPOINT GLOBAL MARKETS DTVM - PRUDENCIAL</t>
  </si>
  <si>
    <t>C0085197</t>
  </si>
  <si>
    <t>SERVICOOP - COOPERATIVA DE CRÉDITO DOS SERVIDORES PÚBLICOS ESTADUAIS E MUNICIPAIS DO RIO GRANDE DO SUL</t>
  </si>
  <si>
    <t>FFCRED SOCIEDADE DE CRÉDITO DIRETO S.A..</t>
  </si>
  <si>
    <t>COOPERATIVA DE ECONOMIA E CREDITO MUTUO DOS FUNCIONARIOS DA COMIGO</t>
  </si>
  <si>
    <t>INDEPENDÊNCIA COOPERATIVA DE CRÉDITO E INVESTIMENTO - INDEPENDÊNCIA COOPERATIVA DE CRÉDITO</t>
  </si>
  <si>
    <t>GOLCRED S/A - CRÉDITO, FINANCIAMENTO E INVESTIMENTO</t>
  </si>
  <si>
    <t>GOLCRED - PRUDENCIAL</t>
  </si>
  <si>
    <t>C0080965</t>
  </si>
  <si>
    <t>TAMBASA SOCIEDADE DE CRÉDITO DIRETO S.A.</t>
  </si>
  <si>
    <t>TAMBASA SCD - PRUDENCIAL</t>
  </si>
  <si>
    <t>C0085214</t>
  </si>
  <si>
    <t>MW INSTITUICAO DE PAGAMENTO LTDA</t>
  </si>
  <si>
    <t>MW IP - PRUDENCIAL</t>
  </si>
  <si>
    <t>C0087968</t>
  </si>
  <si>
    <t>LISTO SOCIEDADE DE CREDITO DIRETO S.A.</t>
  </si>
  <si>
    <t>CORRETORA GERAL DE VALORES E CÂMBIO LTDA</t>
  </si>
  <si>
    <t>GERAL CCVM LTDA - PRUDENCIAL</t>
  </si>
  <si>
    <t>C0082918</t>
  </si>
  <si>
    <t>COOPERATIVA DE CRÉDITO MÚTUO DOS SERVIDORES FEDERAIS NA PARAÍBA - SICOOB COOPERCRET</t>
  </si>
  <si>
    <t>COOPERATIVA DE CRÉDITO CREDICENTRO</t>
  </si>
  <si>
    <t>ACTUAL DISTRIBUIDORA DE TÍTULOS E VALORES MOBILIÁRIOS S.A.</t>
  </si>
  <si>
    <t>ACTUAL DTVM - PRUDENCIAL</t>
  </si>
  <si>
    <t>C0087243</t>
  </si>
  <si>
    <t>BIGCASH SOCIEDADE DE CREDITO DIRETO S.A.</t>
  </si>
  <si>
    <t>BIGCASH SCD - PRUDENCIAL</t>
  </si>
  <si>
    <t>C0085056</t>
  </si>
  <si>
    <t>VILLELA INSTITUICAO DE PAGAMENTO S/A.</t>
  </si>
  <si>
    <t>VILLELA IP - PRUDENCIAL</t>
  </si>
  <si>
    <t>C0088936</t>
  </si>
  <si>
    <t>ABC BRASIL DISTRIBUIDORA DE TÍTULOS E VALORES MOBILIÁRIOS S.A.</t>
  </si>
  <si>
    <t>COOPERATIVA DE ECONOMIA E CRÉDITO MÚTUO DOS EMPREGADOS DO GRUPO SCHAEFFLER</t>
  </si>
  <si>
    <t>MAX INSTITUIÇÃO DE PAGAMENTO LTDA</t>
  </si>
  <si>
    <t>MAX IP - PRUDENCIAL</t>
  </si>
  <si>
    <t>C0088211</t>
  </si>
  <si>
    <t>BSN PAGAMENTOS INSTITUIÇÃO DE PAGAMENTO LTDA</t>
  </si>
  <si>
    <t>BSN PAGAMENTOS IP - PRUDENCIAL</t>
  </si>
  <si>
    <t>C0087841</t>
  </si>
  <si>
    <t>AZIMUT BRASIL DISTRIBUIDORA DE TÍTULOS E VALORES MOBILIÁRIOS LTDA</t>
  </si>
  <si>
    <t>AZIMUT BRASIL DTVM - PRUDENCIAL</t>
  </si>
  <si>
    <t>C0084325</t>
  </si>
  <si>
    <t>B3 INSTITUICAO DE PAGAMENTO LTDA</t>
  </si>
  <si>
    <t>COOPERATIVA DE ECONOMIA E CRÉDITO MÚTUO DOS FUNCIONÁRIOS DA FUNDAÇÃO ZERBINI E DA FUNDAÇÃO FACULDADE DE MEDICINA (FFM) - COOPINCOR</t>
  </si>
  <si>
    <t>COINVALORES CORRETORA DE CÂMBIO E VALORES MOBILIÁRIOS LTDA.</t>
  </si>
  <si>
    <t>COINVALORES - PRUDENCIAL</t>
  </si>
  <si>
    <t>C0080707</t>
  </si>
  <si>
    <t>SAFETYPAY BRASIL INSTITUICAO DE PAGAMENTO LTDA</t>
  </si>
  <si>
    <t>SAFETYPAY BRASIL IP - PRUDENCIAL</t>
  </si>
  <si>
    <t>C0088235</t>
  </si>
  <si>
    <t>COBANSA COMPANHIA HIPOTECARIA</t>
  </si>
  <si>
    <t>COBANSA CH S.A. - PRUDENCIAL</t>
  </si>
  <si>
    <t>C0081878</t>
  </si>
  <si>
    <t>COOPERATIVA    DE    ECONOMIA    E    CRÉDITO   MÚTUO  MINUANO</t>
  </si>
  <si>
    <t>CANOAS</t>
  </si>
  <si>
    <t>COOPERATIVA DE CRÉDITO MÚTUO DO ABC - COOPER 7</t>
  </si>
  <si>
    <t>COOPERATIVA DE ECONOMIA E CRÉDITO MÚTUO DOS EMPREGADOS DA CBMM LTDA.</t>
  </si>
  <si>
    <t>COOPERATIVA DE ECONOMIA E CRÉDITO MÚTUO DOS SERVIDORES DA UNIVERSIDADE ESTADUAL DE CAMPINAS - COOPERUNICAMP</t>
  </si>
  <si>
    <t>TTSCD SOCIEDADE DE CRÉDITO DIRETO S.A.</t>
  </si>
  <si>
    <t>TTSCD SCD  - PRUDENCIAL</t>
  </si>
  <si>
    <t>C0088015</t>
  </si>
  <si>
    <t>PAYMEE BRASIL INSTITUIÇÃO DE PAGAMENTO S.A.</t>
  </si>
  <si>
    <t>PAYMEE BRASIL IP - PRUDENCIAL</t>
  </si>
  <si>
    <t>C0087700</t>
  </si>
  <si>
    <t>J17 - SOCIEDADE DE CRÉDITO DIRETO S/A</t>
  </si>
  <si>
    <t>J17 SCD - PRUDENCIAL</t>
  </si>
  <si>
    <t>C0085616</t>
  </si>
  <si>
    <t>INCO SOCIEDADE DE EMPRÉSTIMO ENTRE PESSOAS S.A.</t>
  </si>
  <si>
    <t>INCO SEP - PRUDENCIAL</t>
  </si>
  <si>
    <t>C0086086</t>
  </si>
  <si>
    <t>COOPERATIVA DE CRÉDITO MÚTUO DOS SERVIDORES DO MINISTERIO DA EDUCAÇÃO EM SÃO PAULO - COOPEMESP</t>
  </si>
  <si>
    <t>SER FINANCE SOCIEDADE DE CRÉDITO DIRETO S.A.</t>
  </si>
  <si>
    <t>SER FINANCE SCD - PRUDENCIAL</t>
  </si>
  <si>
    <t>C0086378</t>
  </si>
  <si>
    <t>PAGSMILE INSTITUIÇÃO DE PAGAMENTO LTDA.</t>
  </si>
  <si>
    <t>PAGSMILE IP - PRUDENCIAL</t>
  </si>
  <si>
    <t>C0088345</t>
  </si>
  <si>
    <t>WOH INSTITUICAO DE PAGAMENTO LTDA</t>
  </si>
  <si>
    <t>WOH IP - PRUDENCIAL</t>
  </si>
  <si>
    <t>C0088905</t>
  </si>
  <si>
    <t>FESTOR INSTITUIÇÃO DE PAGAMENTO LTDA.</t>
  </si>
  <si>
    <t>FESTOR IP - PRUDENCIAL</t>
  </si>
  <si>
    <t>C0088204</t>
  </si>
  <si>
    <t>BPY CORRETORA DE CÂMBIO, TÍTULOS E VALORES MOBILIÁRIOS S.A.</t>
  </si>
  <si>
    <t>BPY CCTVM - PRUDENCIAL</t>
  </si>
  <si>
    <t>C0084765</t>
  </si>
  <si>
    <t>COMPREV - CRÉDITO, FINANCIAMENTO E INVESTIMENTO S.A.</t>
  </si>
  <si>
    <t>COMPREV CFI - PRUDENCIAL</t>
  </si>
  <si>
    <t>C0086244</t>
  </si>
  <si>
    <t>CORRETORA DE CÂMBIO AÇORIANA LIMITADA.</t>
  </si>
  <si>
    <t>CC AÇORIANA LTDA. - PRUDENCIAL</t>
  </si>
  <si>
    <t>C0082341</t>
  </si>
  <si>
    <t>COOPERATIVA DE CREDITO RURAL DE IBIAM - SULCREDI/IBIAM</t>
  </si>
  <si>
    <t>IBIAM</t>
  </si>
  <si>
    <t>F.D'GOLD - DISTRIBUIDORA DE TÍTULOS E VALORES MOBILIÁRIOS LTDA.</t>
  </si>
  <si>
    <t>F D GOLD DTVM LTDA - PRUDENCIAL</t>
  </si>
  <si>
    <t>C0083993</t>
  </si>
  <si>
    <t>BANCO PORTO REAL DE INVESTIMENTOS S.A</t>
  </si>
  <si>
    <t>BANCO PORTO REAL DE INVEST.S.A - PRUDENCIAL</t>
  </si>
  <si>
    <t>C0081359</t>
  </si>
  <si>
    <t>PORTO REAL</t>
  </si>
  <si>
    <t>UNIDA DISTRIBUIDORA DE TÍTULOS E VALORES MOBILIÁRIOS LTDA.</t>
  </si>
  <si>
    <t>UNIDA DTVM LTDA - PRUDENCIAL</t>
  </si>
  <si>
    <t>C0084019</t>
  </si>
  <si>
    <t>COOPERATIVA DE CRÉDITO DOS FORNECEDORES DE CANA DE BARRA BONITA E REGIÃO</t>
  </si>
  <si>
    <t>VIVO PAY SOCIEDADE DE CRÉDITO DIRETO S.A.</t>
  </si>
  <si>
    <t>VIVO PAY SCD - PRUDENCIAL</t>
  </si>
  <si>
    <t>C0087944</t>
  </si>
  <si>
    <t>PAGHIPER INSTITUIÇAO DE PAGAMENTO LTDA.</t>
  </si>
  <si>
    <t>PAGHIPER IP - PRUDENCIAL</t>
  </si>
  <si>
    <t>C0087494</t>
  </si>
  <si>
    <t>PARANAVAI</t>
  </si>
  <si>
    <t>BOCOM BBM CORRETORA DE CÂMBIO E VALORES MOBILIÁRIOS S.A.</t>
  </si>
  <si>
    <t>AWX BRASIL  INSTITUICAO DE PAGAMENTO LTDA</t>
  </si>
  <si>
    <t>AWX BRASIL IP - PRUDENCIAL</t>
  </si>
  <si>
    <t>C0088242</t>
  </si>
  <si>
    <t>CRESERV CREDISIS - COOPERATIVA DE ECONOMIA E CRÉDITO MÚTUO DOS SERVIDORES PÚBLICOS DE PINHÃO</t>
  </si>
  <si>
    <t>PINHAO</t>
  </si>
  <si>
    <t>COOPERATIVA DE ECONOMIA E CRÉDITO MÚTUO DOS FUNCIONÁRIOS DA ERICSSON - COOPERICSSON</t>
  </si>
  <si>
    <t>PROTOTYPE INSTITUICAO DE PAGAMENTO S.A.</t>
  </si>
  <si>
    <t>PROTOTYPE IP - PRUDENCIAL</t>
  </si>
  <si>
    <t>C0088431</t>
  </si>
  <si>
    <t>CLARO PAY S.A. - INSTITUIÇÃO DE PAGAMENTO</t>
  </si>
  <si>
    <t>CLARO PAY IP - PRUDENCIAL</t>
  </si>
  <si>
    <t>C0088307</t>
  </si>
  <si>
    <t>PORTOPAR DISTRIBUIDORA DE TITULOS E VALORES MOBILIARIOS LTDA.</t>
  </si>
  <si>
    <t>COOPERATIVA DE ECONOMIA E CRÉDITO MÚTUO DOS TRABALHADORES DA CIA. DE PROCESSAMENTO DE DADOS DO ESTADO DE SÃO PAULO - CREDIPRODESP</t>
  </si>
  <si>
    <t>TABOAO DA SERRA</t>
  </si>
  <si>
    <t>PINTOS S.A. CREDITO, FINANCIAMENTO E INVESTIMENTO</t>
  </si>
  <si>
    <t>PINTOS CFI - PRUDENCIAL</t>
  </si>
  <si>
    <t>C0085142</t>
  </si>
  <si>
    <t>COOPERATIVA DE CRÉDITO SICOOB CREDMETAL</t>
  </si>
  <si>
    <t>BANVOX DISTRIBUIDORA DE TÍTULOS E VALORES MOBILIÁRIOS LTDA</t>
  </si>
  <si>
    <t>PAGOL SOCIEDADE DE CRÉDITO DIRETO S.A.</t>
  </si>
  <si>
    <t>PAGOL SCD - PRUDENCIAL</t>
  </si>
  <si>
    <t>C0086419</t>
  </si>
  <si>
    <t>CREDIFIT SOCIEDADE DE CRÉDITO DIRETO S.A.</t>
  </si>
  <si>
    <t>CREDIFIT SCD - PRUDENCIAL</t>
  </si>
  <si>
    <t>C0085465</t>
  </si>
  <si>
    <t>WASU - WALLET SUPPORT INSTITUIÇÃO DE PAGAMENTO LTDA</t>
  </si>
  <si>
    <t>WASU IP - PRUDENCIAL</t>
  </si>
  <si>
    <t>C0088280</t>
  </si>
  <si>
    <t>COOPERATIVA DE ECONOMIA E CRÉDITO MÚTUO DOS FUNCIONÁRIOS DA TETRA PAK</t>
  </si>
  <si>
    <t>MONTE MOR</t>
  </si>
  <si>
    <t>INTEGRAÇÃO DE CRÉDITO E COBRANÇA SOCIEDADE DE CRÉDITO DIRETO S.A.</t>
  </si>
  <si>
    <t>INTEGRAÇÃO DE CRÉDITO E COBRANÇA SCD - PRUDENCIAL</t>
  </si>
  <si>
    <t>C0087913</t>
  </si>
  <si>
    <t>ABN AMRO CLEARING CORRETORA DE TÍTULOS E VALORES MOBILIÁRIOS LTDA.</t>
  </si>
  <si>
    <t>COOPERATIVA DE ECONOMIA E CRÉDITO MÚTUO DOS EMPREGADOS DAS EMPRESAS DO GRUPO ECONÔMICO RHODIA - CREDIRHODIA</t>
  </si>
  <si>
    <t>PAULINIA</t>
  </si>
  <si>
    <t>COOPERATIVA DE ECONOMIA E CRÉDITO MÚTUO DOS COLABORADORES DO GRUPO EMPRESARIAL A COSTA LTDA.</t>
  </si>
  <si>
    <t>VISCONDE DO RIO BRANCO</t>
  </si>
  <si>
    <t>HARMOS S.A. - SOCIEDADE DE CRÉDITO, FINANCIAMENTO E INVESTIMENTO</t>
  </si>
  <si>
    <t>HARMOS SCFI - PRUDENCIAL</t>
  </si>
  <si>
    <t>C0088352</t>
  </si>
  <si>
    <t>CREBEL - COOPERATIVA DE ECONOMIA E CRÉDITO MÚTUO DOS COLABORADORES DAS EMPRESAS BELGO BEKAERT - CREBEL LTDA.</t>
  </si>
  <si>
    <t>CONTAGEM</t>
  </si>
  <si>
    <t>BOC BRASIL DISTRIBUIDORA DE TÍTULOS E VALORES MOBILIÁRIOS S/A</t>
  </si>
  <si>
    <t>COOPER BENEFICIOS INSTITUICAO DE PAGAMENTO LTDA</t>
  </si>
  <si>
    <t>LINA INSTITUICAO DE PAGAMENTO S.A</t>
  </si>
  <si>
    <t>LINA IP - PRUDENCIAL</t>
  </si>
  <si>
    <t>C0087322</t>
  </si>
  <si>
    <t>CGD INVESTIMENTOS CORRETORA DE VALORES E CÂMBIO S.A.</t>
  </si>
  <si>
    <t>COOPERATIVA DE CRÉDITO DOS MAGISTRADOS DO ESTADO DO RIO DE JANEIRO LTDA. - MAGICREDI-RJ</t>
  </si>
  <si>
    <t>FARMTECH SOCIEDADE DE CRÉDITO DIRETO S.A.</t>
  </si>
  <si>
    <t>FARMTECH SCD - PRUDENCIAL</t>
  </si>
  <si>
    <t>C0085032</t>
  </si>
  <si>
    <t>AGK CORRETORA DE CAMBIO S.A.</t>
  </si>
  <si>
    <t>AGK CC S.A. - PRUDENCIAL</t>
  </si>
  <si>
    <t>C0082035</t>
  </si>
  <si>
    <t>CDC SOCIEDADE DE CRÉDITO DIRETO S.A.</t>
  </si>
  <si>
    <t>CDC SCD - PRUDENCIAL</t>
  </si>
  <si>
    <t>C0083326</t>
  </si>
  <si>
    <t>INICIADOR INSTITUICAO DE PAGAMENTO LTDA</t>
  </si>
  <si>
    <t>INICIADOR IP - PRUDENCIAL</t>
  </si>
  <si>
    <t>C0086756</t>
  </si>
  <si>
    <t>VIS DISTRIBUIDORA DE TÍTULOS E VALORES MOBILIÁRIOS LTDA</t>
  </si>
  <si>
    <t>VIS DTVM - PRUDENCIAL</t>
  </si>
  <si>
    <t>C0085537</t>
  </si>
  <si>
    <t>BONUSPAGO SOCIEDADE DE CRÉDITO DIRETO S.A.</t>
  </si>
  <si>
    <t>BONUSPAGO SCD - PRUDENCIAL</t>
  </si>
  <si>
    <t>C0085128</t>
  </si>
  <si>
    <t>COOPERATIVA DE CRÉDITO MÚTUO DOS SERVIDORES DA ASSEMBLEIA LEGISLATIVA DO ESTADO DE SÃO PAULO - COOPERALESP</t>
  </si>
  <si>
    <t>BMS SOCIEDADE DE CRÉDITO DIRETO S.A.</t>
  </si>
  <si>
    <t>BMS SCD - PRUDENCIAL</t>
  </si>
  <si>
    <t>C0083333</t>
  </si>
  <si>
    <t>SICOOB DISTRIBUIDORA DE TÍTULOS E VALORES MOBILIÁRIOS LTDA.</t>
  </si>
  <si>
    <t>DELTA GLOBAL SOCIEDADE DE CRÉDITO DIRETO S.A.</t>
  </si>
  <si>
    <t>DELTA GLOBAL SCD - PRUDENCIAL</t>
  </si>
  <si>
    <t>C0087937</t>
  </si>
  <si>
    <t>COOPERATIVA DE ECONOMIA E CRÉDITO MÚTUO DOS EMPREGADOS DAS EMPRESAS METALÚRGICAS DE MATÃO - METALCOOPERCRED</t>
  </si>
  <si>
    <t>MATAO</t>
  </si>
  <si>
    <t>COOPERATIVA DE CRÉDITO COOPAÇO LTDA.</t>
  </si>
  <si>
    <t>OURO BRANCO</t>
  </si>
  <si>
    <t>WEALTH HIGH GOVERNANCE DISTRIBUIDORA DE TÍTULOS E VALORES MOBILIÁRIOS S.A.</t>
  </si>
  <si>
    <t>WEALTH HIGH GOVERNANCE DTVM - PRUDENCIAL</t>
  </si>
  <si>
    <t>C0087229</t>
  </si>
  <si>
    <t>CASAS BAHIA PAY SOCIEDADE DE CRÉDITO DIRETO S.A.</t>
  </si>
  <si>
    <t>COOPERATIVA DE ECONOMIA E CRÉDITO MÚTUO DOS EMPREGADOS DAS EMPRESAS CONTROLADAS E COLIGADAS DA USINA SANTA ADELIA - USAGRO</t>
  </si>
  <si>
    <t>JABOTICABAL</t>
  </si>
  <si>
    <t>V3 INSTITUICAO DE PAGAMENTO S.A.</t>
  </si>
  <si>
    <t>V3 IP - PRUDENCIAL</t>
  </si>
  <si>
    <t>C0088644</t>
  </si>
  <si>
    <t>COOPERATIVA DE ECONOMIA E CRÉDITO MÚTUO DOS EMPREGADOS DA COMPANHIA BRASILEIRA DE ALUMÍNIO</t>
  </si>
  <si>
    <t>ALUMINIO</t>
  </si>
  <si>
    <t>LIMINE TRUST DISTRIBUIDORA DE TÍTULOS E VALORES MOBILIÁRIOS S.A.</t>
  </si>
  <si>
    <t>LIMINE TRUST DTVM  - PRUDENCIAL</t>
  </si>
  <si>
    <t>C0084617</t>
  </si>
  <si>
    <t>MERCANTIL DO BRASIL DISTRIBUIDORA S.A. - TÍTULOS E VALORES MOBILIÁRIOS</t>
  </si>
  <si>
    <t>COLUNA S/A DISTRIBUIDORA DE TITULOS E VALORES MOBILIÁRIOS</t>
  </si>
  <si>
    <t>COLUNA S.A. DTVM - PRUDENCIAL</t>
  </si>
  <si>
    <t>C0083728</t>
  </si>
  <si>
    <t>A27 INSTITUICAO DE PAGAMENTOS S/A</t>
  </si>
  <si>
    <t>A27 IP - PRUDENCIAL</t>
  </si>
  <si>
    <t>C0087504</t>
  </si>
  <si>
    <t>FLORES DA CUNHA</t>
  </si>
  <si>
    <t>HEDGE INVESTMENTS DISTRIBUIDORA DE TÍTULOS E VALORES MOBILIÁRIOS LTDA.</t>
  </si>
  <si>
    <t>HEDGE INVESTMENTS - PRUDENCIAL</t>
  </si>
  <si>
    <t>C0083986</t>
  </si>
  <si>
    <t>COOPERATIVA DE ECONOMIA E CRÉDITO MÚTUO DOS FUNCIONÁRIOS DA VILLARES METALS</t>
  </si>
  <si>
    <t>SUMARE</t>
  </si>
  <si>
    <t>COOPERATIVA DE ECONOMIA E CRÉDITO MÚTUO DOS FUNCIONÁRIOS DO GRUPO OWENS-ILLINOIS DO BRASIL</t>
  </si>
  <si>
    <t>BNK DIGITAL SOCIEDADE DE CRÉDITO DIRETO S.A.</t>
  </si>
  <si>
    <t>BNK DIGITAL SCD - PRUDENCIAL</t>
  </si>
  <si>
    <t>C0086031</t>
  </si>
  <si>
    <t>COOPERATIVA DE ECONOMIA E CRÉDITO MÚTUO DOS SERVIDORES DA PREFEITURA MUNICIPAL DE ORLÂNDIA - CRED SERV</t>
  </si>
  <si>
    <t>GALLERIA - SOCIEDADE DE CRÉDITO DIRETO S/A</t>
  </si>
  <si>
    <t>GALLERIA SCD - PRUDENCIAL</t>
  </si>
  <si>
    <t>C0087078</t>
  </si>
  <si>
    <t>VOTORANTIM</t>
  </si>
  <si>
    <t>WNT CAPITAL DISTRIBUIDORA DE TÍTULOS E VALORES MOBILIÁRIOS S.A.</t>
  </si>
  <si>
    <t>WNT CAPITAL DTVM - PRUDENCIAL</t>
  </si>
  <si>
    <t>C0086392</t>
  </si>
  <si>
    <t>CREDISIS COOPESA - COOPERATIVA DE ECONOMIA E CRÉDITO</t>
  </si>
  <si>
    <t>KIKAI SOCIEDADE DE CRÉDITO DIRETO S.A.</t>
  </si>
  <si>
    <t>KIKAI SCD PRUDENCIAL</t>
  </si>
  <si>
    <t>C0085836</t>
  </si>
  <si>
    <t>COOPERATIVA DE ECONOMIA E CRÉDITO MÚTUO DOS FUNCIONÁRIOS DO GRUPO JAL LTDA.</t>
  </si>
  <si>
    <t>SAO JOAO DE MERITI</t>
  </si>
  <si>
    <t>BROKER BRASIL CORRETORA DE CÂMBIO LTDA.</t>
  </si>
  <si>
    <t>BROKER BRASIL CC LTDA. - PRUDENCIAL</t>
  </si>
  <si>
    <t>C0082372</t>
  </si>
  <si>
    <t>COOPERATIVA DE CRÉDITO DOS EMPREGADOS DA MINERAÇÃO RIO DO NORTE</t>
  </si>
  <si>
    <t>ORIXIMINA</t>
  </si>
  <si>
    <t>ASAAS SOCIEDADE DE CRÉDITO, FINANCIAMENTO E INVESTIMENTO S.A.</t>
  </si>
  <si>
    <t>ASPENFIN-BR - SOCIEDADE DE CRÉDITO AO MICROEMPREENDEDOR E A EMPRESA DE PEQUENO PORTE LTDA.</t>
  </si>
  <si>
    <t>ASPENFIN-BR SCMEPP LTDA. - PRUDENCIAL</t>
  </si>
  <si>
    <t>C0083058</t>
  </si>
  <si>
    <t>BOKU NETWORK BRASIL INSTITUICAO DE PAGAMENTO LTDA</t>
  </si>
  <si>
    <t>BOKU NETWORK BRASIL IP - PRUDENCIAL</t>
  </si>
  <si>
    <t>C0088400</t>
  </si>
  <si>
    <t>SOCIAL BANK BANCO MÚLTIPLO S/A</t>
  </si>
  <si>
    <t>SOCIAL BANK BANCO MULTIPLO - PRUDENCIAL</t>
  </si>
  <si>
    <t>C0081641</t>
  </si>
  <si>
    <t>UNLIMIT BRASIL INSTITUICAO DE PAGAMENTO LTDA</t>
  </si>
  <si>
    <t>UNLIMIT BRASIL IP - PRUDENCIAL</t>
  </si>
  <si>
    <t>C0088716</t>
  </si>
  <si>
    <t>COOPERATIVA DE CRÉDITO DOS EMPREGADOS DE ELEVADORES ATLAS</t>
  </si>
  <si>
    <t>MERCADO BITCOIN CORRETORA DE TÍTULOS E VALORES MOBILIÁRIOS S.A.</t>
  </si>
  <si>
    <t>COOPERATIVA DE ECONOMIA E CREDITO MUTUO DOS EMPREGADOS DE CHOCOLATES GAROTO LTDA. - CREDI-GAROTO</t>
  </si>
  <si>
    <t>VILA VELHA</t>
  </si>
  <si>
    <t>COOPERATIVA DE ECONOMIA E CRÉDITO MÚTUO DOS FUNCIONÁRIOS DA TICKET SERVIÇOS COMÉRCIO E ADMINISTRAÇÃO</t>
  </si>
  <si>
    <t>COOPERATIVA DE ECONOMIA E CRÉDITO MÚTUO DOS COLABORADORES DA CEBRACE</t>
  </si>
  <si>
    <t>JACAREI</t>
  </si>
  <si>
    <t>COOPERATIVA DE ECONOMIA E CRÉDITO MÚTUO DOS EMPREGADOS DA CEMIG E DAS INDÚSTRIAS METALÚRGICAS E DE MATERIAL ELÉTRICO E DOS SERVIDORES PÚBLICOS MUNICIPAIS DE JUIZ DE FORA LTDA. - SICOOB CECREMEC</t>
  </si>
  <si>
    <t>UNAVANTI SOCIEDADE DE CRÉDITO DIRETO S/A</t>
  </si>
  <si>
    <t>UNAVANTI SCD - PRUDENCIAL</t>
  </si>
  <si>
    <t>C0085740</t>
  </si>
  <si>
    <t>TORRA SOCIEDADE DE CRÉDITO DIRETO S.A.</t>
  </si>
  <si>
    <t>TORRA SCD - PRUDENCIAL</t>
  </si>
  <si>
    <t>C0088321</t>
  </si>
  <si>
    <t>FISERV SOCIEDADE DE CRÉDITO DIRETO S.A.</t>
  </si>
  <si>
    <t>COOPERATIVA DE CREDITO RURAL DE GUACUI - CREDIGUAÇUÍ</t>
  </si>
  <si>
    <t>GUACUI</t>
  </si>
  <si>
    <t>COOPERATIVA DE CRÉDITO DOS SERVIDORES PÚBLICOS MUNICIPAIS DA GRANDE VITÓRIA/ES</t>
  </si>
  <si>
    <t>A55 SOCIEDADE DE CRÉDITO DIRETO S.A.</t>
  </si>
  <si>
    <t>A55 SCD - PRUDENCIAL</t>
  </si>
  <si>
    <t>C0086512</t>
  </si>
  <si>
    <t>OPPORTUNITY DISTRIBUIDORA DE TÍTULOS E VALORES MOBILIÁRIOS LTDA</t>
  </si>
  <si>
    <t>OPPORTUNITY - PRUDENCIAL</t>
  </si>
  <si>
    <t>C0080518</t>
  </si>
  <si>
    <t>COOPERATIVA DE ECONOMIA E CRÉDITO MÚTUO DOS SERVIDORES PÚBLICOS MUNICIPAIS EM JOÃO MONLEVADE LTDA. - COPREMON</t>
  </si>
  <si>
    <t>COOPERATIVA DE ECONOMIA E CRÉDITO MÚTUO DOS EMPREGADOS DO GRUPO SBF LTDA. - COOPER ATIVA SBF</t>
  </si>
  <si>
    <t>MÉRITO SOCIEDADE DE CRÉDITO, FINANCIAMENTO E INVESTIMENTO S.A.</t>
  </si>
  <si>
    <t>MÉRITO DTVM - PRUDENCIAL</t>
  </si>
  <si>
    <t>C0085874</t>
  </si>
  <si>
    <t>COOPERATIVA DE ECONOMIA E CRÉDITO MÚTUO DOS FUNCIONÁRIOS PÚBLICOS MUNICIPAIS DE ITAPIRA - CREDITA</t>
  </si>
  <si>
    <t>ITAPIRA</t>
  </si>
  <si>
    <t>OSLO CAPITAL DISTRIBUIDORA DE TÍTULOS E VALORES MOBILIÁRIOS S.A</t>
  </si>
  <si>
    <t>OSLO CAPITAL DTVM S.A. - PRUDENCIAL</t>
  </si>
  <si>
    <t>C0084253</t>
  </si>
  <si>
    <t>LEND SOCIEDADE DE CRÉDITO DIRETO S.A.</t>
  </si>
  <si>
    <t>LEND SCD - PRUDENCIAL</t>
  </si>
  <si>
    <t>C0085276</t>
  </si>
  <si>
    <t>ATF SOCIEDADE DE CRÉDITO DIRETO S.A.</t>
  </si>
  <si>
    <t>ATF SCD - PRUDENCIAL</t>
  </si>
  <si>
    <t>C0085915</t>
  </si>
  <si>
    <t>COOPERATIVA DE CRÉDITO MÚTUO DOS POLICIAIS FEDERAIS E SERVIDORES PÚBLICOS NO ESPÍRITO SANTO - CREDFEDERAL</t>
  </si>
  <si>
    <t>EXIM CORRETORA DE CAMBIO LTDA</t>
  </si>
  <si>
    <t>EXIM CC LTDA - PRUDENCIAL</t>
  </si>
  <si>
    <t>C0082217</t>
  </si>
  <si>
    <t>MICROCASH SOCIEDADE DE CRÉDITO AO MICROEMPREENDEDOR E À EMPRESA DE PEQUENO PORTE LTDA.</t>
  </si>
  <si>
    <t>MICROCASH SCMEPP - PRUDENCIAL</t>
  </si>
  <si>
    <t>C0086079</t>
  </si>
  <si>
    <t>COOPERATIVA DE ECONOMIA E CRÉDITO MÚTUO DOS EMPREGADOS DA SAMARCO MINERAÇÃO S.A. LTDA - CREDISAM</t>
  </si>
  <si>
    <t>COOPERATIVA DE ECONOMIA E CRÉDÍTO MÚTUO DOS FUNCIONÁRIOS DA MWM TUPY DO BRASIL</t>
  </si>
  <si>
    <t>FAMÍLIA PAULISTA COMPANHIA HIPOTECÁRIA</t>
  </si>
  <si>
    <t>FAMILIA PAULISTA CI S.A. - PRUDENCIAL</t>
  </si>
  <si>
    <t>C0083429</t>
  </si>
  <si>
    <t>COOPERATIVA DE ECONOMIA E CRÉDITO MÚTUO DOS EMPREGADOS DA UNIÃO MARISTA DO BRASIL E SUAS ASSOCIADAS, PROVÍNCIA MARISTA BRASIL CENTRO-NORTE E UNIÃO BRASILEIRA DE EDUCAÇÃO CATÓLICA.</t>
  </si>
  <si>
    <t>NIXFIN SOCIEDADE DE CRÉDITO DIRETO S.A.</t>
  </si>
  <si>
    <t>NIXFIN SCD - PRUDENCIAL</t>
  </si>
  <si>
    <t>C0085922</t>
  </si>
  <si>
    <t>MAREE SOCIEDADE DE CRÉDITO, FINANCIAMENTO E INVESTIMENTO S.A.</t>
  </si>
  <si>
    <t>UP.P SOCIEDADE DE EMPRÉSTIMO ENTRE PESSOAS S.A.</t>
  </si>
  <si>
    <t>UP.P SEP - PRUDENCIAL</t>
  </si>
  <si>
    <t>C0085087</t>
  </si>
  <si>
    <t>HONDA LEASING S.A. - ARRENDAMENTO MERCANTIL</t>
  </si>
  <si>
    <t>COOPERATIVA DE CRÉDITO DOS SERVIDORES PÚBLICOS MUNICIPAIS DE TIMÓTEO LTDA. - COOPERTIM</t>
  </si>
  <si>
    <t>LEVYCAM - CORRETORA DE CAMBIO E VALORES LTDA.</t>
  </si>
  <si>
    <t>LEVYCAM CCV LTDA - PRUDENCIAL</t>
  </si>
  <si>
    <t>C0082592</t>
  </si>
  <si>
    <t>IDEA MAKER INSTITUICAO DE PAGAMENTO LTDA</t>
  </si>
  <si>
    <t>IDEA MAKER IP - PRUDENCIAL</t>
  </si>
  <si>
    <t>C0086914</t>
  </si>
  <si>
    <t>PAGARE INSTITUICAO DE PAGAMENTO S.A.</t>
  </si>
  <si>
    <t>PAGARE IP - PRUDENCIAL</t>
  </si>
  <si>
    <t>C0087607</t>
  </si>
  <si>
    <t>FIDD DISTRIBUIDORA DE TÍTULOS E VALORES MOBILIÁRIOS LTDA.</t>
  </si>
  <si>
    <t>FIDD DTVM - PRUDENCIAL</t>
  </si>
  <si>
    <t>C0085458</t>
  </si>
  <si>
    <t>PAGPRIME INSTITUICAO DE PAGAMENTO LTDA</t>
  </si>
  <si>
    <t>PAGPRIME IP - PRUDENCIAL</t>
  </si>
  <si>
    <t>C0086880</t>
  </si>
  <si>
    <t>COOPERATIVA DE CRÉDITO COOPHARMA</t>
  </si>
  <si>
    <t>COOPERATIVA DE ECONOMIA E CRÉDITO MÚTUO DOS EMPREGADOS DO SISTEMA FIERGS - CRESUL</t>
  </si>
  <si>
    <t>BMG S.A. DISTRIBUIDORA DE TÍTULOS E VALORES MOBILIÁRIOS</t>
  </si>
  <si>
    <t>BULLLA SOCIEDADE DE CRÉDITO DIRETO S.A.</t>
  </si>
  <si>
    <t>MAG INSTITUICAO DE PAGAMENTO LTDA</t>
  </si>
  <si>
    <t>MAG IP - PRUDENCIAL</t>
  </si>
  <si>
    <t>C0086385</t>
  </si>
  <si>
    <t>COOPERATIVA DE ECONOMIA E CRÉDITO MÚTUO DOS SERVIDORES MUNICIPAIS DE POÇOS DE CALDAS LTDA. - COOPOÇOS</t>
  </si>
  <si>
    <t>POCOS DE CALDAS</t>
  </si>
  <si>
    <t>FACEBOOK INSTITUIÇÃO DE PAGAMENTO DO BRASIL LTDA.</t>
  </si>
  <si>
    <t>FACEBOOK INSTITUICAO PAGAMENTO - PRUDENCIAL</t>
  </si>
  <si>
    <t>C0085692</t>
  </si>
  <si>
    <t>PARTNER INSTITUIÇÃO DE PAGAMENTO S.A.</t>
  </si>
  <si>
    <t>PARTNER IP - PRUDENCIAL</t>
  </si>
  <si>
    <t>C0087391</t>
  </si>
  <si>
    <t>OZ CORRETORA DE CÂMBIO S.A.</t>
  </si>
  <si>
    <t>OZ CC - PRUDENCIAL</t>
  </si>
  <si>
    <t>C0081892</t>
  </si>
  <si>
    <t>MÉRITO DISTRIBUIDORA DE TÍTULOS E VALORES MOBILIÁRIOS LTDA.</t>
  </si>
  <si>
    <t>WARREN CORRETORA DE VALORES MOBILIÁRIOS E CÂMBIO LTDA.</t>
  </si>
  <si>
    <t>AGENCIA DE FOMENTO DO AMAPA S.A.</t>
  </si>
  <si>
    <t>AG. FOMENTO AMAPA S.A. - PRUDENCIAL</t>
  </si>
  <si>
    <t>C0081098</t>
  </si>
  <si>
    <t>MACAPA</t>
  </si>
  <si>
    <t>AP</t>
  </si>
  <si>
    <t>COOPERATIVA DE ECONOMIA E CRÉDITO MÚTUO DOS FUNCIONÁRIOS DA ASTRAZENECA DO BRASIL</t>
  </si>
  <si>
    <t>COTIA</t>
  </si>
  <si>
    <t>BEETELLER INSTITUIÇÃO DE PAGAMENTO LTDA.</t>
  </si>
  <si>
    <t>BEETELLERPAY IP - PRUDENCIAL</t>
  </si>
  <si>
    <t>C0086718</t>
  </si>
  <si>
    <t>RJI CORRETORA DE TITULOS E VALORES MOBILIARIOS LTDA</t>
  </si>
  <si>
    <t>RJI CTVM - PRUDENCIAL</t>
  </si>
  <si>
    <t>C0082798</t>
  </si>
  <si>
    <t>COOPERATIVA DE ECONOMIA E CREDITO MUTUO DOS EMPREGADOS DE ELEVADORES ATLAS SCHINDLER LTDA.</t>
  </si>
  <si>
    <t>DILLON S/A DISTRIBUIDORA DE TITULOS E VALORES MOBILIARIOS</t>
  </si>
  <si>
    <t>DILLON S/A DTVM - PRUDENCIAL</t>
  </si>
  <si>
    <t>C0083807</t>
  </si>
  <si>
    <t>COOPERATIVA DE CRÉDITO E SERVIÇOS FINANCEIROS DE CURITIBA E REGIÃO METROPOLITANA</t>
  </si>
  <si>
    <t>SAFRA SOCIEDADE DE CREDITO DIRETO S.A.</t>
  </si>
  <si>
    <t>COOPERATIVA DE ECONOMIA E CRÉDITO MÚTUO DOS EMPREGADOS DO GRUPO BAYER E EMPRESAS QUÍMICAS E FARMACÊUTICAS DO ESTADO DO RIO DE JANEIRO LTDA.</t>
  </si>
  <si>
    <t>BELFORD ROXO</t>
  </si>
  <si>
    <t>WE PAY OUT INSTITUICAO DE PAGAMENTO LTDA.</t>
  </si>
  <si>
    <t>WE PAY OUT IP - PRUDENCIAL</t>
  </si>
  <si>
    <t>C0086907</t>
  </si>
  <si>
    <t>COOPERATIVA DE ECONOMIA E CRÉDITO MÚTUO DOS APOSENTADOS, PENSIONISTAS E IDOSOS - SICOOB COOPERNAPI</t>
  </si>
  <si>
    <t>COOPERATIVA DE ECONOMIA E CRÉDITO MÚTUO DOS EMPREGADOS DA NOVELIS</t>
  </si>
  <si>
    <t>RIO BRAVO INVESTIMENTOS - DISTRIBUIDORA DE TÍTULOS E VALORES MOBILIÁRIOS LTDA.</t>
  </si>
  <si>
    <t>RIO BRAVO INVESTIMENTOS DTVM - PRUDENCIAL</t>
  </si>
  <si>
    <t>C0087975</t>
  </si>
  <si>
    <t>BELVO INSTITUICAO DE PAGAMENTO LTDA</t>
  </si>
  <si>
    <t>BELVO IP - PRUDENCIAL</t>
  </si>
  <si>
    <t>C0086433</t>
  </si>
  <si>
    <t>OMNI S.A. ARRENDAMENTO MERCANTIL</t>
  </si>
  <si>
    <t>ZM SOCIEDADE DE CRÉDITO DIRETO S.A.</t>
  </si>
  <si>
    <t>ZM SCD PRUDENCIAL</t>
  </si>
  <si>
    <t>C0086828</t>
  </si>
  <si>
    <t>AGUAS LINDAS DE GOIAS</t>
  </si>
  <si>
    <t>CONPAY INSTITUIÇÃO DE PAGAMENTO E TECNOLOGIA S.A</t>
  </si>
  <si>
    <t>CONPAY IP - PRUDENCIAL</t>
  </si>
  <si>
    <t>C0088417</t>
  </si>
  <si>
    <t>INTEGRAL ACCESS DISTRIBUIDORA DE TÍTULOS E VALORES MOBILIÁRIOS LTDA.</t>
  </si>
  <si>
    <t>INTEGRAL ACCESS DTVM - PRUDENCIAL</t>
  </si>
  <si>
    <t>C0085049</t>
  </si>
  <si>
    <t>SISPAY INSTITUIÇÃO DE PAGAMENTO LTDA.</t>
  </si>
  <si>
    <t>SISPAY IP - PRUDENCIAL</t>
  </si>
  <si>
    <t>C0087528</t>
  </si>
  <si>
    <t>COOPERATIVA DE ECONOMIA E CRÉDITO MÚTUO DOS SERVIDORES PÚBLICOS DOS PODERES EXECUTIVOS NO ESTADO DO ESPÍRITO SANTO</t>
  </si>
  <si>
    <t>INVEST SOCIEDADE CORRETORA DE CÂMBIO LTDA.</t>
  </si>
  <si>
    <t>INVEST CC - PRUDENCIAL</t>
  </si>
  <si>
    <t>C0082396</t>
  </si>
  <si>
    <t>BARU SOCIEDADE DE CRÉDITO, FINANCIAMENTO E INVESTIMENTO S/A</t>
  </si>
  <si>
    <t>BARU SCFI - PRUDENCIAL</t>
  </si>
  <si>
    <t>C0052656</t>
  </si>
  <si>
    <t>C0085805</t>
  </si>
  <si>
    <t>COOPERATIVA DE ECONOMIA E CRÉDITO MÚTUO DOS MEMBROS DO MINISTÉRIO PÚBLICO DE SÃO PAULO - PROMOCRED</t>
  </si>
  <si>
    <t>QUADRA SOCIEDADE DE CRÉDITO DIRETO S.A.</t>
  </si>
  <si>
    <t>QUADRA SCD - PRUDENCIAL</t>
  </si>
  <si>
    <t>C0086646</t>
  </si>
  <si>
    <t>VX PAVARINI DISTRIBUIDORA DE TÍTULOS E VALORES MOBILIÁRIOS LTDA</t>
  </si>
  <si>
    <t>INSTITUIÇÃO DE PAGAMENTOS MAPS LTDA.</t>
  </si>
  <si>
    <t>INSTITUIÇÃO DE PAGAMENTOS MAPS - PRUDENCIAL</t>
  </si>
  <si>
    <t>C0087308</t>
  </si>
  <si>
    <t>ATICCA - SOCIEDADE DE CRÉDITO DIRETO S.A.</t>
  </si>
  <si>
    <t>ATICCA SCD PRUDENCIAL</t>
  </si>
  <si>
    <t>C0085946</t>
  </si>
  <si>
    <t>EWALLY INSTITUIÇÃO DE PAGAMENTO S.A.</t>
  </si>
  <si>
    <t>EWALLY IP - PRUDENCIAL</t>
  </si>
  <si>
    <t>C0086495</t>
  </si>
  <si>
    <t>COOPERATIVA DE ECONOMIA E CRÉDITO MÚTUO DOS SERVIDORES PÚBLICOS DA REGIÃO METROPOLITANA DE BELÉM - CREDISIS CREDBEM METROPOLITANA</t>
  </si>
  <si>
    <t>ZIPDIN SOLUÇÕES DIGITAIS SOCIEDADE DE CRÉDITO DIRETO S/A</t>
  </si>
  <si>
    <t>ZIPDIN SCD - PRUDENCIAL</t>
  </si>
  <si>
    <t>C0085221</t>
  </si>
  <si>
    <t>FINAXIS CORRETORA DE TÍTULOS E VALORES MOBILIÁRIOS S.A.</t>
  </si>
  <si>
    <t>ALL IN CRED SOCIEDADE DE CREDITO DIRETO S.A.</t>
  </si>
  <si>
    <t>ALL IN CRED SCD - PRUDENCIAL</t>
  </si>
  <si>
    <t>C0087085</t>
  </si>
  <si>
    <t>APROMS NET INSTITUICAO DE PAGAMENTO LTDA.</t>
  </si>
  <si>
    <t>APROMS NET IP - PRUDENCIAL</t>
  </si>
  <si>
    <t>C0087573</t>
  </si>
  <si>
    <t>TRINUS SOCIEDADE DE CRÉDITO DIRETO S.A.</t>
  </si>
  <si>
    <t>TRINUS CAPITAL DTVM - PRUDENCIAL</t>
  </si>
  <si>
    <t>C0052223</t>
  </si>
  <si>
    <t>C0084631</t>
  </si>
  <si>
    <t>COOPERATIVA DE ECONOMIA E CRÉDITO MÚTUO DOS  EMPREGADOS DA TUPY MINAS GERAIS LTDA. E NEMAK ALUMÍNIO DO BRASIL LTDA.</t>
  </si>
  <si>
    <t>BETIM</t>
  </si>
  <si>
    <t>LOAN BRASIL SOCIEDADE DE CRÉDITO DIRETO S.A.</t>
  </si>
  <si>
    <t>INTERCAM CORRETORA DE CÂMBIO LTDA.</t>
  </si>
  <si>
    <t>INTERCAM CC LTDA - PRUDENCIAL</t>
  </si>
  <si>
    <t>C0081926</t>
  </si>
  <si>
    <t>COOPERATIVA DE CRÉDITO E INVESTIMENTO COM INTERAÇÃO SOLIDÁRIA DE TOLEDO E REGIÃO - CRESOL PRIMATO CREDI</t>
  </si>
  <si>
    <t>G5 SOCIEDADE DE CRÉDITO DIRETO S.A.</t>
  </si>
  <si>
    <t>G5 SCD - PRUDENCIAL</t>
  </si>
  <si>
    <t>C0087047</t>
  </si>
  <si>
    <t>COOPERATIVA DE ECONOMIA E CRÉDITO MÚTUO DOS EMPREGADOS DA CONFAB</t>
  </si>
  <si>
    <t>PINDAMONHANGABA</t>
  </si>
  <si>
    <t>GLOBAL FINANÇAS SOCIEDADE DE CRÉDITO AO MICROEMPREENDEDOR E À EMPRESA DE PEQUENO PORTE LTDA.</t>
  </si>
  <si>
    <t>GLOBAL SCM LTDA - PRUDENCIAL</t>
  </si>
  <si>
    <t>C0083278</t>
  </si>
  <si>
    <t>COOPERATIVA DE CRÉDITO MÚTUO DOS EMPREGADOS DA SKF E COLIGADAS</t>
  </si>
  <si>
    <t>CAJAMAR</t>
  </si>
  <si>
    <t>HBI SOCIEDADE DE CRÉDITO DIRETO S/A.</t>
  </si>
  <si>
    <t>HBI SCD - PRUDENCIAL</t>
  </si>
  <si>
    <t>C0083041</t>
  </si>
  <si>
    <t>LEOPOLDINA</t>
  </si>
  <si>
    <t>ACTIVTRADES CORRETORA DE CÂMBIO, TÍTULOS E VALORES MOBILIÁRIOS LTDA.</t>
  </si>
  <si>
    <t>ACTIVTRADES CCTVM - PRUDENCIAL</t>
  </si>
  <si>
    <t>C0085977</t>
  </si>
  <si>
    <t>LEV DISTRIBUIDORA DE TÍTULOS E VALORES MOBILIÁRIOS LTDA.</t>
  </si>
  <si>
    <t>LEV DTVM - PRUDENCIAL</t>
  </si>
  <si>
    <t>C0086347</t>
  </si>
  <si>
    <t>ONCRED - SOCIEDADE DE CRÉDITO DIRETO S.A.</t>
  </si>
  <si>
    <t>ONCRED SCD - PRUDENCIAL</t>
  </si>
  <si>
    <t>C0086000</t>
  </si>
  <si>
    <t>COOPERATIVA DE ECONOMIA E CRÉDITO MÚTUO DOS FUNCIONÁRIOS DO FLEURY</t>
  </si>
  <si>
    <t>COOPERATIVA DE ECONOMIA E CRÉDITO MÚTUO DOS FUNCIONÁRIOS DO GRUPO COMOLATTI - SÃO PAULO</t>
  </si>
  <si>
    <t>DAUX SOCIEDADE DE CRÉDITO DIRETO S.A.</t>
  </si>
  <si>
    <t>DAUX SCD - PRUDENCIAL</t>
  </si>
  <si>
    <t>C0084992</t>
  </si>
  <si>
    <t>LINS</t>
  </si>
  <si>
    <t>LABOR SOCIEDADE CORRETORA DE CÂMBIO LTDA.</t>
  </si>
  <si>
    <t>LABOR CC - PRUDENCIAL</t>
  </si>
  <si>
    <t>C0082073</t>
  </si>
  <si>
    <t>COOPERATIVA DE ECONOMIA E CRÉDITO MÚTUO DOS FUNCIONÁRIOS DA BOMBRIL</t>
  </si>
  <si>
    <t>BFC SOCIEDADE DE CRÉDITO DIRETO S.A.</t>
  </si>
  <si>
    <t>BFC SCD - PRUDENCIAL</t>
  </si>
  <si>
    <t>C0087982</t>
  </si>
  <si>
    <t>COOPERATIVA DE ECONOMIA E CRÉDITO MÚTUO DOS PETROLEIROS NO ESTADO DE MINAS GERAIS LTDA. - COPETRO</t>
  </si>
  <si>
    <t>COOPERATIVA DE ECONOMIA E CREDITO MUTUO DOS SERVIDORES ESTATUTARIOS DA ADMINISTRAÇÃO DIRETA DO ESTADO DO ESPIRITO SANTO - COOPSERVIDOR ES</t>
  </si>
  <si>
    <t>COOPERATIVA DE ECONOMIA E CREDITO MUTUO JOHN F. KENNEDY LTDA</t>
  </si>
  <si>
    <t>PAY BROKERS IP INSTITUICAO DE PAGAMENTO LTDA.</t>
  </si>
  <si>
    <t>PAY BROKERS IP - PRUDENCIAL</t>
  </si>
  <si>
    <t>C0087762</t>
  </si>
  <si>
    <t>CREDNOVO SOCIEDADE DE EMPRÉSTIMO ENTRE PESSOAS S. A.</t>
  </si>
  <si>
    <t>GERU SOCIEDADE DE CRÉDITO DIRETO S.A.</t>
  </si>
  <si>
    <t>GERU SCD - PRUDENCIAL</t>
  </si>
  <si>
    <t>C0085290</t>
  </si>
  <si>
    <t>CREDJUST - COOPERATIVA DE CRÉDITO MÚTUO DOS INTEGRANTES DA JUSTIÇA DO TRABALHO DA 13- REGIÃO LTDA.</t>
  </si>
  <si>
    <t>AMARIL FRANKLIN CORRETORA DE TÍTULOS E VALORES LTDA</t>
  </si>
  <si>
    <t>AMARIL FRANKLIN CTV LTDA - PRUDENCIAL</t>
  </si>
  <si>
    <t>C0082516</t>
  </si>
  <si>
    <t>DGBK CREDIT S.A. - SOCIEDADE DE CRÉDITO DIRETO.</t>
  </si>
  <si>
    <t>DGBK CREDIT SCD - PRUDENCIAL</t>
  </si>
  <si>
    <t>C0086543</t>
  </si>
  <si>
    <t>UZZIPAY INSTITUIÇÃO DE PAGAMENTO S.A.</t>
  </si>
  <si>
    <t>UZZIPAY IP - PRUDENCIAL</t>
  </si>
  <si>
    <t>C0086763</t>
  </si>
  <si>
    <t>DUFRIO FINANCEIRA, CRÉDITO, FINANCIAMENTO E INVESTIMENTOS S.A.</t>
  </si>
  <si>
    <t>DUFRIO CFI - PRUDENCIAL</t>
  </si>
  <si>
    <t>C0085324</t>
  </si>
  <si>
    <t>MULTICRED SOCIEDADE DE CRÉDITO DIRETO S.A.</t>
  </si>
  <si>
    <t>MULTICRED SCD - PRUDENCIAL</t>
  </si>
  <si>
    <t>C0085355</t>
  </si>
  <si>
    <t>BR-CAPITAL DISTRIBUIDORA DE TÍTULOS E VALORES MOBILIÁRIOS S.A.</t>
  </si>
  <si>
    <t>BR-CAPITAL DTVM S.A. - PRUDENCIAL</t>
  </si>
  <si>
    <t>C0083814</t>
  </si>
  <si>
    <t>COOPERATIVA DE CRÉDITO MÚTUO DOS EMPREGADOS DA PILKINGTON BRASIL</t>
  </si>
  <si>
    <t>CACAPAVA</t>
  </si>
  <si>
    <t>COOPERATIVA DE ECONOMIA E CRÉDITO MÚTUO DOS EMPREGADOS DA JOYSON SAFETY SYSTEMS - COOPERJSS</t>
  </si>
  <si>
    <t>SCB CRÉDITO SOCIEDADE DE CRÉDITO AO MICROEMPREENDEDOR E À EMPRESA DE PEQUENO PORTE LTDA.</t>
  </si>
  <si>
    <t>SCB CRÉDITO SCMEPP - PRUDENCIAL</t>
  </si>
  <si>
    <t>C0083230</t>
  </si>
  <si>
    <t>FONTECRED - SOCIEDADE DE CRÉDITO DIRETO S/A</t>
  </si>
  <si>
    <t>FONTECRED SCD - PRUDENCIAL</t>
  </si>
  <si>
    <t>C0084954</t>
  </si>
  <si>
    <t>COOPERATIVA DE CRÉDITO RURAL DOS PLANTADORES DE CANA DA REGIÃO DE IGARAPAVA</t>
  </si>
  <si>
    <t>IGARAPAVA</t>
  </si>
  <si>
    <t>H.COMMCOR DISTRIBUIDORA DE TÍTULOS E VALORES MOBILIÁRIOS LTDA.</t>
  </si>
  <si>
    <t>H.COMMCOR DTVM LTDA. - PRUDENCIAL</t>
  </si>
  <si>
    <t>C0084222</t>
  </si>
  <si>
    <t>CREDI-SHOP - SOCIEDADE DE CRÉDITO DIRETO S.A.</t>
  </si>
  <si>
    <t>J17 - SOCIEDADE DE CRÉDITO, FINANCIAMENTO E INVESTIMENTO S/A</t>
  </si>
  <si>
    <t>MONETAR DISTRIBUIDORA DE TÍTULOS E VALORES MOBILIÁRIOS LTDA.</t>
  </si>
  <si>
    <t>HSCM - SOCIEDADE DE CRÉDITO AO MICROEMPREENDEDOR E À EMPRESA DE PEQUENO PORTE LTDA.</t>
  </si>
  <si>
    <t>HSCM SCMEPP LTDA. - PRUDENCIAL</t>
  </si>
  <si>
    <t>C0083089</t>
  </si>
  <si>
    <t>IBIA</t>
  </si>
  <si>
    <t>SOCIALCRED S/A - SOCIEDADE DE CRÉDITO AO MICROEMPREENDEDOR E À EMPRESA DE PEQUENO PORTE</t>
  </si>
  <si>
    <t>SOCIALCRED S/A SCMEPP - PRUDENCIAL</t>
  </si>
  <si>
    <t>C0083027</t>
  </si>
  <si>
    <t>COOPERATIVA DE ECONOMIA E CRÉDITO MÚTUO DOS FABRICANTES DE CALÇADOS DE SAPIRANGA LTDA.</t>
  </si>
  <si>
    <t>SAPIRANGA</t>
  </si>
  <si>
    <t>MERCADO PAGO DISTRIBUIDORA DE TÍTULOS E VALORES MOBILIÁRIOS LTDA.</t>
  </si>
  <si>
    <t>COOPERATIVA DE ECONOMIA E CRÉDITO MÚTUO DOS FUNCIONÁRIOS DA ELGIN</t>
  </si>
  <si>
    <t>MOGI DAS CRUZES</t>
  </si>
  <si>
    <t>COOPERATIVA DE ECONOMIA E CRÉDITO MÚTUO DOS SERVIDORES DA SECRETARIA DE DEFESA SOCIAL DO ESTADO DE MINAS GERAIS LTDA. - COOPSESP</t>
  </si>
  <si>
    <t>MAGNUM SOCIEDADE DE CRÉDITO DIRETO S.A.</t>
  </si>
  <si>
    <t>MAGNUM SCD - PRUDENCIAL</t>
  </si>
  <si>
    <t>C0085984</t>
  </si>
  <si>
    <t>BM4 SOCIEDADE DE CRÉDITO DIRETO S.A.</t>
  </si>
  <si>
    <t>BM4 SCD - PRUDENCIAL</t>
  </si>
  <si>
    <t>C0088462</t>
  </si>
  <si>
    <t>COOPERATIVA DE ECONOMIA E CRÉDITO MÚTUO DOS FUNCIONÁRIOS DA FACULDADE DE CIÊNCIAS AGRÁRIAS E VETERINÁRIAS - CAMPUS DE JABOTICABAL/SP - COOPERFAC</t>
  </si>
  <si>
    <t>COOPERATIVA DE ECONOMIA E CRÉDITO MÚTUO DOS SERVIDORES DO DISTRITO FEDERAL LTDA. - COOSERVCRED</t>
  </si>
  <si>
    <t>SOCRED S.A. - SOCIEDADE DE CRÉDITO AO MICROEMPREENDEDOR E À EMPRESA DE PEQUENO PORTE</t>
  </si>
  <si>
    <t>SOCRED S.A. SCM - PRUDENCIAL</t>
  </si>
  <si>
    <t>C0083247</t>
  </si>
  <si>
    <t>PINE INVESTIMENTOS DISTRIBUIDORA DE TÍTULOS E VALORES MOBILIÁRIOS LTDA</t>
  </si>
  <si>
    <t>PAYFACE INSTITUICAO DE PAGAMENTO S.A.</t>
  </si>
  <si>
    <t>PAYFACE IP - PRUDENCIAL</t>
  </si>
  <si>
    <t>C0088132</t>
  </si>
  <si>
    <t>VBS SOCIEDADE DE CRÉDITO DIRETO S.A.</t>
  </si>
  <si>
    <t>VBS SCD - PRUDENCIAL</t>
  </si>
  <si>
    <t>C0087377</t>
  </si>
  <si>
    <t>SEDONA SOCIEDADE DE CRÉDITO DIRETO S.A.</t>
  </si>
  <si>
    <t>COOPERATIVA DE ECONOMIA E CRÉDITO MÚTUO DOS TRABALHADORES NAS INDÚSTRIAS DE EXTRAÇÃO DE FERRO E METAIS BÁSICOS DA REGIÃO DE CONGONHAS LTDA. - COOFERSE</t>
  </si>
  <si>
    <t>CONGONHAS</t>
  </si>
  <si>
    <t>COOPERATIVA DE ECONOMIA E CRÉDITO MÚTUO DOS SERVIDORES DA EMPRESA BRASILEIRA DE CORREIOS E TELÉGRAFOS E EMPRESAS DE LOGÍSTICA DE ENTREGAS DE ENCOMENDAS LTDA.</t>
  </si>
  <si>
    <t>TRADERS DISTRIBUIDORA DE TÍTULOS E VALORES MOBILIÁRIOS LTDA.</t>
  </si>
  <si>
    <t>TRADERS DTVM - PRUDENCIAL</t>
  </si>
  <si>
    <t>C0083845</t>
  </si>
  <si>
    <t>COOPERATIVA DE CRÉDITO MÚTUO DOS SERVIDORES DA SEGURANÇA PÚBLICA DE SÃO PAULO - CREDIAFAM</t>
  </si>
  <si>
    <t>COOPERATIVA DE ECONOMIA E CRÉDITO MÚTUO DOS FUNCIONÁRIOS DA MORLAN - CRED MORLAN</t>
  </si>
  <si>
    <t>NDD INSTITUICAO DE PAGAMENTO LTDA</t>
  </si>
  <si>
    <t>NDD IP - PRUDENCIAL</t>
  </si>
  <si>
    <t>C0088833</t>
  </si>
  <si>
    <t>UNICRED DISTRIBUIDORA DE TITULOS E VALORES MOBILIARIOS LTDA</t>
  </si>
  <si>
    <t>UNICRED DTVM - PRUDENCIAL</t>
  </si>
  <si>
    <t>C0088187</t>
  </si>
  <si>
    <t>CRETOVALE - COOPERATIVA DE ECONOMIA E CRÉDITO MÚTUO DOS TRABALHADORES DA VALE</t>
  </si>
  <si>
    <t>TRANSFERO INSTITUICAO DE PAGAMENTO LTDA.</t>
  </si>
  <si>
    <t>TRANSFERO IP - PRUDENCIAL</t>
  </si>
  <si>
    <t>C0087236</t>
  </si>
  <si>
    <t>COOPERATIVA DE ECONOMIA E CRÉDITO MÚTUO DOS SERVIDORES DA FACULDADE DE ENGENHARIA DE ILHA SOLTEIRA - COOPERFEIS</t>
  </si>
  <si>
    <t>ILHA SOLTEIRA</t>
  </si>
  <si>
    <t>NOSSA TERRA BRASIL COOPERATIVA DE CRÉDITO</t>
  </si>
  <si>
    <t>CAJATI</t>
  </si>
  <si>
    <t>COOPERATIVA DE ECONOMIA E CRÉDITO MÚTUO DOS FUNCIONÁRIOS DO GRUPO LORENZETTI</t>
  </si>
  <si>
    <t>KLAVI INSTITUIÇÃO DE PAGAMENTO E GESTÃO DE DADOS LTDA.</t>
  </si>
  <si>
    <t>KLAVI IP - PRUDENCIAL</t>
  </si>
  <si>
    <t>C0086794</t>
  </si>
  <si>
    <t>COOPERATIVA DE ECONOMIA E CRÉDITO MÚTUO DOS EMPREGADOS DA SAINT-GOBAIN DO BRASIL PRODUTOS INDUSTRIAIS E PARA CONSTRUÇÃO - DIVISÃO VIDRO PLANO</t>
  </si>
  <si>
    <t>MAUA</t>
  </si>
  <si>
    <t>COOPERATIVA DE ECONOMIA E CRÉDITO MÚTUO ALIANÇA - COOPERNITRO</t>
  </si>
  <si>
    <t>GET MONEY SOCIEDADE CORRETORA DE CÂMBIO S.A.</t>
  </si>
  <si>
    <t>GET MONEY SCC - PRUDENCIAL</t>
  </si>
  <si>
    <t>C0082255</t>
  </si>
  <si>
    <t>GO SOCIEDADE DE CRÉDITO DIRETO S.A.</t>
  </si>
  <si>
    <t>GO SCD - PRUDENCIAL</t>
  </si>
  <si>
    <t>C0088424</t>
  </si>
  <si>
    <t>PENTAGONO S/A DISTRIBUIDORA DE TITULOS E VALORES MOBILIARIOS</t>
  </si>
  <si>
    <t>PENTAGONO S/A DTVM - PRUDENCIAL</t>
  </si>
  <si>
    <t>C0083773</t>
  </si>
  <si>
    <t>DAPPER - SOCIEDADE DE CRÉDITO DIRETO S/A</t>
  </si>
  <si>
    <t>DAPPER SCD - PRUDENCIAL</t>
  </si>
  <si>
    <t>C0086402</t>
  </si>
  <si>
    <t>LB PAY INSTITUIÇÃO DE PAGAMENTO LTDA</t>
  </si>
  <si>
    <t>LB PAY IP - PRUDENCIAL</t>
  </si>
  <si>
    <t>C0088046</t>
  </si>
  <si>
    <t>COOPSEBRAE - COOPERATIVA DE CRÉDITO MÚTUO DOS EMPREGADOS DO SEBRAE/PB, SEBRAE/RN, SESC/PB, SENAC/PB, SENAR/PB, SENAR/RN E FAEPA/PB</t>
  </si>
  <si>
    <t>COOPERATIVA DE ECONOMIA E CRÉDITO MÚTUO DOS EMPREGADOS DO GRUPO TELEFÔNICA</t>
  </si>
  <si>
    <t>SQUID SOCIEDADE DE CRÉDITO DIRETO S.A.</t>
  </si>
  <si>
    <t>SQUID SCD - PRUDENCIAL</t>
  </si>
  <si>
    <t>C0087755</t>
  </si>
  <si>
    <t>COOPERATIVA DE ECONOMIA E CRÉDITO MÚTUO DOS FUNCIONÁRIOS DAS EMPRESAS DO GRUPO DANA - COOPDANA</t>
  </si>
  <si>
    <t>GRAVATAI</t>
  </si>
  <si>
    <t>ÓTIMO SOCIEDADE DE CRÉDITO DIRETO S.A.</t>
  </si>
  <si>
    <t>NUMBRS SOCIEDADE DE CRÉDITO DIRETO S.A.</t>
  </si>
  <si>
    <t>NUMBRS SCD - PRUDENCIAL</t>
  </si>
  <si>
    <t>C0085410</t>
  </si>
  <si>
    <t>INTRA INVESTIMENTOS DISTRIBUIDORA DE TÍTULOS E VALORES MOBILIÁRIOS LTDA</t>
  </si>
  <si>
    <t>INTRA INVESTIMENTOS DTVM - PRUDENCIAL</t>
  </si>
  <si>
    <t>C0084301</t>
  </si>
  <si>
    <t>BCP SECURITIES DISTRIBUIDORA DE TÍTULOS E VALORES MOBILIÁRIOS LTDA.</t>
  </si>
  <si>
    <t>BCP SECURITIES DTVM - PRUDENCIAL</t>
  </si>
  <si>
    <t>C0087418</t>
  </si>
  <si>
    <t>SENSO CORRETORA DE CAMBIO E VALORES MOBILIARIOS S.A</t>
  </si>
  <si>
    <t>SENSO CCVM S.A. - PRUDENCIAL</t>
  </si>
  <si>
    <t>C0082750</t>
  </si>
  <si>
    <t>COOPERATIVA DE ECONOMIA E CRÉDITO MÚTUO DOS FUNCIONÁRIOS DAS EMPRESAS DE CERÂMICA - COOPASPACER</t>
  </si>
  <si>
    <t>SANTA GERTRUDES</t>
  </si>
  <si>
    <t>EXECUTIVE SOCIEDADE CORRETORA DE CÂMBIO LTDA.</t>
  </si>
  <si>
    <t>EXECUTIVE SCC LTDA - PRUDENCIAL</t>
  </si>
  <si>
    <t>C0082468</t>
  </si>
  <si>
    <t>BRX SOCIEDADE CORRETORA DE CÂMBIO LTDA.</t>
  </si>
  <si>
    <t>BRX SCC LTDA. - PRUDENCIAL</t>
  </si>
  <si>
    <t>C0082413</t>
  </si>
  <si>
    <t>FIDEM SOCIEDADE DE CRÉDITO DIRETO S/A</t>
  </si>
  <si>
    <t>FIDEM SCD - PRUDENCIAL</t>
  </si>
  <si>
    <t>C0086141</t>
  </si>
  <si>
    <t>ATLANTA SOCIEDADE DE CRÉDITO AO MICROEMPREENDEDOR LTDA</t>
  </si>
  <si>
    <t>ATLANTA SCM LTDA - PRUDENCIAL</t>
  </si>
  <si>
    <t>C0083034</t>
  </si>
  <si>
    <t>PASSOS</t>
  </si>
  <si>
    <t>NEON CORRETORA DE TÍTULOS E VALORES MOBILIÁRIOS S.A.</t>
  </si>
  <si>
    <t>COOPERATIVA DE ECONOMIA E CRÉDITO MÚTUO DOS EMPREGADOS DA MOSAIC FERTILIZANTES DE UBERABA - COPERURA LTDA.</t>
  </si>
  <si>
    <t>COOPERATIVA DE ECONOMIA E CRÉDITO MÚTUO DOS EMPREGADOS DA EATON</t>
  </si>
  <si>
    <t>VALINHOS</t>
  </si>
  <si>
    <t>BANSUR JM SOCIEDADE DE CRÉDITO DIRETO S/A</t>
  </si>
  <si>
    <t>BANSUR JM SCD - PRUDENCIAL</t>
  </si>
  <si>
    <t>C0085812</t>
  </si>
  <si>
    <t>TROCKA CORRETORA DE CAMBIO LTDA.</t>
  </si>
  <si>
    <t>TROCKA CC  - PRUDENCIAL</t>
  </si>
  <si>
    <t>C0084796</t>
  </si>
  <si>
    <t>COOPERATIVA DE ECONOMIA E CREDITO MUTUO DOS EMPREGADOS DAS EMPRESAS DE TRANSPORTES COLETIVOS RODOVIÁRIOS DE PASSAGEIROS DO GRANDE RIO LTDA</t>
  </si>
  <si>
    <t>SAO GONCALO</t>
  </si>
  <si>
    <t>GLOBAL INVESTMENT SERVICES DISTRIBUIDORA DE TÍTULOS E VALORES MOBILIÁRIOS LTDA.</t>
  </si>
  <si>
    <t>GLOBAL INV SERVICES DTVM - PRUDENCIAL</t>
  </si>
  <si>
    <t>C0086859</t>
  </si>
  <si>
    <t>COOPERATIVA DE ECONOMIA E CREDITO MÚTUO DOS PROFESSORES ESTADUAIS DA REGIÃO METROPOLITANA DE PORTO ALEGRE - EDUCREDI</t>
  </si>
  <si>
    <t>FOURTRADE CORRETORA DE CÂMBIO LTDA.</t>
  </si>
  <si>
    <t>FOURTRADE COR. DE CAMBIO LTDA - PRUDENCIAL</t>
  </si>
  <si>
    <t>C0081957</t>
  </si>
  <si>
    <t>COOPERATIVA DE CRÉDITO DOS EMPREGADOS DA COMPANHIA INDUSTRIAL CATAGUASES E DA BAUMINAS - COOPECIC</t>
  </si>
  <si>
    <t>VR DISTRIBUIDORA DE TÍTULOS E VALORES MOBILIÁRIOS LTDA.</t>
  </si>
  <si>
    <t>VÓRTX SOCIEDADE DE CRÉDITO DIRETO S.A.</t>
  </si>
  <si>
    <t>COOPERATIVA DE ECONOMIA E CRÉDITO MÚTUO DOS EMPREGADOS DAS INDÚSTRIAS UNILEVER DO BRASIL</t>
  </si>
  <si>
    <t>COOPERATIVA DE ECONOMIA E CRÉDITO MÚTUO DOS EMPREGADOS DA MAGNESITA REFRATÁRIOS S.A. LTDA. - CECREM</t>
  </si>
  <si>
    <t>PALMA SOCIEDADE DE CRÉDITO DIRETO S.A.</t>
  </si>
  <si>
    <t>PALMA SCD - PRUDENCIAL</t>
  </si>
  <si>
    <t>C0086873</t>
  </si>
  <si>
    <t>COOPERATIVA DE CRÉDITO MÚTUO DOS FUNCIONÁRIOS DA RICLAN</t>
  </si>
  <si>
    <t>TURCÂMBIO - SOCIEDADE CORRETORA DE CÂMBIO LTDA.</t>
  </si>
  <si>
    <t>TURCAMBIO SCC LTDA. - PRUDENCIAL</t>
  </si>
  <si>
    <t>C0082334</t>
  </si>
  <si>
    <t>IMBITUBA</t>
  </si>
  <si>
    <t>MONOPÓLIO CORRETORA DE CÂMBIO LTDA.</t>
  </si>
  <si>
    <t>MONOPÓLIO CC - PRUDENCIAL</t>
  </si>
  <si>
    <t>C0084356</t>
  </si>
  <si>
    <t>COOPERATIVA DE ECONOMIA E CRÉDITO MÚTUO DOS FUNCIONÁRIOS DAS EMPRESAS ITAÚ</t>
  </si>
  <si>
    <t>ITAU DE MINAS</t>
  </si>
  <si>
    <t>TINO SOCIEDADE DE CRÉDITO DIRETO S.A.</t>
  </si>
  <si>
    <t>TINO SCD - PRUDENCIAL</t>
  </si>
  <si>
    <t>C0088084</t>
  </si>
  <si>
    <t>NIKOS DISTRIBUIDORA DE TÍTULOS E VALORES MOBILIÁRIOS LTDA.</t>
  </si>
  <si>
    <t>NIKOS DTVM - PRUDENCIAL</t>
  </si>
  <si>
    <t>C0087621</t>
  </si>
  <si>
    <t>4UM DISTRIBUIDORA DE TÍTULOS E VALORES MOBILIÁRIOS S.A.</t>
  </si>
  <si>
    <t>RAPIDIUM SOCIEDADE DE CRÉDITO AO MICROEMPREENDEDOR E À EMPRESA DE PEQUENO PORTE S.A.</t>
  </si>
  <si>
    <t>RAPIDIUM SCMEPP - PRUDENCIAL</t>
  </si>
  <si>
    <t>C0085575</t>
  </si>
  <si>
    <t>COOPERATIVA DE ECONOMIA E CRÉDITO MÚTUO DOS FUNCIONÁRIOS DO GRUPO MAUÁ E EMPRESAS COLIGADAS LTDA. - COOPMAUÁ</t>
  </si>
  <si>
    <t>BOA VIAGEM SOCIEDADE CORRETORA DE CÂMBIO LTDA.</t>
  </si>
  <si>
    <t>BOA VIAGEM SCC LTDA. - PRUDENCIAL</t>
  </si>
  <si>
    <t>C0082080</t>
  </si>
  <si>
    <t>COOPERATIVA DE CRÉDITO MÚTUO DOS EMPREGADOS DA FIAÇÃO ALPINA - COOPERALPINA</t>
  </si>
  <si>
    <t>MORUNGABA</t>
  </si>
  <si>
    <t>XP DISTRIBUIDORA DE TÍTULOS E VALORES MOBILIÁRIOS LTDA.</t>
  </si>
  <si>
    <t>LEND INSTITUICAO DE PAGAMENTO LTDA</t>
  </si>
  <si>
    <t>WX INSTITUICAO DE PAGAMENTO LTDA</t>
  </si>
  <si>
    <t>WX IP - PRUDENCIAL</t>
  </si>
  <si>
    <t>C0088503</t>
  </si>
  <si>
    <t>MONERY INSTITUICAO DE PAGAMENTO S.A.</t>
  </si>
  <si>
    <t>MONERY IP - PRUDENCIAL</t>
  </si>
  <si>
    <t>C0087164</t>
  </si>
  <si>
    <t>ATUAL SOCIEDADE CORRETORA DE CÂMBIO LTDA</t>
  </si>
  <si>
    <t>ATUAL CC - PRUDENCIAL</t>
  </si>
  <si>
    <t>C0087858</t>
  </si>
  <si>
    <t>VUE INSTITUIÇÃO DE PAGAMENTO S.A.</t>
  </si>
  <si>
    <t>VUE IP - PRUDENCIAL</t>
  </si>
  <si>
    <t>C0088297</t>
  </si>
  <si>
    <t>MONETARIE SOCIEDADE DE CRÉDITO DIRETO S.A.</t>
  </si>
  <si>
    <t>MONETARIE SCD - PRUDENCIAL</t>
  </si>
  <si>
    <t>C0085991</t>
  </si>
  <si>
    <t>A COOPERATIVA DE ECONOMIA E CRÉDITO MÚTUO DOS FUNCIONÁRIOS DA BRAZIL GR LTDA.</t>
  </si>
  <si>
    <t>ARC CORRETORA DE CAMBIO, ASSOCIADOS GOUVEIA, CAMPEDELLI S.A.</t>
  </si>
  <si>
    <t>ARC CORRETORA CAMBIO S.A. - PRUDENCIAL</t>
  </si>
  <si>
    <t>C0082066</t>
  </si>
  <si>
    <t>LASTRO RDV DISTRIBUIDORA DE TÍTULOS E VALORES MOBILIÁRIOS LTDA.</t>
  </si>
  <si>
    <t>LASTRO RDV DTVM LTDA - PRUDENCIAL</t>
  </si>
  <si>
    <t>C0084129</t>
  </si>
  <si>
    <t>ARARAS</t>
  </si>
  <si>
    <t>PERCAPITAL SOCIEDADE DE CRÉDITO DIRETO S.A.</t>
  </si>
  <si>
    <t>PERCAPITAL SCD - PRUDENCIAL</t>
  </si>
  <si>
    <t>C0086426</t>
  </si>
  <si>
    <t>CATÁLISE DISTRIBUIDORA DE TÍTULOS E VALORES MOBILIÁRIOS LTDA</t>
  </si>
  <si>
    <t>CATÁLISE DTVM PRUDENCIAL</t>
  </si>
  <si>
    <t>C0086952</t>
  </si>
  <si>
    <t>COOPERATIVA DE CRÉDITO MÚTUO DOS FUNCIONÁRIOS DAS EMPRESAS FERROVIÁRIAS NO ESTADO DE SÃO PAULO</t>
  </si>
  <si>
    <t>COOPERATIVA DE ECONOMIA E CREDITO MUTUO DOS SERVIDORES MUNICIPAIS DO SUL FLUMINENSE LTDA.</t>
  </si>
  <si>
    <t>VOLTA REDONDA</t>
  </si>
  <si>
    <t>COOPERATIVA DE ECONOMIA E CRÉDITO MÚTUO DOS EMPREGADOS DA CNC, SESC E SENAC ADMINISTRAÇÕES NACIONAIS LTDA.</t>
  </si>
  <si>
    <t>COOPERATIVA DE ECONOMIA E CRÉDITO MÚTUO DOS FUNCIONÁRIOS DAS EMPRESAS MELHORAMENTOS DE SÃO PAULO - COOPERMEL</t>
  </si>
  <si>
    <t>SRM DISTRIBUIDORA DE TÍTULOS E VALORES MOBILIÁRIOS LTDA.</t>
  </si>
  <si>
    <t>COOPERATIVA DE ECONOMIA E CREDITO MUTUO DOS EMPREGADOS DOS LABORATORIOS B.BRAUN LTDA</t>
  </si>
  <si>
    <t>GUARDIAN SOCIEDADE DE CRÉDITO DIRETO S.A.</t>
  </si>
  <si>
    <t>GUARDIAN SCD - PRUDENCIAL</t>
  </si>
  <si>
    <t>C0088730</t>
  </si>
  <si>
    <t>CUMBUCA INSTITUIÇÃO DE PAGAMENTO LTDA.</t>
  </si>
  <si>
    <t>CUMBUCA IP - PRUDENCIAL</t>
  </si>
  <si>
    <t>C0086866</t>
  </si>
  <si>
    <t>EFX CORRETORA DE CÂMBIO LTDA.</t>
  </si>
  <si>
    <t>EFX CC LTDA. - PRUDENCIAL</t>
  </si>
  <si>
    <t>C0082248</t>
  </si>
  <si>
    <t>DASCAM SOCIEDADE CORRETORA DE CÂMBIO LTDA.</t>
  </si>
  <si>
    <t>DASCAM CC LTDA - PRUDENCIAL</t>
  </si>
  <si>
    <t>C0081964</t>
  </si>
  <si>
    <t>COOPERATIVA DE ECONOMIA E CRÉDITO MÚTUO DOS EMPREGADOS DA RECKITT BENCKISER</t>
  </si>
  <si>
    <t>APUSDIGITAL INSTITUICAO DE PAGAMENTO LTDA</t>
  </si>
  <si>
    <t>APUSDIGITAL IP - PRUDENCIAL</t>
  </si>
  <si>
    <t>C0088565</t>
  </si>
  <si>
    <t>INDUSTRIAL DO BRASIL DISTRIBUIDORA DE TÍTULOS E VALORES MOBILIÁRIOS LTDA.</t>
  </si>
  <si>
    <t>BRCONDOS SOCIEDADE DE CRÉDITO DIRETO S.A.</t>
  </si>
  <si>
    <t>BRCONDOS SCD - PRUDENCIAL</t>
  </si>
  <si>
    <t>C0086921</t>
  </si>
  <si>
    <t>COOPERATIVA DE CRÉDITO DOS BANCÁRIOS DE SÃO PAULO E MUNICÍPIOS LIMÍTROFES</t>
  </si>
  <si>
    <t>GURU CORRETORA DE TÍTULOS E VALORES MOBILIÁRIOS LTDA.</t>
  </si>
  <si>
    <t>GURU CTVM - PRUDENCIAL</t>
  </si>
  <si>
    <t>C0088857</t>
  </si>
  <si>
    <t>COOPERATIVA DE CRÉDITO DOS METALÚRGICOS DO ABC - CREDABC</t>
  </si>
  <si>
    <t>COOPERATIVA DE ECONOMIA E CRÉDITO MÚTUO DOS FUNCIONÁRIOS DO GRUPO GERDAU - AÇOS FINOS PIRATINI</t>
  </si>
  <si>
    <t>CHARQUEADAS</t>
  </si>
  <si>
    <t>SAYGO CORRETORA DE CÂMBIO S.A.</t>
  </si>
  <si>
    <t>SAYGO CC - PRUDENCIAL</t>
  </si>
  <si>
    <t>C0085795</t>
  </si>
  <si>
    <t>IUPI INSTITUICAO DE PAGAMENTO S.A.</t>
  </si>
  <si>
    <t>IUPI IP - PRUDENCIAL</t>
  </si>
  <si>
    <t>C0087195</t>
  </si>
  <si>
    <t>QORE DISTRIBUIDORA DE TITULOS E VALORES MOBILIÁRIOS LTDA</t>
  </si>
  <si>
    <t>QORE DTVM LTDA - PRUDENCIAL</t>
  </si>
  <si>
    <t>C0083838</t>
  </si>
  <si>
    <t>FINLEV SOCIEDADE DE CRÉDITO DIRETO S.A.</t>
  </si>
  <si>
    <t>FINLEV SCD PRUDENCIAL</t>
  </si>
  <si>
    <t>C0085850</t>
  </si>
  <si>
    <t>COOPERATIVA DE ECONOMIA E CREDITO MUTUO DOS SERVIDORES PUBLICOS MUNICIPAIS DE PORTO ALEGRE</t>
  </si>
  <si>
    <t>COOPERATIVA DE ECONOMIA E CRÉDITO MÚTUO DOS SERVIDORES DA UNESP - COOPUNESP</t>
  </si>
  <si>
    <t>OXY DISTRIBUIDORA DE TÍTULOS E VALORES MOBILIÁRIOS S.A.</t>
  </si>
  <si>
    <t>COOPERATIVA DE ECONOMIA E CRÉDITO MÚTUO DOS FUNCIONÁRIOS DA SELENE</t>
  </si>
  <si>
    <t>CERQUILHO</t>
  </si>
  <si>
    <t>CV INVESTIMENTOS DISTRIBUIDORA DE TÍTULOS E VALORES MOBILIÁRIOS LTDA.</t>
  </si>
  <si>
    <t>CV INVESTIMENTOS DTVM - PRUDENCIAL</t>
  </si>
  <si>
    <t>C0087865</t>
  </si>
  <si>
    <t>COOPERATIVA DE CRÉDITO DOS EMPREGADOS DO GRUPO AKZO NOBEL BRASIL - COOP AKZONOBEL</t>
  </si>
  <si>
    <t>COOPERATIVA DE CRÉDITO DOS SERVIDORES DO MUNICIPIO DE SANTO ANDRÉ - SP - CECRESA</t>
  </si>
  <si>
    <t>VUON SOCIEDADE DE CRÉDITO DIRETO S.A.</t>
  </si>
  <si>
    <t>VUON SCD - PRUDENCIAL</t>
  </si>
  <si>
    <t>C0087872</t>
  </si>
  <si>
    <t>PÓLOCRED   SOCIEDADE DE CRÉDITO AO MICROEMPREENDEDOR E À EMPRESA DE PEQUENO PORTE LTDA.</t>
  </si>
  <si>
    <t>NVIO BRASIL SOCIEDADE DE CRÉDITO DIRETO S.A.</t>
  </si>
  <si>
    <t>FIRST SOCIEDADE DE CRÉDITO DIRETO S.A.</t>
  </si>
  <si>
    <t>FIRST SCD - PRUDENCIAL</t>
  </si>
  <si>
    <t>C0088572</t>
  </si>
  <si>
    <t>RV2 SOCIEDADE DE EMPRÉSTIMO ENTRE PESSOAS S.A.</t>
  </si>
  <si>
    <t>RV2 SEP - PRUDENCIAL</t>
  </si>
  <si>
    <t>C0086976</t>
  </si>
  <si>
    <t>JV BTG SENIOR SOCIEDADE DE CRÉDITO DIRETO S.A.</t>
  </si>
  <si>
    <t>COOPERATIVA DE ECONOMIA E CRÉDITO MÚTUO DOS COLABORADORES DA COOPEDER LTDA - COOPCREDER</t>
  </si>
  <si>
    <t>FINAZO SOCIEDADE DE CRÉDITO DIRETO S.A.</t>
  </si>
  <si>
    <t>FINAZO SCD - PRUDENCIAL</t>
  </si>
  <si>
    <t>C0086567</t>
  </si>
  <si>
    <t>COOPERATIVA DE ECONOMIA E CRÉDITO MÚTUO DOS EMPREGADOS DE ESTABELECIMENTOS HOSPITALARES DO SUL DO ESTADO DO ESPÍRITO SANTO</t>
  </si>
  <si>
    <t>CREDPAR - SOCIEDADE DE CRÉDITO DIRETO S/A</t>
  </si>
  <si>
    <t>CREDPAR SCD - PRUDENCIAL</t>
  </si>
  <si>
    <t>C0086550</t>
  </si>
  <si>
    <t>COOPERATIVA DE ECONOMIA E CRÉDITO MÚTUO DOS EMPREGADOS DA PRODAM/SP - CREDIPRODAM</t>
  </si>
  <si>
    <t>PAGBRASIL TECNOLOGIA INSTITUIÇÃO DE PAGAMENTO LTDA.</t>
  </si>
  <si>
    <t>PAGBRASIL TECNOLOGIA IP - PRUDENCIAL</t>
  </si>
  <si>
    <t>C0088228</t>
  </si>
  <si>
    <t>BEZZ SOCIEDADE DE CRÉDITO DIRETO S.A.</t>
  </si>
  <si>
    <t>BEZZ SCD - PRUDENCIAL</t>
  </si>
  <si>
    <t>C0086127</t>
  </si>
  <si>
    <t>MH SOCIEDADE DE CRÉDITO DIRETO S.A.</t>
  </si>
  <si>
    <t>MH SCD - PRUDENCIAL</t>
  </si>
  <si>
    <t>C0087188</t>
  </si>
  <si>
    <t>CIANORTE</t>
  </si>
  <si>
    <t>QUEROCRED SOCIEDADE DE CRÉDITO DIRETO S.A.</t>
  </si>
  <si>
    <t>QUEROCRED SCD - PRUDENCIAL</t>
  </si>
  <si>
    <t>C0086615</t>
  </si>
  <si>
    <t>P R DO BRASIL INSTITUICAO DE PAGAMENTOS LTDA</t>
  </si>
  <si>
    <t>CAROL DISTRIBUIDORA DE TITULOS E VALORES MOBILIARIOS LTDA.</t>
  </si>
  <si>
    <t>CAROL DTVM LTDA. - PRUDENCIAL</t>
  </si>
  <si>
    <t>C0084095</t>
  </si>
  <si>
    <t>ANDBANK DISTRIBUIDORA DE TÍTULOS E VALORES MOBILIÁRIOS LTDA.</t>
  </si>
  <si>
    <t>TBANKS INSTITUICAO DE PAGAMENTO SA</t>
  </si>
  <si>
    <t>TBANKS IP - PRUDENCIAL</t>
  </si>
  <si>
    <t>C0088194</t>
  </si>
  <si>
    <t>GIRO - SOCIEDADE DE CRÉDITO DIRETO S/A</t>
  </si>
  <si>
    <t>GIRO SCD - PRUDENCIAL</t>
  </si>
  <si>
    <t>C0085496</t>
  </si>
  <si>
    <t>CASA DO CRÉDITO S.A. SOCIEDADE DE CRÉDITO AO MICROEMPREENDEDOR</t>
  </si>
  <si>
    <t>CASA CREDITO S.A. SCM - PRUDENCIAL</t>
  </si>
  <si>
    <t>C0083175</t>
  </si>
  <si>
    <t>BRCARD SOCIEDADE DE CRÉDITO DIRETO S/A</t>
  </si>
  <si>
    <t>BRCARD SCD - PRUDENCIAL</t>
  </si>
  <si>
    <t>C0085159</t>
  </si>
  <si>
    <t>CALDAS NOVAS</t>
  </si>
  <si>
    <t>BAMAQ CAPITAL - SOCIEDADE DE CRÉDITO DIRETO S/A</t>
  </si>
  <si>
    <t>BAMAQ CAPITAL SCD - PRUDENCIAL</t>
  </si>
  <si>
    <t>C0086691</t>
  </si>
  <si>
    <t>PERSONAL SOCIEDADE DE CRÉDITO DIRETO S.A.</t>
  </si>
  <si>
    <t>PERSONAL SCD - PRUDENCIAL</t>
  </si>
  <si>
    <t>C0087803</t>
  </si>
  <si>
    <t>PROFITTO - SOCIEDADE DE CRÉDITO AO MICROEMPREENDEDOR E À EMPRESA DE PEQUENO PORTE LTDA.</t>
  </si>
  <si>
    <t>PROFITTO - SCMEPP LTDA - PRUDENCIAL</t>
  </si>
  <si>
    <t>C0083003</t>
  </si>
  <si>
    <t>COOPERATIVA DE ECONOMIA E CRÉDITO MÚTUO DOS FUNCIONÁRIOS DA ACUMENT BRASIL</t>
  </si>
  <si>
    <t>ATIBAIA</t>
  </si>
  <si>
    <t>COOPERATIVA DE ECONOMIA E CREDITO MUTUO DOS FUNCIONARIOS DO EXPRESSO PRINCESA DOS CAMPOS</t>
  </si>
  <si>
    <t>COOPERATIVA DE CRÉDITO MÚTUO DOS SERVIDORES DE ÓRGAOS GESTORES DE RECURSOS HÍDRICOS DO ESTADO DE SÃO PAULO - COOPERHIDRO</t>
  </si>
  <si>
    <t>COOPERATIVA DE ECONOMIA E CREDITO MUTUO DOS SERVIDORES DA ASCAR/EMATER-RS LTDA-CRESAL</t>
  </si>
  <si>
    <t>COOPERATIVA DE CRÉDITO MÚTUO DOS FUNCIONÁRIOS DA FIEPB, SESI, SENAI, IEL E DO CONDOMÍNIO EDIFÍCIO AGOSTINHO VELLOSO DA SILVEIRA (CEAVS  - CREDFISP LTDA.</t>
  </si>
  <si>
    <t>COOPERATIVA DE ECONOMIA E CREDITO MUTUO DOS SERVIDORES DA UERJ LTDA. - COOPUERJ</t>
  </si>
  <si>
    <t>DOURADA CORRETORA DE CÂMBIO LTDA.</t>
  </si>
  <si>
    <t>DOURADA CORRETORA - PRUDENCIAL</t>
  </si>
  <si>
    <t>C0082224</t>
  </si>
  <si>
    <t>MUEVY INSTITUICAO DE PAGAMENTO SA</t>
  </si>
  <si>
    <t>MUEVY IP - PRUDENCIAL</t>
  </si>
  <si>
    <t>C0087487</t>
  </si>
  <si>
    <t>VIPS CORRETORA DE CÂMBIO S.A.</t>
  </si>
  <si>
    <t>VIPS CC LTDA. - PRUDENCIAL</t>
  </si>
  <si>
    <t>C0082444</t>
  </si>
  <si>
    <t>COOPERATIVA DE ECONOMIA E CRÉDITO MÚTUO DOS FUNCIONÁRIOS DA USINA SANTA MARIA - PILONCRED</t>
  </si>
  <si>
    <t>HR SOCIEDADE DE CRÉDITO AO MICROEMPREENDEDOR E À EMPRESA DE PEQUENO PORTE LTDA.</t>
  </si>
  <si>
    <t>HR SCMEPP LTDA. - PRUDENCIAL</t>
  </si>
  <si>
    <t>C0084411</t>
  </si>
  <si>
    <t>DM SOCIEDADE DE CRÉDITO DIRETO S.A.</t>
  </si>
  <si>
    <t>BIT SOCIEDADE DE CRÉDITO DIRETO S.A.</t>
  </si>
  <si>
    <t>BIT SCD - PRUDENCIAL</t>
  </si>
  <si>
    <t>C0088077</t>
  </si>
  <si>
    <t>COOPSERJ - COOPERATIVA DE CRÉDITO MÚTUO DOS SERVIDORES PÚBLICOS DO PODER EXECUTIVO DO ESTADO DO RIO DE JANEIRO LTDA.</t>
  </si>
  <si>
    <t>COOPERATIVA DE ECONOMIA E CRÉDITO MÚTUO DOS EMPREGADOS DA BECTON DICKINSON INDÚSTRIAS CIRÚRGICAS LTDA., LTDA.</t>
  </si>
  <si>
    <t>JUIZ DE FORA</t>
  </si>
  <si>
    <t>GREEN ALTERNATIVE INVESTMENTS DISTRIBUIDORA DE TÍTULOS E VALORES MOBILIÁRIOS S.A.</t>
  </si>
  <si>
    <t>GREEN ALTERNATIVE INVESTMENTS DTVM - PRUDENCIAL</t>
  </si>
  <si>
    <t>C0085568</t>
  </si>
  <si>
    <t>LIQUIDO INSTITUICAO DE PAGAMENTO LTDA</t>
  </si>
  <si>
    <t>LIQUIDO IP - PRUDENCIAL</t>
  </si>
  <si>
    <t>C0087339</t>
  </si>
  <si>
    <t>COOPERATIVA DE ECONOMIA E CRÉDITO MUTUO DOS FUNCIONÁRIOS DE INSTITUIÇÕES FINANCEIRAS PUBLICAS E PRIVADAS NO TERRITÓRIO NACIONAL - CREDBRASIL</t>
  </si>
  <si>
    <t>DATANOMIK BRASIL INSTITUICAO DE PAGAMENTO LTDA</t>
  </si>
  <si>
    <t>DATANOMIK BRASIL IP - PRUDENCIAL</t>
  </si>
  <si>
    <t>C0087470</t>
  </si>
  <si>
    <t>NAGRO SOCIEDADE DE CRÉDITO DIRETO S.A.</t>
  </si>
  <si>
    <t>NAGRO SCD - PRUDENCIAL</t>
  </si>
  <si>
    <t>C0087669</t>
  </si>
  <si>
    <t>COOPESTADO - COOPERATIVA DE ECONOMIA E CRÉDITO MÚTUO DOS SERVIDORES PÚBLICOS NA REGIÃO METROPOLITANA DO ESTADO DO RIO DE JANEIRO LIMITADA</t>
  </si>
  <si>
    <t>MOMENTO DISTRIBUIDORA DE TITULOS E VALORES MOBILIARIOS LTDA</t>
  </si>
  <si>
    <t>MOMENTO DTVM LTDA. - PRUDENCIAL</t>
  </si>
  <si>
    <t>C0084181</t>
  </si>
  <si>
    <t>COOPERATIVA DE ECONOMIA E CRÉDITO MÚTUO DOS EMPREGADOS DO SEBRAE BAHIA LTDA.</t>
  </si>
  <si>
    <t>COOPERATIVA DE ECONOMIA E CRÉDITO MÚTUO DOS EMPREGADOS DAS EMPRESAS SIDERÚRGICAS, METALÚRGICAS E ELETRO-MECÂNICAS DE JOÃO MONLEVADE LTDA. - CREDIBELGO</t>
  </si>
  <si>
    <t>AVS CORRETORA DE CÂMBIO LTDA.</t>
  </si>
  <si>
    <t>AVS CORRETORA DE CÂMBIO LTDA - PRUDENCIAL</t>
  </si>
  <si>
    <t>C0084590</t>
  </si>
  <si>
    <t>COOPERATIVA DE ECONOMIA E CRÉDITO MÚTUO DOS EMPREGADOS DA JOLIMODE ROUPAS E EMPRESAS COLIGADAS LTDA</t>
  </si>
  <si>
    <t>INFINIA BRASIL INSTITUICAO DE PAGAMENTO LTDA</t>
  </si>
  <si>
    <t>INFINIA BRASIL IP - PRUDENCIAL</t>
  </si>
  <si>
    <t>C0087951</t>
  </si>
  <si>
    <t>LAMARA SOCIEDADE DE CRÉDITO DIRETO S.A.</t>
  </si>
  <si>
    <t>LAMARA SCD - PRUDENCIAL</t>
  </si>
  <si>
    <t>C0084394</t>
  </si>
  <si>
    <t>E.SIGA SOCIEDADE DE CRÉDITO DIRETO S.A.</t>
  </si>
  <si>
    <t>E.SIGA SCD - PRUDENCIAL</t>
  </si>
  <si>
    <t>C0087676</t>
  </si>
  <si>
    <t>SAO JOSE DOS PINHAIS</t>
  </si>
  <si>
    <t>COOPERATIVA DE ECONOMIA E CREDITO MUTUO DOS FUNCIONARIOS DA VIACAO NOSSA SENHORA DO AMPARO LTDA. - COPERFAMP</t>
  </si>
  <si>
    <t>MARICA</t>
  </si>
  <si>
    <t>CREDILON SOCIEDADE DE CRÉDITO AO MICROEMPREENDEDOR DA REGIÃO DE LONDRINA LTDA.</t>
  </si>
  <si>
    <t>CREDILON SCM REG. LONDRINA LTD - PRUDENCIAL</t>
  </si>
  <si>
    <t>C0083120</t>
  </si>
  <si>
    <t>FREEX SOCIEDADE CORRETORA DE CÂMBIO S.A.</t>
  </si>
  <si>
    <t>FREEX CC - PRUDENCIAL</t>
  </si>
  <si>
    <t>C0087652</t>
  </si>
  <si>
    <t>NUMBER ONE SOCIEDADE CORRETORA DE CAMBIO LTDA.</t>
  </si>
  <si>
    <t>CONLIFE SOCIEDADE DE CRÉDITO DIRETO S/A</t>
  </si>
  <si>
    <t>CONLIFE SCD - PRUDENCIAL</t>
  </si>
  <si>
    <t>C0088125</t>
  </si>
  <si>
    <t>COOPERATIVA DE ECONOMIA E CREDITO MUTUO DOS FUNCIONARIOS DA GKN DO BRASIL LTDA</t>
  </si>
  <si>
    <t>COOPERATIVA DE ECONOMIA E CREDITO MUTUO DOS SERVIDORES DO COLEGIO PEDRO II</t>
  </si>
  <si>
    <t>NUMATUR CORRETORA DE CÂMBIO LTDA.</t>
  </si>
  <si>
    <t>NUMATUR CC LTDA - PRUDENCIAL</t>
  </si>
  <si>
    <t>C0082451</t>
  </si>
  <si>
    <t>GOOD SOCIEDADE CORRETORA DE CÂMBIO LTDA.</t>
  </si>
  <si>
    <t>GOOD SCC - PRUDENCIAL</t>
  </si>
  <si>
    <t>C0084521</t>
  </si>
  <si>
    <t>COOPERATIVA DE ECONOMIA E CRÉDITO MÚTUO DOS EMPREGADOS DE KYN COMÉRCIO VAREJISTA E ATACADISTA - COOPER KYN</t>
  </si>
  <si>
    <t>EUROINVEST S.A. CORRETORA DE CÂMBIO, TÍTULOS E VALORES MOBILIÁRIOS</t>
  </si>
  <si>
    <t>EUROINVEST S/A CCTVM - PRUDENCIAL</t>
  </si>
  <si>
    <t>C0082781</t>
  </si>
  <si>
    <t>TUBARAO</t>
  </si>
  <si>
    <t>PACIFIC INVEST DISTRIBUIDORA DE TITULOS E VALORES MOBILIARIOS LTDA</t>
  </si>
  <si>
    <t>PACIFIC INVEST DTVM LTDA - PRUDENCIAL</t>
  </si>
  <si>
    <t>C0084143</t>
  </si>
  <si>
    <t>COOPERATIVA DE ECONOMIA E CRÉDITO MÚTUO DOS EMPREGADOS DA PONTIFÍCIA UNIVERSIDADE CATÓLICA DO RIO DE JANEIRO E EMPREGADOS EM ESTABELECIMENTOS PRIVADOS DE ENSINO DO MUNICÍPIO DO RIO DE JANEIRO LTDA.</t>
  </si>
  <si>
    <t>PB SOCIEDADE DE CREDITO DIRETO S.A.</t>
  </si>
  <si>
    <t>PB SCD - PRUDENCIAL</t>
  </si>
  <si>
    <t>C0088149</t>
  </si>
  <si>
    <t>RED SOCIEDADE DE CRÉDITO DIRETO S.A.</t>
  </si>
  <si>
    <t>RED SCD - PRUDENCIAL</t>
  </si>
  <si>
    <t>C0086316</t>
  </si>
  <si>
    <t>SADOC SOCIEDADE CORRETORA DE CÂMBIO LTDA.</t>
  </si>
  <si>
    <t>SADOC CC - PRUDENCIAL</t>
  </si>
  <si>
    <t>C0084758</t>
  </si>
  <si>
    <t>LA FINTECA INSTITUICAO DE PAGAMENTO LTDA</t>
  </si>
  <si>
    <t>LA FINTECA IP - PRUDENCIAL</t>
  </si>
  <si>
    <t>C0088558</t>
  </si>
  <si>
    <t>EASY MONEY SOCIEDADE DE CRÉDITO DIRETO S.A.</t>
  </si>
  <si>
    <t>EASY MONEY SCD - PRUDENCIAL</t>
  </si>
  <si>
    <t>C0087645</t>
  </si>
  <si>
    <t>SAO LEOPOLDO</t>
  </si>
  <si>
    <t>COOPERATIVA DE ECONOMIA E CRÉDITO MÚTUO DOS FUNCIONÁRIOS DO PODER JUDICIÁRIO E SERVIDORES PÚBLICOS DO ESTADO DE SÃO PAULO - SPCRED</t>
  </si>
  <si>
    <t>PLUGGY BRASIL INSTITUICAO DE PAGAMENTO LTDA</t>
  </si>
  <si>
    <t>PLUGGY BRASIL IP - PRUDENCIAL</t>
  </si>
  <si>
    <t>C0087683</t>
  </si>
  <si>
    <t>TRINUS CAPITAL DISTRIBUIDORA DE TÍTULOS E VALORES MOBILIÁRIOS S.A.</t>
  </si>
  <si>
    <t>VNK SOCIEDADE DE CRÉDITO AO MICROEMPREENDEDOR E À EMPRESA DE PEQUENO PORTE LTDA.</t>
  </si>
  <si>
    <t>VNK SCMEPP - PRUDENCIAL</t>
  </si>
  <si>
    <t>C0084404</t>
  </si>
  <si>
    <t>COOPERATIVA DE ECONOMIA E CREDITO MUTUO DOS TRABALHADORES EM CONSELHOS DE FISCALIZACAO PROFISSIONAL NO MUNICIPIO DO RIO DE JANEIRO LTDA.</t>
  </si>
  <si>
    <t>COOPERATIVA DE CRÉDITO MÚTUO DOS EMPREGADOS EM INSTITUIÇÕES DO SISTEMA FINANCEIRO NAS REGIÕES DE SÃO PAULO E CAMPINAS (SP) - CREDISCOOP</t>
  </si>
  <si>
    <t>COOPERATIVA DE ECONOMIA E CRÉDITO MÚTUO DOS EMPREGADOS DAS EMPRESAS DE DIVERSÕES DO ESTADO DE SÃO PAULO</t>
  </si>
  <si>
    <t>DEBONI DISTRIBUIDORA DE TITULOS E VALORES MOBILIARIOS LTDA</t>
  </si>
  <si>
    <t>DEBONI DTVM LTDA - PRUDENCIAL</t>
  </si>
  <si>
    <t>C0084150</t>
  </si>
  <si>
    <t>COOPERATIVA DE ECONOMIA E CRÉDITO MÚTUO DOS EMPREGADOS DA FUNDAÇÃO ARTHUR BERNARDES LTDA. - COOFAB</t>
  </si>
  <si>
    <t>DIVI SOCIEDADE DE CREDITO DIRETO S.A.</t>
  </si>
  <si>
    <t>DIVI SCD - PRUDENCIAL</t>
  </si>
  <si>
    <t>C0087999</t>
  </si>
  <si>
    <t>GDC PARTNERS SERVIÇOS FIDUCIÁRIOS DISTRIBUIDORA DE TÍTULOS E VALORES MOBILIÁRIOS LTDA.</t>
  </si>
  <si>
    <t>GDC PART SERV FIDUC DTVM LTDA - PRUDENCIAL</t>
  </si>
  <si>
    <t>C0084208</t>
  </si>
  <si>
    <t>COOPERATIVA DE ECONOMIA E CRÉDITO MÚTUO DOS EMPREGADOS DA PROLEC GE BRASIL TRANSMISSÃO DE ENERGIA S.A.</t>
  </si>
  <si>
    <t>CORPORE SOCIEDADE DE CRÉDITO DIRETO S.A.</t>
  </si>
  <si>
    <t>CORPORE SCD - PRUDENCIAL</t>
  </si>
  <si>
    <t>C0083216</t>
  </si>
  <si>
    <t>COOPERATIVA DE CRÉDITO MÚTUO DOS TRABALHADORES DO SISTEMA FINANCEIRO DE CURITIBA E REGIÃO - COOPCREFI</t>
  </si>
  <si>
    <t>BARU DISTRIBUIDORA DE TÍTULOS E VALORES MOBILIÁRIOS LTDA.</t>
  </si>
  <si>
    <t>COOPERATIVA DE ECONOMIA E CRÉDITO MÚTUO DOS EMPREGADOS DA INDÚSTRIA DE PAPÉIS SUDESTE LTDA . - CREDESTE</t>
  </si>
  <si>
    <t>COOPERATIVA DE ECONOMIA E CRÉDITO MÚTUO DOS SERVIDORES DA PREFEITURA MUNICIPAL DE VOTORANTIM</t>
  </si>
  <si>
    <t>EFEX INSTITUIÇÃO DE PAGAMENTO S.A.</t>
  </si>
  <si>
    <t>EFEX IP - PRUDENCIAL</t>
  </si>
  <si>
    <t>C0087779</t>
  </si>
  <si>
    <t>EMCASH SERVIÇOS FINANCEIROS SOCIEDADE DE EMPRÉSTIMO ENTRE PESSOAS S.A.</t>
  </si>
  <si>
    <t>EMCASH SERVICOS FINANCEIROS SEP - PRUDENCIAL</t>
  </si>
  <si>
    <t>C0085283</t>
  </si>
  <si>
    <t>COOPERATIVA DE ECONOMIA E CRÉDITO MÚTUO DOS SERVIDORES DA POLÍCIA MILITAR DO ESTADO DE SÃO PAULO DA REGIÃO CENTRO-OESTE PAULISTA - CREDMIL</t>
  </si>
  <si>
    <t>BAURU</t>
  </si>
  <si>
    <t>COOPERATIVA DE CRÉDITO DE SERVIDORES DA UESC - UESCOOP</t>
  </si>
  <si>
    <t>ILHEUS</t>
  </si>
  <si>
    <t>FIDO SOCIEDADE DE EMPRÉSTIMO ENTRE PESSOAS S.A.</t>
  </si>
  <si>
    <t>FIDO SEP - PRUDENCIAL</t>
  </si>
  <si>
    <t>C0085609</t>
  </si>
  <si>
    <t>DELEND INSTITUICAO DE PAGAMENTO LTDA</t>
  </si>
  <si>
    <t>DELEND IP - PRUDENCIAL</t>
  </si>
  <si>
    <t>C0087748</t>
  </si>
  <si>
    <t>SINGRATUR CORRETORA DE CÂMBIO LTDA</t>
  </si>
  <si>
    <t>SINGRATUR CC LTDA. - PRUDENCIAL</t>
  </si>
  <si>
    <t>C0082389</t>
  </si>
  <si>
    <t>KINEL FOREIGN EXCHANGE CORRETORA DE CÂMBIO LTDA.</t>
  </si>
  <si>
    <t>KINEL FOREIGN EXCHANG CC - PRUDENCIAL</t>
  </si>
  <si>
    <t>C0088682</t>
  </si>
  <si>
    <t>FINANCRED - SOCIEDADE DE CRÉDITO AO MICROEMPREENDEDOR E A EMPRESA DE PEQUENO PORTE LTDA.</t>
  </si>
  <si>
    <t>FINANCRED SCMEPP LTDA. - PRUDENCIAL</t>
  </si>
  <si>
    <t>C0084679</t>
  </si>
  <si>
    <t>COOPERATIVA DE ECONOMIA E CREDITO MUTUO DOS TRABALHADORES DO GRUPO EMPRESARIAL ITATIAIA LTDA. - COOPERITA</t>
  </si>
  <si>
    <t>COOPERATIVA DE CRÉDITO DOS EMPREGADOS DA CBA ITAPISSUMA E EMPREGADOS DE EMPRESAS PRESTADORA DE SERVIÇOS INDUSTRIAIS, NO ESTADO DE PERNAMBUCO - CREDCOOPE</t>
  </si>
  <si>
    <t>ITAPISSUMA</t>
  </si>
  <si>
    <t>COOPERATIVA DE CRÉDITO DOS EMPREGADOS DO GRUPO NEFFA E DEMAIS ESTABELECIMENTOS DO SETOR DE ALIMENTOS DA GRANDE VITÓRIA.</t>
  </si>
  <si>
    <t>COOPERATIVA DE CRÉDITO MÚTUO DOS EMPREGADOS DAS INDÚSTRIAS DO PAPEL, PAPELÃO E CORTIÇA DE OTACÍLIO COSTA, LAGES E CORREA PINTO - PAPELCREDI</t>
  </si>
  <si>
    <t>OTACILIO COSTA</t>
  </si>
  <si>
    <t>LARCA CAPITAL - SOCIEDADE DE CRÉDITO DIRETO S.A.</t>
  </si>
  <si>
    <t>LARCA CAPITAL SCD - PRUDENCIAL</t>
  </si>
  <si>
    <t>C0088486</t>
  </si>
  <si>
    <t>COOPERATIVA DE ECONOMIA E CREDITO MUTUO DOS FUNCIONARIOS DA FMC LTDA</t>
  </si>
  <si>
    <t>COOPERATIVA DE CRÉDITO DOS FUNCIONÁRIOS DO GRUPO PPG</t>
  </si>
  <si>
    <t>CREDFC SOCIEDADE DE CRÉDITO DIRETO S.A.</t>
  </si>
  <si>
    <t>CREDFC SCD - PRUDENCIAL</t>
  </si>
  <si>
    <t>C0085764</t>
  </si>
  <si>
    <t>NG CASH SOCIEDADE DE CRÉDITO DIRETO S.A.</t>
  </si>
  <si>
    <t>EASYCREDITO SOCIEDADE DE CREDITO DIRETO S.A.</t>
  </si>
  <si>
    <t>LÚMINA CORRETORA DE CÂMBIO LTDA.</t>
  </si>
  <si>
    <t>LUMINA CC - PRUDENCIAL</t>
  </si>
  <si>
    <t>C0082310</t>
  </si>
  <si>
    <t>BULLLA SOCIEDADE DE EMPRÉSTIMO ENTRE PESSOAS S.A.</t>
  </si>
  <si>
    <t>COOPERATIVA DE ECONOMIA E CRÉDITO MÚTUO DOS FUNCIONÁRIOS DA EDUCAÇÃO E COMUNICAÇÃO</t>
  </si>
  <si>
    <t>COOPERATIVA DE CRÉDITO DE CAPITAL E EMPRÉSTIMO DOS EMPREGADOS CELETISTAS DE COOPERATIVAS DOS ESTADOS DE SÃO PAULO E MINAS GERAIS - COCREUNI</t>
  </si>
  <si>
    <t>COOPERATIVA DE ECONOMIA E CREDITO MUTUO DOS EMPREGADOS DA CIA DE ELETRICIDADE DO ESTADO DO RJ CREDICERJ LTDA</t>
  </si>
  <si>
    <t>NITEROI</t>
  </si>
  <si>
    <t>JM CORRETORA DE CÂMBIO LTDA.</t>
  </si>
  <si>
    <t>JM CC - PRUDENCIAL</t>
  </si>
  <si>
    <t>C0086660</t>
  </si>
  <si>
    <t>COOPERATIVA DE ECONOMIA E CRÉDITO MÚTUO SERVIDORES PÚBLICOS ATIVOS, INATIVOS E PENSIONISTAS DA ADMINISTRAÇÃO DIRETA, INDIRETA E ASSEMBLÉIA LEGISLATIVA DO ESTADO DO RIO GRANDE SUL - COOPSERGS</t>
  </si>
  <si>
    <t>COOPERATIVA DE CRÉDITO DE CAPITAL E EMPRÉSTIMO DOS TRABALHADORES NAS EMPRESAS DE TECNOLOGIA E INFORMÁTICA DE BELO HORIZONTE E CIDADES LIMÍTROFES LTDA - COOPERINFOR</t>
  </si>
  <si>
    <t>EURO17 SOCIEDADE DE CRÉDITO DIRETO S.A.</t>
  </si>
  <si>
    <t>EURO17 SCD - PRUDENCIAL</t>
  </si>
  <si>
    <t>C0088314</t>
  </si>
  <si>
    <t>CREDIMÓVEL SOCIEDADE DE CRÉDITO DIRETO S.A.</t>
  </si>
  <si>
    <t>CREDIMÓVEL SCD - PRUDENCIAL</t>
  </si>
  <si>
    <t>C0086055</t>
  </si>
  <si>
    <t>PRONANCE SOCIEDADE CORRETORA DE CÂMBIO LTDA</t>
  </si>
  <si>
    <t>PRONANCE SCC - PRUDENCIAL</t>
  </si>
  <si>
    <t>C0086804</t>
  </si>
  <si>
    <t>COOPERATIVA DE ECONOMIA E CRÉDITO MÚTUO DOS EMPREGADOS DA MOSAIC FERTILIZANTES DO BRASIL - COCRESGO LTDA.</t>
  </si>
  <si>
    <t>CATALAO</t>
  </si>
  <si>
    <t>CF GROUP SOCIEDADE DE EMPRÉSTIMO ENTRE PESSOAS S.A.</t>
  </si>
  <si>
    <t>CF GROUP SEP - PRUDENCIAL</t>
  </si>
  <si>
    <t>C0085551</t>
  </si>
  <si>
    <t>FIDUCIAL DISTRIBUIDORA DE TÍTULOS E VALORES MOBILIÁRIOS LTDA.</t>
  </si>
  <si>
    <t>FIDUCIAL DTVM LTDA - PRUDENCIAL</t>
  </si>
  <si>
    <t>C0084198</t>
  </si>
  <si>
    <t>CORREPARTI SOCIEDADE CORRETORA DE CÂMBIO LTDA.</t>
  </si>
  <si>
    <t>CORREPARTI CC LTDA - PRUDENCIAL</t>
  </si>
  <si>
    <t>C0082231</t>
  </si>
  <si>
    <t>COOPERATIVA DE ECONOMIA E CRÉDITO MÚTUO DOS FUNCIONÁRIOS DA ASSEMBLÉIA LEGISLATIVA DO ESTADO DA PARAÍBA LTDA. -  COOPERLEGIS</t>
  </si>
  <si>
    <t>ÓPERA SOCIEDADE DE CRÉDITO DIRETO S.A.</t>
  </si>
  <si>
    <t>ÓPERA SCD  - PRUDENCIAL</t>
  </si>
  <si>
    <t>C0087638</t>
  </si>
  <si>
    <t>FATORI SOCIEDADE DE CRÉDITO AO MICROEMPREENDEDOR E À EMPRESA DE PEQUENO PORTE LTDA.</t>
  </si>
  <si>
    <t>FATORI SCMEPP - PRUDENCIAL</t>
  </si>
  <si>
    <t>C0083065</t>
  </si>
  <si>
    <t>COOPERATIVA DE ECONOMIA E CRÉDITO MÚTUO DOS TRABALHADORES DAS INDÚSTRIAS METALÚRGICAS DE PORTO ALEGRE E GRANDE PORTO ALEGRE</t>
  </si>
  <si>
    <t>COOPERATIVA DE ECONOMIA E CRÉDITO MÚTUO DOS EMPREGADOS NAS INDÚSTRIAS, FÁBRICAS, DISTRIBUIDORAS, TRANSPORTADORAS, ENVASADORAS, QUÍMICAS, FARMACÊUTICAS, EMBALAGENS E SIMILARES DO ESTADO DO RIO DE JANEI</t>
  </si>
  <si>
    <t>COOPERATIVA DE ECONOMIA E CRÉDITO MÚTUO DOS BANCÁRIOS DE BELO HORIZONTE E REGIÃO METROPOLITANA LTDA. - COOPEB</t>
  </si>
  <si>
    <t>CRYSTAL BMC - INSTITUICAO DE PAGAMENTO LTDA.</t>
  </si>
  <si>
    <t>CRYSTAL BMC IP - PRUDENCIAL</t>
  </si>
  <si>
    <t>C0086196</t>
  </si>
  <si>
    <t>COOPERATIVA DE ECONOMIA E CRÉDITO MÚTUO DOS EMPREGADOS DAS EMPRESAS SOMART LTDA.</t>
  </si>
  <si>
    <t>URUCANIA</t>
  </si>
  <si>
    <t>COOPERATIVA DE ECONOMIA E CREDITO MUTUO DOS EMPREGADOS DO COLEGIO SANTO INACIO - COESI</t>
  </si>
  <si>
    <t>COOPERATIVA DE ECONOMIA E CRÉDITO MÚTUO DOS FUNCIONÁRIOS DO BANESPA DE BOTUCATU E CIDADES LIMÍTROFES</t>
  </si>
  <si>
    <t>BOTUCATU</t>
  </si>
  <si>
    <t>EBADIVAL - E. BAGGIO DISTRIBUIDORA DE TÍTULOS E VALORES MOBILIÁRIOS LTDA.</t>
  </si>
  <si>
    <t>EBADIVAL - E BAGGIO DTVM LTDA - PRUDENCIAL</t>
  </si>
  <si>
    <t>C0083876</t>
  </si>
  <si>
    <t>AVIPAM CORRETORA DE CAMBIO LTDA</t>
  </si>
  <si>
    <t>AVIPAM CC LTDA. - PRUDENCIAL</t>
  </si>
  <si>
    <t>C0082042</t>
  </si>
  <si>
    <t>COOPERATIVA DE ECONOMIA E CREDITO MUTUO DOS FUNCIONARIOS DA SANEPAR - CREDISANEPAR</t>
  </si>
  <si>
    <t>COOPERATIVA DE ECONOMIA E CRÉDITO MÚTUO DOS BANCÁRIOS DE JUIZ DE FORA LTDA. - COCBAN</t>
  </si>
  <si>
    <t>COOPERATIVA DE ECONOMIA E CRÉDITO MÚTUO DOS BANCÁRIOS DE SOROCABA E REGIÃO</t>
  </si>
  <si>
    <t>ÍCARO CORRETORA DE CÂMBIO LTDA</t>
  </si>
  <si>
    <t>ICARO CC LTDA - PRUDENCIAL</t>
  </si>
  <si>
    <t>C0082190</t>
  </si>
  <si>
    <t>CONSEGTUR CORRETORA DE CÂMBIO LTDA.</t>
  </si>
  <si>
    <t>CONSEGTUR CC - PRUDENCIAL</t>
  </si>
  <si>
    <t>C0082303</t>
  </si>
  <si>
    <t>BRB - BANCO DE BRASILIA S.A.</t>
  </si>
  <si>
    <t>NI</t>
  </si>
  <si>
    <t>COOPERATIVA DE CREDITO RURAL SEARA - CREDISEARA</t>
  </si>
  <si>
    <t>SEARA</t>
  </si>
  <si>
    <t>COOPERATIVA DE ECONOMIA E CRÉDITO MÚTUO DOS FUNCIONÁRIOS DO GRUPO SUGGAR LTDA.</t>
  </si>
  <si>
    <t>COOPERATIVA DE ECONOMIA E CRÉDITO MÚTUO DOS BANCÁRIOS DO TRIÂNGULO LTDA.</t>
  </si>
  <si>
    <t>AGENCIA DE FOMENTO DO ESTADO DE RORAIMA S/A</t>
  </si>
  <si>
    <t>AG. FOMENTO ESTADO DE RORAIMA - PRUDENCIAL</t>
  </si>
  <si>
    <t>C0081036</t>
  </si>
  <si>
    <t>BOA VISTA</t>
  </si>
  <si>
    <t>RR</t>
  </si>
  <si>
    <t>COOPERATIVA DE ECONOMIA E CRÉDITO MÚTUO DOS EMPREGADOS DA EMPRESA SUPERMERCADOS JAU SERVE - COOPERJS</t>
  </si>
  <si>
    <t>JAU</t>
  </si>
  <si>
    <t>COOPERATIVA DE ECONOMIA E CREDITO MUTUO DOS TRABALHADORES PORTUARIOS DA GRANDE VITORIA - CREDESTIVA.</t>
  </si>
  <si>
    <t>FINNET S/A - TECNOLOGIA E INSTITUICAO DE PAGAMENTO</t>
  </si>
  <si>
    <t>FINNET S/A TECNOLOGIA E IP - PRUDENCIAL</t>
  </si>
  <si>
    <t>C0087126</t>
  </si>
  <si>
    <t>COOPERATIVA DE CRÉDITO MÚTUO DOS SERVIDORES MUNICIPAIS DE BEBEDOURO - COOCRESB.</t>
  </si>
  <si>
    <t>ONNIX CORRETORA DE CÂMBIO LTDA.</t>
  </si>
  <si>
    <t>ONNIX CC LTDA. - PRUDENCIAL</t>
  </si>
  <si>
    <t>C0082011</t>
  </si>
  <si>
    <t>COOPERATIVA DE CRÉDITO RURAL DO AGRESTE ALAGOANO - COOPERAGRE</t>
  </si>
  <si>
    <t>IGACI</t>
  </si>
  <si>
    <t>SOL CORRETORA DE CÂMBIO S.A.</t>
  </si>
  <si>
    <t>SOL CC - PRUDENCIAL</t>
  </si>
  <si>
    <t>C0082097</t>
  </si>
  <si>
    <t>COOPERATIVA DE CRÉDITO DOS EMPRESÁRIOS DE MANAUS - SICOOB CREDEMPRESAS-AM</t>
  </si>
  <si>
    <t>LEBES FINANCEIRA S.A. - SOCIEDADE DE CRÉDITO, FINANCIAMENTO E INVESTIMENTO</t>
  </si>
  <si>
    <t>LEBES FINANCEIRA SCFI - PRUDENCIAL</t>
  </si>
  <si>
    <t>C0083656</t>
  </si>
  <si>
    <t>ELDORADO</t>
  </si>
  <si>
    <t>COOPERATIVA DE CRÉDITO DOS FUNCIONÁRIOS DA PERPART, DO IPA E DA ADAGRO - COOPEMATER</t>
  </si>
  <si>
    <t>CONTA PRONTA INSTITUICAO DE PAGAMENTO LTDA</t>
  </si>
  <si>
    <t>CONTA PRONTA IP - PRUDENCIAL</t>
  </si>
  <si>
    <t>C0086835</t>
  </si>
  <si>
    <t>CELCOIN INSTITUICAO DE PAGAMENTO S.A.</t>
  </si>
  <si>
    <t>COOPERATIVA DE ECONOMIA E CRÉDITO MÚTUO DOS SERVIDORES MUNICIPAIS DE ITABIRA LTDA. - SICOOB COSEMI</t>
  </si>
  <si>
    <t>ITABIRA</t>
  </si>
  <si>
    <t>CONECTA CORRETORA DE CÂMBIO LTDA.</t>
  </si>
  <si>
    <t>CONECTA CC LTDA - PRUDENCIAL</t>
  </si>
  <si>
    <t>C0082406</t>
  </si>
  <si>
    <t>SUDACRED SOCIEDADE DE CRÉDITO DIRETO S.A.</t>
  </si>
  <si>
    <t>SUDACRED SCD - PRUDENCIAL</t>
  </si>
  <si>
    <t>C0084428</t>
  </si>
  <si>
    <t>BECKER FINANCEIRA S.A. - CRÉDITO, FINANCIAMENTO E INVESTIMENTO</t>
  </si>
  <si>
    <t>BECKER FINANCEIRA S.A. - CFI - PRUDENCIAL</t>
  </si>
  <si>
    <t>C0084507</t>
  </si>
  <si>
    <t>CERRO LARGO</t>
  </si>
  <si>
    <t>COOPERATIVA DE CRÉDITO MÚTUO DOS EMPREGADOS DO CENTRO UNIVERSITÁRIO NEWTON PAIVA LTDA. - CREDIPAIVA</t>
  </si>
  <si>
    <t>TYCOON TECHNOLOGY INSTITUICAO DE PAGAMENTO S.A</t>
  </si>
  <si>
    <t>TYCOON TECHNOLOGY IP - PRUDENCIAL</t>
  </si>
  <si>
    <t>C0087274</t>
  </si>
  <si>
    <t>COOPERATIVA DE CRÉDITO DOS SERVIDORES DA UNIVERSIDADE FEDERAL DO ESPIRITO SANTO</t>
  </si>
  <si>
    <t>COOPERATIVA DE ECONOMIA E CREDITO MUTUO DOS SERVIDORES DA COMLURB LTDA</t>
  </si>
  <si>
    <t>QESH INSTITUICAO DE PAGAMENTO LTDA</t>
  </si>
  <si>
    <t>QESH IP - PRUDENCIAL</t>
  </si>
  <si>
    <t>C0087030</t>
  </si>
  <si>
    <t>BANCO GUANABARA S.A.</t>
  </si>
  <si>
    <t>BCO GUANABARA S.A. - PRUDENCIAL</t>
  </si>
  <si>
    <t>C0081672</t>
  </si>
  <si>
    <t>BRB - CREDITO, FINANCIAMENTO E INVESTIMENTO S/A</t>
  </si>
  <si>
    <t>MR S.A INSTITUICAO DE PAGAMENTO</t>
  </si>
  <si>
    <t>MR S.A IP - PRUDENCIAL</t>
  </si>
  <si>
    <t>C0088709</t>
  </si>
  <si>
    <t>NEXOOS SOCIEDADE DE EMPRÉSTIMO ENTRE PESSOAS S.A.</t>
  </si>
  <si>
    <t>NEXOOS SEP - PRUDENCIAL</t>
  </si>
  <si>
    <t>C0084947</t>
  </si>
  <si>
    <t>LP DO BRASIL INSTITUIÇÃO DE PAGAMENTO LTDA.</t>
  </si>
  <si>
    <t>LP DO BRASIL IP - PRUDENCIAL</t>
  </si>
  <si>
    <t>C0088053</t>
  </si>
  <si>
    <t>Z1 INSTITUIÇÃO DE PAGAMENTO LTDA.</t>
  </si>
  <si>
    <t>Z1 INSTITUIÇÃO DE PAGAMENTO - PRUDENCIAL</t>
  </si>
  <si>
    <t>C0087102</t>
  </si>
  <si>
    <t>3X INSTITUIÇÃO DE PAGAMENTO LTDA</t>
  </si>
  <si>
    <t>3X IP - PRUDENCIAL</t>
  </si>
  <si>
    <t>C0087597</t>
  </si>
  <si>
    <t>QUANTO NETWORK INSTITUICAO DE PAGAMENTO LTDA.</t>
  </si>
  <si>
    <t>QUANTO NETWORK IP - PRUDENCIAL</t>
  </si>
  <si>
    <t>C0085939</t>
  </si>
  <si>
    <t>MOTTU SOCIEDADE DE CRÉDITO DIRETO S.A.</t>
  </si>
  <si>
    <t>MOTTU SCD - PRUDENCIAL</t>
  </si>
  <si>
    <t>C0085757</t>
  </si>
  <si>
    <t>FRIDAY INSTITUIÇÃO DE PAGAMENTOS LTDA.</t>
  </si>
  <si>
    <t>FRIDAY IP - PRUDENCIAL</t>
  </si>
  <si>
    <t>C0086062</t>
  </si>
  <si>
    <t>OMIE INSTITUICAO DE PAGAMENTO LTDA.</t>
  </si>
  <si>
    <t>OMIE IP - PRUDENCIAL</t>
  </si>
  <si>
    <t>C0087157</t>
  </si>
  <si>
    <t>COOPERATIVA DE ECONOMIA E CRÉDITO MÚTUO DOS FUNCIONÁRIOS DO GRUPO AVIBRAS - COOPER AVIBRAS</t>
  </si>
  <si>
    <t>PEAK SOCIEDADE DE EMPRÉSTIMO ENTRE PESSOAS S.A.</t>
  </si>
  <si>
    <t>PEAK SEP - PRUDENCIAL</t>
  </si>
  <si>
    <t>C0085881</t>
  </si>
  <si>
    <t>OPPENS SOCIEDADE DE EMPRESTIMO ENTRE PESSOAS S.A</t>
  </si>
  <si>
    <t>OPPENS SEP - PRUDENCIAL</t>
  </si>
  <si>
    <t>C0086639</t>
  </si>
  <si>
    <t>ZIMPLER BRASIL INSTITUICAO DE PAGAMENTO LTDA.</t>
  </si>
  <si>
    <t>ZIMPLER BRASIL IP - PRUDENCIAL</t>
  </si>
  <si>
    <t>C0088493</t>
  </si>
  <si>
    <t>KONECT SOCIEDADE DE CRÉDITO DIRETO S/A</t>
  </si>
  <si>
    <t>KONECT SCD - PRUDENCIAL</t>
  </si>
  <si>
    <t>C0087009</t>
  </si>
  <si>
    <t>SETHI SOCIEDADE DE CRÉDITO DIRETO S.A.</t>
  </si>
  <si>
    <t>SETHI SCD - PRUDENCIAL</t>
  </si>
  <si>
    <t>C0087016</t>
  </si>
  <si>
    <t>COOPERATIVA DE CRÉDITO E INVESTIMENTO UNINDÚSTRIA</t>
  </si>
  <si>
    <t>FATURACRED SOCIEDADE DE CRÉDITO DIRETO S.A.</t>
  </si>
  <si>
    <t>FATURACRED SCD - PRUDENCIAL</t>
  </si>
  <si>
    <t>C0088091</t>
  </si>
  <si>
    <t>COOPERATIVA DE CRÉDITO DE SERVIDORES DO PODER JUDICIÁRIO DA BAHIA LTDA. - COOPEJUS BAHIA</t>
  </si>
  <si>
    <t>COOPERATIVA DE CRÉDITO DOS EMPREGADOS DAS EMPRESAS DO GRUPO INDORAMA NO BRASIL</t>
  </si>
  <si>
    <t>NGO ASSOCIADOS CORRETORA DE CÂMBIO LTDA.</t>
  </si>
  <si>
    <t>NGO ASSOCIADOS CC LTDA. - PRUDENCIAL</t>
  </si>
  <si>
    <t>C0082152</t>
  </si>
  <si>
    <t>COOPERATIVA DE ECONOMIA E CRÉDITO MÚTUO DOS FUNCIONÁRIOS DO GRUPO VOTORANTIM LIMITADA.</t>
  </si>
  <si>
    <t>RIO BRANCO DO SUL</t>
  </si>
  <si>
    <t>RB INVESTIMENTOS DISTRIBUIDORA DE TITULOS E VALORES MOBILIARIOS LIMITADA</t>
  </si>
  <si>
    <t>RB INVESTIMENTOS DTVM - PRUDENCIAL</t>
  </si>
  <si>
    <t>C0084174</t>
  </si>
  <si>
    <t>COOPERATIVA DE ECONOMIA E CRÉDITO MÚTUO DOS ELETRICITÁRIOS E DOS TRABALHADORES DAS EMPRESAS DO SETOR DE ENERGIA - COOPCRECE</t>
  </si>
  <si>
    <t>COLUNAS DA BASE</t>
  </si>
  <si>
    <t>Col.</t>
  </si>
  <si>
    <t>Coluna</t>
  </si>
  <si>
    <t>Nome completo</t>
  </si>
  <si>
    <t>Tipo</t>
  </si>
  <si>
    <t>O que significa na prática</t>
  </si>
  <si>
    <t>A</t>
  </si>
  <si>
    <t>Nome da instituição financeira</t>
  </si>
  <si>
    <t>Texto</t>
  </si>
  <si>
    <t>Razão social registrada no Banco Central. Cada linha é uma instituição individual: holdings e controladas aparecem em linhas separadas.</t>
  </si>
  <si>
    <t>B</t>
  </si>
  <si>
    <t>Código de identificação da instituição</t>
  </si>
  <si>
    <t>Número</t>
  </si>
  <si>
    <t>Raiz do CNPJ da instituição, sem zeros à esquerda (o Banco do Brasil aparece como 0). Único por linha.</t>
  </si>
  <si>
    <t>C</t>
  </si>
  <si>
    <t>Conglomerado Prudencial (Nome)</t>
  </si>
  <si>
    <t>Nome do conglomerado prudencial</t>
  </si>
  <si>
    <t>Grupo prudencial ao qual a instituição pertence. Vazio quando a instituição não integra conglomerado prudencial. Use para agregar instituições do mesmo grupo.</t>
  </si>
  <si>
    <t>D</t>
  </si>
  <si>
    <t>Conglomerado Financeiro (Cód.)</t>
  </si>
  <si>
    <t>Código do conglomerado financeiro</t>
  </si>
  <si>
    <t>Identificador do conglomerado financeiro (formato C0000000). Vazio quando a instituição não integra conglomerado financeiro.</t>
  </si>
  <si>
    <t>E</t>
  </si>
  <si>
    <t>Conglomerado Prudencial (Cód.)</t>
  </si>
  <si>
    <t>Código do conglomerado prudencial</t>
  </si>
  <si>
    <t>Identificador do conglomerado prudencial (formato C0000000), correspondente ao nome da coluna C.</t>
  </si>
  <si>
    <t>F</t>
  </si>
  <si>
    <t>Tipo de Consolidado Bancário</t>
  </si>
  <si>
    <t>Classifica o tipo de instituição. Ver tabela de códigos TCB abaixo.</t>
  </si>
  <si>
    <t>G</t>
  </si>
  <si>
    <t>Tipo de Controle</t>
  </si>
  <si>
    <t>1 = Público; 2 = Privado Nacional; 3 = Privado com Controle Estrangeiro. Ver tabela abaixo.</t>
  </si>
  <si>
    <t>H</t>
  </si>
  <si>
    <t>Tipo de Instituição</t>
  </si>
  <si>
    <t>Classificação detalhada do tipo de instituição. Ver tabela de códigos TI abaixo.</t>
  </si>
  <si>
    <t>I</t>
  </si>
  <si>
    <t>Município da sede</t>
  </si>
  <si>
    <t>Cidade onde a instituição tem sua sede registrada no Banco Central.</t>
  </si>
  <si>
    <t>J</t>
  </si>
  <si>
    <t>Unidade da Federação da sede</t>
  </si>
  <si>
    <t>Estado da sede da instituição.</t>
  </si>
  <si>
    <t>K</t>
  </si>
  <si>
    <t>Data-base dos dados</t>
  </si>
  <si>
    <t>Mês e ano de referência. 06/2026 = posição de junho de 2026.</t>
  </si>
  <si>
    <t>L</t>
  </si>
  <si>
    <t>Ativo Total</t>
  </si>
  <si>
    <t>Total de ativos (R$ mil)</t>
  </si>
  <si>
    <t>Tudo o que a instituição possui: créditos concedidos, títulos, imóveis, participações. É o principal indicador de porte.</t>
  </si>
  <si>
    <t>M</t>
  </si>
  <si>
    <t>Carteira de Crédito</t>
  </si>
  <si>
    <t>Total de créditos concedidos (R$ mil)</t>
  </si>
  <si>
    <t>Soma dos empréstimos, financiamentos e demais créditos concedidos a clientes. Pode ser zero em instituições que não concedem crédito.</t>
  </si>
  <si>
    <t>N</t>
  </si>
  <si>
    <t>Títulos e Valores Mobiliários</t>
  </si>
  <si>
    <t>Títulos e valores mobiliários (R$ mil)</t>
  </si>
  <si>
    <t>Investimentos da instituição em títulos públicos, títulos privados, ações e outros ativos financeiros.</t>
  </si>
  <si>
    <t>O</t>
  </si>
  <si>
    <t>Passivo Exigível</t>
  </si>
  <si>
    <t>Total de obrigações (R$ mil)</t>
  </si>
  <si>
    <t>Tudo o que a instituição deve: depósitos, captações, dívidas. Na base, Ativo Total = Passivo Exigível + Patrimônio Líquido (diferença máxima de R$ 1 mil, por arredondamento).</t>
  </si>
  <si>
    <t>P</t>
  </si>
  <si>
    <t>Captações</t>
  </si>
  <si>
    <t>Recursos captados (R$ mil)</t>
  </si>
  <si>
    <t>Recursos obtidos junto ao público e ao mercado, como depósitos, poupança, CDB, LCI e LCA. Componente do Passivo Exigível.</t>
  </si>
  <si>
    <t>Q</t>
  </si>
  <si>
    <t>Patrimônio Líquido</t>
  </si>
  <si>
    <t>Capital próprio da instituição (R$ mil)</t>
  </si>
  <si>
    <t>Diferença entre ativos e passivos. Indica a solidez financeira. Pode ser negativo quando o passivo supera o ativo.</t>
  </si>
  <si>
    <t>R</t>
  </si>
  <si>
    <t>Lucro Líquido</t>
  </si>
  <si>
    <t>Resultado acumulado no ano (R$ mil)</t>
  </si>
  <si>
    <t>Lucro ou prejuízo acumulado no ano até a data-base; para 06/2026, o primeiro semestre. Valores negativos indicam prejuízo.</t>
  </si>
  <si>
    <t>S</t>
  </si>
  <si>
    <t>Número de Agências</t>
  </si>
  <si>
    <t>Quantidade de agências físicas</t>
  </si>
  <si>
    <t>Agências físicas da instituição. Cooperativas singulares e centrais registram zero agências na fonte.</t>
  </si>
  <si>
    <t>T</t>
  </si>
  <si>
    <t>Número de Postos de Atendimento</t>
  </si>
  <si>
    <t>Quantidade de postos de atendimento</t>
  </si>
  <si>
    <t>Postos de atendimento além das agências, como postos em empresas e em órgãos públicos.</t>
  </si>
  <si>
    <t>U</t>
  </si>
  <si>
    <t>Descrição do Tipo de Controle</t>
  </si>
  <si>
    <t>Fórmula</t>
  </si>
  <si>
    <t>Calculado a partir de TC: Público, Privado Nacional ou Privado Estrangeiro.</t>
  </si>
  <si>
    <t>V</t>
  </si>
  <si>
    <t>Índice Crédito/Ativo</t>
  </si>
  <si>
    <t>Participação da carteira de crédito no ativo</t>
  </si>
  <si>
    <t>Calculado: Carteira de Crédito ÷ Ativo Total. Indica quanto do ativo está alocado em crédito. Retorna NI quando não informado e n.d. quando o Ativo Total não é positivo.</t>
  </si>
  <si>
    <t>W</t>
  </si>
  <si>
    <t>ROE do semestre</t>
  </si>
  <si>
    <t>Retorno sobre o Patrimônio Líquido no semestre</t>
  </si>
  <si>
    <t>Calculado: Lucro Líquido ÷ Patrimônio Líquido. Mede o lucro gerado por real de capital próprio no semestre (não anualizado). Retorna NI quando não informado e n.d. quando o Patrimônio Líquido é zero ou negativo.</t>
  </si>
  <si>
    <t>NOTAS DE LEITURA</t>
  </si>
  <si>
    <t>Unidade: valores monetários em R$ mil. R$ 1 bilhão equivale a 1.000.000 nesta unidade.</t>
  </si>
  <si>
    <t>Instituições individuais: quando uma holding e suas controladas estão na base, seus ativos aparecem em linhas separadas e a soma geral pode conter sobreposição. Para análise por grupo, agregue pelo Conglomerado Prudencial.</t>
  </si>
  <si>
    <t>Ordenação: a base está ordenada por Ativo Total decrescente, com as instituições de valores NI ao final.</t>
  </si>
  <si>
    <t>Totais da fonte: as linhas de totais do arquivo original (por TCB, TC e TI) ficam na aba Totais_Fonte, conferidas contra as somas da base.</t>
  </si>
  <si>
    <t>CÓDIGOS TCB | Tipo de Consolidado Bancário (coluna F)</t>
  </si>
  <si>
    <t>Descrição</t>
  </si>
  <si>
    <t>Instituições (nº)</t>
  </si>
  <si>
    <t>Maior instituição por Ativo Total</t>
  </si>
  <si>
    <t>Banco Comercial, Banco Múltiplo com Carteira Comercial ou Caixa Econômica</t>
  </si>
  <si>
    <t>Banco Múltiplo sem Carteira Comercial ou Banco de Investimento ou Banco de Câmbio</t>
  </si>
  <si>
    <t>Cooperativa de Crédito Singular</t>
  </si>
  <si>
    <t>Central e Confederação de Cooperativas de Crédito</t>
  </si>
  <si>
    <t>Banco de Desenvolvimento</t>
  </si>
  <si>
    <t>Não Bancário de Crédito</t>
  </si>
  <si>
    <t>Não Bancário de Mercado de Capitais</t>
  </si>
  <si>
    <t>Instituições de Pagamento</t>
  </si>
  <si>
    <t>CÓDIGOS TC | Tipo de Controle (coluna G)</t>
  </si>
  <si>
    <t>Público</t>
  </si>
  <si>
    <t>Privado Nacional</t>
  </si>
  <si>
    <t>Privado com Controle Estrangeiro</t>
  </si>
  <si>
    <t>CÓDIGOS TI | Tipo de Instituição (coluna H)</t>
  </si>
  <si>
    <t>Banco do Brasil - Banco Múltiplo</t>
  </si>
  <si>
    <t>Banco Comercial</t>
  </si>
  <si>
    <t>Banco Comercial Cooperativo</t>
  </si>
  <si>
    <t>BNDES</t>
  </si>
  <si>
    <t>Caixa Econômica Federal</t>
  </si>
  <si>
    <t>Caixa Econômica Estadual</t>
  </si>
  <si>
    <t>Banco Múltiplo</t>
  </si>
  <si>
    <t>Cooperativa de Crédito</t>
  </si>
  <si>
    <t>Sociedade de Crédito ao Microempreendedor</t>
  </si>
  <si>
    <t>Banco Múltiplo Cooperativo</t>
  </si>
  <si>
    <t>Banco de Investimento</t>
  </si>
  <si>
    <t>Sociedade de Crédito, Financiamento e Investimento</t>
  </si>
  <si>
    <t>Sociedade Corretora de TVM</t>
  </si>
  <si>
    <t>Sociedade Distribuidora de TVM</t>
  </si>
  <si>
    <t>Sociedade de Arrendamento Mercantil</t>
  </si>
  <si>
    <t>Sociedade Corretora de Câmbio</t>
  </si>
  <si>
    <t>Associação de Poupança e Empréstimo</t>
  </si>
  <si>
    <t>Banco Comercial Estrangeiro - Filial no país</t>
  </si>
  <si>
    <t>Companhia Hipotecária</t>
  </si>
  <si>
    <t>Agência de Fomento</t>
  </si>
  <si>
    <t>Sociedade de Crédito Imobiliário - Repassadora</t>
  </si>
  <si>
    <t>Banco de Câmbio</t>
  </si>
  <si>
    <t>Sociedades de Crédito Direto</t>
  </si>
  <si>
    <t>Sociedades de Empréstimo entre Pessoas</t>
  </si>
  <si>
    <t>Ativo Total (R$ bi)</t>
  </si>
  <si>
    <t>Privado Estrangeiro</t>
  </si>
  <si>
    <t>Posição</t>
  </si>
  <si>
    <t>MEDIDAS DE RESUMO</t>
  </si>
  <si>
    <t>Nº</t>
  </si>
  <si>
    <t>O que fazer</t>
  </si>
  <si>
    <t>Fórmula aplicada</t>
  </si>
  <si>
    <t>Resultado</t>
  </si>
  <si>
    <t>Para reflexão</t>
  </si>
  <si>
    <t>Compare com a mediana (exercício 2). O que a diferença entre as duas diz sobre a distribuição?</t>
  </si>
  <si>
    <t>Qual é a MEDIANA do Ativo Total?
→ A mediana é mais representativa que a média neste caso? Por quê?</t>
  </si>
  <si>
    <t>Se a média for muito maior que a mediana, há concentração nos grandes bancos.</t>
  </si>
  <si>
    <t>Qual é o MAIOR Ativo Total? Qual é o MENOR?
→ Use MÁXIMO e MÍNIMO</t>
  </si>
  <si>
    <t>A diferença entre o maior e o menor ativo mostra a amplitude do setor. Quantas vezes o maior supera o menor?</t>
  </si>
  <si>
    <t>Qual é o QUARTIL 1 (Q1) e o QUARTIL 3 (Q3) da Carteira de Crédito?
→ Coluna M</t>
  </si>
  <si>
    <t>Q1 e Q3 delimitam os 50% centrais da distribuição. Interprete o valor de Q1: o que ele revela sobre a carteira de crédito do sistema?</t>
  </si>
  <si>
    <t>Qual é o PERCENTIL 90 do Patrimônio Líquido?
→ Coluna Q</t>
  </si>
  <si>
    <t>90% das instituições têm PL abaixo deste valor. Só 10% estão acima.</t>
  </si>
  <si>
    <t>Quantas agências existem no total? Qual é a média por instituição?
→ Coluna S</t>
  </si>
  <si>
    <t>Compare com a mediana de agências. A distribuição é concentrada em poucas instituições?</t>
  </si>
  <si>
    <t>CONTAGEM E SOMA CONDICIONAL</t>
  </si>
  <si>
    <t>Compare a quantidade de instituições públicas com a participação delas no ativo total (exercício 9).</t>
  </si>
  <si>
    <t>Quantas instituições são do TCB b1 (bancos comerciais, bancos múltiplos com carteira comercial e Caixa Econômica)?
→ Coluna F</t>
  </si>
  <si>
    <t>O grupo b1 reúne os grandes bancos de varejo. Que parcela do ativo total ele representa?</t>
  </si>
  <si>
    <t>Qual é a SOMA do Ativo Total das instituições PÚBLICAS (TC = 1)?
→ Use SOMASE</t>
  </si>
  <si>
    <t>Compare com a soma total. Qual percentual do ativo é público?</t>
  </si>
  <si>
    <t>Qual é a MÉDIA da Carteira de Crédito das instituições PRIVADAS NACIONAIS (TC = 2)?
→ Use MÉDIASE</t>
  </si>
  <si>
    <t>Compare com a média das públicas (TC = 1) e das estrangeiras (TC = 3).</t>
  </si>
  <si>
    <t>Quantas instituições com sede em SP têm Lucro Líquido POSITIVO?
→ Use CONT.SES com duas condições (colunas J e R)</t>
  </si>
  <si>
    <t>Qual percentual das instituições da base tem sede em SP? E qual percentual delas tem lucro positivo?</t>
  </si>
  <si>
    <t>Qual é a SOMA do Lucro Líquido das instituições de CONTROLE ESTRANGEIRO (TC = 3)?
→ Use SOMASE</t>
  </si>
  <si>
    <t>Como o lucro das estrangeiras se compara com o das públicas e o das privadas nacionais?</t>
  </si>
  <si>
    <t>CLASSIFICAÇÃO E LÓGICA</t>
  </si>
  <si>
    <t>Em uma coluna auxiliar, classifique cada instituição: 'Grande' se o Ativo Total for maior que 100 bilhões, senão 'Média/Pequena'.
→ Use SE (100 bi = 100.000.000 em R$ mil). Trate o NI com ÉNÚM: no Excel, texto é maior que qualquer número em comparações.</t>
  </si>
  <si>
    <t>Quantas são 'Grandes'? Esse grupo representa qual percentual do ativo total?</t>
  </si>
  <si>
    <t>Classifique o ROE do semestre (coluna W): 'Excelente' se &gt; 7,5%, 'Bom' se &gt; 4%, 'Fraco' se &gt; 0%, 'Prejuízo' se ≤ 0%. Valores NI e n.d. ficam como 'Sem dado'.
→ Use SES. Os cortes são os de referência anual (15% e 8%) divididos por dois, pois o ROE da base é semestral.</t>
  </si>
  <si>
    <t>Quantas instituições têm ROE 'Excelente'? São as que você esperaria?</t>
  </si>
  <si>
    <t>Agora busque o Patrimônio Líquido e o Lucro Líquido da mesma instituição. Por que o PROCV precisa de correspondência exata (quarto argumento FALSO)?</t>
  </si>
  <si>
    <t>ANÁLISE COMPARATIVA POR TIPO DE CONSOLIDADO BANCÁRIO (TCB)</t>
  </si>
  <si>
    <t>Monte uma tabela comparativa: para cada TCB (b1, b2, b3S, b3C, b4, n1, n2 e n4), calcule:
  a) Quantidade de instituições
  b) Soma do Ativo Total
  c) Média da Carteira de Crédito
  d) Soma do Lucro Líquido
→ Use CONT.SE, SOMASE e MÉDIASE para cada TCB</t>
  </si>
  <si>
    <t>Qual TCB concentra mais ativos? E mais lucro? A distribuição é equilibrada?</t>
  </si>
  <si>
    <t>Compare o ROE do semestre por tipo de controle:
  a) Média simples dos ROEs: MÉDIASE na coluna W (TC = 1, 2 e 3)
  b) ROE agregado: SOMASE do Lucro Líquido ÷ SOMASE do Patrimônio Líquido (colunas R e Q)
→ Compare as duas medidas</t>
  </si>
  <si>
    <t>As duas medidas apontam o mesmo tipo de controle como o mais rentável? O que explica a diferença?</t>
  </si>
  <si>
    <t>Calcule a participação de cada tipo de controle no Ativo Total:
  % Público = Soma do Ativo Público ÷ Soma do Ativo Total
→ Use SOMASE e operações simples</t>
  </si>
  <si>
    <t>A concentração está nos bancos públicos ou nos privados? Compare com o número de instituições de cada grupo.</t>
  </si>
  <si>
    <t>ANÁLISE DE EFICIÊNCIA E RENTABILIDADE</t>
  </si>
  <si>
    <t>Identifique as 5 instituições com MAIOR ROE do semestre na base:
  a) Considerando toda a base
  b) Considerando só instituições com Ativo Total acima de R$ 1 bilhão (1.000.000 em R$ mil)
→ Use MAIOR com ÍNDICE e CORRESP, ou ordene com filtro</t>
  </si>
  <si>
    <t>As mais rentáveis são as maiores instituições ou as menores? O que muda quando se aplica o filtro de tamanho?</t>
  </si>
  <si>
    <t>Calcule o Índice de Alavancagem (Passivo Exigível ÷ Patrimônio Líquido) de cada instituição.
→ Crie uma coluna auxiliar com a fórmula e trate PL menor ou igual a zero e valores NI</t>
  </si>
  <si>
    <t>Alavancagem alta pode indicar maior risco. Quem tem a maior alavancagem entre as instituições com PL positivo?</t>
  </si>
  <si>
    <t>Quantas instituições têm Carteira de Crédito igual ou maior que 10 vezes o Patrimônio Líquido?
→ CONT.SES não compara duas colunas entre si: use SOMARPRODUTO com SEERRO, ou uma coluna auxiliar Crédito/PL com CONT.SE</t>
  </si>
  <si>
    <t>Alta relação crédito/PL é característica de algum tipo de instituição? Verifique o TCB das instituições encontradas.</t>
  </si>
  <si>
    <t>ANÁLISE REGIONAL E ESTRUTURAL</t>
  </si>
  <si>
    <t>Quantas instituições com sede em SP têm Ativo Total acima de R$ 1 bilhão (1.000.000 em R$ mil)?
→ Use CONT.SES com UF = 'SP' e Ativo &gt; 1000000</t>
  </si>
  <si>
    <t>Que percentual do total de instituições acima de R$ 1 bilhão isso representa?</t>
  </si>
  <si>
    <t>Qual é a soma do Ativo Total das instituições SEM AGÊNCIAS FÍSICAS (Número de Agências = 0)?
→ Use SOMASE com a condição Agências = 0</t>
  </si>
  <si>
    <t>Que parcela do ativo total esse grupo representa? Cruze com o TCB: 'sem agência física' é o mesmo que 'digital'?</t>
  </si>
  <si>
    <t>Monte um resumo: quantas instituições de cada UF estão na base?
→ Use CONT.SE para as cinco UFs com mais instituições: SP, MG, RS, PR e SC</t>
  </si>
  <si>
    <t>A distribuição geográfica reflete o PIB de cada estado?</t>
  </si>
  <si>
    <t>SÍNTESE FINAL</t>
  </si>
  <si>
    <t>Com base em todos os exercícios anteriores, escreva sua análise respondendo:
  1. Qual é o perfil do sistema financeiro brasileiro segundo esta base?
  2. Qual insight mais surpreendeu?
  3. Se fosse apresentar isto a um diretor em 2 minutos, o que diria?
→ Use a aba Template_Análise</t>
  </si>
  <si>
    <t>Estruture a resposta em três partes: evidência, interpretação e recomendação.</t>
  </si>
  <si>
    <t>1. CONTEXTO DA ANÁLISE</t>
  </si>
  <si>
    <t>Pergunta que vou responder:</t>
  </si>
  <si>
    <t>Por que essa análise importa?</t>
  </si>
  <si>
    <t>Base de dados utilizada:</t>
  </si>
  <si>
    <t>Período analisado:</t>
  </si>
  <si>
    <t>Limitações da base que considerei:</t>
  </si>
  <si>
    <t>2. PRINCIPAIS INDICADORES</t>
  </si>
  <si>
    <t>Ativo Total do sistema (todas as instituições, R$ mil):</t>
  </si>
  <si>
    <t>Participação pública no ativo total (%):</t>
  </si>
  <si>
    <t>ROE do sistema no semestre (indique o método usado):</t>
  </si>
  <si>
    <t>Mediana da Carteira de Crédito (R$ mil):</t>
  </si>
  <si>
    <t>Número de instituições sem agências físicas:</t>
  </si>
  <si>
    <t>3. INSIGHT PRINCIPAL (em uma frase)</t>
  </si>
  <si>
    <t>Insight:</t>
  </si>
  <si>
    <t>Evidência 1:</t>
  </si>
  <si>
    <t>Evidência 2:</t>
  </si>
  <si>
    <t>4. IMPLICAÇÕES</t>
  </si>
  <si>
    <t>Para o setor financeiro:</t>
  </si>
  <si>
    <t>O que isso significa para quem analisa dados do setor?</t>
  </si>
  <si>
    <t>5. PRÓXIMOS PASSOS E O QUE INVESTIGAR</t>
  </si>
  <si>
    <t>Pergunta que ficou sem resposta:</t>
  </si>
  <si>
    <t>Dado que seria útil ter:</t>
  </si>
  <si>
    <t>Análise que faria com mais tempo:</t>
  </si>
  <si>
    <t>1</t>
  </si>
  <si>
    <t>TCB | Tipo de Consolidado Bancário</t>
  </si>
  <si>
    <t>Linha</t>
  </si>
  <si>
    <t>Total</t>
  </si>
  <si>
    <t>% do sistema</t>
  </si>
  <si>
    <t>Cooperativa de Crédito Singulares</t>
  </si>
  <si>
    <t>TC | Tipo de Controle</t>
  </si>
  <si>
    <t>2</t>
  </si>
  <si>
    <t>3</t>
  </si>
  <si>
    <t>TI | Tipo de Instituição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</si>
  <si>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</si>
  <si>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</si>
  <si>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</si>
  <si>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</si>
  <si>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</si>
  <si>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</si>
  <si>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</si>
  <si>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</si>
  <si>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</si>
  <si>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</si>
  <si>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</si>
  <si>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</si>
  <si>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19</t>
  </si>
  <si>
    <t>21</t>
  </si>
  <si>
    <t>25</t>
  </si>
  <si>
    <t>28</t>
  </si>
  <si>
    <t>29</t>
  </si>
  <si>
    <t>30</t>
  </si>
  <si>
    <t>31</t>
  </si>
  <si>
    <t>39</t>
  </si>
  <si>
    <t>41</t>
  </si>
  <si>
    <t>43</t>
  </si>
  <si>
    <t>44</t>
  </si>
  <si>
    <t>Total da base</t>
  </si>
  <si>
    <t>Porte</t>
  </si>
  <si>
    <t>Classe ROE</t>
  </si>
  <si>
    <t>Qtd. de instituições</t>
  </si>
  <si>
    <t>Soma do Ativo Total (R$ mil)</t>
  </si>
  <si>
    <t>Média da Carteira de Crédito (R$ mil)</t>
  </si>
  <si>
    <t>Soma do Lucro Líquido (R$ mil)</t>
  </si>
  <si>
    <t>% das instituições</t>
  </si>
  <si>
    <t>% do Ativo Total</t>
  </si>
  <si>
    <t>% do Lucro Líquido</t>
  </si>
  <si>
    <t>Conferência: qtd. da tabela − linhas da base</t>
  </si>
  <si>
    <t>Conferência: ativo da tabela − soma da base</t>
  </si>
  <si>
    <t>PARÂMETROS</t>
  </si>
  <si>
    <t>Corte de Ativo Total (R$ mil): R$ 1 bilhão</t>
  </si>
  <si>
    <t>Múltiplo Carteira de Crédito ÷ Patrimônio Líquido</t>
  </si>
  <si>
    <t>UF analisada (item 7)</t>
  </si>
  <si>
    <t>Nº de agências para 'sem agência física' (item 8)</t>
  </si>
  <si>
    <t>ROE do semestre (Ativo &gt; corte)</t>
  </si>
  <si>
    <t>Alavancagem (Passivo Exigível ÷ PL)</t>
  </si>
  <si>
    <t>Carteira de Crédito ÷ PL</t>
  </si>
  <si>
    <t>ITEM 2 | ROE do semestre por tipo de controle (TC)</t>
  </si>
  <si>
    <t>Tipo de controle</t>
  </si>
  <si>
    <t>Nº de instituições</t>
  </si>
  <si>
    <t>(a) Média simples dos ROEs</t>
  </si>
  <si>
    <t>Soma do Patrimônio Líquido (R$ mil)</t>
  </si>
  <si>
    <t>(b) ROE agregado (Lucro ÷ PL)</t>
  </si>
  <si>
    <t>Diferença (b) − (a)</t>
  </si>
  <si>
    <t>Total do sistema</t>
  </si>
  <si>
    <t>ITEM 3 | Participação de cada tipo de controle no Ativo Total</t>
  </si>
  <si>
    <t>Conferência: total da tabela − soma da base</t>
  </si>
  <si>
    <t>ITEM 4 | As 5 instituições com maior ROE do semestre</t>
  </si>
  <si>
    <t>(a) Toda a base</t>
  </si>
  <si>
    <t>Ativo Total (R$ mil)</t>
  </si>
  <si>
    <t>ITEM 5 | Índice de Alavancagem (Passivo Exigível ÷ Patrimônio Líquido), calculado em N5:N1626</t>
  </si>
  <si>
    <t>Instituições com alavancagem calculada (PL &gt; 0)</t>
  </si>
  <si>
    <t>Instituições com PL ≤ 0 (excluídas)</t>
  </si>
  <si>
    <t>Instituições com NI (excluídas)</t>
  </si>
  <si>
    <t>Maior alavancagem (vezes)</t>
  </si>
  <si>
    <t>Instituição com a maior alavancagem</t>
  </si>
  <si>
    <t>TCB dessa instituição</t>
  </si>
  <si>
    <t>Alavancagem mediana (PL &gt; 0)</t>
  </si>
  <si>
    <t>ITEM 6 | Carteira de Crédito ≥ múltiplo × Patrimônio Líquido (razão calculada em O5:O1626)</t>
  </si>
  <si>
    <t>Instituições com Carteira ≥ múltiplo × PL</t>
  </si>
  <si>
    <t>Instituições com PL &gt; 0 (base de comparação)</t>
  </si>
  <si>
    <t>% da base de comparação</t>
  </si>
  <si>
    <t>Nº com Carteira ≥ múltiplo × PL</t>
  </si>
  <si>
    <t>Nº de instituições do TCB</t>
  </si>
  <si>
    <t>% do TCB</t>
  </si>
  <si>
    <t>ITEM 7 | Instituições com sede na UF analisada (B7) e Ativo Total acima do corte (B5)</t>
  </si>
  <si>
    <t>Instituições da UF com Ativo Total &gt; corte</t>
  </si>
  <si>
    <t>Instituições (todas as UFs) com Ativo Total &gt; corte</t>
  </si>
  <si>
    <t>% do total acima do corte</t>
  </si>
  <si>
    <t>ITEM 8 | Instituições sem agências físicas (Número de Agências = B8)</t>
  </si>
  <si>
    <t>Instituições sem agências físicas</t>
  </si>
  <si>
    <t>Soma do Ativo Total dessas instituições (R$ mil)</t>
  </si>
  <si>
    <t>% do Ativo Total do sistema</t>
  </si>
  <si>
    <t>Nº sem agência física</t>
  </si>
  <si>
    <t>% do TCB sem agência</t>
  </si>
  <si>
    <t>Ativo Total sem agência (R$ mil)</t>
  </si>
  <si>
    <t>ITEM 9 | Instituições por UF (cinco UFs com mais instituições)</t>
  </si>
  <si>
    <t>% do total da base</t>
  </si>
  <si>
    <t>Demais UFs</t>
  </si>
  <si>
    <t>Texto montado com fórmulas (concatenação com &amp;) sobre os resultados da aba Tabela_TCB (item 1) e da aba Calc_Intermediário (itens 2 a 9). Não há função de cálculo própria; as frases se atualizam se a base mudar.
A aba Template_Análise não foi alterada.</t>
  </si>
  <si>
    <t>Posição na base (linha relativa)</t>
  </si>
  <si>
    <t>ROE agregado do semestre (Lucro ÷ PL)</t>
  </si>
  <si>
    <t>Ativo Total médio (R$ bi)</t>
  </si>
  <si>
    <t>Índice Crédito/Ativo (Carteira ÷ Ativo)</t>
  </si>
  <si>
    <t>Top 10 instituições por Ativo Total (R$ bi), separado por tipo de controle</t>
  </si>
  <si>
    <t>AUXILIAR DO GRÁFICO DE DISPERSÃO (Gráficos_Análise, seção C): ROE das 30 maiores instituições por Ativo Total, separado por tipo de controle</t>
  </si>
  <si>
    <t>A. ANÁLISES DAS TABELAS Tabela_TCB (1 e 2) E Cálculos_Apoio (3 a 6)</t>
  </si>
  <si>
    <t>B. ROE POR TCB, PARTICIPAÇÃO NO ATIVO POR TIPO DE CONTROLE E 10 MAIORES INSTITUIÇÕES</t>
  </si>
  <si>
    <t>C. ATIVO MÉDIO POR TCB, INSTITUIÇÕES POR TIPO DE CONTROLE, ROE x ATIVO E ROE x CRÉDITO/ATIVO POR TCB</t>
  </si>
  <si>
    <t xml:space="preserve">Fonte: IF.data, Banco Central do Brasil (https://www3.bcb.gov.br/ifdata) </t>
  </si>
  <si>
    <t>IFData, junho de 2026  |  IF.data, Banco Central do Brasil  |  valores monetários em R$ mil</t>
  </si>
  <si>
    <t>BASE DE DADOS | IFData Junho 2026</t>
  </si>
  <si>
    <t>TOTAIS DA FONTE | IFData Junho 2026</t>
  </si>
  <si>
    <t>Fonte: IF.data, Banco Central do Brasil  |  Linhas de totais do arquivo IFData_Junho_2026.csv, por TCB, TC e TI  |  Valores monetários em R$ mil</t>
  </si>
  <si>
    <t>DICIONÁRIO DE DADOS | IFData Junho 2026</t>
  </si>
  <si>
    <t>Significado de cada coluna da aba Base_IFData e dos códigos de classificação (TCB, TC e TI). Valores monetários em R$ mil.</t>
  </si>
  <si>
    <t>ANÁLISES 1 | IFData Junho 2026</t>
  </si>
  <si>
    <t>Qual é o ATIVO TOTAL MÉDIO das instituições da base?
→ Coluna L da Base_IFData</t>
  </si>
  <si>
    <t>=MÉDIA(Base_IFData!L5:L1626)</t>
  </si>
  <si>
    <t>=MED(Base_IFData!L5:L1626)</t>
  </si>
  <si>
    <t>Maior: =MÁXIMO(Base_IFData!L5:L1626)   |   Menor: =MÍNIMO(Base_IFData!L5:L1626)</t>
  </si>
  <si>
    <t>Q1: =QUARTIL(Base_IFData!M5:M1626;1) | Q2: =QUARTIL(Base_IFData!M5:M1626;2) | Q3: =QUARTIL(Base_IFData!M5:M1626;3)</t>
  </si>
  <si>
    <t>=PERCENTIL(Base_IFData!Q5:Q1626;0,9)</t>
  </si>
  <si>
    <t>Soma: =SOMA(Base_IFData!S5:S1626) | Média: =MÉDIA(Base_IFData!S5:S1626)</t>
  </si>
  <si>
    <t>Quantas instituições são de CONTROLE PÚBLICO (TC = 1)?
→ Coluna G da Base_IFData</t>
  </si>
  <si>
    <t>=CONT.SE(Base_IFData!G5:G1626; "= 1")</t>
  </si>
  <si>
    <t>=CONT.SE(Base_IFData!F5:F1626; "b1")</t>
  </si>
  <si>
    <t>=SOMASE(Base_IFData!G5:G1626;1;Base_IFData!L5:L1626)</t>
  </si>
  <si>
    <t>=MÉDIASE(Base_IFData!G5:G1626;2;Base_IFData!M5:M1626)</t>
  </si>
  <si>
    <t>=CONT.SES(Base_IFData!J5:J1626; "SP"; Base_IFData!R5:R1626; "&gt;0")</t>
  </si>
  <si>
    <t>=SOMASE(Base_IFData!G5:G1626;3;Base_IFData!R5:R1626)</t>
  </si>
  <si>
    <t>Base_IFData!X5 (copiada até X1626): =SE(ÉNÚM(L5); SE(L5&gt;100000000; "Grande"; "Média/Pequena"); "Sem dado")</t>
  </si>
  <si>
    <t>Base_IFData!Y5 (copiada até Y1626): =SES(ÉNÚM(W5)=FALSO; "Sem dado"; W5&gt;7,5%; "Excelente"; W5&gt;4%; "Bom"; W5&gt;0%; "Fraco"; VERDADEIRO; "Prejuízo")</t>
  </si>
  <si>
    <t>Use PROCV para buscar o Ativo Total da instituição cujo nome começa com NU FINANCEIRA.
→ A chave é o nome na coluna A da Base_IFData. Use o curinga *: 'NU FINANCEIRA*'</t>
  </si>
  <si>
    <t>=PROCV("NU FINANCEIRA*";Base_IFData!A5:L1626;12;FALSO)</t>
  </si>
  <si>
    <t>ANÁLISES 2 | IFData Junho 2026</t>
  </si>
  <si>
    <t>Tabela completa na aba Tabela_TCB (A4:H13). Fórmulas da linha 5, copiadas até a linha 12:
a) =CONT.SE(Base_IFData!$F$5:$F$1626; $A5)
b) =SOMASE(Base_IFData!$F$5:$F$1626; $A5; Base_IFData!$L$5:$L$1626)
c) =MÉDIASE(Base_IFData!$F$5:$F$1626; $A5; Base_IFData!$M$5:$M$1626)
d) =SOMASE(Base_IFData!$F$5:$F$1626; $A5; Base_IFData!$R$5:$R$1626)</t>
  </si>
  <si>
    <t>Calc_Intermediário!D12 (copiada até D14), item (a): =MÉDIASE(Base_IFData!$G$5:$G$1626; $A12; Base_IFData!$W$5:$W$1626)
Calc_Intermediário!G12 (copiada até G14), item (b): =E12/F12, com
E12: =SOMASE(Base_IFData!$G$5:$G$1626; $A12; Base_IFData!$R$5:$R$1626)
F12: =SOMASE(Base_IFData!$G$5:$G$1626; $A12; Base_IFData!$Q$5:$Q$1626)
A12:A14 = 1, 2 e 3 (TC).</t>
  </si>
  <si>
    <t>Calc_Intermediário!C19 (copiada até C21): =SOMASE(Base_IFData!$G$5:$G$1626; $A19; Base_IFData!$L$5:$L$1626)
Calc_Intermediário!D19 (copiada até D21): =C19/C$22
(C22 = soma dos três tipos de controle; a % Público é D19).</t>
  </si>
  <si>
    <t>Calc_Intermediário!E28 (copiada até E32), item (a): =MAIOR(Base_IFData!$W$5:$W$1626; $A28)
B28 (nome): =ÍNDICE(Base_IFData!$A$5:$A$1626; CORRESP($E28; Base_IFData!$W$5:$W$1626; 0))
Item (b): mesma lógica em B36:E40, sobre a coluna auxiliar M, que traz o ROE só se Ativo &gt; R$ 1 bi:
M5 (copiada até M1626): =SE(E(ÉNÚM(Base_IFData!L5); ÉNÚM(Base_IFData!W5)); SE(Base_IFData!L5&gt;$B$5; Base_IFData!W5; ""); "")</t>
  </si>
  <si>
    <t>Calc_Intermediário!N5 (copiada até N1626): =SE(E(ÉNÚM(Base_IFData!O5); ÉNÚM(Base_IFData!Q5)); SE(Base_IFData!Q5&gt;0; Base_IFData!O5/Base_IFData!Q5; "PL ≤ 0"); "NI")
Maior valor: B46 =MÁXIMO($N$5:$N$1626); nome: B47 =ÍNDICE(Base_IFData!$A$5:$A$1626; CORRESP($B$46; $N$5:$N$1626; 0))</t>
  </si>
  <si>
    <t>Calc_Intermediário!O5 (copiada até O1626): =SE(E(ÉNÚM(Base_IFData!M5); ÉNÚM(Base_IFData!Q5)); SE(Base_IFData!Q5&gt;0; Base_IFData!M5/Base_IFData!Q5; "PL ≤ 0"); "NI")
Calc_Intermediário!B52: =CONT.SE($O$5:$O$1626; "&gt;="&amp;$B$6)   (B6 = 10)
Por TCB (B56:B63): =CONT.SES($L$5:$L$1626; $A56; $O$5:$O$1626; "&gt;="&amp;$B$6)</t>
  </si>
  <si>
    <t>Calc_Intermediário!B67: =CONT.SES(Base_IFData!$J$5:$J$1626; $B$7; Base_IFData!$L$5:$L$1626; "&gt;"&amp;$B$5)   (B7 = "SP"; B5 = 1.000.000)
B68 (total do país): =CONT.SE(Base_IFData!$L$5:$L$1626; "&gt;"&amp;$B$5)</t>
  </si>
  <si>
    <t>Calc_Intermediário!B72: =CONT.SE(Base_IFData!$S$5:$S$1626; $B$8)   (B8 = 0)
B73: =SOMASE(Base_IFData!$S$5:$S$1626; $B$8; Base_IFData!$L$5:$L$1626)
B74: =B73/SOMA(Base_IFData!$L$5:$L$1626)
Cruzamento com TCB: B76:E83 (CONT.SES e SOMASES).</t>
  </si>
  <si>
    <t>Calc_Intermediário!B88 (copiada até B92): =CONT.SE(Base_IFData!$J$5:$J$1626; $A88)   (A88:A92 = SP, MG, RS, PR e SC)
C88 (copiada até C92): =B88/B$94   (B94 = total de instituições da base)</t>
  </si>
  <si>
    <t>CÁLCULOS DE APOIO | IFData Junho 2026</t>
  </si>
  <si>
    <t>DADOS DOS GRÁFICOS (Gráficos_Análise, seções B e C) | tudo calculado sobre a Base_IFData</t>
  </si>
  <si>
    <t>GRÁFICOS DE APOIO | IFData Junho 2026</t>
  </si>
  <si>
    <t>TEMPLATE DE ANÁLISE | IFData Junho 2026</t>
  </si>
  <si>
    <t>Conglomerado
Prudencial (Nome)</t>
  </si>
  <si>
    <t>Quão concentrado está o ativo do sistema financeiro brasileiro em junho de 2026, e em quais instituições e tipos de controle essa concentração se apoia?</t>
  </si>
  <si>
    <t>Data-base única de 06/2026. Ativo, crédito, passivo e PL são saldos da posição de junho de 2026. O lucro líquido é o acumulado do primeiro semestre de 2026 (jan–jun).</t>
  </si>
  <si>
    <t>Quando cinco instituições detêm 52,1% do ativo, o comportamento do sistema é, na prática, o comportamento desses poucos balanços. A concentração também decide qual estatística descreve o sistema: o ROE agregado é 7,52%, mas a média simples dos ROEs é 0,84%. Quem ignora a concentração descreve a pequena instituição típica e acha que está descrevendo o sistema.</t>
  </si>
  <si>
    <t>(1) 51 instituições sem nenhum valor monetário ficam fora das somas e medianas. (2) Holdings e controladas aparecem em linhas separadas, o que gera dupla contagem de ativo, PL e lucro; o Itaú Unibanco Holding, com ativo de 493.183.395, aparece ao lado do Itaú Unibanco S.A. (3) O lucro é semestral, então o ROE não é anualizado.</t>
  </si>
  <si>
    <t>19.497.752.152, que é a soma das 1.571 instituições com dados. O total literal de todas as 1.622 é não determinável com os dados disponíveis, porque faltaria o ativo das 51 instituições informadas como NI.</t>
  </si>
  <si>
    <t>32,8%, de 39 instituições públicas, calculado sobre o ativo das instituições com dados. Desse total, Banco do Brasil, Caixa e BNDES respondem por 30,3% do ativo do sistema, ou 92,4% do ativo público.</t>
  </si>
  <si>
    <t>7,52%. Método: ROE agregado, soma do lucro líquido do semestre dividida pela soma do patrimônio líquido das 1.571 instituições com dados.</t>
  </si>
  <si>
    <t>32.400, calculada sobre as 1.571 instituições com dados, das quais 443 têm carteira de crédito igual a zero.</t>
  </si>
  <si>
    <t>O campo de agências tem zero em 756 instituições: 729 cooperativas singulares e 27 centrais.</t>
  </si>
  <si>
    <t>O ativo do sistema está em poucas mãos (cinco instituições detêm 52,1% do ativo.</t>
  </si>
  <si>
    <t>As 5 maiores instituições individuais somam 52,1% do ativo, as 10 maiores 66,6% e as 100 maiores 90,8%.</t>
  </si>
  <si>
    <t>O ativo médio (12.411.045) é 42,3 vezes o mediano (293.113). O ROE agregado do semestre é 7,52%, contra uma média simples de 0,84%.</t>
  </si>
  <si>
    <t>O sistema é fragmentado na contagem e concentrado no volume. Cinco grupos detêm mais da metade do ativo, e três instituições públicas detêm 30,3%. Isso dá ao controle estatal um peso muito maior que o número de instituições sugere (39 de 1.622).</t>
  </si>
  <si>
    <t>(1) Usar medianas ao invés de médias. (2) É preciso separar a contagem de instituições do universo com dados (1.622 contra 1.571). (3) "Zero agências" não significa necessáriamente "ser digital".</t>
  </si>
  <si>
    <t>A concentração está aumentando ou diminuindo? As instituições digitais e de pagamento estão tirando participação dos grandes bancos?</t>
  </si>
  <si>
    <t>Outras variáveis de análise como número de clientes, canais digitais, qualidade da carteira e inadimplência, e taxas praticadas.</t>
  </si>
  <si>
    <t>Recalcular o ROE anualizado e com PL médio por porte e tipo de controle, comparando média simples, mediana e agregado, para verificar se a vantagem de rentabilidade dos maiores vista em junho de 2026 (8,11% contra 5,19% de ROE agregado) se mantém.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</si>
</sst>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\-"/>
    <numFmt numFmtId="165" formatCode="0.0%;\(0.0%\);\-"/>
    <numFmt numFmtId="166" formatCode="0.0&quot;x&quot;"/>
    <numFmt numFmtId="167" formatCode="0.00%;\(0.00%\);\-"/>
    <numFmt numFmtId="168" formatCode="0.0%"/>
    <numFmt numFmtId="169" formatCode="#,##0;\(#,##0\);0"/>
    <numFmt numFmtId="170" formatCode="0&quot;x&quot;"/>
    <numFmt numFmtId="171" formatCode="#,##0.0"/>
    <numFmt numFmtId="172" formatCode="#,##0.0;;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F172A"/>
      <name val="Arial"/>
      <family val="2"/>
    </font>
    <font>
      <b/>
      <sz val="11"/>
      <color rgb="FFFFFFFF"/>
      <name val="Arial"/>
      <family val="2"/>
    </font>
    <font>
      <b/>
      <sz val="10"/>
      <color rgb="FF0F172A"/>
      <name val="Arial"/>
      <family val="2"/>
    </font>
    <font>
      <sz val="10"/>
      <color rgb="FF0F172A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9"/>
      <color rgb="FF475569"/>
      <name val="Arial"/>
      <family val="2"/>
    </font>
    <font>
      <sz val="11"/>
      <color theme="1"/>
      <name val="Arial"/>
      <family val="2"/>
    </font>
    <font>
      <b/>
      <sz val="9"/>
      <color rgb="FF47556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1D1B10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7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right" vertical="center"/>
    </xf>
    <xf numFmtId="165" fontId="3" fillId="2" borderId="2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164" fontId="3" fillId="2" borderId="3" xfId="0" applyNumberFormat="1" applyFont="1" applyFill="1" applyBorder="1" applyAlignment="1">
      <alignment horizontal="right" vertical="center"/>
    </xf>
    <xf numFmtId="165" fontId="3" fillId="2" borderId="3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167" fontId="3" fillId="2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164" fontId="3" fillId="2" borderId="2" xfId="0" applyNumberFormat="1" applyFont="1" applyFill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center"/>
    </xf>
    <xf numFmtId="0" fontId="3" fillId="3" borderId="2" xfId="0" quotePrefix="1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 indent="1"/>
    </xf>
    <xf numFmtId="3" fontId="3" fillId="0" borderId="3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166" fontId="3" fillId="2" borderId="2" xfId="0" applyNumberFormat="1" applyFont="1" applyFill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171" fontId="3" fillId="0" borderId="2" xfId="0" applyNumberFormat="1" applyFont="1" applyBorder="1" applyAlignment="1">
      <alignment horizontal="right" vertical="center"/>
    </xf>
    <xf numFmtId="168" fontId="3" fillId="0" borderId="2" xfId="0" applyNumberFormat="1" applyFont="1" applyBorder="1" applyAlignment="1">
      <alignment horizontal="left" vertical="center"/>
    </xf>
    <xf numFmtId="168" fontId="3" fillId="0" borderId="2" xfId="0" applyNumberFormat="1" applyFont="1" applyBorder="1" applyAlignment="1">
      <alignment horizontal="right" vertical="center"/>
    </xf>
    <xf numFmtId="1" fontId="3" fillId="0" borderId="2" xfId="0" applyNumberFormat="1" applyFont="1" applyBorder="1" applyAlignment="1">
      <alignment horizontal="right" vertical="center"/>
    </xf>
    <xf numFmtId="171" fontId="3" fillId="2" borderId="2" xfId="0" applyNumberFormat="1" applyFont="1" applyFill="1" applyBorder="1" applyAlignment="1">
      <alignment horizontal="right" vertical="center"/>
    </xf>
    <xf numFmtId="168" fontId="3" fillId="2" borderId="2" xfId="0" applyNumberFormat="1" applyFont="1" applyFill="1" applyBorder="1" applyAlignment="1">
      <alignment horizontal="left" vertical="center"/>
    </xf>
    <xf numFmtId="168" fontId="3" fillId="2" borderId="2" xfId="0" applyNumberFormat="1" applyFont="1" applyFill="1" applyBorder="1" applyAlignment="1">
      <alignment horizontal="right" vertical="center"/>
    </xf>
    <xf numFmtId="1" fontId="3" fillId="2" borderId="2" xfId="0" applyNumberFormat="1" applyFont="1" applyFill="1" applyBorder="1" applyAlignment="1">
      <alignment horizontal="right" vertical="center"/>
    </xf>
    <xf numFmtId="172" fontId="3" fillId="0" borderId="2" xfId="0" applyNumberFormat="1" applyFont="1" applyBorder="1" applyAlignment="1">
      <alignment horizontal="right" vertical="center"/>
    </xf>
    <xf numFmtId="172" fontId="3" fillId="2" borderId="2" xfId="0" applyNumberFormat="1" applyFont="1" applyFill="1" applyBorder="1" applyAlignment="1">
      <alignment horizontal="right" vertical="center"/>
    </xf>
    <xf numFmtId="3" fontId="5" fillId="5" borderId="2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left" vertical="center"/>
    </xf>
    <xf numFmtId="164" fontId="5" fillId="5" borderId="3" xfId="0" applyNumberFormat="1" applyFont="1" applyFill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2" borderId="3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/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2" fillId="6" borderId="3" xfId="0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right" vertical="center"/>
    </xf>
    <xf numFmtId="167" fontId="3" fillId="2" borderId="6" xfId="0" applyNumberFormat="1" applyFont="1" applyFill="1" applyBorder="1" applyAlignment="1">
      <alignment horizontal="right" vertical="center"/>
    </xf>
    <xf numFmtId="0" fontId="2" fillId="6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165" fontId="3" fillId="0" borderId="6" xfId="0" applyNumberFormat="1" applyFont="1" applyBorder="1" applyAlignment="1">
      <alignment horizontal="right" vertical="center"/>
    </xf>
    <xf numFmtId="165" fontId="3" fillId="2" borderId="6" xfId="0" applyNumberFormat="1" applyFont="1" applyFill="1" applyBorder="1" applyAlignment="1">
      <alignment horizontal="right" vertical="center"/>
    </xf>
    <xf numFmtId="165" fontId="3" fillId="2" borderId="4" xfId="0" applyNumberFormat="1" applyFont="1" applyFill="1" applyBorder="1" applyAlignment="1">
      <alignment horizontal="right" vertical="center"/>
    </xf>
    <xf numFmtId="165" fontId="5" fillId="5" borderId="6" xfId="0" applyNumberFormat="1" applyFont="1" applyFill="1" applyBorder="1" applyAlignment="1">
      <alignment horizontal="right" vertical="center"/>
    </xf>
    <xf numFmtId="169" fontId="3" fillId="0" borderId="6" xfId="0" applyNumberFormat="1" applyFont="1" applyBorder="1" applyAlignment="1">
      <alignment horizontal="right" vertical="center"/>
    </xf>
    <xf numFmtId="169" fontId="3" fillId="2" borderId="6" xfId="0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3" fontId="5" fillId="5" borderId="3" xfId="0" applyNumberFormat="1" applyFont="1" applyFill="1" applyBorder="1" applyAlignment="1">
      <alignment horizontal="right" vertical="center"/>
    </xf>
    <xf numFmtId="165" fontId="5" fillId="5" borderId="3" xfId="0" applyNumberFormat="1" applyFont="1" applyFill="1" applyBorder="1" applyAlignment="1">
      <alignment horizontal="right" vertical="center"/>
    </xf>
    <xf numFmtId="171" fontId="3" fillId="2" borderId="3" xfId="0" applyNumberFormat="1" applyFont="1" applyFill="1" applyBorder="1" applyAlignment="1">
      <alignment horizontal="right" vertical="center"/>
    </xf>
    <xf numFmtId="168" fontId="3" fillId="2" borderId="3" xfId="0" applyNumberFormat="1" applyFont="1" applyFill="1" applyBorder="1" applyAlignment="1">
      <alignment horizontal="left" vertical="center"/>
    </xf>
    <xf numFmtId="168" fontId="3" fillId="2" borderId="3" xfId="0" applyNumberFormat="1" applyFont="1" applyFill="1" applyBorder="1" applyAlignment="1">
      <alignment horizontal="right" vertical="center"/>
    </xf>
    <xf numFmtId="1" fontId="3" fillId="2" borderId="3" xfId="0" applyNumberFormat="1" applyFont="1" applyFill="1" applyBorder="1" applyAlignment="1">
      <alignment horizontal="right" vertical="center"/>
    </xf>
    <xf numFmtId="172" fontId="3" fillId="2" borderId="3" xfId="0" applyNumberFormat="1" applyFont="1" applyFill="1" applyBorder="1" applyAlignment="1">
      <alignment horizontal="right" vertical="center"/>
    </xf>
    <xf numFmtId="3" fontId="8" fillId="3" borderId="6" xfId="0" applyNumberFormat="1" applyFont="1" applyFill="1" applyBorder="1" applyAlignment="1">
      <alignment horizontal="right" vertical="center"/>
    </xf>
    <xf numFmtId="170" fontId="8" fillId="3" borderId="6" xfId="0" applyNumberFormat="1" applyFont="1" applyFill="1" applyBorder="1" applyAlignment="1">
      <alignment horizontal="right" vertical="center"/>
    </xf>
    <xf numFmtId="0" fontId="8" fillId="3" borderId="6" xfId="0" applyFont="1" applyFill="1" applyBorder="1" applyAlignment="1">
      <alignment horizontal="right" vertical="center"/>
    </xf>
    <xf numFmtId="165" fontId="3" fillId="0" borderId="4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3" fontId="3" fillId="0" borderId="6" xfId="0" applyNumberFormat="1" applyFont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166" fontId="3" fillId="2" borderId="6" xfId="0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166" fontId="3" fillId="0" borderId="6" xfId="0" applyNumberFormat="1" applyFont="1" applyBorder="1" applyAlignment="1">
      <alignment horizontal="right" vertical="center"/>
    </xf>
    <xf numFmtId="164" fontId="3" fillId="2" borderId="6" xfId="0" applyNumberFormat="1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/>
    </xf>
    <xf numFmtId="164" fontId="5" fillId="5" borderId="6" xfId="0" applyNumberFormat="1" applyFont="1" applyFill="1" applyBorder="1" applyAlignment="1">
      <alignment horizontal="right" vertical="center"/>
    </xf>
    <xf numFmtId="1" fontId="3" fillId="0" borderId="6" xfId="0" applyNumberFormat="1" applyFont="1" applyBorder="1" applyAlignment="1">
      <alignment horizontal="right" vertical="center"/>
    </xf>
    <xf numFmtId="1" fontId="3" fillId="2" borderId="6" xfId="0" applyNumberFormat="1" applyFont="1" applyFill="1" applyBorder="1" applyAlignment="1">
      <alignment horizontal="right" vertical="center"/>
    </xf>
    <xf numFmtId="168" fontId="3" fillId="0" borderId="6" xfId="0" applyNumberFormat="1" applyFont="1" applyBorder="1" applyAlignment="1">
      <alignment horizontal="right" vertical="center"/>
    </xf>
    <xf numFmtId="168" fontId="3" fillId="2" borderId="6" xfId="0" applyNumberFormat="1" applyFont="1" applyFill="1" applyBorder="1" applyAlignment="1">
      <alignment horizontal="right" vertical="center"/>
    </xf>
    <xf numFmtId="172" fontId="3" fillId="0" borderId="6" xfId="0" applyNumberFormat="1" applyFont="1" applyBorder="1" applyAlignment="1">
      <alignment horizontal="right" vertical="center"/>
    </xf>
    <xf numFmtId="172" fontId="3" fillId="2" borderId="6" xfId="0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left" vertical="center"/>
    </xf>
    <xf numFmtId="0" fontId="3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10" fillId="7" borderId="0" xfId="0" applyFont="1" applyFill="1"/>
    <xf numFmtId="0" fontId="10" fillId="7" borderId="8" xfId="0" applyFont="1" applyFill="1" applyBorder="1"/>
    <xf numFmtId="0" fontId="9" fillId="8" borderId="0" xfId="0" applyFont="1" applyFill="1" applyAlignment="1">
      <alignment vertical="center"/>
    </xf>
    <xf numFmtId="0" fontId="9" fillId="8" borderId="8" xfId="0" applyFont="1" applyFill="1" applyBorder="1" applyAlignment="1">
      <alignment vertical="center"/>
    </xf>
    <xf numFmtId="0" fontId="9" fillId="8" borderId="0" xfId="0" applyFont="1" applyFill="1" applyAlignment="1">
      <alignment horizontal="left" vertical="center" wrapText="1"/>
    </xf>
    <xf numFmtId="0" fontId="11" fillId="8" borderId="0" xfId="0" applyFont="1" applyFill="1" applyAlignment="1">
      <alignment vertical="center"/>
    </xf>
    <xf numFmtId="0" fontId="3" fillId="3" borderId="2" xfId="0" applyFont="1" applyFill="1" applyBorder="1" applyAlignment="1">
      <alignment horizontal="left" vertical="top" wrapText="1" indent="1"/>
    </xf>
    <xf numFmtId="0" fontId="3" fillId="3" borderId="6" xfId="0" applyFont="1" applyFill="1" applyBorder="1" applyAlignment="1">
      <alignment horizontal="left" vertical="top" wrapText="1" indent="1"/>
    </xf>
    <xf numFmtId="0" fontId="4" fillId="4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165" fontId="3" fillId="3" borderId="2" xfId="0" applyNumberFormat="1" applyFont="1" applyFill="1" applyBorder="1" applyAlignment="1">
      <alignment horizontal="left" vertical="top" wrapText="1" indent="1"/>
    </xf>
    <xf numFmtId="165" fontId="3" fillId="3" borderId="6" xfId="0" applyNumberFormat="1" applyFont="1" applyFill="1" applyBorder="1" applyAlignment="1">
      <alignment horizontal="left" vertical="top" wrapText="1" indent="1"/>
    </xf>
    <xf numFmtId="164" fontId="3" fillId="3" borderId="2" xfId="0" applyNumberFormat="1" applyFont="1" applyFill="1" applyBorder="1" applyAlignment="1">
      <alignment horizontal="left" vertical="top" wrapText="1" indent="1"/>
    </xf>
    <xf numFmtId="164" fontId="3" fillId="3" borderId="6" xfId="0" applyNumberFormat="1" applyFont="1" applyFill="1" applyBorder="1" applyAlignment="1">
      <alignment horizontal="left" vertical="top" wrapText="1" indent="1"/>
    </xf>
    <xf numFmtId="0" fontId="1" fillId="7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0" borderId="6" xfId="0" applyFont="1" applyBorder="1" applyAlignment="1">
      <alignment horizontal="left" vertical="top" wrapText="1" indent="1"/>
    </xf>
    <xf numFmtId="0" fontId="9" fillId="8" borderId="0" xfId="0" applyFont="1" applyFill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7" borderId="0" xfId="0" applyFont="1" applyFill="1" applyAlignment="1">
      <alignment horizontal="left" vertical="center"/>
    </xf>
    <xf numFmtId="0" fontId="3" fillId="7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9" fillId="8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vertical="center"/>
    </xf>
    <xf numFmtId="0" fontId="3" fillId="0" borderId="8" xfId="0" applyFont="1" applyBorder="1" applyAlignment="1">
      <alignment horizontal="left" vertical="center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3" fillId="0" borderId="0" xfId="0" applyFont="1"/>
  </cellXfs>
  <cellStyles count="1">
    <cellStyle name="Normal" xfId="0" builtinId="0"/>
  </cellStyles>
  <dxfs count="47">
    <dxf>
      <font>
        <color rgb="FFDC2626"/>
      </font>
      <fill>
        <patternFill>
          <bgColor rgb="FFFEE2E2"/>
        </patternFill>
      </fill>
    </dxf>
    <dxf>
      <font>
        <b/>
        <color rgb="FFA16207"/>
      </font>
      <fill>
        <patternFill>
          <bgColor rgb="FFFEF3C7"/>
        </patternFill>
      </fill>
    </dxf>
    <dxf>
      <font>
        <b/>
        <color rgb="FF0F766E"/>
      </font>
      <fill>
        <patternFill>
          <bgColor rgb="FFCCFBF1"/>
        </patternFill>
      </fill>
    </dxf>
    <dxf>
      <font>
        <b/>
        <color rgb="FF1E3A8A"/>
      </font>
      <fill>
        <patternFill>
          <bgColor rgb="FFDBEAFE"/>
        </patternFill>
      </fill>
    </dxf>
    <dxf>
      <font>
        <color rgb="FFDC2626"/>
      </font>
      <fill>
        <patternFill>
          <bgColor rgb="FFFEE2E2"/>
        </patternFill>
      </fill>
    </dxf>
    <dxf>
      <font>
        <i/>
        <color rgb="FF94A3B8"/>
      </font>
    </dxf>
    <dxf>
      <font>
        <i/>
        <color rgb="FF94A3B8"/>
      </font>
    </dxf>
    <dxf>
      <font>
        <b/>
        <color rgb="FFA16207"/>
      </font>
      <fill>
        <patternFill>
          <bgColor rgb="FFFEF3C7"/>
        </patternFill>
      </fill>
    </dxf>
    <dxf>
      <font>
        <b/>
        <color rgb="FF0F766E"/>
      </font>
      <fill>
        <patternFill>
          <bgColor rgb="FFCCFBF1"/>
        </patternFill>
      </fill>
    </dxf>
    <dxf>
      <font>
        <b/>
        <color rgb="FF1E3A8A"/>
      </font>
      <fill>
        <patternFill>
          <bgColor rgb="FFDBEAFE"/>
        </patternFill>
      </fill>
    </dxf>
    <dxf>
      <fill>
        <patternFill>
          <bgColor rgb="FFF8FAFC"/>
        </patternFill>
      </fill>
    </dxf>
    <dxf>
      <font>
        <color rgb="FFDC2626"/>
      </font>
      <fill>
        <patternFill>
          <bgColor rgb="FFFEE2E2"/>
        </patternFill>
      </fill>
    </dxf>
    <dxf>
      <font>
        <i/>
        <color rgb="FF94A3B8"/>
      </font>
    </dxf>
    <dxf>
      <font>
        <i/>
        <color rgb="FF94A3B8"/>
      </font>
    </dxf>
    <dxf>
      <font>
        <b/>
        <color rgb="FFA16207"/>
      </font>
      <fill>
        <patternFill>
          <bgColor rgb="FFFEF3C7"/>
        </patternFill>
      </fill>
    </dxf>
    <dxf>
      <font>
        <b/>
        <color rgb="FF0F766E"/>
      </font>
      <fill>
        <patternFill>
          <bgColor rgb="FFCCFBF1"/>
        </patternFill>
      </fill>
    </dxf>
    <dxf>
      <font>
        <b/>
        <color rgb="FF1E3A8A"/>
      </font>
      <fill>
        <patternFill>
          <bgColor rgb="FFDBEAFE"/>
        </patternFill>
      </fill>
    </dxf>
    <dxf>
      <fill>
        <patternFill>
          <bgColor rgb="FFF8FAF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0" formatCode="General"/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0" formatCode="General"/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165" formatCode="0.0%;\(0.0%\);\-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165" formatCode="0.0%;\(0.0%\);\-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164" formatCode="#,##0;\(#,##0\);\-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164" formatCode="#,##0;\(#,##0\);\-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164" formatCode="#,##0;\(#,##0\);\-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164" formatCode="#,##0;\(#,##0\);\-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164" formatCode="#,##0;\(#,##0\);\-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164" formatCode="#,##0;\(#,##0\);\-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164" formatCode="#,##0;\(#,##0\);\-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164" formatCode="#,##0;\(#,##0\);\-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164" formatCode="#,##0;\(#,##0\);\-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numFmt numFmtId="1" formatCode="0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CBD5E1"/>
        </top>
        <bottom style="thin">
          <color rgb="FFCBD5E1"/>
        </bottom>
        <vertical/>
        <horizontal style="thin">
          <color rgb="FFCBD5E1"/>
        </horizontal>
      </border>
    </dxf>
    <dxf>
      <border outline="0">
        <top style="thin">
          <color rgb="FFCBD5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rial"/>
        <scheme val="none"/>
      </font>
      <fill>
        <patternFill patternType="none"/>
      </fill>
      <alignment horizontal="right" vertical="center" textRotation="0" wrapText="0" indent="0" justifyLastLine="0" shrinkToFit="0" readingOrder="0"/>
    </dxf>
    <dxf>
      <border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none">
          <fgColor rgb="FF993300"/>
          <bgColor rgb="FFA1620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DF2"/>
      <rgbColor rgb="FFFF00FF"/>
      <rgbColor rgb="FF00FFFF"/>
      <rgbColor rgb="FF800000"/>
      <rgbColor rgb="FF15803D"/>
      <rgbColor rgb="FF000080"/>
      <rgbColor rgb="FFA16207"/>
      <rgbColor rgb="FF800080"/>
      <rgbColor rgb="FF0F766E"/>
      <rgbColor rgb="FFD9D9D9"/>
      <rgbColor rgb="FF4F81BD"/>
      <rgbColor rgb="FF9999FF"/>
      <rgbColor rgb="FF993366"/>
      <rgbColor rgb="FFFFF9DB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8ECF1"/>
      <rgbColor rgb="FFFEF3C7"/>
      <rgbColor rgb="FFE2E8F0"/>
      <rgbColor rgb="FFFEE2E2"/>
      <rgbColor rgb="FFF8FAFC"/>
      <rgbColor rgb="FFE3C565"/>
      <rgbColor rgb="FF3B82F6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993300"/>
      <rgbColor rgb="FF993366"/>
      <rgbColor rgb="FF1E3A8A"/>
      <rgbColor rgb="FF47556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3A8A"/>
      <color rgb="FFD4A017"/>
      <color rgb="FF0F7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Nº de instituições por TCB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Tabela_TCB!$B$4</c:f>
              <c:strCache>
                <c:ptCount val="1"/>
                <c:pt idx="0">
                  <c:v>Qtd. de instituições</c:v>
                </c:pt>
              </c:strCache>
            </c:strRef>
          </c:tx>
          <c:spPr>
            <a:solidFill>
              <a:srgbClr val="1E3A8A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Tabela_TCB!$A$5:$A$12</c:f>
              <c:strCache>
                <c:ptCount val="8"/>
                <c:pt idx="0">
                  <c:v>b1</c:v>
                </c:pt>
                <c:pt idx="1">
                  <c:v>b2</c:v>
                </c:pt>
                <c:pt idx="2">
                  <c:v>b3S</c:v>
                </c:pt>
                <c:pt idx="3">
                  <c:v>b3C</c:v>
                </c:pt>
                <c:pt idx="4">
                  <c:v>b4</c:v>
                </c:pt>
                <c:pt idx="5">
                  <c:v>n1</c:v>
                </c:pt>
                <c:pt idx="6">
                  <c:v>n2</c:v>
                </c:pt>
                <c:pt idx="7">
                  <c:v>n4</c:v>
                </c:pt>
              </c:strCache>
            </c:strRef>
          </c:cat>
          <c:val>
            <c:numRef>
              <c:f>Tabela_TCB!$B$5:$B$12</c:f>
              <c:numCache>
                <c:formatCode>#,##0;\(#,##0\);\-</c:formatCode>
                <c:ptCount val="8"/>
                <c:pt idx="0">
                  <c:v>116</c:v>
                </c:pt>
                <c:pt idx="1">
                  <c:v>50</c:v>
                </c:pt>
                <c:pt idx="2">
                  <c:v>729</c:v>
                </c:pt>
                <c:pt idx="3">
                  <c:v>27</c:v>
                </c:pt>
                <c:pt idx="4">
                  <c:v>4</c:v>
                </c:pt>
                <c:pt idx="5">
                  <c:v>290</c:v>
                </c:pt>
                <c:pt idx="6">
                  <c:v>210</c:v>
                </c:pt>
                <c:pt idx="7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A-EF44-AD1C-BDAF33F9C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577388223"/>
        <c:axId val="1576767423"/>
      </c:barChart>
      <c:catAx>
        <c:axId val="157738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TCB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76767423"/>
        <c:crosses val="autoZero"/>
        <c:auto val="1"/>
        <c:lblAlgn val="ctr"/>
        <c:lblOffset val="100"/>
        <c:noMultiLvlLbl val="0"/>
      </c:catAx>
      <c:valAx>
        <c:axId val="157676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Instituições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7738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Concentração por TCB: % das instituições, do ativo e do lucro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Tabela_TCB!$F$4</c:f>
              <c:strCache>
                <c:ptCount val="1"/>
                <c:pt idx="0">
                  <c:v>% das instituições</c:v>
                </c:pt>
              </c:strCache>
            </c:strRef>
          </c:tx>
          <c:spPr>
            <a:solidFill>
              <a:srgbClr val="1E3A8A"/>
            </a:solidFill>
            <a:ln>
              <a:noFill/>
            </a:ln>
            <a:effectLst/>
          </c:spPr>
          <c:invertIfNegative val="0"/>
          <c:cat>
            <c:strRef>
              <c:f>Tabela_TCB!$A$5:$A$12</c:f>
              <c:strCache>
                <c:ptCount val="8"/>
                <c:pt idx="0">
                  <c:v>b1</c:v>
                </c:pt>
                <c:pt idx="1">
                  <c:v>b2</c:v>
                </c:pt>
                <c:pt idx="2">
                  <c:v>b3S</c:v>
                </c:pt>
                <c:pt idx="3">
                  <c:v>b3C</c:v>
                </c:pt>
                <c:pt idx="4">
                  <c:v>b4</c:v>
                </c:pt>
                <c:pt idx="5">
                  <c:v>n1</c:v>
                </c:pt>
                <c:pt idx="6">
                  <c:v>n2</c:v>
                </c:pt>
                <c:pt idx="7">
                  <c:v>n4</c:v>
                </c:pt>
              </c:strCache>
            </c:strRef>
          </c:cat>
          <c:val>
            <c:numRef>
              <c:f>Tabela_TCB!$F$5:$F$12</c:f>
              <c:numCache>
                <c:formatCode>0.0%;\(0.0%\);\-</c:formatCode>
                <c:ptCount val="8"/>
                <c:pt idx="0">
                  <c:v>7.1516646115906288E-2</c:v>
                </c:pt>
                <c:pt idx="1">
                  <c:v>3.0826140567200986E-2</c:v>
                </c:pt>
                <c:pt idx="2">
                  <c:v>0.44944512946979037</c:v>
                </c:pt>
                <c:pt idx="3">
                  <c:v>1.6646115906288533E-2</c:v>
                </c:pt>
                <c:pt idx="4">
                  <c:v>2.4660912453760789E-3</c:v>
                </c:pt>
                <c:pt idx="5">
                  <c:v>0.17879161528976573</c:v>
                </c:pt>
                <c:pt idx="6">
                  <c:v>0.12946979038224415</c:v>
                </c:pt>
                <c:pt idx="7">
                  <c:v>0.12083847102342787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4-0648-B25D-A04EC7E5AC60}"/>
            </c:ext>
          </c:extLst>
        </c:ser>
        <c:ser>
          <c:idx val="1"/>
          <c:order val="1"/>
          <c:tx>
            <c:strRef>
              <c:f>Tabela_TCB!$G$4</c:f>
              <c:strCache>
                <c:ptCount val="1"/>
                <c:pt idx="0">
                  <c:v>% do Ativo Total</c:v>
                </c:pt>
              </c:strCache>
            </c:strRef>
          </c:tx>
          <c:spPr>
            <a:solidFill>
              <a:srgbClr val="0F766E"/>
            </a:solidFill>
            <a:ln>
              <a:noFill/>
            </a:ln>
            <a:effectLst/>
          </c:spPr>
          <c:invertIfNegative val="0"/>
          <c:cat>
            <c:strRef>
              <c:f>Tabela_TCB!$A$5:$A$12</c:f>
              <c:strCache>
                <c:ptCount val="8"/>
                <c:pt idx="0">
                  <c:v>b1</c:v>
                </c:pt>
                <c:pt idx="1">
                  <c:v>b2</c:v>
                </c:pt>
                <c:pt idx="2">
                  <c:v>b3S</c:v>
                </c:pt>
                <c:pt idx="3">
                  <c:v>b3C</c:v>
                </c:pt>
                <c:pt idx="4">
                  <c:v>b4</c:v>
                </c:pt>
                <c:pt idx="5">
                  <c:v>n1</c:v>
                </c:pt>
                <c:pt idx="6">
                  <c:v>n2</c:v>
                </c:pt>
                <c:pt idx="7">
                  <c:v>n4</c:v>
                </c:pt>
              </c:strCache>
            </c:strRef>
          </c:cat>
          <c:val>
            <c:numRef>
              <c:f>Tabela_TCB!$G$5:$G$12</c:f>
              <c:numCache>
                <c:formatCode>0.0%;\(0.0%\);\-</c:formatCode>
                <c:ptCount val="8"/>
                <c:pt idx="0">
                  <c:v>0.73269093250498718</c:v>
                </c:pt>
                <c:pt idx="1">
                  <c:v>4.7790079170968426E-2</c:v>
                </c:pt>
                <c:pt idx="2">
                  <c:v>5.0885807874946669E-2</c:v>
                </c:pt>
                <c:pt idx="3">
                  <c:v>1.3065108224481651E-2</c:v>
                </c:pt>
                <c:pt idx="4">
                  <c:v>5.754408894180716E-2</c:v>
                </c:pt>
                <c:pt idx="5">
                  <c:v>3.7663027936513896E-2</c:v>
                </c:pt>
                <c:pt idx="6">
                  <c:v>1.3406400079466965E-2</c:v>
                </c:pt>
                <c:pt idx="7">
                  <c:v>4.6954555266828076E-2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F4-0648-B25D-A04EC7E5AC60}"/>
            </c:ext>
          </c:extLst>
        </c:ser>
        <c:ser>
          <c:idx val="2"/>
          <c:order val="2"/>
          <c:tx>
            <c:strRef>
              <c:f>Tabela_TCB!$H$4</c:f>
              <c:strCache>
                <c:ptCount val="1"/>
                <c:pt idx="0">
                  <c:v>% do Lucro Líquido</c:v>
                </c:pt>
              </c:strCache>
            </c:strRef>
          </c:tx>
          <c:spPr>
            <a:solidFill>
              <a:srgbClr val="D4A017"/>
            </a:solidFill>
            <a:ln>
              <a:noFill/>
            </a:ln>
            <a:effectLst/>
          </c:spPr>
          <c:invertIfNegative val="0"/>
          <c:cat>
            <c:strRef>
              <c:f>Tabela_TCB!$A$5:$A$12</c:f>
              <c:strCache>
                <c:ptCount val="8"/>
                <c:pt idx="0">
                  <c:v>b1</c:v>
                </c:pt>
                <c:pt idx="1">
                  <c:v>b2</c:v>
                </c:pt>
                <c:pt idx="2">
                  <c:v>b3S</c:v>
                </c:pt>
                <c:pt idx="3">
                  <c:v>b3C</c:v>
                </c:pt>
                <c:pt idx="4">
                  <c:v>b4</c:v>
                </c:pt>
                <c:pt idx="5">
                  <c:v>n1</c:v>
                </c:pt>
                <c:pt idx="6">
                  <c:v>n2</c:v>
                </c:pt>
                <c:pt idx="7">
                  <c:v>n4</c:v>
                </c:pt>
              </c:strCache>
            </c:strRef>
          </c:cat>
          <c:val>
            <c:numRef>
              <c:f>Tabela_TCB!$H$5:$H$12</c:f>
              <c:numCache>
                <c:formatCode>0.0%;\(0.0%\);\-</c:formatCode>
                <c:ptCount val="8"/>
                <c:pt idx="0">
                  <c:v>0.52524896235467367</c:v>
                </c:pt>
                <c:pt idx="1">
                  <c:v>0.17881368092922123</c:v>
                </c:pt>
                <c:pt idx="2">
                  <c:v>5.593684012356049E-2</c:v>
                </c:pt>
                <c:pt idx="3">
                  <c:v>4.4164036169349512E-3</c:v>
                </c:pt>
                <c:pt idx="4">
                  <c:v>7.525521189944602E-2</c:v>
                </c:pt>
                <c:pt idx="5">
                  <c:v>6.1285990415488059E-2</c:v>
                </c:pt>
                <c:pt idx="6">
                  <c:v>3.1312688892995738E-2</c:v>
                </c:pt>
                <c:pt idx="7">
                  <c:v>6.7730221767679857E-2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F4-0648-B25D-A04EC7E5A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461196927"/>
        <c:axId val="1461191103"/>
      </c:barChart>
      <c:catAx>
        <c:axId val="146119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TCB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461191103"/>
        <c:crosses val="autoZero"/>
        <c:auto val="1"/>
        <c:lblAlgn val="ctr"/>
        <c:lblOffset val="100"/>
        <c:noMultiLvlLbl val="0"/>
      </c:catAx>
      <c:valAx>
        <c:axId val="146119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% do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4611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Participação no Ativo Total por tipo de controle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Cálculos_Apoio!$D$17</c:f>
              <c:strCache>
                <c:ptCount val="1"/>
                <c:pt idx="0">
                  <c:v>% do Ativo Total</c:v>
                </c:pt>
              </c:strCache>
            </c:strRef>
          </c:tx>
          <c:dPt>
            <c:idx val="0"/>
            <c:bubble3D val="0"/>
            <c:spPr>
              <a:solidFill>
                <a:srgbClr val="1E3A8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24-A948-8ECB-FD1EA5014D05}"/>
              </c:ext>
            </c:extLst>
          </c:dPt>
          <c:dPt>
            <c:idx val="1"/>
            <c:bubble3D val="0"/>
            <c:spPr>
              <a:solidFill>
                <a:srgbClr val="0F76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224-A948-8ECB-FD1EA5014D05}"/>
              </c:ext>
            </c:extLst>
          </c:dPt>
          <c:dPt>
            <c:idx val="2"/>
            <c:bubble3D val="0"/>
            <c:spPr>
              <a:solidFill>
                <a:srgbClr val="D4A01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24-A948-8ECB-FD1EA5014D05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Cálculos_Apoio!$B$18:$B$20</c:f>
              <c:strCache>
                <c:ptCount val="3"/>
                <c:pt idx="0">
                  <c:v>Público</c:v>
                </c:pt>
                <c:pt idx="1">
                  <c:v>Privado Nacional</c:v>
                </c:pt>
                <c:pt idx="2">
                  <c:v>Privado Estrangeiro</c:v>
                </c:pt>
              </c:strCache>
            </c:strRef>
          </c:cat>
          <c:val>
            <c:numRef>
              <c:f>Cálculos_Apoio!$D$18:$D$20</c:f>
              <c:numCache>
                <c:formatCode>0.0%;\(0.0%\);\-</c:formatCode>
                <c:ptCount val="3"/>
                <c:pt idx="0">
                  <c:v>0.32779036717544996</c:v>
                </c:pt>
                <c:pt idx="1">
                  <c:v>0.50067145514508227</c:v>
                </c:pt>
                <c:pt idx="2">
                  <c:v>0.17153817767946772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4-A948-8ECB-FD1EA5014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ROE do semestre por tipo de controle: média simples x agregado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Média simples dos ROEs</c:v>
          </c:tx>
          <c:spPr>
            <a:solidFill>
              <a:srgbClr val="1E3A8A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Cálculos_Apoio!$B$11:$B$13</c:f>
              <c:strCache>
                <c:ptCount val="3"/>
                <c:pt idx="0">
                  <c:v>Público</c:v>
                </c:pt>
                <c:pt idx="1">
                  <c:v>Privado Nacional</c:v>
                </c:pt>
                <c:pt idx="2">
                  <c:v>Privado Estrangeiro</c:v>
                </c:pt>
              </c:strCache>
            </c:strRef>
          </c:cat>
          <c:val>
            <c:numRef>
              <c:f>Cálculos_Apoio!$D$11:$D$13</c:f>
              <c:numCache>
                <c:formatCode>0.0%;\(0.0%\);\-</c:formatCode>
                <c:ptCount val="3"/>
                <c:pt idx="0">
                  <c:v>7.9884687263499898E-2</c:v>
                </c:pt>
                <c:pt idx="1">
                  <c:v>1.3724569340199442E-2</c:v>
                </c:pt>
                <c:pt idx="2">
                  <c:v>-3.3812466318909676E-2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F-A845-B801-89B1633C5D5F}"/>
            </c:ext>
          </c:extLst>
        </c:ser>
        <c:ser>
          <c:idx val="1"/>
          <c:order val="1"/>
          <c:tx>
            <c:v>ROE agregado (Lucro ÷ PL)</c:v>
          </c:tx>
          <c:spPr>
            <a:solidFill>
              <a:srgbClr val="D4A017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Cálculos_Apoio!$B$11:$B$13</c:f>
              <c:strCache>
                <c:ptCount val="3"/>
                <c:pt idx="0">
                  <c:v>Público</c:v>
                </c:pt>
                <c:pt idx="1">
                  <c:v>Privado Nacional</c:v>
                </c:pt>
                <c:pt idx="2">
                  <c:v>Privado Estrangeiro</c:v>
                </c:pt>
              </c:strCache>
            </c:strRef>
          </c:cat>
          <c:val>
            <c:numRef>
              <c:f>Cálculos_Apoio!$G$11:$G$13</c:f>
              <c:numCache>
                <c:formatCode>0.0%;\(0.0%\);\-</c:formatCode>
                <c:ptCount val="3"/>
                <c:pt idx="0">
                  <c:v>5.3457179947874564E-2</c:v>
                </c:pt>
                <c:pt idx="1">
                  <c:v>8.5204148217814454E-2</c:v>
                </c:pt>
                <c:pt idx="2">
                  <c:v>7.7185645937011257E-2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2F-A845-B801-89B1633C5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420936511"/>
        <c:axId val="1452785663"/>
      </c:barChart>
      <c:catAx>
        <c:axId val="1420936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Tipo de controle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452785663"/>
        <c:crosses val="autoZero"/>
        <c:auto val="1"/>
        <c:lblAlgn val="ctr"/>
        <c:lblOffset val="100"/>
        <c:noMultiLvlLbl val="0"/>
      </c:catAx>
      <c:valAx>
        <c:axId val="145278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ROE do semestre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42093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Instituições por UF (5 maiores e demais)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Cálculos_Apoio!$B$86</c:f>
              <c:strCache>
                <c:ptCount val="1"/>
                <c:pt idx="0">
                  <c:v>Nº de instituições</c:v>
                </c:pt>
              </c:strCache>
            </c:strRef>
          </c:tx>
          <c:spPr>
            <a:solidFill>
              <a:srgbClr val="0F766E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Cálculos_Apoio!$A$87:$A$92</c:f>
              <c:strCache>
                <c:ptCount val="6"/>
                <c:pt idx="0">
                  <c:v>SP</c:v>
                </c:pt>
                <c:pt idx="1">
                  <c:v>MG</c:v>
                </c:pt>
                <c:pt idx="2">
                  <c:v>RS</c:v>
                </c:pt>
                <c:pt idx="3">
                  <c:v>PR</c:v>
                </c:pt>
                <c:pt idx="4">
                  <c:v>SC</c:v>
                </c:pt>
                <c:pt idx="5">
                  <c:v>Demais UFs</c:v>
                </c:pt>
              </c:strCache>
            </c:strRef>
          </c:cat>
          <c:val>
            <c:numRef>
              <c:f>Cálculos_Apoio!$B$87:$B$92</c:f>
              <c:numCache>
                <c:formatCode>#,##0</c:formatCode>
                <c:ptCount val="6"/>
                <c:pt idx="0">
                  <c:v>684</c:v>
                </c:pt>
                <c:pt idx="1">
                  <c:v>210</c:v>
                </c:pt>
                <c:pt idx="2">
                  <c:v>145</c:v>
                </c:pt>
                <c:pt idx="3">
                  <c:v>121</c:v>
                </c:pt>
                <c:pt idx="4">
                  <c:v>118</c:v>
                </c:pt>
                <c:pt idx="5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D-2D4B-9844-E8AF6F60E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564015935"/>
        <c:axId val="1450271487"/>
      </c:barChart>
      <c:catAx>
        <c:axId val="1564015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UF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450271487"/>
        <c:crosses val="autoZero"/>
        <c:auto val="1"/>
        <c:lblAlgn val="ctr"/>
        <c:lblOffset val="100"/>
        <c:noMultiLvlLbl val="0"/>
      </c:catAx>
      <c:valAx>
        <c:axId val="145027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Instituições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6401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Instituições sem agência física por TCB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Cálculos_Apoio!$B$74</c:f>
              <c:strCache>
                <c:ptCount val="1"/>
                <c:pt idx="0">
                  <c:v>Nº sem agência física</c:v>
                </c:pt>
              </c:strCache>
            </c:strRef>
          </c:tx>
          <c:spPr>
            <a:solidFill>
              <a:srgbClr val="D4A017"/>
            </a:solidFill>
            <a:ln>
              <a:noFill/>
            </a:ln>
            <a:effectLst/>
          </c:spPr>
          <c:invertIfNegative val="0"/>
          <c:dLbls>
            <c:numFmt formatCode="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Cálculos_Apoio!$A$75:$A$82</c:f>
              <c:strCache>
                <c:ptCount val="8"/>
                <c:pt idx="0">
                  <c:v>b1</c:v>
                </c:pt>
                <c:pt idx="1">
                  <c:v>b2</c:v>
                </c:pt>
                <c:pt idx="2">
                  <c:v>b3S</c:v>
                </c:pt>
                <c:pt idx="3">
                  <c:v>b3C</c:v>
                </c:pt>
                <c:pt idx="4">
                  <c:v>b4</c:v>
                </c:pt>
                <c:pt idx="5">
                  <c:v>n1</c:v>
                </c:pt>
                <c:pt idx="6">
                  <c:v>n2</c:v>
                </c:pt>
                <c:pt idx="7">
                  <c:v>n4</c:v>
                </c:pt>
              </c:strCache>
            </c:strRef>
          </c:cat>
          <c:val>
            <c:numRef>
              <c:f>Cálculos_Apoio!$B$75:$B$82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729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1-244A-862C-53791A84A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565892479"/>
        <c:axId val="1565894271"/>
      </c:barChart>
      <c:catAx>
        <c:axId val="156589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TCB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65894271"/>
        <c:crosses val="autoZero"/>
        <c:auto val="1"/>
        <c:lblAlgn val="ctr"/>
        <c:lblOffset val="100"/>
        <c:noMultiLvlLbl val="0"/>
      </c:catAx>
      <c:valAx>
        <c:axId val="156589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Instituições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6589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ROE agregado do semestre por TCB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ROE agregado do semestre</c:v>
          </c:tx>
          <c:spPr>
            <a:solidFill>
              <a:srgbClr val="1E3A8A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Cálculos_Apoio!$W$4:$W$11</c:f>
              <c:strCache>
                <c:ptCount val="8"/>
                <c:pt idx="0">
                  <c:v>b1</c:v>
                </c:pt>
                <c:pt idx="1">
                  <c:v>b2</c:v>
                </c:pt>
                <c:pt idx="2">
                  <c:v>b3S</c:v>
                </c:pt>
                <c:pt idx="3">
                  <c:v>b3C</c:v>
                </c:pt>
                <c:pt idx="4">
                  <c:v>b4</c:v>
                </c:pt>
                <c:pt idx="5">
                  <c:v>n1</c:v>
                </c:pt>
                <c:pt idx="6">
                  <c:v>n2</c:v>
                </c:pt>
                <c:pt idx="7">
                  <c:v>n4</c:v>
                </c:pt>
              </c:strCache>
            </c:strRef>
          </c:cat>
          <c:val>
            <c:numRef>
              <c:f>Cálculos_Apoio!$X$4:$X$11</c:f>
              <c:numCache>
                <c:formatCode>0.0%</c:formatCode>
                <c:ptCount val="8"/>
                <c:pt idx="0">
                  <c:v>7.1441186017791036E-2</c:v>
                </c:pt>
                <c:pt idx="1">
                  <c:v>9.7382483726476315E-2</c:v>
                </c:pt>
                <c:pt idx="2">
                  <c:v>6.1318956261808069E-2</c:v>
                </c:pt>
                <c:pt idx="3">
                  <c:v>3.4656352318097654E-2</c:v>
                </c:pt>
                <c:pt idx="4">
                  <c:v>6.0922532227191656E-2</c:v>
                </c:pt>
                <c:pt idx="5">
                  <c:v>8.6015979984902596E-2</c:v>
                </c:pt>
                <c:pt idx="6">
                  <c:v>9.8449741344251052E-2</c:v>
                </c:pt>
                <c:pt idx="7">
                  <c:v>8.4329359375806226E-2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7-7E4F-9A8A-B980B49CA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571544063"/>
        <c:axId val="1571545855"/>
      </c:barChart>
      <c:catAx>
        <c:axId val="157154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TCB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71545855"/>
        <c:crosses val="autoZero"/>
        <c:auto val="1"/>
        <c:lblAlgn val="ctr"/>
        <c:lblOffset val="100"/>
        <c:noMultiLvlLbl val="0"/>
      </c:catAx>
      <c:valAx>
        <c:axId val="15715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ROE do semestre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7154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Participação no Ativo Total por tipo de controle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v>% do Ativo Total</c:v>
          </c:tx>
          <c:dPt>
            <c:idx val="0"/>
            <c:bubble3D val="0"/>
            <c:spPr>
              <a:solidFill>
                <a:srgbClr val="1E3A8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A7-3C47-907A-11D98EBC13EB}"/>
              </c:ext>
            </c:extLst>
          </c:dPt>
          <c:dPt>
            <c:idx val="1"/>
            <c:bubble3D val="0"/>
            <c:spPr>
              <a:solidFill>
                <a:srgbClr val="0F76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8A7-3C47-907A-11D98EBC13EB}"/>
              </c:ext>
            </c:extLst>
          </c:dPt>
          <c:dPt>
            <c:idx val="2"/>
            <c:bubble3D val="0"/>
            <c:spPr>
              <a:solidFill>
                <a:srgbClr val="D4A01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A7-3C47-907A-11D98EBC13EB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Cálculos_Apoio!$B$18:$B$20</c:f>
              <c:strCache>
                <c:ptCount val="3"/>
                <c:pt idx="0">
                  <c:v>Público</c:v>
                </c:pt>
                <c:pt idx="1">
                  <c:v>Privado Nacional</c:v>
                </c:pt>
                <c:pt idx="2">
                  <c:v>Privado Estrangeiro</c:v>
                </c:pt>
              </c:strCache>
            </c:strRef>
          </c:cat>
          <c:val>
            <c:numRef>
              <c:f>Cálculos_Apoio!$D$18:$D$20</c:f>
              <c:numCache>
                <c:formatCode>0.0%;\(0.0%\);\-</c:formatCode>
                <c:ptCount val="3"/>
                <c:pt idx="0">
                  <c:v>0.32779036717544996</c:v>
                </c:pt>
                <c:pt idx="1">
                  <c:v>0.50067145514508227</c:v>
                </c:pt>
                <c:pt idx="2">
                  <c:v>0.17153817767946772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7-3C47-907A-11D98EBC1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Top 10 instituições por Ativo Total (R$ bi)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Público</c:v>
          </c:tx>
          <c:spPr>
            <a:solidFill>
              <a:srgbClr val="1E3A8A"/>
            </a:solidFill>
            <a:ln>
              <a:noFill/>
            </a:ln>
            <a:effectLst/>
          </c:spPr>
          <c:invertIfNegative val="0"/>
          <c:dLbls>
            <c:numFmt formatCode="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Cálculos_Apoio!$Y$15:$Y$24</c:f>
              <c:strCache>
                <c:ptCount val="10"/>
                <c:pt idx="0">
                  <c:v>BANCO DO BRASIL S.A.</c:v>
                </c:pt>
                <c:pt idx="1">
                  <c:v>CAIXA ECONOMICA FEDERAL</c:v>
                </c:pt>
                <c:pt idx="2">
                  <c:v>ITAÚ UNIBANCO S.A.</c:v>
                </c:pt>
                <c:pt idx="3">
                  <c:v>BANCO BRADESCO S.A.</c:v>
                </c:pt>
                <c:pt idx="4">
                  <c:v>BANCO SANTANDER (BRASIL) S.A.</c:v>
                </c:pt>
                <c:pt idx="5">
                  <c:v>BANCO NACIONAL DE DESENVOLVIMENTO …</c:v>
                </c:pt>
                <c:pt idx="6">
                  <c:v>BANCO BTG PACTUAL S.A.</c:v>
                </c:pt>
                <c:pt idx="7">
                  <c:v>ITAÚ UNIBANCO HOLDING S.A.</c:v>
                </c:pt>
                <c:pt idx="8">
                  <c:v>NU FINANCEIRA S.A. - SOCIEDADE DE …</c:v>
                </c:pt>
                <c:pt idx="9">
                  <c:v>BANCO SAFRA S.A.</c:v>
                </c:pt>
              </c:strCache>
            </c:strRef>
          </c:cat>
          <c:val>
            <c:numRef>
              <c:f>Cálculos_Apoio!$AB$15:$AB$24</c:f>
              <c:numCache>
                <c:formatCode>#,##0.0;;</c:formatCode>
                <c:ptCount val="10"/>
                <c:pt idx="0">
                  <c:v>2461.086914</c:v>
                </c:pt>
                <c:pt idx="1">
                  <c:v>2368.1472250000002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1073.403746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9-4444-9B50-724B26FE2A8A}"/>
            </c:ext>
          </c:extLst>
        </c:ser>
        <c:ser>
          <c:idx val="1"/>
          <c:order val="1"/>
          <c:tx>
            <c:v>Privado Nacional</c:v>
          </c:tx>
          <c:spPr>
            <a:solidFill>
              <a:srgbClr val="0F766E"/>
            </a:solidFill>
            <a:ln>
              <a:noFill/>
            </a:ln>
            <a:effectLst/>
          </c:spPr>
          <c:invertIfNegative val="0"/>
          <c:dLbls>
            <c:numFmt formatCode="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Cálculos_Apoio!$Y$15:$Y$24</c:f>
              <c:strCache>
                <c:ptCount val="10"/>
                <c:pt idx="0">
                  <c:v>BANCO DO BRASIL S.A.</c:v>
                </c:pt>
                <c:pt idx="1">
                  <c:v>CAIXA ECONOMICA FEDERAL</c:v>
                </c:pt>
                <c:pt idx="2">
                  <c:v>ITAÚ UNIBANCO S.A.</c:v>
                </c:pt>
                <c:pt idx="3">
                  <c:v>BANCO BRADESCO S.A.</c:v>
                </c:pt>
                <c:pt idx="4">
                  <c:v>BANCO SANTANDER (BRASIL) S.A.</c:v>
                </c:pt>
                <c:pt idx="5">
                  <c:v>BANCO NACIONAL DE DESENVOLVIMENTO …</c:v>
                </c:pt>
                <c:pt idx="6">
                  <c:v>BANCO BTG PACTUAL S.A.</c:v>
                </c:pt>
                <c:pt idx="7">
                  <c:v>ITAÚ UNIBANCO HOLDING S.A.</c:v>
                </c:pt>
                <c:pt idx="8">
                  <c:v>NU FINANCEIRA S.A. - SOCIEDADE DE …</c:v>
                </c:pt>
                <c:pt idx="9">
                  <c:v>BANCO SAFRA S.A.</c:v>
                </c:pt>
              </c:strCache>
            </c:strRef>
          </c:cat>
          <c:val>
            <c:numRef>
              <c:f>Cálculos_Apoio!$AC$15:$AC$24</c:f>
              <c:numCache>
                <c:formatCode>#,##0.0;;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2169.4095649999999</c:v>
                </c:pt>
                <c:pt idx="3">
                  <c:v>1952.464273</c:v>
                </c:pt>
                <c:pt idx="4">
                  <c:v>0</c:v>
                </c:pt>
                <c:pt idx="5">
                  <c:v>0</c:v>
                </c:pt>
                <c:pt idx="6">
                  <c:v>743.25895700000001</c:v>
                </c:pt>
                <c:pt idx="7">
                  <c:v>493.18339500000002</c:v>
                </c:pt>
                <c:pt idx="8">
                  <c:v>0</c:v>
                </c:pt>
                <c:pt idx="9">
                  <c:v>256.68346500000001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9-4444-9B50-724B26FE2A8A}"/>
            </c:ext>
          </c:extLst>
        </c:ser>
        <c:ser>
          <c:idx val="2"/>
          <c:order val="2"/>
          <c:tx>
            <c:v>Privado Estrangeiro</c:v>
          </c:tx>
          <c:spPr>
            <a:solidFill>
              <a:srgbClr val="D4A017"/>
            </a:solidFill>
            <a:ln>
              <a:noFill/>
            </a:ln>
            <a:effectLst/>
          </c:spPr>
          <c:invertIfNegative val="0"/>
          <c:dLbls>
            <c:numFmt formatCode="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Cálculos_Apoio!$Y$15:$Y$24</c:f>
              <c:strCache>
                <c:ptCount val="10"/>
                <c:pt idx="0">
                  <c:v>BANCO DO BRASIL S.A.</c:v>
                </c:pt>
                <c:pt idx="1">
                  <c:v>CAIXA ECONOMICA FEDERAL</c:v>
                </c:pt>
                <c:pt idx="2">
                  <c:v>ITAÚ UNIBANCO S.A.</c:v>
                </c:pt>
                <c:pt idx="3">
                  <c:v>BANCO BRADESCO S.A.</c:v>
                </c:pt>
                <c:pt idx="4">
                  <c:v>BANCO SANTANDER (BRASIL) S.A.</c:v>
                </c:pt>
                <c:pt idx="5">
                  <c:v>BANCO NACIONAL DE DESENVOLVIMENTO …</c:v>
                </c:pt>
                <c:pt idx="6">
                  <c:v>BANCO BTG PACTUAL S.A.</c:v>
                </c:pt>
                <c:pt idx="7">
                  <c:v>ITAÚ UNIBANCO HOLDING S.A.</c:v>
                </c:pt>
                <c:pt idx="8">
                  <c:v>NU FINANCEIRA S.A. - SOCIEDADE DE …</c:v>
                </c:pt>
                <c:pt idx="9">
                  <c:v>BANCO SAFRA S.A.</c:v>
                </c:pt>
              </c:strCache>
            </c:strRef>
          </c:cat>
          <c:val>
            <c:numRef>
              <c:f>Cálculos_Apoio!$AD$15:$AD$24</c:f>
              <c:numCache>
                <c:formatCode>#,##0.0;;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1209.4430829999999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267.62469499999997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B9-4444-9B50-724B26FE2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575856639"/>
        <c:axId val="1575858431"/>
      </c:barChart>
      <c:catAx>
        <c:axId val="1575856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75858431"/>
        <c:crosses val="autoZero"/>
        <c:auto val="1"/>
        <c:lblAlgn val="ctr"/>
        <c:lblOffset val="100"/>
        <c:noMultiLvlLbl val="0"/>
      </c:catAx>
      <c:valAx>
        <c:axId val="15758584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R$ 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758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Ativo Total médio por TCB (R$ bi)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Ativo Total médio (R$ bi)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E3A8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A3-6E44-815C-A61F96A14B14}"/>
              </c:ext>
            </c:extLst>
          </c:dPt>
          <c:dPt>
            <c:idx val="1"/>
            <c:invertIfNegative val="0"/>
            <c:bubble3D val="0"/>
            <c:spPr>
              <a:solidFill>
                <a:srgbClr val="0F766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A3-6E44-815C-A61F96A14B14}"/>
              </c:ext>
            </c:extLst>
          </c:dPt>
          <c:dPt>
            <c:idx val="2"/>
            <c:invertIfNegative val="0"/>
            <c:bubble3D val="0"/>
            <c:spPr>
              <a:solidFill>
                <a:srgbClr val="D4A01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A3-6E44-815C-A61F96A14B14}"/>
              </c:ext>
            </c:extLst>
          </c:dPt>
          <c:dPt>
            <c:idx val="3"/>
            <c:invertIfNegative val="0"/>
            <c:bubble3D val="0"/>
            <c:spPr>
              <a:solidFill>
                <a:srgbClr val="6474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9A3-6E44-815C-A61F96A14B14}"/>
              </c:ext>
            </c:extLst>
          </c:dPt>
          <c:dPt>
            <c:idx val="4"/>
            <c:invertIfNegative val="0"/>
            <c:bubble3D val="0"/>
            <c:spPr>
              <a:solidFill>
                <a:srgbClr val="7C3AE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9A3-6E44-815C-A61F96A14B14}"/>
              </c:ext>
            </c:extLst>
          </c:dPt>
          <c:dPt>
            <c:idx val="5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9A3-6E44-815C-A61F96A14B14}"/>
              </c:ext>
            </c:extLst>
          </c:dPt>
          <c:dPt>
            <c:idx val="6"/>
            <c:invertIfNegative val="0"/>
            <c:bubble3D val="0"/>
            <c:spPr>
              <a:solidFill>
                <a:srgbClr val="B4530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9A3-6E44-815C-A61F96A14B14}"/>
              </c:ext>
            </c:extLst>
          </c:dPt>
          <c:dPt>
            <c:idx val="7"/>
            <c:invertIfNegative val="0"/>
            <c:bubble3D val="0"/>
            <c:spPr>
              <a:solidFill>
                <a:srgbClr val="BE18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9A3-6E44-815C-A61F96A14B14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Cálculos_Apoio!$W$4:$W$11</c:f>
              <c:strCache>
                <c:ptCount val="8"/>
                <c:pt idx="0">
                  <c:v>b1</c:v>
                </c:pt>
                <c:pt idx="1">
                  <c:v>b2</c:v>
                </c:pt>
                <c:pt idx="2">
                  <c:v>b3S</c:v>
                </c:pt>
                <c:pt idx="3">
                  <c:v>b3C</c:v>
                </c:pt>
                <c:pt idx="4">
                  <c:v>b4</c:v>
                </c:pt>
                <c:pt idx="5">
                  <c:v>n1</c:v>
                </c:pt>
                <c:pt idx="6">
                  <c:v>n2</c:v>
                </c:pt>
                <c:pt idx="7">
                  <c:v>n4</c:v>
                </c:pt>
              </c:strCache>
            </c:strRef>
          </c:cat>
          <c:val>
            <c:numRef>
              <c:f>Cálculos_Apoio!$Y$4:$Y$11</c:f>
              <c:numCache>
                <c:formatCode>#,##0.0</c:formatCode>
                <c:ptCount val="8"/>
                <c:pt idx="0">
                  <c:v>125.31426496491228</c:v>
                </c:pt>
                <c:pt idx="1">
                  <c:v>18.635982379999998</c:v>
                </c:pt>
                <c:pt idx="2">
                  <c:v>1.3974068591549296</c:v>
                </c:pt>
                <c:pt idx="3">
                  <c:v>9.4348237777777779</c:v>
                </c:pt>
                <c:pt idx="4">
                  <c:v>280.49509599999999</c:v>
                </c:pt>
                <c:pt idx="5">
                  <c:v>2.6415265611510792</c:v>
                </c:pt>
                <c:pt idx="6">
                  <c:v>1.2750959317073169</c:v>
                </c:pt>
                <c:pt idx="7">
                  <c:v>5.002777491803279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3-6E44-815C-A61F96A14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574796607"/>
        <c:axId val="1574793023"/>
      </c:barChart>
      <c:catAx>
        <c:axId val="1574796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TCB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74793023"/>
        <c:crosses val="autoZero"/>
        <c:auto val="1"/>
        <c:lblAlgn val="ctr"/>
        <c:lblOffset val="100"/>
        <c:noMultiLvlLbl val="0"/>
      </c:catAx>
      <c:valAx>
        <c:axId val="157479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R$ bi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7479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Nº de instituições por tipo de controle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v>Nº de instituições</c:v>
          </c:tx>
          <c:dPt>
            <c:idx val="0"/>
            <c:bubble3D val="0"/>
            <c:spPr>
              <a:solidFill>
                <a:srgbClr val="1E3A8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D8-2744-9DA8-932AF5F920E3}"/>
              </c:ext>
            </c:extLst>
          </c:dPt>
          <c:dPt>
            <c:idx val="1"/>
            <c:bubble3D val="0"/>
            <c:spPr>
              <a:solidFill>
                <a:srgbClr val="0F76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4D8-2744-9DA8-932AF5F920E3}"/>
              </c:ext>
            </c:extLst>
          </c:dPt>
          <c:dPt>
            <c:idx val="2"/>
            <c:bubble3D val="0"/>
            <c:spPr>
              <a:solidFill>
                <a:srgbClr val="D4A01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D8-2744-9DA8-932AF5F920E3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Cálculos_Apoio!$B$18:$B$20</c:f>
              <c:strCache>
                <c:ptCount val="3"/>
                <c:pt idx="0">
                  <c:v>Público</c:v>
                </c:pt>
                <c:pt idx="1">
                  <c:v>Privado Nacional</c:v>
                </c:pt>
                <c:pt idx="2">
                  <c:v>Privado Estrangeiro</c:v>
                </c:pt>
              </c:strCache>
            </c:strRef>
          </c:cat>
          <c:val>
            <c:numRef>
              <c:f>Cálculos_Apoio!$E$18:$E$20</c:f>
              <c:numCache>
                <c:formatCode>#,##0</c:formatCode>
                <c:ptCount val="3"/>
                <c:pt idx="0">
                  <c:v>39</c:v>
                </c:pt>
                <c:pt idx="1">
                  <c:v>1353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8-2744-9DA8-932AF5F92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ROE do semestre x Ativo Total (30 maiores instituições)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Público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1E3A8A"/>
              </a:solidFill>
              <a:ln w="9525">
                <a:solidFill>
                  <a:srgbClr val="1E3A8A"/>
                </a:solidFill>
                <a:prstDash val="solid"/>
              </a:ln>
              <a:effectLst/>
            </c:spPr>
          </c:marker>
          <c:xVal>
            <c:numRef>
              <c:f>Cálculos_Apoio!$Q$4:$Q$33</c:f>
              <c:numCache>
                <c:formatCode>#,##0.0</c:formatCode>
                <c:ptCount val="30"/>
                <c:pt idx="0">
                  <c:v>2461.086914</c:v>
                </c:pt>
                <c:pt idx="1">
                  <c:v>2368.1472250000002</c:v>
                </c:pt>
                <c:pt idx="2">
                  <c:v>2169.4095649999999</c:v>
                </c:pt>
                <c:pt idx="3">
                  <c:v>1952.464273</c:v>
                </c:pt>
                <c:pt idx="4">
                  <c:v>1209.4430829999999</c:v>
                </c:pt>
                <c:pt idx="5">
                  <c:v>1073.403746</c:v>
                </c:pt>
                <c:pt idx="6">
                  <c:v>743.25895700000001</c:v>
                </c:pt>
                <c:pt idx="7">
                  <c:v>493.18339500000002</c:v>
                </c:pt>
                <c:pt idx="8">
                  <c:v>267.62469499999997</c:v>
                </c:pt>
                <c:pt idx="9">
                  <c:v>256.68346500000001</c:v>
                </c:pt>
                <c:pt idx="10">
                  <c:v>234.40607700000001</c:v>
                </c:pt>
                <c:pt idx="11">
                  <c:v>223.15940900000001</c:v>
                </c:pt>
                <c:pt idx="12">
                  <c:v>221.73225099999999</c:v>
                </c:pt>
                <c:pt idx="13">
                  <c:v>178.389094</c:v>
                </c:pt>
                <c:pt idx="14">
                  <c:v>172.82795899999999</c:v>
                </c:pt>
                <c:pt idx="15">
                  <c:v>169.40334100000001</c:v>
                </c:pt>
                <c:pt idx="16">
                  <c:v>147.547552</c:v>
                </c:pt>
                <c:pt idx="17">
                  <c:v>132.45065299999999</c:v>
                </c:pt>
                <c:pt idx="18">
                  <c:v>122.36323</c:v>
                </c:pt>
                <c:pt idx="19">
                  <c:v>117.19373299999999</c:v>
                </c:pt>
                <c:pt idx="20">
                  <c:v>116.680888</c:v>
                </c:pt>
                <c:pt idx="21">
                  <c:v>110.025345</c:v>
                </c:pt>
                <c:pt idx="22">
                  <c:v>105.73156400000001</c:v>
                </c:pt>
                <c:pt idx="23">
                  <c:v>100.898332</c:v>
                </c:pt>
                <c:pt idx="24">
                  <c:v>99.778655999999998</c:v>
                </c:pt>
                <c:pt idx="25">
                  <c:v>94.908732999999998</c:v>
                </c:pt>
                <c:pt idx="26">
                  <c:v>89.229884999999996</c:v>
                </c:pt>
                <c:pt idx="27">
                  <c:v>81.039783</c:v>
                </c:pt>
                <c:pt idx="28">
                  <c:v>77.255474000000007</c:v>
                </c:pt>
                <c:pt idx="29">
                  <c:v>74.198667</c:v>
                </c:pt>
              </c:numCache>
            </c:numRef>
          </c:xVal>
          <c:yVal>
            <c:numRef>
              <c:f>Cálculos_Apoio!$R$4:$R$33</c:f>
              <c:numCache>
                <c:formatCode>0.0%</c:formatCode>
                <c:ptCount val="30"/>
                <c:pt idx="0">
                  <c:v>3.4279763753011346E-2</c:v>
                </c:pt>
                <c:pt idx="1">
                  <c:v>5.563839528239236E-2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6.1722446287524886E-2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4.731589574360643E-2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6.2892486235361783E-2</c:v>
                </c:pt>
                <c:pt idx="28">
                  <c:v>#N/A</c:v>
                </c:pt>
                <c:pt idx="2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5-3544-A540-CCE38141D852}"/>
            </c:ext>
          </c:extLst>
        </c:ser>
        <c:ser>
          <c:idx val="1"/>
          <c:order val="1"/>
          <c:tx>
            <c:v>Privado Nacional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F766E"/>
              </a:solidFill>
              <a:ln w="9525">
                <a:solidFill>
                  <a:srgbClr val="0F766E"/>
                </a:solidFill>
                <a:prstDash val="solid"/>
              </a:ln>
              <a:effectLst/>
            </c:spPr>
          </c:marker>
          <c:xVal>
            <c:numRef>
              <c:f>Cálculos_Apoio!$Q$4:$Q$33</c:f>
              <c:numCache>
                <c:formatCode>#,##0.0</c:formatCode>
                <c:ptCount val="30"/>
                <c:pt idx="0">
                  <c:v>2461.086914</c:v>
                </c:pt>
                <c:pt idx="1">
                  <c:v>2368.1472250000002</c:v>
                </c:pt>
                <c:pt idx="2">
                  <c:v>2169.4095649999999</c:v>
                </c:pt>
                <c:pt idx="3">
                  <c:v>1952.464273</c:v>
                </c:pt>
                <c:pt idx="4">
                  <c:v>1209.4430829999999</c:v>
                </c:pt>
                <c:pt idx="5">
                  <c:v>1073.403746</c:v>
                </c:pt>
                <c:pt idx="6">
                  <c:v>743.25895700000001</c:v>
                </c:pt>
                <c:pt idx="7">
                  <c:v>493.18339500000002</c:v>
                </c:pt>
                <c:pt idx="8">
                  <c:v>267.62469499999997</c:v>
                </c:pt>
                <c:pt idx="9">
                  <c:v>256.68346500000001</c:v>
                </c:pt>
                <c:pt idx="10">
                  <c:v>234.40607700000001</c:v>
                </c:pt>
                <c:pt idx="11">
                  <c:v>223.15940900000001</c:v>
                </c:pt>
                <c:pt idx="12">
                  <c:v>221.73225099999999</c:v>
                </c:pt>
                <c:pt idx="13">
                  <c:v>178.389094</c:v>
                </c:pt>
                <c:pt idx="14">
                  <c:v>172.82795899999999</c:v>
                </c:pt>
                <c:pt idx="15">
                  <c:v>169.40334100000001</c:v>
                </c:pt>
                <c:pt idx="16">
                  <c:v>147.547552</c:v>
                </c:pt>
                <c:pt idx="17">
                  <c:v>132.45065299999999</c:v>
                </c:pt>
                <c:pt idx="18">
                  <c:v>122.36323</c:v>
                </c:pt>
                <c:pt idx="19">
                  <c:v>117.19373299999999</c:v>
                </c:pt>
                <c:pt idx="20">
                  <c:v>116.680888</c:v>
                </c:pt>
                <c:pt idx="21">
                  <c:v>110.025345</c:v>
                </c:pt>
                <c:pt idx="22">
                  <c:v>105.73156400000001</c:v>
                </c:pt>
                <c:pt idx="23">
                  <c:v>100.898332</c:v>
                </c:pt>
                <c:pt idx="24">
                  <c:v>99.778655999999998</c:v>
                </c:pt>
                <c:pt idx="25">
                  <c:v>94.908732999999998</c:v>
                </c:pt>
                <c:pt idx="26">
                  <c:v>89.229884999999996</c:v>
                </c:pt>
                <c:pt idx="27">
                  <c:v>81.039783</c:v>
                </c:pt>
                <c:pt idx="28">
                  <c:v>77.255474000000007</c:v>
                </c:pt>
                <c:pt idx="29">
                  <c:v>74.198667</c:v>
                </c:pt>
              </c:numCache>
            </c:numRef>
          </c:xVal>
          <c:yVal>
            <c:numRef>
              <c:f>Cálculos_Apoio!$S$4:$S$33</c:f>
              <c:numCache>
                <c:formatCode>0.0%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0.1213291720440668</c:v>
                </c:pt>
                <c:pt idx="3">
                  <c:v>6.8938203830436265E-2</c:v>
                </c:pt>
                <c:pt idx="4">
                  <c:v>#N/A</c:v>
                </c:pt>
                <c:pt idx="5">
                  <c:v>#N/A</c:v>
                </c:pt>
                <c:pt idx="6">
                  <c:v>0.11905876608526286</c:v>
                </c:pt>
                <c:pt idx="7">
                  <c:v>0.11175156310079797</c:v>
                </c:pt>
                <c:pt idx="8">
                  <c:v>#N/A</c:v>
                </c:pt>
                <c:pt idx="9">
                  <c:v>0.10468488958757191</c:v>
                </c:pt>
                <c:pt idx="10">
                  <c:v>2.9671509125273662E-2</c:v>
                </c:pt>
                <c:pt idx="11">
                  <c:v>6.5711031931456373E-2</c:v>
                </c:pt>
                <c:pt idx="12">
                  <c:v>2.9489503794542595E-2</c:v>
                </c:pt>
                <c:pt idx="13">
                  <c:v>3.6334415998612694E-2</c:v>
                </c:pt>
                <c:pt idx="14">
                  <c:v>#N/A</c:v>
                </c:pt>
                <c:pt idx="15">
                  <c:v>#N/A</c:v>
                </c:pt>
                <c:pt idx="16">
                  <c:v>7.4115472660624682E-2</c:v>
                </c:pt>
                <c:pt idx="17">
                  <c:v>-5.478504863215496E-3</c:v>
                </c:pt>
                <c:pt idx="18">
                  <c:v>#N/A</c:v>
                </c:pt>
                <c:pt idx="19">
                  <c:v>0.23547372550442244</c:v>
                </c:pt>
                <c:pt idx="20">
                  <c:v>4.8546040273515223E-2</c:v>
                </c:pt>
                <c:pt idx="21">
                  <c:v>#N/A</c:v>
                </c:pt>
                <c:pt idx="22">
                  <c:v>#N/A</c:v>
                </c:pt>
                <c:pt idx="23">
                  <c:v>9.5552450577938264E-2</c:v>
                </c:pt>
                <c:pt idx="24">
                  <c:v>0.11777088010391183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7.8732620834839173E-2</c:v>
                </c:pt>
                <c:pt idx="2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15-3544-A540-CCE38141D852}"/>
            </c:ext>
          </c:extLst>
        </c:ser>
        <c:ser>
          <c:idx val="2"/>
          <c:order val="2"/>
          <c:tx>
            <c:v>Privado Estrangeiro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D4A017"/>
              </a:solidFill>
              <a:ln w="9525">
                <a:solidFill>
                  <a:srgbClr val="D4A017"/>
                </a:solidFill>
                <a:prstDash val="solid"/>
              </a:ln>
              <a:effectLst/>
            </c:spPr>
          </c:marker>
          <c:xVal>
            <c:numRef>
              <c:f>Cálculos_Apoio!$Q$4:$Q$33</c:f>
              <c:numCache>
                <c:formatCode>#,##0.0</c:formatCode>
                <c:ptCount val="30"/>
                <c:pt idx="0">
                  <c:v>2461.086914</c:v>
                </c:pt>
                <c:pt idx="1">
                  <c:v>2368.1472250000002</c:v>
                </c:pt>
                <c:pt idx="2">
                  <c:v>2169.4095649999999</c:v>
                </c:pt>
                <c:pt idx="3">
                  <c:v>1952.464273</c:v>
                </c:pt>
                <c:pt idx="4">
                  <c:v>1209.4430829999999</c:v>
                </c:pt>
                <c:pt idx="5">
                  <c:v>1073.403746</c:v>
                </c:pt>
                <c:pt idx="6">
                  <c:v>743.25895700000001</c:v>
                </c:pt>
                <c:pt idx="7">
                  <c:v>493.18339500000002</c:v>
                </c:pt>
                <c:pt idx="8">
                  <c:v>267.62469499999997</c:v>
                </c:pt>
                <c:pt idx="9">
                  <c:v>256.68346500000001</c:v>
                </c:pt>
                <c:pt idx="10">
                  <c:v>234.40607700000001</c:v>
                </c:pt>
                <c:pt idx="11">
                  <c:v>223.15940900000001</c:v>
                </c:pt>
                <c:pt idx="12">
                  <c:v>221.73225099999999</c:v>
                </c:pt>
                <c:pt idx="13">
                  <c:v>178.389094</c:v>
                </c:pt>
                <c:pt idx="14">
                  <c:v>172.82795899999999</c:v>
                </c:pt>
                <c:pt idx="15">
                  <c:v>169.40334100000001</c:v>
                </c:pt>
                <c:pt idx="16">
                  <c:v>147.547552</c:v>
                </c:pt>
                <c:pt idx="17">
                  <c:v>132.45065299999999</c:v>
                </c:pt>
                <c:pt idx="18">
                  <c:v>122.36323</c:v>
                </c:pt>
                <c:pt idx="19">
                  <c:v>117.19373299999999</c:v>
                </c:pt>
                <c:pt idx="20">
                  <c:v>116.680888</c:v>
                </c:pt>
                <c:pt idx="21">
                  <c:v>110.025345</c:v>
                </c:pt>
                <c:pt idx="22">
                  <c:v>105.73156400000001</c:v>
                </c:pt>
                <c:pt idx="23">
                  <c:v>100.898332</c:v>
                </c:pt>
                <c:pt idx="24">
                  <c:v>99.778655999999998</c:v>
                </c:pt>
                <c:pt idx="25">
                  <c:v>94.908732999999998</c:v>
                </c:pt>
                <c:pt idx="26">
                  <c:v>89.229884999999996</c:v>
                </c:pt>
                <c:pt idx="27">
                  <c:v>81.039783</c:v>
                </c:pt>
                <c:pt idx="28">
                  <c:v>77.255474000000007</c:v>
                </c:pt>
                <c:pt idx="29">
                  <c:v>74.198667</c:v>
                </c:pt>
              </c:numCache>
            </c:numRef>
          </c:xVal>
          <c:yVal>
            <c:numRef>
              <c:f>Cálculos_Apoio!$T$4:$T$33</c:f>
              <c:numCache>
                <c:formatCode>0.0%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7.4772555366127161E-2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0.27930884025476971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0.16980333635572312</c:v>
                </c:pt>
                <c:pt idx="16">
                  <c:v>#N/A</c:v>
                </c:pt>
                <c:pt idx="17">
                  <c:v>#N/A</c:v>
                </c:pt>
                <c:pt idx="18">
                  <c:v>0.17607425603808458</c:v>
                </c:pt>
                <c:pt idx="19">
                  <c:v>#N/A</c:v>
                </c:pt>
                <c:pt idx="20">
                  <c:v>#N/A</c:v>
                </c:pt>
                <c:pt idx="21">
                  <c:v>8.819703638780553E-2</c:v>
                </c:pt>
                <c:pt idx="22">
                  <c:v>-6.3502439442153238E-2</c:v>
                </c:pt>
                <c:pt idx="23">
                  <c:v>#N/A</c:v>
                </c:pt>
                <c:pt idx="24">
                  <c:v>#N/A</c:v>
                </c:pt>
                <c:pt idx="25">
                  <c:v>7.5106980563680911E-2</c:v>
                </c:pt>
                <c:pt idx="26">
                  <c:v>0.27016714787922674</c:v>
                </c:pt>
                <c:pt idx="27">
                  <c:v>#N/A</c:v>
                </c:pt>
                <c:pt idx="28">
                  <c:v>#N/A</c:v>
                </c:pt>
                <c:pt idx="29">
                  <c:v>0.13831563196347701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15-3544-A540-CCE38141D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702399"/>
        <c:axId val="2015701951"/>
      </c:scatterChart>
      <c:valAx>
        <c:axId val="2015702399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Ativo Total (R$ bi, escala logarítmica)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15701951"/>
        <c:crosses val="autoZero"/>
        <c:crossBetween val="midCat"/>
      </c:valAx>
      <c:valAx>
        <c:axId val="201570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ROE do semestre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15702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ROE agregado e Índice Crédito/Ativo por TCB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ROE agregado (eixo esquerdo)</c:v>
          </c:tx>
          <c:spPr>
            <a:solidFill>
              <a:srgbClr val="1E3A8A"/>
            </a:solidFill>
            <a:ln>
              <a:noFill/>
            </a:ln>
            <a:effectLst/>
          </c:spPr>
          <c:invertIfNegative val="0"/>
          <c:cat>
            <c:strRef>
              <c:f>Cálculos_Apoio!$W$4:$W$11</c:f>
              <c:strCache>
                <c:ptCount val="8"/>
                <c:pt idx="0">
                  <c:v>b1</c:v>
                </c:pt>
                <c:pt idx="1">
                  <c:v>b2</c:v>
                </c:pt>
                <c:pt idx="2">
                  <c:v>b3S</c:v>
                </c:pt>
                <c:pt idx="3">
                  <c:v>b3C</c:v>
                </c:pt>
                <c:pt idx="4">
                  <c:v>b4</c:v>
                </c:pt>
                <c:pt idx="5">
                  <c:v>n1</c:v>
                </c:pt>
                <c:pt idx="6">
                  <c:v>n2</c:v>
                </c:pt>
                <c:pt idx="7">
                  <c:v>n4</c:v>
                </c:pt>
              </c:strCache>
            </c:strRef>
          </c:cat>
          <c:val>
            <c:numRef>
              <c:f>Cálculos_Apoio!$X$4:$X$11</c:f>
              <c:numCache>
                <c:formatCode>0.0%</c:formatCode>
                <c:ptCount val="8"/>
                <c:pt idx="0">
                  <c:v>7.1441186017791036E-2</c:v>
                </c:pt>
                <c:pt idx="1">
                  <c:v>9.7382483726476315E-2</c:v>
                </c:pt>
                <c:pt idx="2">
                  <c:v>6.1318956261808069E-2</c:v>
                </c:pt>
                <c:pt idx="3">
                  <c:v>3.4656352318097654E-2</c:v>
                </c:pt>
                <c:pt idx="4">
                  <c:v>6.0922532227191656E-2</c:v>
                </c:pt>
                <c:pt idx="5">
                  <c:v>8.6015979984902596E-2</c:v>
                </c:pt>
                <c:pt idx="6">
                  <c:v>9.8449741344251052E-2</c:v>
                </c:pt>
                <c:pt idx="7">
                  <c:v>8.4329359375806226E-2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8-5449-A43C-37553D9D9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2015505343"/>
        <c:axId val="2015502655"/>
      </c:barChart>
      <c:lineChart>
        <c:grouping val="standard"/>
        <c:varyColors val="0"/>
        <c:ser>
          <c:idx val="1"/>
          <c:order val="1"/>
          <c:tx>
            <c:v>Índice Crédito/Ativo (eixo direito)</c:v>
          </c:tx>
          <c:spPr>
            <a:ln w="31750" cap="rnd">
              <a:solidFill>
                <a:srgbClr val="D4A017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D4A017"/>
              </a:solidFill>
              <a:ln w="9525">
                <a:solidFill>
                  <a:srgbClr val="D4A017"/>
                </a:solidFill>
                <a:prstDash val="solid"/>
              </a:ln>
              <a:effectLst/>
            </c:spPr>
          </c:marker>
          <c:cat>
            <c:strRef>
              <c:f>Cálculos_Apoio!$W$4:$W$11</c:f>
              <c:strCache>
                <c:ptCount val="8"/>
                <c:pt idx="0">
                  <c:v>b1</c:v>
                </c:pt>
                <c:pt idx="1">
                  <c:v>b2</c:v>
                </c:pt>
                <c:pt idx="2">
                  <c:v>b3S</c:v>
                </c:pt>
                <c:pt idx="3">
                  <c:v>b3C</c:v>
                </c:pt>
                <c:pt idx="4">
                  <c:v>b4</c:v>
                </c:pt>
                <c:pt idx="5">
                  <c:v>n1</c:v>
                </c:pt>
                <c:pt idx="6">
                  <c:v>n2</c:v>
                </c:pt>
                <c:pt idx="7">
                  <c:v>n4</c:v>
                </c:pt>
              </c:strCache>
            </c:strRef>
          </c:cat>
          <c:val>
            <c:numRef>
              <c:f>Cálculos_Apoio!$Z$4:$Z$11</c:f>
              <c:numCache>
                <c:formatCode>0.0%</c:formatCode>
                <c:ptCount val="8"/>
                <c:pt idx="0">
                  <c:v>0.38581981423553097</c:v>
                </c:pt>
                <c:pt idx="1">
                  <c:v>0.46157101485733426</c:v>
                </c:pt>
                <c:pt idx="2">
                  <c:v>0.53855913619962903</c:v>
                </c:pt>
                <c:pt idx="3">
                  <c:v>1.0833722141160563E-2</c:v>
                </c:pt>
                <c:pt idx="4">
                  <c:v>0.36568053938454598</c:v>
                </c:pt>
                <c:pt idx="5">
                  <c:v>0.52412426156717229</c:v>
                </c:pt>
                <c:pt idx="6">
                  <c:v>6.7681947266666877E-4</c:v>
                </c:pt>
                <c:pt idx="7">
                  <c:v>0.12220008854294569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78-5449-A43C-37553D9D9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6202239"/>
        <c:axId val="2016206271"/>
      </c:lineChart>
      <c:catAx>
        <c:axId val="2015505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TCB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15502655"/>
        <c:crosses val="autoZero"/>
        <c:auto val="1"/>
        <c:lblAlgn val="ctr"/>
        <c:lblOffset val="100"/>
        <c:noMultiLvlLbl val="0"/>
      </c:catAx>
      <c:valAx>
        <c:axId val="201550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2E8F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ROE do semestre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15505343"/>
        <c:crosses val="autoZero"/>
        <c:crossBetween val="between"/>
      </c:valAx>
      <c:valAx>
        <c:axId val="201620627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Índice Crédito/Ativo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pt-BR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16202239"/>
        <c:crosses val="max"/>
        <c:crossBetween val="between"/>
      </c:valAx>
      <c:catAx>
        <c:axId val="2016202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162062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/>
          <a:ea typeface="Arial"/>
          <a:cs typeface="Arial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3</xdr:row>
      <xdr:rowOff>63500</xdr:rowOff>
    </xdr:from>
    <xdr:to>
      <xdr:col>7</xdr:col>
      <xdr:colOff>317500</xdr:colOff>
      <xdr:row>22</xdr:row>
      <xdr:rowOff>63500</xdr:rowOff>
    </xdr:to>
    <xdr:graphicFrame macro="">
      <xdr:nvGraphicFramePr>
        <xdr:cNvPr id="2" name="G1_Qtd_TCB">
          <a:extLst>
            <a:ext uri="{FF2B5EF4-FFF2-40B4-BE49-F238E27FC236}">
              <a16:creationId xmlns:a16="http://schemas.microsoft.com/office/drawing/2014/main" id="{17198658-FCF8-F626-7409-5FFB0BB80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571500</xdr:colOff>
      <xdr:row>3</xdr:row>
      <xdr:rowOff>63500</xdr:rowOff>
    </xdr:from>
    <xdr:to>
      <xdr:col>14</xdr:col>
      <xdr:colOff>762000</xdr:colOff>
      <xdr:row>22</xdr:row>
      <xdr:rowOff>63500</xdr:rowOff>
    </xdr:to>
    <xdr:graphicFrame macro="">
      <xdr:nvGraphicFramePr>
        <xdr:cNvPr id="3" name="G2_Concentracao_TCB">
          <a:extLst>
            <a:ext uri="{FF2B5EF4-FFF2-40B4-BE49-F238E27FC236}">
              <a16:creationId xmlns:a16="http://schemas.microsoft.com/office/drawing/2014/main" id="{77819D1B-4881-BE03-EE7C-66EA16D42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23</xdr:row>
      <xdr:rowOff>63500</xdr:rowOff>
    </xdr:from>
    <xdr:to>
      <xdr:col>7</xdr:col>
      <xdr:colOff>317500</xdr:colOff>
      <xdr:row>42</xdr:row>
      <xdr:rowOff>63500</xdr:rowOff>
    </xdr:to>
    <xdr:graphicFrame macro="">
      <xdr:nvGraphicFramePr>
        <xdr:cNvPr id="4" name="G3_Ativo_Controle">
          <a:extLst>
            <a:ext uri="{FF2B5EF4-FFF2-40B4-BE49-F238E27FC236}">
              <a16:creationId xmlns:a16="http://schemas.microsoft.com/office/drawing/2014/main" id="{A36D3DA0-9F19-5D48-7CCD-8004F9A42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571500</xdr:colOff>
      <xdr:row>23</xdr:row>
      <xdr:rowOff>63500</xdr:rowOff>
    </xdr:from>
    <xdr:to>
      <xdr:col>14</xdr:col>
      <xdr:colOff>762000</xdr:colOff>
      <xdr:row>42</xdr:row>
      <xdr:rowOff>63500</xdr:rowOff>
    </xdr:to>
    <xdr:graphicFrame macro="">
      <xdr:nvGraphicFramePr>
        <xdr:cNvPr id="5" name="G4_ROE_Controle">
          <a:extLst>
            <a:ext uri="{FF2B5EF4-FFF2-40B4-BE49-F238E27FC236}">
              <a16:creationId xmlns:a16="http://schemas.microsoft.com/office/drawing/2014/main" id="{A5B5BDF6-DEF5-34E8-3FA8-F746FD008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127000</xdr:colOff>
      <xdr:row>43</xdr:row>
      <xdr:rowOff>63500</xdr:rowOff>
    </xdr:from>
    <xdr:to>
      <xdr:col>7</xdr:col>
      <xdr:colOff>317500</xdr:colOff>
      <xdr:row>62</xdr:row>
      <xdr:rowOff>63500</xdr:rowOff>
    </xdr:to>
    <xdr:graphicFrame macro="">
      <xdr:nvGraphicFramePr>
        <xdr:cNvPr id="6" name="G5_Instituicoes_UF">
          <a:extLst>
            <a:ext uri="{FF2B5EF4-FFF2-40B4-BE49-F238E27FC236}">
              <a16:creationId xmlns:a16="http://schemas.microsoft.com/office/drawing/2014/main" id="{38513962-3C42-3CC0-EF2E-A8C4DD208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571500</xdr:colOff>
      <xdr:row>43</xdr:row>
      <xdr:rowOff>63500</xdr:rowOff>
    </xdr:from>
    <xdr:to>
      <xdr:col>14</xdr:col>
      <xdr:colOff>762000</xdr:colOff>
      <xdr:row>62</xdr:row>
      <xdr:rowOff>63500</xdr:rowOff>
    </xdr:to>
    <xdr:graphicFrame macro="">
      <xdr:nvGraphicFramePr>
        <xdr:cNvPr id="7" name="G6_SemAgencia_TCB">
          <a:extLst>
            <a:ext uri="{FF2B5EF4-FFF2-40B4-BE49-F238E27FC236}">
              <a16:creationId xmlns:a16="http://schemas.microsoft.com/office/drawing/2014/main" id="{46E82761-50D5-69C2-A15E-3A54111E1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127000</xdr:colOff>
      <xdr:row>64</xdr:row>
      <xdr:rowOff>63500</xdr:rowOff>
    </xdr:from>
    <xdr:to>
      <xdr:col>7</xdr:col>
      <xdr:colOff>317500</xdr:colOff>
      <xdr:row>83</xdr:row>
      <xdr:rowOff>63500</xdr:rowOff>
    </xdr:to>
    <xdr:graphicFrame macro="">
      <xdr:nvGraphicFramePr>
        <xdr:cNvPr id="8" name="B1_ROE_TCB">
          <a:extLst>
            <a:ext uri="{FF2B5EF4-FFF2-40B4-BE49-F238E27FC236}">
              <a16:creationId xmlns:a16="http://schemas.microsoft.com/office/drawing/2014/main" id="{108FD730-E461-64EE-30ED-AEEE22E85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571500</xdr:colOff>
      <xdr:row>64</xdr:row>
      <xdr:rowOff>63500</xdr:rowOff>
    </xdr:from>
    <xdr:to>
      <xdr:col>14</xdr:col>
      <xdr:colOff>762000</xdr:colOff>
      <xdr:row>83</xdr:row>
      <xdr:rowOff>63500</xdr:rowOff>
    </xdr:to>
    <xdr:graphicFrame macro="">
      <xdr:nvGraphicFramePr>
        <xdr:cNvPr id="9" name="B2_Pizza_Ativo">
          <a:extLst>
            <a:ext uri="{FF2B5EF4-FFF2-40B4-BE49-F238E27FC236}">
              <a16:creationId xmlns:a16="http://schemas.microsoft.com/office/drawing/2014/main" id="{EF4B6CFC-A414-0799-22A2-A732B9789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127000</xdr:colOff>
      <xdr:row>84</xdr:row>
      <xdr:rowOff>63500</xdr:rowOff>
    </xdr:from>
    <xdr:to>
      <xdr:col>7</xdr:col>
      <xdr:colOff>317500</xdr:colOff>
      <xdr:row>103</xdr:row>
      <xdr:rowOff>63500</xdr:rowOff>
    </xdr:to>
    <xdr:graphicFrame macro="">
      <xdr:nvGraphicFramePr>
        <xdr:cNvPr id="10" name="B3_Top10_Ativo">
          <a:extLst>
            <a:ext uri="{FF2B5EF4-FFF2-40B4-BE49-F238E27FC236}">
              <a16:creationId xmlns:a16="http://schemas.microsoft.com/office/drawing/2014/main" id="{12DE90DA-9555-3B0A-3E26-80E7784AC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127000</xdr:colOff>
      <xdr:row>106</xdr:row>
      <xdr:rowOff>63500</xdr:rowOff>
    </xdr:from>
    <xdr:to>
      <xdr:col>7</xdr:col>
      <xdr:colOff>317500</xdr:colOff>
      <xdr:row>125</xdr:row>
      <xdr:rowOff>63500</xdr:rowOff>
    </xdr:to>
    <xdr:graphicFrame macro="">
      <xdr:nvGraphicFramePr>
        <xdr:cNvPr id="11" name="C1_AtivoMedio_TCB">
          <a:extLst>
            <a:ext uri="{FF2B5EF4-FFF2-40B4-BE49-F238E27FC236}">
              <a16:creationId xmlns:a16="http://schemas.microsoft.com/office/drawing/2014/main" id="{E7D4604E-2B73-2F4F-D29C-F51D2CC42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571500</xdr:colOff>
      <xdr:row>106</xdr:row>
      <xdr:rowOff>63500</xdr:rowOff>
    </xdr:from>
    <xdr:to>
      <xdr:col>14</xdr:col>
      <xdr:colOff>762000</xdr:colOff>
      <xdr:row>125</xdr:row>
      <xdr:rowOff>63500</xdr:rowOff>
    </xdr:to>
    <xdr:graphicFrame macro="">
      <xdr:nvGraphicFramePr>
        <xdr:cNvPr id="12" name="C2_Pizza_Qtd">
          <a:extLst>
            <a:ext uri="{FF2B5EF4-FFF2-40B4-BE49-F238E27FC236}">
              <a16:creationId xmlns:a16="http://schemas.microsoft.com/office/drawing/2014/main" id="{85003A9C-8C68-5428-DFA2-077BA844B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127000</xdr:colOff>
      <xdr:row>126</xdr:row>
      <xdr:rowOff>63500</xdr:rowOff>
    </xdr:from>
    <xdr:to>
      <xdr:col>7</xdr:col>
      <xdr:colOff>317500</xdr:colOff>
      <xdr:row>145</xdr:row>
      <xdr:rowOff>63500</xdr:rowOff>
    </xdr:to>
    <xdr:graphicFrame macro="">
      <xdr:nvGraphicFramePr>
        <xdr:cNvPr id="14" name="C3_Dispersao">
          <a:extLst>
            <a:ext uri="{FF2B5EF4-FFF2-40B4-BE49-F238E27FC236}">
              <a16:creationId xmlns:a16="http://schemas.microsoft.com/office/drawing/2014/main" id="{FF4B0737-0542-3FF2-0624-6BCB3B649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571500</xdr:colOff>
      <xdr:row>126</xdr:row>
      <xdr:rowOff>63500</xdr:rowOff>
    </xdr:from>
    <xdr:to>
      <xdr:col>14</xdr:col>
      <xdr:colOff>762000</xdr:colOff>
      <xdr:row>145</xdr:row>
      <xdr:rowOff>63500</xdr:rowOff>
    </xdr:to>
    <xdr:graphicFrame macro="">
      <xdr:nvGraphicFramePr>
        <xdr:cNvPr id="15" name="C4_ROE_Credito_TCB">
          <a:extLst>
            <a:ext uri="{FF2B5EF4-FFF2-40B4-BE49-F238E27FC236}">
              <a16:creationId xmlns:a16="http://schemas.microsoft.com/office/drawing/2014/main" id="{FA23588A-6009-F2CB-6FC0-33B73DB33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C726FD-9CA1-7243-9702-FE41940B4054}" name="Tabela1" displayName="Tabela1" ref="A4:Y1626" totalsRowShown="0" headerRowDxfId="46" dataDxfId="44" headerRowBorderDxfId="45" tableBorderDxfId="43">
  <autoFilter ref="A4:Y1626" xr:uid="{02C726FD-9CA1-7243-9702-FE41940B4054}"/>
  <tableColumns count="25">
    <tableColumn id="1" xr3:uid="{1A9FE3F1-7446-104E-A772-0D1524ED4ABB}" name="Instituição" dataDxfId="42"/>
    <tableColumn id="2" xr3:uid="{672F87E4-34CD-604A-B5D0-90CDB2B9478C}" name="Código" dataDxfId="41"/>
    <tableColumn id="3" xr3:uid="{480770DD-B70C-5246-AF33-9C52C243362B}" name="Conglomerado_x000a_Prudencial (Nome)" dataDxfId="40"/>
    <tableColumn id="4" xr3:uid="{077B9584-A871-E244-9B8F-18D1A26B5721}" name="Conglomerado_x000a_Financeiro (Cód.)" dataDxfId="39"/>
    <tableColumn id="5" xr3:uid="{CFA3F2BF-2E5D-7249-84D5-4888F6CD9C7E}" name="Conglomerado_x000a_Prudencial (Cód.)" dataDxfId="38"/>
    <tableColumn id="6" xr3:uid="{32678EA0-02A7-A041-913E-672563490952}" name="TCB" dataDxfId="37"/>
    <tableColumn id="7" xr3:uid="{D1999C46-6772-F24C-8E65-8AFBC4F10DC0}" name="TC" dataDxfId="36"/>
    <tableColumn id="8" xr3:uid="{D6C2DE54-074E-E044-8BEC-D0524B8F352E}" name="TI" dataDxfId="35"/>
    <tableColumn id="9" xr3:uid="{20B92034-8C36-C44D-B1D3-B383F4728A44}" name="Cidade" dataDxfId="34"/>
    <tableColumn id="10" xr3:uid="{A6263106-CE74-A848-AB04-8119031915F6}" name="UF" dataDxfId="33"/>
    <tableColumn id="11" xr3:uid="{46106BBD-4F13-AE4D-BD45-553D00266FAD}" name="Data" dataDxfId="32"/>
    <tableColumn id="12" xr3:uid="{429AD81D-997F-4C4A-B1A2-8C12D5E7E8C2}" name="Ativo Total_x000a_(R$ mil)" dataDxfId="31"/>
    <tableColumn id="13" xr3:uid="{0AD0DC6E-04DC-DC4F-8C6D-6832F5A374C2}" name="Carteira de_x000a_Crédito (R$ mil)" dataDxfId="30"/>
    <tableColumn id="14" xr3:uid="{910D39D3-2CC0-D843-9FB3-8ABA9871936A}" name="Títulos e Valores_x000a_Mobiliários (R$ mil)" dataDxfId="29"/>
    <tableColumn id="15" xr3:uid="{7D7CB507-3708-494F-9015-FBC633EF2D06}" name="Passivo Exigível_x000a_(R$ mil)" dataDxfId="28"/>
    <tableColumn id="16" xr3:uid="{8CE6B5EE-F0ED-4547-A2D5-67C1B4C6F3BC}" name="Captações_x000a_(R$ mil)" dataDxfId="27"/>
    <tableColumn id="17" xr3:uid="{59753637-994C-2E42-9D45-FA43DFB5B2CE}" name="Patrimônio Líquido_x000a_(R$ mil)" dataDxfId="26"/>
    <tableColumn id="18" xr3:uid="{D459BF74-2647-AF47-8757-90DC534C6E35}" name="Lucro Líquido_x000a_(R$ mil)" dataDxfId="25"/>
    <tableColumn id="19" xr3:uid="{0CC77D3D-96CC-6848-883C-6A8F505E914D}" name="Número de_x000a_Agências" dataDxfId="24"/>
    <tableColumn id="20" xr3:uid="{EC1940E9-A7A5-BB47-981D-4985EBD31DA2}" name="Postos de_x000a_Atendimento" dataDxfId="23"/>
    <tableColumn id="21" xr3:uid="{2F3036BF-8F5A-214A-95C1-B9112EAEA6F5}" name="Tipo de_x000a_Controle" dataDxfId="22">
      <calculatedColumnFormula>IFERROR(CHOOSE(G5,"Público","Privado Nacional","Privado Estrangeiro"),"n.d.")</calculatedColumnFormula>
    </tableColumn>
    <tableColumn id="22" xr3:uid="{5226A324-3E7B-CB44-B165-CA315E2159DA}" name="Índice_x000a_Crédito/Ativo" dataDxfId="21">
      <calculatedColumnFormula>IF(AND(ISNUMBER(M5),ISNUMBER(L5)),IF(L5&gt;0,M5/L5,"n.d."),"NI")</calculatedColumnFormula>
    </tableColumn>
    <tableColumn id="23" xr3:uid="{8DD5FD67-77A7-8941-A380-9F30440F803A}" name="ROE do_x000a_semestre" dataDxfId="20">
      <calculatedColumnFormula>IF(AND(ISNUMBER(R5),ISNUMBER(Q5)),IF(Q5&gt;0,R5/Q5,"n.d."),"NI")</calculatedColumnFormula>
    </tableColumn>
    <tableColumn id="24" xr3:uid="{670BF550-F0E9-E94E-BE1D-36525E39713F}" name="Porte" dataDxfId="19">
      <calculatedColumnFormula>IF(ISNUMBER(L5),IF(L5&gt;100000000,"Grande","Média/Pequena"),"Sem dado")</calculatedColumnFormula>
    </tableColumn>
    <tableColumn id="25" xr3:uid="{CE55B3FF-593F-1C4B-BAB5-E877B3D70A9B}" name="Classe ROE" dataDxfId="18">
      <calculatedColumnFormula array="1">_xlfn.IFS(ISNUMBER(W5)=FALSE,"Sem dado",W5&gt;0.075,"Excelente",W5&gt;0.04,"Bom",W5&gt;0,"Fraco",TRUE,"Prejuízo")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  <wetp:taskpane dockstate="right" visibility="0" width="350" row="0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43A9363E-1967-C042-9038-786FA3C5D9C5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be04f8a5-3f6b-4a8f-b264-fc3df30f22a9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256F0A1-AE93-9949-ABD7-C475B2CB0C24}">
  <we:reference id="wa200003696" version="1.3.0.0" store="pt-BR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A8EC5BBD-21F0-6F40-9C53-709F37CDC17C}">
  <we:reference id="wa200002346" version="1.1.0.0" store="pt-BR" storeType="OMEX"/>
  <we:alternateReferences>
    <we:reference id="WA200002346" version="1.1.0.0" store="WA200002346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9166A349-622D-E94E-B76C-3B2FE4E83691}">
  <we:reference id="wa200006518" version="1.2.0.0" store="pt-BR" storeType="OMEX"/>
  <we:alternateReferences>
    <we:reference id="WA200006518" version="1.2.0.0" store="WA200006518" storeType="OMEX"/>
  </we:alternateReferences>
  <we:properties>
    <we:property name="pyscriptSettings" value="&quot;{\&quot;defaultMode\&quot;:2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  <a:ext xmlns:a="http://schemas.openxmlformats.org/drawingml/2006/main" uri="{0858819E-0033-43BF-8937-05EC82904868}">
      <we:backgroundApp state="0" runtimeId="PyScript.Url"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D1B10"/>
    <pageSetUpPr fitToPage="1"/>
  </sheetPr>
  <dimension ref="A1:T162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20" sqref="C20"/>
    </sheetView>
  </sheetViews>
  <sheetFormatPr baseColWidth="10" defaultColWidth="8.6640625" defaultRowHeight="15" x14ac:dyDescent="0.2"/>
  <cols>
    <col min="1" max="1" width="52.6640625" customWidth="1"/>
    <col min="2" max="2" width="13.83203125" customWidth="1"/>
    <col min="3" max="3" width="50" customWidth="1"/>
    <col min="4" max="4" width="20.83203125" customWidth="1"/>
    <col min="5" max="5" width="21" customWidth="1"/>
    <col min="6" max="6" width="10.5" customWidth="1"/>
    <col min="7" max="7" width="9.33203125" customWidth="1"/>
    <col min="8" max="8" width="9" customWidth="1"/>
    <col min="9" max="9" width="33" customWidth="1"/>
    <col min="10" max="10" width="9.33203125" customWidth="1"/>
    <col min="11" max="11" width="10.83203125" customWidth="1"/>
    <col min="12" max="12" width="15.83203125" customWidth="1"/>
    <col min="13" max="13" width="19.5" customWidth="1"/>
    <col min="14" max="14" width="22.6640625" customWidth="1"/>
    <col min="15" max="15" width="20.1640625" customWidth="1"/>
    <col min="16" max="16" width="15.6640625" customWidth="1"/>
    <col min="17" max="17" width="22.5" customWidth="1"/>
    <col min="18" max="18" width="18.33203125" customWidth="1"/>
    <col min="19" max="19" width="15.83203125" customWidth="1"/>
    <col min="20" max="20" width="17.33203125" style="77" customWidth="1"/>
  </cols>
  <sheetData>
    <row r="1" spans="1:20" ht="31.5" customHeight="1" x14ac:dyDescent="0.2">
      <c r="A1" s="145" t="s">
        <v>3814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</row>
    <row r="2" spans="1:20" ht="27.75" customHeight="1" x14ac:dyDescent="0.2">
      <c r="A2" s="148" t="s">
        <v>3812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</row>
    <row r="3" spans="1:20" ht="18" customHeight="1" x14ac:dyDescent="0.2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</row>
    <row r="4" spans="1:20" ht="40" customHeight="1" x14ac:dyDescent="0.2">
      <c r="A4" s="123" t="s">
        <v>0</v>
      </c>
      <c r="B4" s="123" t="s">
        <v>1</v>
      </c>
      <c r="C4" s="123" t="s">
        <v>3852</v>
      </c>
      <c r="D4" s="123" t="s">
        <v>2</v>
      </c>
      <c r="E4" s="123" t="s">
        <v>3</v>
      </c>
      <c r="F4" s="123" t="s">
        <v>4</v>
      </c>
      <c r="G4" s="123" t="s">
        <v>5</v>
      </c>
      <c r="H4" s="123" t="s">
        <v>6</v>
      </c>
      <c r="I4" s="123" t="s">
        <v>7</v>
      </c>
      <c r="J4" s="123" t="s">
        <v>8</v>
      </c>
      <c r="K4" s="123" t="s">
        <v>9</v>
      </c>
      <c r="L4" s="123" t="s">
        <v>10</v>
      </c>
      <c r="M4" s="123" t="s">
        <v>11</v>
      </c>
      <c r="N4" s="123" t="s">
        <v>12</v>
      </c>
      <c r="O4" s="123" t="s">
        <v>13</v>
      </c>
      <c r="P4" s="123" t="s">
        <v>14</v>
      </c>
      <c r="Q4" s="123" t="s">
        <v>15</v>
      </c>
      <c r="R4" s="123" t="s">
        <v>16</v>
      </c>
      <c r="S4" s="123" t="s">
        <v>17</v>
      </c>
      <c r="T4" s="124" t="s">
        <v>18</v>
      </c>
    </row>
    <row r="5" spans="1:20" ht="15" customHeight="1" x14ac:dyDescent="0.2">
      <c r="A5" s="12" t="s">
        <v>22</v>
      </c>
      <c r="B5" s="56">
        <v>0</v>
      </c>
      <c r="C5" s="12" t="s">
        <v>23</v>
      </c>
      <c r="D5" s="12" t="s">
        <v>24</v>
      </c>
      <c r="E5" s="12" t="s">
        <v>25</v>
      </c>
      <c r="F5" s="12" t="s">
        <v>26</v>
      </c>
      <c r="G5" s="33">
        <v>1</v>
      </c>
      <c r="H5" s="33">
        <v>1</v>
      </c>
      <c r="I5" s="12" t="s">
        <v>27</v>
      </c>
      <c r="J5" s="12" t="s">
        <v>28</v>
      </c>
      <c r="K5" s="73" t="s">
        <v>29</v>
      </c>
      <c r="L5" s="13">
        <v>2461086914</v>
      </c>
      <c r="M5" s="13">
        <v>1065710905</v>
      </c>
      <c r="N5" s="13">
        <v>714731784</v>
      </c>
      <c r="O5" s="13">
        <v>2279753810</v>
      </c>
      <c r="P5" s="13">
        <v>1974660924</v>
      </c>
      <c r="Q5" s="13">
        <v>181333105</v>
      </c>
      <c r="R5" s="13">
        <v>6216056</v>
      </c>
      <c r="S5" s="13">
        <v>3932</v>
      </c>
      <c r="T5" s="81">
        <v>309</v>
      </c>
    </row>
    <row r="6" spans="1:20" ht="15" customHeight="1" x14ac:dyDescent="0.2">
      <c r="A6" s="15" t="s">
        <v>30</v>
      </c>
      <c r="B6" s="60">
        <v>360305</v>
      </c>
      <c r="C6" s="15" t="s">
        <v>31</v>
      </c>
      <c r="D6" s="15" t="s">
        <v>32</v>
      </c>
      <c r="E6" s="15" t="s">
        <v>33</v>
      </c>
      <c r="F6" s="15" t="s">
        <v>26</v>
      </c>
      <c r="G6" s="34">
        <v>1</v>
      </c>
      <c r="H6" s="34">
        <v>6</v>
      </c>
      <c r="I6" s="15" t="s">
        <v>27</v>
      </c>
      <c r="J6" s="15" t="s">
        <v>28</v>
      </c>
      <c r="K6" s="74" t="s">
        <v>29</v>
      </c>
      <c r="L6" s="16">
        <v>2368147225</v>
      </c>
      <c r="M6" s="16">
        <v>1362330927</v>
      </c>
      <c r="N6" s="16">
        <v>452416774</v>
      </c>
      <c r="O6" s="16">
        <v>2249779433</v>
      </c>
      <c r="P6" s="16">
        <v>2063880327</v>
      </c>
      <c r="Q6" s="16">
        <v>118367792</v>
      </c>
      <c r="R6" s="16">
        <v>6585794</v>
      </c>
      <c r="S6" s="16">
        <v>3000</v>
      </c>
      <c r="T6" s="111">
        <v>868</v>
      </c>
    </row>
    <row r="7" spans="1:20" ht="15" customHeight="1" x14ac:dyDescent="0.2">
      <c r="A7" s="12" t="s">
        <v>34</v>
      </c>
      <c r="B7" s="56">
        <v>60701190</v>
      </c>
      <c r="C7" s="12" t="s">
        <v>35</v>
      </c>
      <c r="D7" s="12" t="s">
        <v>36</v>
      </c>
      <c r="E7" s="12" t="s">
        <v>37</v>
      </c>
      <c r="F7" s="12" t="s">
        <v>26</v>
      </c>
      <c r="G7" s="33">
        <v>2</v>
      </c>
      <c r="H7" s="33">
        <v>8</v>
      </c>
      <c r="I7" s="12" t="s">
        <v>38</v>
      </c>
      <c r="J7" s="12" t="s">
        <v>39</v>
      </c>
      <c r="K7" s="73" t="s">
        <v>29</v>
      </c>
      <c r="L7" s="13">
        <v>2169409565</v>
      </c>
      <c r="M7" s="13">
        <v>700105223</v>
      </c>
      <c r="N7" s="13">
        <v>559549223</v>
      </c>
      <c r="O7" s="13">
        <v>2006548179</v>
      </c>
      <c r="P7" s="13">
        <v>1842394345</v>
      </c>
      <c r="Q7" s="13">
        <v>162861385</v>
      </c>
      <c r="R7" s="13">
        <v>19759837</v>
      </c>
      <c r="S7" s="13">
        <v>1345</v>
      </c>
      <c r="T7" s="81">
        <v>1403</v>
      </c>
    </row>
    <row r="8" spans="1:20" ht="15" customHeight="1" x14ac:dyDescent="0.2">
      <c r="A8" s="15" t="s">
        <v>40</v>
      </c>
      <c r="B8" s="60">
        <v>60746948</v>
      </c>
      <c r="C8" s="15" t="s">
        <v>41</v>
      </c>
      <c r="D8" s="15" t="s">
        <v>42</v>
      </c>
      <c r="E8" s="15" t="s">
        <v>43</v>
      </c>
      <c r="F8" s="15" t="s">
        <v>26</v>
      </c>
      <c r="G8" s="34">
        <v>2</v>
      </c>
      <c r="H8" s="34">
        <v>8</v>
      </c>
      <c r="I8" s="15" t="s">
        <v>44</v>
      </c>
      <c r="J8" s="15" t="s">
        <v>39</v>
      </c>
      <c r="K8" s="74" t="s">
        <v>29</v>
      </c>
      <c r="L8" s="16">
        <v>1952464273</v>
      </c>
      <c r="M8" s="16">
        <v>756014814</v>
      </c>
      <c r="N8" s="16">
        <v>322119751</v>
      </c>
      <c r="O8" s="16">
        <v>1777233946</v>
      </c>
      <c r="P8" s="16">
        <v>1545720299</v>
      </c>
      <c r="Q8" s="16">
        <v>175230327</v>
      </c>
      <c r="R8" s="16">
        <v>12080064</v>
      </c>
      <c r="S8" s="16">
        <v>2026</v>
      </c>
      <c r="T8" s="111">
        <v>762</v>
      </c>
    </row>
    <row r="9" spans="1:20" ht="15" customHeight="1" x14ac:dyDescent="0.2">
      <c r="A9" s="12" t="s">
        <v>45</v>
      </c>
      <c r="B9" s="56">
        <v>90400888</v>
      </c>
      <c r="C9" s="12" t="s">
        <v>46</v>
      </c>
      <c r="D9" s="12" t="s">
        <v>47</v>
      </c>
      <c r="E9" s="12" t="s">
        <v>48</v>
      </c>
      <c r="F9" s="12" t="s">
        <v>26</v>
      </c>
      <c r="G9" s="33">
        <v>3</v>
      </c>
      <c r="H9" s="33">
        <v>8</v>
      </c>
      <c r="I9" s="12" t="s">
        <v>38</v>
      </c>
      <c r="J9" s="12" t="s">
        <v>39</v>
      </c>
      <c r="K9" s="73" t="s">
        <v>29</v>
      </c>
      <c r="L9" s="13">
        <v>1209443083</v>
      </c>
      <c r="M9" s="13">
        <v>365285710</v>
      </c>
      <c r="N9" s="13">
        <v>260716671</v>
      </c>
      <c r="O9" s="13">
        <v>1110706856</v>
      </c>
      <c r="P9" s="13">
        <v>953249578</v>
      </c>
      <c r="Q9" s="13">
        <v>98736227</v>
      </c>
      <c r="R9" s="13">
        <v>7382760</v>
      </c>
      <c r="S9" s="13">
        <v>1196</v>
      </c>
      <c r="T9" s="81">
        <v>2516</v>
      </c>
    </row>
    <row r="10" spans="1:20" ht="15" customHeight="1" x14ac:dyDescent="0.2">
      <c r="A10" s="15" t="s">
        <v>49</v>
      </c>
      <c r="B10" s="60">
        <v>33657248</v>
      </c>
      <c r="C10" s="15" t="s">
        <v>50</v>
      </c>
      <c r="D10" s="15"/>
      <c r="E10" s="15" t="s">
        <v>51</v>
      </c>
      <c r="F10" s="15" t="s">
        <v>52</v>
      </c>
      <c r="G10" s="34">
        <v>1</v>
      </c>
      <c r="H10" s="34">
        <v>4</v>
      </c>
      <c r="I10" s="15" t="s">
        <v>53</v>
      </c>
      <c r="J10" s="15" t="s">
        <v>54</v>
      </c>
      <c r="K10" s="74" t="s">
        <v>29</v>
      </c>
      <c r="L10" s="16">
        <v>1073403746</v>
      </c>
      <c r="M10" s="16">
        <v>375703869</v>
      </c>
      <c r="N10" s="16">
        <v>209161034</v>
      </c>
      <c r="O10" s="16">
        <v>892700475</v>
      </c>
      <c r="P10" s="16">
        <v>661452493</v>
      </c>
      <c r="Q10" s="16">
        <v>180703272</v>
      </c>
      <c r="R10" s="16">
        <v>11153448</v>
      </c>
      <c r="S10" s="16">
        <v>5</v>
      </c>
      <c r="T10" s="111">
        <v>0</v>
      </c>
    </row>
    <row r="11" spans="1:20" ht="15" customHeight="1" x14ac:dyDescent="0.2">
      <c r="A11" s="12" t="s">
        <v>55</v>
      </c>
      <c r="B11" s="56">
        <v>30306294</v>
      </c>
      <c r="C11" s="12" t="s">
        <v>56</v>
      </c>
      <c r="D11" s="12" t="s">
        <v>57</v>
      </c>
      <c r="E11" s="12" t="s">
        <v>58</v>
      </c>
      <c r="F11" s="12" t="s">
        <v>26</v>
      </c>
      <c r="G11" s="33">
        <v>2</v>
      </c>
      <c r="H11" s="33">
        <v>8</v>
      </c>
      <c r="I11" s="12" t="s">
        <v>53</v>
      </c>
      <c r="J11" s="12" t="s">
        <v>54</v>
      </c>
      <c r="K11" s="73" t="s">
        <v>29</v>
      </c>
      <c r="L11" s="13">
        <v>743258957</v>
      </c>
      <c r="M11" s="13">
        <v>81617597</v>
      </c>
      <c r="N11" s="13">
        <v>228588076</v>
      </c>
      <c r="O11" s="13">
        <v>663705470</v>
      </c>
      <c r="P11" s="13">
        <v>548000573</v>
      </c>
      <c r="Q11" s="13">
        <v>79553487</v>
      </c>
      <c r="R11" s="13">
        <v>9471540</v>
      </c>
      <c r="S11" s="13">
        <v>28</v>
      </c>
      <c r="T11" s="81">
        <v>0</v>
      </c>
    </row>
    <row r="12" spans="1:20" ht="15" customHeight="1" x14ac:dyDescent="0.2">
      <c r="A12" s="15" t="s">
        <v>59</v>
      </c>
      <c r="B12" s="60">
        <v>60872504</v>
      </c>
      <c r="C12" s="15" t="s">
        <v>35</v>
      </c>
      <c r="D12" s="15" t="s">
        <v>36</v>
      </c>
      <c r="E12" s="15" t="s">
        <v>37</v>
      </c>
      <c r="F12" s="15" t="s">
        <v>60</v>
      </c>
      <c r="G12" s="34">
        <v>2</v>
      </c>
      <c r="H12" s="34">
        <v>8</v>
      </c>
      <c r="I12" s="15" t="s">
        <v>38</v>
      </c>
      <c r="J12" s="15" t="s">
        <v>39</v>
      </c>
      <c r="K12" s="74" t="s">
        <v>29</v>
      </c>
      <c r="L12" s="16">
        <v>493183395</v>
      </c>
      <c r="M12" s="16">
        <v>172877389</v>
      </c>
      <c r="N12" s="16">
        <v>41855441</v>
      </c>
      <c r="O12" s="16">
        <v>285535078</v>
      </c>
      <c r="P12" s="16">
        <v>107861159</v>
      </c>
      <c r="Q12" s="16">
        <v>207648317</v>
      </c>
      <c r="R12" s="16">
        <v>23205024</v>
      </c>
      <c r="S12" s="16">
        <v>2</v>
      </c>
      <c r="T12" s="111">
        <v>7</v>
      </c>
    </row>
    <row r="13" spans="1:20" ht="15" customHeight="1" x14ac:dyDescent="0.2">
      <c r="A13" s="12" t="s">
        <v>61</v>
      </c>
      <c r="B13" s="56">
        <v>30680829</v>
      </c>
      <c r="C13" s="12" t="s">
        <v>62</v>
      </c>
      <c r="D13" s="12" t="s">
        <v>63</v>
      </c>
      <c r="E13" s="12" t="s">
        <v>64</v>
      </c>
      <c r="F13" s="12" t="s">
        <v>65</v>
      </c>
      <c r="G13" s="33">
        <v>3</v>
      </c>
      <c r="H13" s="33">
        <v>14</v>
      </c>
      <c r="I13" s="12" t="s">
        <v>38</v>
      </c>
      <c r="J13" s="12" t="s">
        <v>39</v>
      </c>
      <c r="K13" s="73" t="s">
        <v>29</v>
      </c>
      <c r="L13" s="13">
        <v>267624695</v>
      </c>
      <c r="M13" s="13">
        <v>76080601</v>
      </c>
      <c r="N13" s="13">
        <v>80369899</v>
      </c>
      <c r="O13" s="13">
        <v>252606112</v>
      </c>
      <c r="P13" s="13">
        <v>225759535</v>
      </c>
      <c r="Q13" s="13">
        <v>15018583</v>
      </c>
      <c r="R13" s="13">
        <v>4194823</v>
      </c>
      <c r="S13" s="13">
        <v>2</v>
      </c>
      <c r="T13" s="81">
        <v>0</v>
      </c>
    </row>
    <row r="14" spans="1:20" ht="15" customHeight="1" x14ac:dyDescent="0.2">
      <c r="A14" s="15" t="s">
        <v>66</v>
      </c>
      <c r="B14" s="60">
        <v>58160789</v>
      </c>
      <c r="C14" s="15" t="s">
        <v>67</v>
      </c>
      <c r="D14" s="15" t="s">
        <v>68</v>
      </c>
      <c r="E14" s="15" t="s">
        <v>69</v>
      </c>
      <c r="F14" s="15" t="s">
        <v>26</v>
      </c>
      <c r="G14" s="34">
        <v>2</v>
      </c>
      <c r="H14" s="34">
        <v>8</v>
      </c>
      <c r="I14" s="15" t="s">
        <v>38</v>
      </c>
      <c r="J14" s="15" t="s">
        <v>39</v>
      </c>
      <c r="K14" s="74" t="s">
        <v>29</v>
      </c>
      <c r="L14" s="16">
        <v>256683465</v>
      </c>
      <c r="M14" s="16">
        <v>93167603</v>
      </c>
      <c r="N14" s="16">
        <v>46773165</v>
      </c>
      <c r="O14" s="16">
        <v>238676254</v>
      </c>
      <c r="P14" s="16">
        <v>204635211</v>
      </c>
      <c r="Q14" s="16">
        <v>18007212</v>
      </c>
      <c r="R14" s="16">
        <v>1885083</v>
      </c>
      <c r="S14" s="16">
        <v>133</v>
      </c>
      <c r="T14" s="111">
        <v>3</v>
      </c>
    </row>
    <row r="15" spans="1:20" ht="15" customHeight="1" x14ac:dyDescent="0.2">
      <c r="A15" s="12" t="s">
        <v>70</v>
      </c>
      <c r="B15" s="56">
        <v>1181521</v>
      </c>
      <c r="C15" s="12" t="s">
        <v>71</v>
      </c>
      <c r="D15" s="12"/>
      <c r="E15" s="12" t="s">
        <v>72</v>
      </c>
      <c r="F15" s="12" t="s">
        <v>26</v>
      </c>
      <c r="G15" s="33">
        <v>2</v>
      </c>
      <c r="H15" s="33">
        <v>11</v>
      </c>
      <c r="I15" s="12" t="s">
        <v>73</v>
      </c>
      <c r="J15" s="12" t="s">
        <v>74</v>
      </c>
      <c r="K15" s="73" t="s">
        <v>29</v>
      </c>
      <c r="L15" s="13">
        <v>234406077</v>
      </c>
      <c r="M15" s="13">
        <v>50267293</v>
      </c>
      <c r="N15" s="13">
        <v>49289841</v>
      </c>
      <c r="O15" s="13">
        <v>228925803</v>
      </c>
      <c r="P15" s="13">
        <v>202089776</v>
      </c>
      <c r="Q15" s="13">
        <v>5480274</v>
      </c>
      <c r="R15" s="13">
        <v>162608</v>
      </c>
      <c r="S15" s="13">
        <v>6</v>
      </c>
      <c r="T15" s="81">
        <v>0</v>
      </c>
    </row>
    <row r="16" spans="1:20" ht="15" customHeight="1" x14ac:dyDescent="0.2">
      <c r="A16" s="15" t="s">
        <v>75</v>
      </c>
      <c r="B16" s="60">
        <v>2038232</v>
      </c>
      <c r="C16" s="15" t="s">
        <v>76</v>
      </c>
      <c r="D16" s="15" t="s">
        <v>77</v>
      </c>
      <c r="E16" s="15" t="s">
        <v>78</v>
      </c>
      <c r="F16" s="15" t="s">
        <v>26</v>
      </c>
      <c r="G16" s="34">
        <v>2</v>
      </c>
      <c r="H16" s="34">
        <v>11</v>
      </c>
      <c r="I16" s="15" t="s">
        <v>27</v>
      </c>
      <c r="J16" s="15" t="s">
        <v>28</v>
      </c>
      <c r="K16" s="74" t="s">
        <v>29</v>
      </c>
      <c r="L16" s="16">
        <v>223159409</v>
      </c>
      <c r="M16" s="16">
        <v>44908980</v>
      </c>
      <c r="N16" s="16">
        <v>68401403</v>
      </c>
      <c r="O16" s="16">
        <v>216175011</v>
      </c>
      <c r="P16" s="16">
        <v>188203009</v>
      </c>
      <c r="Q16" s="16">
        <v>6984398</v>
      </c>
      <c r="R16" s="16">
        <v>458952</v>
      </c>
      <c r="S16" s="16">
        <v>5</v>
      </c>
      <c r="T16" s="111">
        <v>0</v>
      </c>
    </row>
    <row r="17" spans="1:20" ht="15" customHeight="1" x14ac:dyDescent="0.2">
      <c r="A17" s="12" t="s">
        <v>79</v>
      </c>
      <c r="B17" s="56">
        <v>33264668</v>
      </c>
      <c r="C17" s="12" t="s">
        <v>80</v>
      </c>
      <c r="D17" s="12" t="s">
        <v>81</v>
      </c>
      <c r="E17" s="12" t="s">
        <v>82</v>
      </c>
      <c r="F17" s="12" t="s">
        <v>26</v>
      </c>
      <c r="G17" s="33">
        <v>2</v>
      </c>
      <c r="H17" s="33">
        <v>8</v>
      </c>
      <c r="I17" s="12" t="s">
        <v>53</v>
      </c>
      <c r="J17" s="12" t="s">
        <v>54</v>
      </c>
      <c r="K17" s="73" t="s">
        <v>29</v>
      </c>
      <c r="L17" s="13">
        <v>221732251</v>
      </c>
      <c r="M17" s="13">
        <v>32257267</v>
      </c>
      <c r="N17" s="13">
        <v>75852463</v>
      </c>
      <c r="O17" s="13">
        <v>209296234</v>
      </c>
      <c r="P17" s="13">
        <v>169190938</v>
      </c>
      <c r="Q17" s="13">
        <v>12436018</v>
      </c>
      <c r="R17" s="13">
        <v>366732</v>
      </c>
      <c r="S17" s="13">
        <v>2</v>
      </c>
      <c r="T17" s="81">
        <v>0</v>
      </c>
    </row>
    <row r="18" spans="1:20" ht="15" customHeight="1" x14ac:dyDescent="0.2">
      <c r="A18" s="15" t="s">
        <v>83</v>
      </c>
      <c r="B18" s="60">
        <v>1425787</v>
      </c>
      <c r="C18" s="15" t="s">
        <v>35</v>
      </c>
      <c r="D18" s="15"/>
      <c r="E18" s="15" t="s">
        <v>37</v>
      </c>
      <c r="F18" s="15" t="s">
        <v>84</v>
      </c>
      <c r="G18" s="34">
        <v>2</v>
      </c>
      <c r="H18" s="34">
        <v>41</v>
      </c>
      <c r="I18" s="15" t="s">
        <v>38</v>
      </c>
      <c r="J18" s="15" t="s">
        <v>39</v>
      </c>
      <c r="K18" s="74" t="s">
        <v>29</v>
      </c>
      <c r="L18" s="16">
        <v>178389094</v>
      </c>
      <c r="M18" s="16">
        <v>0</v>
      </c>
      <c r="N18" s="16">
        <v>18863330</v>
      </c>
      <c r="O18" s="16">
        <v>137181221</v>
      </c>
      <c r="P18" s="16">
        <v>16821616</v>
      </c>
      <c r="Q18" s="16">
        <v>41207873</v>
      </c>
      <c r="R18" s="16">
        <v>1497264</v>
      </c>
      <c r="S18" s="16">
        <v>1</v>
      </c>
      <c r="T18" s="111">
        <v>0</v>
      </c>
    </row>
    <row r="19" spans="1:20" ht="15" customHeight="1" x14ac:dyDescent="0.2">
      <c r="A19" s="12" t="s">
        <v>85</v>
      </c>
      <c r="B19" s="56">
        <v>92702067</v>
      </c>
      <c r="C19" s="12" t="s">
        <v>86</v>
      </c>
      <c r="D19" s="12" t="s">
        <v>87</v>
      </c>
      <c r="E19" s="12" t="s">
        <v>88</v>
      </c>
      <c r="F19" s="12" t="s">
        <v>26</v>
      </c>
      <c r="G19" s="33">
        <v>1</v>
      </c>
      <c r="H19" s="33">
        <v>8</v>
      </c>
      <c r="I19" s="12" t="s">
        <v>73</v>
      </c>
      <c r="J19" s="12" t="s">
        <v>74</v>
      </c>
      <c r="K19" s="73" t="s">
        <v>29</v>
      </c>
      <c r="L19" s="13">
        <v>172827959</v>
      </c>
      <c r="M19" s="13">
        <v>60414676</v>
      </c>
      <c r="N19" s="13">
        <v>75506552</v>
      </c>
      <c r="O19" s="13">
        <v>161276935</v>
      </c>
      <c r="P19" s="13">
        <v>150456265</v>
      </c>
      <c r="Q19" s="13">
        <v>11551023</v>
      </c>
      <c r="R19" s="13">
        <v>546547</v>
      </c>
      <c r="S19" s="13">
        <v>506</v>
      </c>
      <c r="T19" s="81">
        <v>43</v>
      </c>
    </row>
    <row r="20" spans="1:20" ht="15" customHeight="1" x14ac:dyDescent="0.2">
      <c r="A20" s="15" t="s">
        <v>89</v>
      </c>
      <c r="B20" s="60">
        <v>33479023</v>
      </c>
      <c r="C20" s="15" t="s">
        <v>90</v>
      </c>
      <c r="D20" s="15" t="s">
        <v>91</v>
      </c>
      <c r="E20" s="15" t="s">
        <v>92</v>
      </c>
      <c r="F20" s="15" t="s">
        <v>26</v>
      </c>
      <c r="G20" s="34">
        <v>3</v>
      </c>
      <c r="H20" s="34">
        <v>8</v>
      </c>
      <c r="I20" s="15" t="s">
        <v>38</v>
      </c>
      <c r="J20" s="15" t="s">
        <v>39</v>
      </c>
      <c r="K20" s="74" t="s">
        <v>29</v>
      </c>
      <c r="L20" s="16">
        <v>169403341</v>
      </c>
      <c r="M20" s="16">
        <v>26037160</v>
      </c>
      <c r="N20" s="16">
        <v>46301711</v>
      </c>
      <c r="O20" s="16">
        <v>164218702</v>
      </c>
      <c r="P20" s="16">
        <v>145825012</v>
      </c>
      <c r="Q20" s="16">
        <v>5184639</v>
      </c>
      <c r="R20" s="16">
        <v>880369</v>
      </c>
      <c r="S20" s="16">
        <v>44</v>
      </c>
      <c r="T20" s="111">
        <v>8</v>
      </c>
    </row>
    <row r="21" spans="1:20" ht="15" customHeight="1" x14ac:dyDescent="0.2">
      <c r="A21" s="12" t="s">
        <v>93</v>
      </c>
      <c r="B21" s="56">
        <v>59588111</v>
      </c>
      <c r="C21" s="12" t="s">
        <v>94</v>
      </c>
      <c r="D21" s="12" t="s">
        <v>95</v>
      </c>
      <c r="E21" s="12" t="s">
        <v>96</v>
      </c>
      <c r="F21" s="12" t="s">
        <v>26</v>
      </c>
      <c r="G21" s="33">
        <v>2</v>
      </c>
      <c r="H21" s="33">
        <v>8</v>
      </c>
      <c r="I21" s="12" t="s">
        <v>38</v>
      </c>
      <c r="J21" s="12" t="s">
        <v>39</v>
      </c>
      <c r="K21" s="73" t="s">
        <v>29</v>
      </c>
      <c r="L21" s="13">
        <v>147547552</v>
      </c>
      <c r="M21" s="13">
        <v>71981491</v>
      </c>
      <c r="N21" s="13">
        <v>32816913</v>
      </c>
      <c r="O21" s="13">
        <v>134575200</v>
      </c>
      <c r="P21" s="13">
        <v>111045483</v>
      </c>
      <c r="Q21" s="13">
        <v>12972352</v>
      </c>
      <c r="R21" s="13">
        <v>961452</v>
      </c>
      <c r="S21" s="13">
        <v>4</v>
      </c>
      <c r="T21" s="81">
        <v>3</v>
      </c>
    </row>
    <row r="22" spans="1:20" ht="15" customHeight="1" x14ac:dyDescent="0.2">
      <c r="A22" s="15" t="s">
        <v>97</v>
      </c>
      <c r="B22" s="60">
        <v>2332886</v>
      </c>
      <c r="C22" s="15" t="s">
        <v>80</v>
      </c>
      <c r="D22" s="15" t="s">
        <v>81</v>
      </c>
      <c r="E22" s="15" t="s">
        <v>82</v>
      </c>
      <c r="F22" s="15" t="s">
        <v>98</v>
      </c>
      <c r="G22" s="34">
        <v>2</v>
      </c>
      <c r="H22" s="34">
        <v>15</v>
      </c>
      <c r="I22" s="15" t="s">
        <v>53</v>
      </c>
      <c r="J22" s="15" t="s">
        <v>54</v>
      </c>
      <c r="K22" s="74" t="s">
        <v>29</v>
      </c>
      <c r="L22" s="16">
        <v>132450653</v>
      </c>
      <c r="M22" s="16">
        <v>147006</v>
      </c>
      <c r="N22" s="16">
        <v>39754591</v>
      </c>
      <c r="O22" s="16">
        <v>125124019</v>
      </c>
      <c r="P22" s="16">
        <v>91424497</v>
      </c>
      <c r="Q22" s="16">
        <v>7326634</v>
      </c>
      <c r="R22" s="16">
        <v>-40139</v>
      </c>
      <c r="S22" s="16">
        <v>5</v>
      </c>
      <c r="T22" s="111">
        <v>0</v>
      </c>
    </row>
    <row r="23" spans="1:20" ht="15" customHeight="1" x14ac:dyDescent="0.2">
      <c r="A23" s="12" t="s">
        <v>99</v>
      </c>
      <c r="B23" s="56">
        <v>18236120</v>
      </c>
      <c r="C23" s="12" t="s">
        <v>62</v>
      </c>
      <c r="D23" s="12"/>
      <c r="E23" s="12" t="s">
        <v>64</v>
      </c>
      <c r="F23" s="12" t="s">
        <v>84</v>
      </c>
      <c r="G23" s="33">
        <v>3</v>
      </c>
      <c r="H23" s="33">
        <v>41</v>
      </c>
      <c r="I23" s="12" t="s">
        <v>38</v>
      </c>
      <c r="J23" s="12" t="s">
        <v>39</v>
      </c>
      <c r="K23" s="73" t="s">
        <v>29</v>
      </c>
      <c r="L23" s="13">
        <v>122363230</v>
      </c>
      <c r="M23" s="13">
        <v>75801555</v>
      </c>
      <c r="N23" s="13">
        <v>684426</v>
      </c>
      <c r="O23" s="13">
        <v>99117282</v>
      </c>
      <c r="P23" s="13">
        <v>3084398</v>
      </c>
      <c r="Q23" s="13">
        <v>23245948</v>
      </c>
      <c r="R23" s="13">
        <v>4093013</v>
      </c>
      <c r="S23" s="13">
        <v>1</v>
      </c>
      <c r="T23" s="81">
        <v>0</v>
      </c>
    </row>
    <row r="24" spans="1:20" ht="15" customHeight="1" x14ac:dyDescent="0.2">
      <c r="A24" s="15" t="s">
        <v>100</v>
      </c>
      <c r="B24" s="60">
        <v>31872495</v>
      </c>
      <c r="C24" s="15" t="s">
        <v>101</v>
      </c>
      <c r="D24" s="15" t="s">
        <v>102</v>
      </c>
      <c r="E24" s="15" t="s">
        <v>103</v>
      </c>
      <c r="F24" s="15" t="s">
        <v>26</v>
      </c>
      <c r="G24" s="34">
        <v>2</v>
      </c>
      <c r="H24" s="34">
        <v>8</v>
      </c>
      <c r="I24" s="15" t="s">
        <v>38</v>
      </c>
      <c r="J24" s="15" t="s">
        <v>39</v>
      </c>
      <c r="K24" s="74" t="s">
        <v>29</v>
      </c>
      <c r="L24" s="16">
        <v>117193733</v>
      </c>
      <c r="M24" s="16">
        <v>52508241</v>
      </c>
      <c r="N24" s="16">
        <v>43492491</v>
      </c>
      <c r="O24" s="16">
        <v>114382052</v>
      </c>
      <c r="P24" s="16">
        <v>87601269</v>
      </c>
      <c r="Q24" s="16">
        <v>2811681</v>
      </c>
      <c r="R24" s="16">
        <v>662077</v>
      </c>
      <c r="S24" s="16">
        <v>2</v>
      </c>
      <c r="T24" s="111">
        <v>0</v>
      </c>
    </row>
    <row r="25" spans="1:20" ht="15" customHeight="1" x14ac:dyDescent="0.2">
      <c r="A25" s="12" t="s">
        <v>104</v>
      </c>
      <c r="B25" s="56">
        <v>1027058</v>
      </c>
      <c r="C25" s="12" t="s">
        <v>105</v>
      </c>
      <c r="D25" s="12"/>
      <c r="E25" s="12" t="s">
        <v>106</v>
      </c>
      <c r="F25" s="12" t="s">
        <v>84</v>
      </c>
      <c r="G25" s="33">
        <v>2</v>
      </c>
      <c r="H25" s="33">
        <v>41</v>
      </c>
      <c r="I25" s="12" t="s">
        <v>107</v>
      </c>
      <c r="J25" s="12" t="s">
        <v>39</v>
      </c>
      <c r="K25" s="73" t="s">
        <v>29</v>
      </c>
      <c r="L25" s="13">
        <v>116680888</v>
      </c>
      <c r="M25" s="13">
        <v>0</v>
      </c>
      <c r="N25" s="13">
        <v>6134397</v>
      </c>
      <c r="O25" s="13">
        <v>105006218</v>
      </c>
      <c r="P25" s="13">
        <v>10367314</v>
      </c>
      <c r="Q25" s="13">
        <v>11674670</v>
      </c>
      <c r="R25" s="13">
        <v>566759</v>
      </c>
      <c r="S25" s="13">
        <v>1</v>
      </c>
      <c r="T25" s="81">
        <v>0</v>
      </c>
    </row>
    <row r="26" spans="1:20" ht="15" customHeight="1" x14ac:dyDescent="0.2">
      <c r="A26" s="15" t="s">
        <v>108</v>
      </c>
      <c r="B26" s="60">
        <v>33172537</v>
      </c>
      <c r="C26" s="15" t="s">
        <v>109</v>
      </c>
      <c r="D26" s="15" t="s">
        <v>110</v>
      </c>
      <c r="E26" s="15" t="s">
        <v>111</v>
      </c>
      <c r="F26" s="15" t="s">
        <v>26</v>
      </c>
      <c r="G26" s="34">
        <v>3</v>
      </c>
      <c r="H26" s="34">
        <v>8</v>
      </c>
      <c r="I26" s="15" t="s">
        <v>38</v>
      </c>
      <c r="J26" s="15" t="s">
        <v>39</v>
      </c>
      <c r="K26" s="74" t="s">
        <v>29</v>
      </c>
      <c r="L26" s="16">
        <v>110025345</v>
      </c>
      <c r="M26" s="16">
        <v>3735715</v>
      </c>
      <c r="N26" s="16">
        <v>62256458</v>
      </c>
      <c r="O26" s="16">
        <v>98253022</v>
      </c>
      <c r="P26" s="16">
        <v>84833031</v>
      </c>
      <c r="Q26" s="16">
        <v>11772323</v>
      </c>
      <c r="R26" s="16">
        <v>1038284</v>
      </c>
      <c r="S26" s="16">
        <v>3</v>
      </c>
      <c r="T26" s="111">
        <v>0</v>
      </c>
    </row>
    <row r="27" spans="1:20" ht="15" customHeight="1" x14ac:dyDescent="0.2">
      <c r="A27" s="12" t="s">
        <v>112</v>
      </c>
      <c r="B27" s="56">
        <v>10573521</v>
      </c>
      <c r="C27" s="12" t="s">
        <v>113</v>
      </c>
      <c r="D27" s="12"/>
      <c r="E27" s="12" t="s">
        <v>114</v>
      </c>
      <c r="F27" s="12" t="s">
        <v>84</v>
      </c>
      <c r="G27" s="33">
        <v>3</v>
      </c>
      <c r="H27" s="33">
        <v>41</v>
      </c>
      <c r="I27" s="12" t="s">
        <v>44</v>
      </c>
      <c r="J27" s="12" t="s">
        <v>39</v>
      </c>
      <c r="K27" s="73" t="s">
        <v>29</v>
      </c>
      <c r="L27" s="13">
        <v>105731564</v>
      </c>
      <c r="M27" s="13">
        <v>22485259</v>
      </c>
      <c r="N27" s="13">
        <v>1505659</v>
      </c>
      <c r="O27" s="13">
        <v>102742356</v>
      </c>
      <c r="P27" s="13">
        <v>59815921</v>
      </c>
      <c r="Q27" s="13">
        <v>2989208</v>
      </c>
      <c r="R27" s="13">
        <v>-189822</v>
      </c>
      <c r="S27" s="13">
        <v>1</v>
      </c>
      <c r="T27" s="81">
        <v>0</v>
      </c>
    </row>
    <row r="28" spans="1:20" ht="15" customHeight="1" x14ac:dyDescent="0.2">
      <c r="A28" s="15" t="s">
        <v>115</v>
      </c>
      <c r="B28" s="60">
        <v>416968</v>
      </c>
      <c r="C28" s="15" t="s">
        <v>116</v>
      </c>
      <c r="D28" s="15" t="s">
        <v>117</v>
      </c>
      <c r="E28" s="15" t="s">
        <v>118</v>
      </c>
      <c r="F28" s="15" t="s">
        <v>26</v>
      </c>
      <c r="G28" s="34">
        <v>2</v>
      </c>
      <c r="H28" s="34">
        <v>8</v>
      </c>
      <c r="I28" s="15" t="s">
        <v>119</v>
      </c>
      <c r="J28" s="15" t="s">
        <v>120</v>
      </c>
      <c r="K28" s="74" t="s">
        <v>29</v>
      </c>
      <c r="L28" s="16">
        <v>100898332</v>
      </c>
      <c r="M28" s="16">
        <v>46141022</v>
      </c>
      <c r="N28" s="16">
        <v>28722089</v>
      </c>
      <c r="O28" s="16">
        <v>93446498</v>
      </c>
      <c r="P28" s="16">
        <v>77773587</v>
      </c>
      <c r="Q28" s="16">
        <v>7451834</v>
      </c>
      <c r="R28" s="16">
        <v>712041</v>
      </c>
      <c r="S28" s="16">
        <v>2</v>
      </c>
      <c r="T28" s="111">
        <v>0</v>
      </c>
    </row>
    <row r="29" spans="1:20" ht="15" customHeight="1" x14ac:dyDescent="0.2">
      <c r="A29" s="12" t="s">
        <v>121</v>
      </c>
      <c r="B29" s="56">
        <v>62232889</v>
      </c>
      <c r="C29" s="12" t="s">
        <v>122</v>
      </c>
      <c r="D29" s="12" t="s">
        <v>123</v>
      </c>
      <c r="E29" s="12" t="s">
        <v>124</v>
      </c>
      <c r="F29" s="12" t="s">
        <v>26</v>
      </c>
      <c r="G29" s="33">
        <v>2</v>
      </c>
      <c r="H29" s="33">
        <v>8</v>
      </c>
      <c r="I29" s="12" t="s">
        <v>38</v>
      </c>
      <c r="J29" s="12" t="s">
        <v>39</v>
      </c>
      <c r="K29" s="73" t="s">
        <v>29</v>
      </c>
      <c r="L29" s="13">
        <v>99778656</v>
      </c>
      <c r="M29" s="13">
        <v>53810851</v>
      </c>
      <c r="N29" s="13">
        <v>24713706</v>
      </c>
      <c r="O29" s="13">
        <v>92122935</v>
      </c>
      <c r="P29" s="13">
        <v>82698919</v>
      </c>
      <c r="Q29" s="13">
        <v>7655721</v>
      </c>
      <c r="R29" s="13">
        <v>901621</v>
      </c>
      <c r="S29" s="13">
        <v>53</v>
      </c>
      <c r="T29" s="81">
        <v>0</v>
      </c>
    </row>
    <row r="30" spans="1:20" ht="15" customHeight="1" x14ac:dyDescent="0.2">
      <c r="A30" s="15" t="s">
        <v>125</v>
      </c>
      <c r="B30" s="60">
        <v>7707650</v>
      </c>
      <c r="C30" s="15" t="s">
        <v>46</v>
      </c>
      <c r="D30" s="15" t="s">
        <v>47</v>
      </c>
      <c r="E30" s="15" t="s">
        <v>48</v>
      </c>
      <c r="F30" s="15" t="s">
        <v>65</v>
      </c>
      <c r="G30" s="34">
        <v>3</v>
      </c>
      <c r="H30" s="34">
        <v>14</v>
      </c>
      <c r="I30" s="15" t="s">
        <v>38</v>
      </c>
      <c r="J30" s="15" t="s">
        <v>39</v>
      </c>
      <c r="K30" s="74" t="s">
        <v>29</v>
      </c>
      <c r="L30" s="16">
        <v>94908733</v>
      </c>
      <c r="M30" s="16">
        <v>78916545</v>
      </c>
      <c r="N30" s="16">
        <v>8626164</v>
      </c>
      <c r="O30" s="16">
        <v>90101084</v>
      </c>
      <c r="P30" s="16">
        <v>84719722</v>
      </c>
      <c r="Q30" s="16">
        <v>4807649</v>
      </c>
      <c r="R30" s="16">
        <v>361088</v>
      </c>
      <c r="S30" s="16">
        <v>1</v>
      </c>
      <c r="T30" s="111">
        <v>0</v>
      </c>
    </row>
    <row r="31" spans="1:20" ht="15" customHeight="1" x14ac:dyDescent="0.2">
      <c r="A31" s="12" t="s">
        <v>126</v>
      </c>
      <c r="B31" s="56">
        <v>16501555</v>
      </c>
      <c r="C31" s="12" t="s">
        <v>127</v>
      </c>
      <c r="D31" s="12"/>
      <c r="E31" s="12" t="s">
        <v>128</v>
      </c>
      <c r="F31" s="12" t="s">
        <v>84</v>
      </c>
      <c r="G31" s="33">
        <v>3</v>
      </c>
      <c r="H31" s="33">
        <v>41</v>
      </c>
      <c r="I31" s="12" t="s">
        <v>38</v>
      </c>
      <c r="J31" s="12" t="s">
        <v>39</v>
      </c>
      <c r="K31" s="73" t="s">
        <v>29</v>
      </c>
      <c r="L31" s="13">
        <v>89229885</v>
      </c>
      <c r="M31" s="13">
        <v>0</v>
      </c>
      <c r="N31" s="13">
        <v>33856104</v>
      </c>
      <c r="O31" s="13">
        <v>86020632</v>
      </c>
      <c r="P31" s="13">
        <v>35329072</v>
      </c>
      <c r="Q31" s="13">
        <v>3209254</v>
      </c>
      <c r="R31" s="13">
        <v>867035</v>
      </c>
      <c r="S31" s="13">
        <v>1</v>
      </c>
      <c r="T31" s="81">
        <v>0</v>
      </c>
    </row>
    <row r="32" spans="1:20" ht="15" customHeight="1" x14ac:dyDescent="0.2">
      <c r="A32" s="15" t="s">
        <v>129</v>
      </c>
      <c r="B32" s="60">
        <v>7237373</v>
      </c>
      <c r="C32" s="15" t="s">
        <v>130</v>
      </c>
      <c r="D32" s="15"/>
      <c r="E32" s="15" t="s">
        <v>131</v>
      </c>
      <c r="F32" s="15" t="s">
        <v>26</v>
      </c>
      <c r="G32" s="34">
        <v>1</v>
      </c>
      <c r="H32" s="34">
        <v>8</v>
      </c>
      <c r="I32" s="15" t="s">
        <v>132</v>
      </c>
      <c r="J32" s="15" t="s">
        <v>133</v>
      </c>
      <c r="K32" s="74" t="s">
        <v>29</v>
      </c>
      <c r="L32" s="16">
        <v>81039783</v>
      </c>
      <c r="M32" s="16">
        <v>17779920</v>
      </c>
      <c r="N32" s="16">
        <v>44768452</v>
      </c>
      <c r="O32" s="16">
        <v>64226772</v>
      </c>
      <c r="P32" s="16">
        <v>23269171</v>
      </c>
      <c r="Q32" s="16">
        <v>16813010</v>
      </c>
      <c r="R32" s="16">
        <v>1057412</v>
      </c>
      <c r="S32" s="16">
        <v>301</v>
      </c>
      <c r="T32" s="111">
        <v>1</v>
      </c>
    </row>
    <row r="33" spans="1:20" ht="15" customHeight="1" x14ac:dyDescent="0.2">
      <c r="A33" s="12" t="s">
        <v>134</v>
      </c>
      <c r="B33" s="56">
        <v>59285411</v>
      </c>
      <c r="C33" s="12" t="s">
        <v>56</v>
      </c>
      <c r="D33" s="12" t="s">
        <v>57</v>
      </c>
      <c r="E33" s="12" t="s">
        <v>58</v>
      </c>
      <c r="F33" s="12" t="s">
        <v>26</v>
      </c>
      <c r="G33" s="33">
        <v>2</v>
      </c>
      <c r="H33" s="33">
        <v>8</v>
      </c>
      <c r="I33" s="12" t="s">
        <v>53</v>
      </c>
      <c r="J33" s="12" t="s">
        <v>54</v>
      </c>
      <c r="K33" s="73" t="s">
        <v>29</v>
      </c>
      <c r="L33" s="13">
        <v>77255474</v>
      </c>
      <c r="M33" s="13">
        <v>35566859</v>
      </c>
      <c r="N33" s="13">
        <v>24319234</v>
      </c>
      <c r="O33" s="13">
        <v>68495128</v>
      </c>
      <c r="P33" s="13">
        <v>64315922</v>
      </c>
      <c r="Q33" s="13">
        <v>8760346</v>
      </c>
      <c r="R33" s="13">
        <v>689725</v>
      </c>
      <c r="S33" s="13">
        <v>2</v>
      </c>
      <c r="T33" s="81">
        <v>0</v>
      </c>
    </row>
    <row r="34" spans="1:20" ht="15" customHeight="1" x14ac:dyDescent="0.2">
      <c r="A34" s="15" t="s">
        <v>135</v>
      </c>
      <c r="B34" s="60">
        <v>10440482</v>
      </c>
      <c r="C34" s="15" t="s">
        <v>46</v>
      </c>
      <c r="D34" s="15"/>
      <c r="E34" s="15" t="s">
        <v>48</v>
      </c>
      <c r="F34" s="15" t="s">
        <v>84</v>
      </c>
      <c r="G34" s="34">
        <v>3</v>
      </c>
      <c r="H34" s="34">
        <v>41</v>
      </c>
      <c r="I34" s="15" t="s">
        <v>38</v>
      </c>
      <c r="J34" s="15" t="s">
        <v>39</v>
      </c>
      <c r="K34" s="74" t="s">
        <v>29</v>
      </c>
      <c r="L34" s="16">
        <v>74198667</v>
      </c>
      <c r="M34" s="16">
        <v>0</v>
      </c>
      <c r="N34" s="16">
        <v>471650</v>
      </c>
      <c r="O34" s="16">
        <v>70373351</v>
      </c>
      <c r="P34" s="16">
        <v>457227</v>
      </c>
      <c r="Q34" s="16">
        <v>3825316</v>
      </c>
      <c r="R34" s="16">
        <v>529101</v>
      </c>
      <c r="S34" s="16">
        <v>1</v>
      </c>
      <c r="T34" s="111">
        <v>0</v>
      </c>
    </row>
    <row r="35" spans="1:20" ht="15" customHeight="1" x14ac:dyDescent="0.2">
      <c r="A35" s="12" t="s">
        <v>136</v>
      </c>
      <c r="B35" s="56">
        <v>8561701</v>
      </c>
      <c r="C35" s="12" t="s">
        <v>137</v>
      </c>
      <c r="D35" s="12"/>
      <c r="E35" s="12" t="s">
        <v>138</v>
      </c>
      <c r="F35" s="12" t="s">
        <v>84</v>
      </c>
      <c r="G35" s="33">
        <v>2</v>
      </c>
      <c r="H35" s="33">
        <v>41</v>
      </c>
      <c r="I35" s="12" t="s">
        <v>38</v>
      </c>
      <c r="J35" s="12" t="s">
        <v>39</v>
      </c>
      <c r="K35" s="73" t="s">
        <v>29</v>
      </c>
      <c r="L35" s="13">
        <v>73530147</v>
      </c>
      <c r="M35" s="13">
        <v>746551</v>
      </c>
      <c r="N35" s="13">
        <v>5259611</v>
      </c>
      <c r="O35" s="13">
        <v>67499312</v>
      </c>
      <c r="P35" s="13">
        <v>46766864</v>
      </c>
      <c r="Q35" s="13">
        <v>6030835</v>
      </c>
      <c r="R35" s="13">
        <v>463519</v>
      </c>
      <c r="S35" s="13">
        <v>1</v>
      </c>
      <c r="T35" s="81">
        <v>0</v>
      </c>
    </row>
    <row r="36" spans="1:20" ht="15" customHeight="1" x14ac:dyDescent="0.2">
      <c r="A36" s="15" t="s">
        <v>139</v>
      </c>
      <c r="B36" s="60">
        <v>7207996</v>
      </c>
      <c r="C36" s="15" t="s">
        <v>41</v>
      </c>
      <c r="D36" s="15" t="s">
        <v>42</v>
      </c>
      <c r="E36" s="15" t="s">
        <v>43</v>
      </c>
      <c r="F36" s="15" t="s">
        <v>26</v>
      </c>
      <c r="G36" s="34">
        <v>2</v>
      </c>
      <c r="H36" s="34">
        <v>8</v>
      </c>
      <c r="I36" s="15" t="s">
        <v>44</v>
      </c>
      <c r="J36" s="15" t="s">
        <v>39</v>
      </c>
      <c r="K36" s="74" t="s">
        <v>29</v>
      </c>
      <c r="L36" s="16">
        <v>68748096</v>
      </c>
      <c r="M36" s="16">
        <v>52483412</v>
      </c>
      <c r="N36" s="16">
        <v>60748</v>
      </c>
      <c r="O36" s="16">
        <v>68114489</v>
      </c>
      <c r="P36" s="16">
        <v>65248099</v>
      </c>
      <c r="Q36" s="16">
        <v>633608</v>
      </c>
      <c r="R36" s="16">
        <v>12331</v>
      </c>
      <c r="S36" s="16">
        <v>2</v>
      </c>
      <c r="T36" s="111">
        <v>5</v>
      </c>
    </row>
    <row r="37" spans="1:20" ht="15" customHeight="1" x14ac:dyDescent="0.2">
      <c r="A37" s="12" t="s">
        <v>140</v>
      </c>
      <c r="B37" s="56">
        <v>4902979</v>
      </c>
      <c r="C37" s="12" t="s">
        <v>141</v>
      </c>
      <c r="D37" s="12"/>
      <c r="E37" s="12" t="s">
        <v>142</v>
      </c>
      <c r="F37" s="12" t="s">
        <v>26</v>
      </c>
      <c r="G37" s="33">
        <v>1</v>
      </c>
      <c r="H37" s="33">
        <v>2</v>
      </c>
      <c r="I37" s="12" t="s">
        <v>143</v>
      </c>
      <c r="J37" s="12" t="s">
        <v>144</v>
      </c>
      <c r="K37" s="73" t="s">
        <v>29</v>
      </c>
      <c r="L37" s="13">
        <v>67352881</v>
      </c>
      <c r="M37" s="13">
        <v>38713829</v>
      </c>
      <c r="N37" s="13">
        <v>21699434</v>
      </c>
      <c r="O37" s="13">
        <v>60078810</v>
      </c>
      <c r="P37" s="13">
        <v>15601132</v>
      </c>
      <c r="Q37" s="13">
        <v>7274071</v>
      </c>
      <c r="R37" s="13">
        <v>353060</v>
      </c>
      <c r="S37" s="13">
        <v>115</v>
      </c>
      <c r="T37" s="81">
        <v>0</v>
      </c>
    </row>
    <row r="38" spans="1:20" ht="15" customHeight="1" x14ac:dyDescent="0.2">
      <c r="A38" s="15" t="s">
        <v>145</v>
      </c>
      <c r="B38" s="60">
        <v>28195667</v>
      </c>
      <c r="C38" s="15" t="s">
        <v>146</v>
      </c>
      <c r="D38" s="15" t="s">
        <v>147</v>
      </c>
      <c r="E38" s="15" t="s">
        <v>148</v>
      </c>
      <c r="F38" s="15" t="s">
        <v>26</v>
      </c>
      <c r="G38" s="34">
        <v>3</v>
      </c>
      <c r="H38" s="34">
        <v>8</v>
      </c>
      <c r="I38" s="15" t="s">
        <v>38</v>
      </c>
      <c r="J38" s="15" t="s">
        <v>39</v>
      </c>
      <c r="K38" s="74" t="s">
        <v>29</v>
      </c>
      <c r="L38" s="16">
        <v>66147427</v>
      </c>
      <c r="M38" s="16">
        <v>18520743</v>
      </c>
      <c r="N38" s="16">
        <v>29173812</v>
      </c>
      <c r="O38" s="16">
        <v>58888511</v>
      </c>
      <c r="P38" s="16">
        <v>50226679</v>
      </c>
      <c r="Q38" s="16">
        <v>7258915</v>
      </c>
      <c r="R38" s="16">
        <v>487535</v>
      </c>
      <c r="S38" s="16">
        <v>13</v>
      </c>
      <c r="T38" s="111">
        <v>0</v>
      </c>
    </row>
    <row r="39" spans="1:20" ht="15" customHeight="1" x14ac:dyDescent="0.2">
      <c r="A39" s="12" t="s">
        <v>149</v>
      </c>
      <c r="B39" s="56">
        <v>59109165</v>
      </c>
      <c r="C39" s="12" t="s">
        <v>150</v>
      </c>
      <c r="D39" s="12"/>
      <c r="E39" s="12" t="s">
        <v>151</v>
      </c>
      <c r="F39" s="12" t="s">
        <v>60</v>
      </c>
      <c r="G39" s="33">
        <v>3</v>
      </c>
      <c r="H39" s="33">
        <v>8</v>
      </c>
      <c r="I39" s="12" t="s">
        <v>38</v>
      </c>
      <c r="J39" s="12" t="s">
        <v>39</v>
      </c>
      <c r="K39" s="73" t="s">
        <v>29</v>
      </c>
      <c r="L39" s="13">
        <v>61250495</v>
      </c>
      <c r="M39" s="13">
        <v>50345582</v>
      </c>
      <c r="N39" s="13">
        <v>819927</v>
      </c>
      <c r="O39" s="13">
        <v>55986251</v>
      </c>
      <c r="P39" s="13">
        <v>47916041</v>
      </c>
      <c r="Q39" s="13">
        <v>5264244</v>
      </c>
      <c r="R39" s="13">
        <v>-203091</v>
      </c>
      <c r="S39" s="13">
        <v>2</v>
      </c>
      <c r="T39" s="81">
        <v>0</v>
      </c>
    </row>
    <row r="40" spans="1:20" ht="15" customHeight="1" x14ac:dyDescent="0.2">
      <c r="A40" s="15" t="s">
        <v>152</v>
      </c>
      <c r="B40" s="60">
        <v>1522368</v>
      </c>
      <c r="C40" s="15" t="s">
        <v>153</v>
      </c>
      <c r="D40" s="15"/>
      <c r="E40" s="15" t="s">
        <v>154</v>
      </c>
      <c r="F40" s="15" t="s">
        <v>26</v>
      </c>
      <c r="G40" s="34">
        <v>3</v>
      </c>
      <c r="H40" s="34">
        <v>8</v>
      </c>
      <c r="I40" s="15" t="s">
        <v>38</v>
      </c>
      <c r="J40" s="15" t="s">
        <v>39</v>
      </c>
      <c r="K40" s="74" t="s">
        <v>29</v>
      </c>
      <c r="L40" s="16">
        <v>58787929</v>
      </c>
      <c r="M40" s="16">
        <v>6716037</v>
      </c>
      <c r="N40" s="16">
        <v>21646070</v>
      </c>
      <c r="O40" s="16">
        <v>54077310</v>
      </c>
      <c r="P40" s="16">
        <v>34516225</v>
      </c>
      <c r="Q40" s="16">
        <v>4710619</v>
      </c>
      <c r="R40" s="16">
        <v>86546</v>
      </c>
      <c r="S40" s="16">
        <v>2</v>
      </c>
      <c r="T40" s="111">
        <v>0</v>
      </c>
    </row>
    <row r="41" spans="1:20" ht="15" customHeight="1" x14ac:dyDescent="0.2">
      <c r="A41" s="12" t="s">
        <v>155</v>
      </c>
      <c r="B41" s="56">
        <v>61348538</v>
      </c>
      <c r="C41" s="12" t="s">
        <v>101</v>
      </c>
      <c r="D41" s="12" t="s">
        <v>102</v>
      </c>
      <c r="E41" s="12" t="s">
        <v>103</v>
      </c>
      <c r="F41" s="12" t="s">
        <v>26</v>
      </c>
      <c r="G41" s="33">
        <v>2</v>
      </c>
      <c r="H41" s="33">
        <v>8</v>
      </c>
      <c r="I41" s="12" t="s">
        <v>38</v>
      </c>
      <c r="J41" s="12" t="s">
        <v>39</v>
      </c>
      <c r="K41" s="73" t="s">
        <v>29</v>
      </c>
      <c r="L41" s="13">
        <v>56164263</v>
      </c>
      <c r="M41" s="13">
        <v>42537256</v>
      </c>
      <c r="N41" s="13">
        <v>7432727</v>
      </c>
      <c r="O41" s="13">
        <v>52511688</v>
      </c>
      <c r="P41" s="13">
        <v>39443515</v>
      </c>
      <c r="Q41" s="13">
        <v>3652575</v>
      </c>
      <c r="R41" s="13">
        <v>559375</v>
      </c>
      <c r="S41" s="13">
        <v>2</v>
      </c>
      <c r="T41" s="81">
        <v>0</v>
      </c>
    </row>
    <row r="42" spans="1:20" ht="15" customHeight="1" x14ac:dyDescent="0.2">
      <c r="A42" s="15" t="s">
        <v>156</v>
      </c>
      <c r="B42" s="60">
        <v>1023570</v>
      </c>
      <c r="C42" s="15" t="s">
        <v>157</v>
      </c>
      <c r="D42" s="15"/>
      <c r="E42" s="15" t="s">
        <v>158</v>
      </c>
      <c r="F42" s="15" t="s">
        <v>26</v>
      </c>
      <c r="G42" s="34">
        <v>3</v>
      </c>
      <c r="H42" s="34">
        <v>8</v>
      </c>
      <c r="I42" s="15" t="s">
        <v>38</v>
      </c>
      <c r="J42" s="15" t="s">
        <v>39</v>
      </c>
      <c r="K42" s="74" t="s">
        <v>29</v>
      </c>
      <c r="L42" s="16">
        <v>54678970</v>
      </c>
      <c r="M42" s="16">
        <v>37932273</v>
      </c>
      <c r="N42" s="16">
        <v>7485572</v>
      </c>
      <c r="O42" s="16">
        <v>48983962</v>
      </c>
      <c r="P42" s="16">
        <v>44719472</v>
      </c>
      <c r="Q42" s="16">
        <v>5695008</v>
      </c>
      <c r="R42" s="16">
        <v>270816</v>
      </c>
      <c r="S42" s="16">
        <v>19</v>
      </c>
      <c r="T42" s="111">
        <v>0</v>
      </c>
    </row>
    <row r="43" spans="1:20" ht="15" customHeight="1" x14ac:dyDescent="0.2">
      <c r="A43" s="12" t="s">
        <v>159</v>
      </c>
      <c r="B43" s="56">
        <v>10264663</v>
      </c>
      <c r="C43" s="12" t="s">
        <v>137</v>
      </c>
      <c r="D43" s="12" t="s">
        <v>160</v>
      </c>
      <c r="E43" s="12" t="s">
        <v>138</v>
      </c>
      <c r="F43" s="12" t="s">
        <v>26</v>
      </c>
      <c r="G43" s="33">
        <v>2</v>
      </c>
      <c r="H43" s="33">
        <v>8</v>
      </c>
      <c r="I43" s="12" t="s">
        <v>38</v>
      </c>
      <c r="J43" s="12" t="s">
        <v>39</v>
      </c>
      <c r="K43" s="73" t="s">
        <v>29</v>
      </c>
      <c r="L43" s="13">
        <v>52291197</v>
      </c>
      <c r="M43" s="13">
        <v>47649262</v>
      </c>
      <c r="N43" s="13">
        <v>355175</v>
      </c>
      <c r="O43" s="13">
        <v>50569304</v>
      </c>
      <c r="P43" s="13">
        <v>50254095</v>
      </c>
      <c r="Q43" s="13">
        <v>1721893</v>
      </c>
      <c r="R43" s="13">
        <v>66118</v>
      </c>
      <c r="S43" s="13">
        <v>2</v>
      </c>
      <c r="T43" s="81">
        <v>0</v>
      </c>
    </row>
    <row r="44" spans="1:20" ht="15" customHeight="1" x14ac:dyDescent="0.2">
      <c r="A44" s="15" t="s">
        <v>161</v>
      </c>
      <c r="B44" s="60">
        <v>10664513</v>
      </c>
      <c r="C44" s="15" t="s">
        <v>162</v>
      </c>
      <c r="D44" s="15" t="s">
        <v>163</v>
      </c>
      <c r="E44" s="15" t="s">
        <v>164</v>
      </c>
      <c r="F44" s="15" t="s">
        <v>26</v>
      </c>
      <c r="G44" s="34">
        <v>3</v>
      </c>
      <c r="H44" s="34">
        <v>2</v>
      </c>
      <c r="I44" s="15" t="s">
        <v>165</v>
      </c>
      <c r="J44" s="15" t="s">
        <v>39</v>
      </c>
      <c r="K44" s="74" t="s">
        <v>29</v>
      </c>
      <c r="L44" s="16">
        <v>51241770</v>
      </c>
      <c r="M44" s="16">
        <v>34675580</v>
      </c>
      <c r="N44" s="16">
        <v>10607480</v>
      </c>
      <c r="O44" s="16">
        <v>47809811</v>
      </c>
      <c r="P44" s="16">
        <v>31576717</v>
      </c>
      <c r="Q44" s="16">
        <v>3431960</v>
      </c>
      <c r="R44" s="16">
        <v>167735</v>
      </c>
      <c r="S44" s="16">
        <v>2</v>
      </c>
      <c r="T44" s="111">
        <v>340</v>
      </c>
    </row>
    <row r="45" spans="1:20" ht="15" customHeight="1" x14ac:dyDescent="0.2">
      <c r="A45" s="12" t="s">
        <v>166</v>
      </c>
      <c r="B45" s="56">
        <v>61186680</v>
      </c>
      <c r="C45" s="12" t="s">
        <v>167</v>
      </c>
      <c r="D45" s="12" t="s">
        <v>168</v>
      </c>
      <c r="E45" s="12" t="s">
        <v>169</v>
      </c>
      <c r="F45" s="12" t="s">
        <v>26</v>
      </c>
      <c r="G45" s="33">
        <v>2</v>
      </c>
      <c r="H45" s="33">
        <v>8</v>
      </c>
      <c r="I45" s="12" t="s">
        <v>38</v>
      </c>
      <c r="J45" s="12" t="s">
        <v>39</v>
      </c>
      <c r="K45" s="73" t="s">
        <v>29</v>
      </c>
      <c r="L45" s="13">
        <v>50846808</v>
      </c>
      <c r="M45" s="13">
        <v>21352794</v>
      </c>
      <c r="N45" s="13">
        <v>13897187</v>
      </c>
      <c r="O45" s="13">
        <v>46527758</v>
      </c>
      <c r="P45" s="13">
        <v>37011430</v>
      </c>
      <c r="Q45" s="13">
        <v>4319050</v>
      </c>
      <c r="R45" s="13">
        <v>304550</v>
      </c>
      <c r="S45" s="13">
        <v>27</v>
      </c>
      <c r="T45" s="81">
        <v>2</v>
      </c>
    </row>
    <row r="46" spans="1:20" ht="15" customHeight="1" x14ac:dyDescent="0.2">
      <c r="A46" s="15" t="s">
        <v>170</v>
      </c>
      <c r="B46" s="60">
        <v>9516419</v>
      </c>
      <c r="C46" s="15" t="s">
        <v>171</v>
      </c>
      <c r="D46" s="15" t="s">
        <v>172</v>
      </c>
      <c r="E46" s="15" t="s">
        <v>173</v>
      </c>
      <c r="F46" s="15" t="s">
        <v>26</v>
      </c>
      <c r="G46" s="34">
        <v>2</v>
      </c>
      <c r="H46" s="34">
        <v>8</v>
      </c>
      <c r="I46" s="15" t="s">
        <v>38</v>
      </c>
      <c r="J46" s="15" t="s">
        <v>39</v>
      </c>
      <c r="K46" s="74" t="s">
        <v>29</v>
      </c>
      <c r="L46" s="16">
        <v>48954093</v>
      </c>
      <c r="M46" s="16">
        <v>28852169</v>
      </c>
      <c r="N46" s="16">
        <v>10196292</v>
      </c>
      <c r="O46" s="16">
        <v>46414805</v>
      </c>
      <c r="P46" s="16">
        <v>34871092</v>
      </c>
      <c r="Q46" s="16">
        <v>2539288</v>
      </c>
      <c r="R46" s="16">
        <v>8433</v>
      </c>
      <c r="S46" s="16">
        <v>2</v>
      </c>
      <c r="T46" s="111">
        <v>0</v>
      </c>
    </row>
    <row r="47" spans="1:20" ht="15" customHeight="1" x14ac:dyDescent="0.2">
      <c r="A47" s="12" t="s">
        <v>174</v>
      </c>
      <c r="B47" s="56">
        <v>17184037</v>
      </c>
      <c r="C47" s="12" t="s">
        <v>175</v>
      </c>
      <c r="D47" s="12" t="s">
        <v>176</v>
      </c>
      <c r="E47" s="12" t="s">
        <v>177</v>
      </c>
      <c r="F47" s="12" t="s">
        <v>26</v>
      </c>
      <c r="G47" s="33">
        <v>2</v>
      </c>
      <c r="H47" s="33">
        <v>8</v>
      </c>
      <c r="I47" s="12" t="s">
        <v>119</v>
      </c>
      <c r="J47" s="12" t="s">
        <v>120</v>
      </c>
      <c r="K47" s="73" t="s">
        <v>29</v>
      </c>
      <c r="L47" s="13">
        <v>43054391</v>
      </c>
      <c r="M47" s="13">
        <v>23085077</v>
      </c>
      <c r="N47" s="13">
        <v>4252511</v>
      </c>
      <c r="O47" s="13">
        <v>39931439</v>
      </c>
      <c r="P47" s="13">
        <v>31586492</v>
      </c>
      <c r="Q47" s="13">
        <v>3122951</v>
      </c>
      <c r="R47" s="13">
        <v>548541</v>
      </c>
      <c r="S47" s="13">
        <v>3</v>
      </c>
      <c r="T47" s="81">
        <v>298</v>
      </c>
    </row>
    <row r="48" spans="1:20" ht="15" customHeight="1" x14ac:dyDescent="0.2">
      <c r="A48" s="15" t="s">
        <v>178</v>
      </c>
      <c r="B48" s="60">
        <v>28127603</v>
      </c>
      <c r="C48" s="15" t="s">
        <v>179</v>
      </c>
      <c r="D48" s="15" t="s">
        <v>180</v>
      </c>
      <c r="E48" s="15" t="s">
        <v>181</v>
      </c>
      <c r="F48" s="15" t="s">
        <v>26</v>
      </c>
      <c r="G48" s="34">
        <v>1</v>
      </c>
      <c r="H48" s="34">
        <v>8</v>
      </c>
      <c r="I48" s="15" t="s">
        <v>182</v>
      </c>
      <c r="J48" s="15" t="s">
        <v>183</v>
      </c>
      <c r="K48" s="74" t="s">
        <v>29</v>
      </c>
      <c r="L48" s="16">
        <v>42689901</v>
      </c>
      <c r="M48" s="16">
        <v>12460035</v>
      </c>
      <c r="N48" s="16">
        <v>21316783</v>
      </c>
      <c r="O48" s="16">
        <v>40185159</v>
      </c>
      <c r="P48" s="16">
        <v>38716345</v>
      </c>
      <c r="Q48" s="16">
        <v>2504742</v>
      </c>
      <c r="R48" s="16">
        <v>226057</v>
      </c>
      <c r="S48" s="16">
        <v>86</v>
      </c>
      <c r="T48" s="111">
        <v>63</v>
      </c>
    </row>
    <row r="49" spans="1:20" ht="15" customHeight="1" x14ac:dyDescent="0.2">
      <c r="A49" s="12" t="s">
        <v>184</v>
      </c>
      <c r="B49" s="56">
        <v>31597552</v>
      </c>
      <c r="C49" s="12" t="s">
        <v>185</v>
      </c>
      <c r="D49" s="12"/>
      <c r="E49" s="12" t="s">
        <v>186</v>
      </c>
      <c r="F49" s="12" t="s">
        <v>26</v>
      </c>
      <c r="G49" s="33">
        <v>2</v>
      </c>
      <c r="H49" s="33">
        <v>8</v>
      </c>
      <c r="I49" s="12" t="s">
        <v>53</v>
      </c>
      <c r="J49" s="12" t="s">
        <v>54</v>
      </c>
      <c r="K49" s="73" t="s">
        <v>29</v>
      </c>
      <c r="L49" s="13">
        <v>40612776</v>
      </c>
      <c r="M49" s="13">
        <v>0</v>
      </c>
      <c r="N49" s="13">
        <v>34521002</v>
      </c>
      <c r="O49" s="13">
        <v>19060286</v>
      </c>
      <c r="P49" s="13">
        <v>5629524</v>
      </c>
      <c r="Q49" s="13">
        <v>21552491</v>
      </c>
      <c r="R49" s="13">
        <v>52934</v>
      </c>
      <c r="S49" s="13">
        <v>2</v>
      </c>
      <c r="T49" s="81">
        <v>0</v>
      </c>
    </row>
    <row r="50" spans="1:20" ht="15" customHeight="1" x14ac:dyDescent="0.2">
      <c r="A50" s="15" t="s">
        <v>187</v>
      </c>
      <c r="B50" s="60">
        <v>62073200</v>
      </c>
      <c r="C50" s="15" t="s">
        <v>188</v>
      </c>
      <c r="D50" s="15" t="s">
        <v>189</v>
      </c>
      <c r="E50" s="15" t="s">
        <v>190</v>
      </c>
      <c r="F50" s="15" t="s">
        <v>26</v>
      </c>
      <c r="G50" s="34">
        <v>3</v>
      </c>
      <c r="H50" s="34">
        <v>8</v>
      </c>
      <c r="I50" s="15" t="s">
        <v>38</v>
      </c>
      <c r="J50" s="15" t="s">
        <v>39</v>
      </c>
      <c r="K50" s="74" t="s">
        <v>29</v>
      </c>
      <c r="L50" s="16">
        <v>40609859</v>
      </c>
      <c r="M50" s="16">
        <v>2646247</v>
      </c>
      <c r="N50" s="16">
        <v>13444360</v>
      </c>
      <c r="O50" s="16">
        <v>33810603</v>
      </c>
      <c r="P50" s="16">
        <v>22340451</v>
      </c>
      <c r="Q50" s="16">
        <v>6799255</v>
      </c>
      <c r="R50" s="16">
        <v>511110</v>
      </c>
      <c r="S50" s="16">
        <v>2</v>
      </c>
      <c r="T50" s="111">
        <v>0</v>
      </c>
    </row>
    <row r="51" spans="1:20" ht="15" customHeight="1" x14ac:dyDescent="0.2">
      <c r="A51" s="12" t="s">
        <v>191</v>
      </c>
      <c r="B51" s="56">
        <v>62144175</v>
      </c>
      <c r="C51" s="12" t="s">
        <v>192</v>
      </c>
      <c r="D51" s="12" t="s">
        <v>193</v>
      </c>
      <c r="E51" s="12" t="s">
        <v>194</v>
      </c>
      <c r="F51" s="12" t="s">
        <v>26</v>
      </c>
      <c r="G51" s="33">
        <v>2</v>
      </c>
      <c r="H51" s="33">
        <v>8</v>
      </c>
      <c r="I51" s="12" t="s">
        <v>38</v>
      </c>
      <c r="J51" s="12" t="s">
        <v>39</v>
      </c>
      <c r="K51" s="73" t="s">
        <v>29</v>
      </c>
      <c r="L51" s="13">
        <v>37647108</v>
      </c>
      <c r="M51" s="13">
        <v>19314789</v>
      </c>
      <c r="N51" s="13">
        <v>13824794</v>
      </c>
      <c r="O51" s="13">
        <v>35844473</v>
      </c>
      <c r="P51" s="13">
        <v>31432120</v>
      </c>
      <c r="Q51" s="13">
        <v>1802635</v>
      </c>
      <c r="R51" s="13">
        <v>315564</v>
      </c>
      <c r="S51" s="13">
        <v>3</v>
      </c>
      <c r="T51" s="81">
        <v>0</v>
      </c>
    </row>
    <row r="52" spans="1:20" ht="15" customHeight="1" x14ac:dyDescent="0.2">
      <c r="A52" s="15" t="s">
        <v>195</v>
      </c>
      <c r="B52" s="60">
        <v>92894922</v>
      </c>
      <c r="C52" s="15" t="s">
        <v>196</v>
      </c>
      <c r="D52" s="15"/>
      <c r="E52" s="15" t="s">
        <v>197</v>
      </c>
      <c r="F52" s="15" t="s">
        <v>26</v>
      </c>
      <c r="G52" s="34">
        <v>2</v>
      </c>
      <c r="H52" s="34">
        <v>8</v>
      </c>
      <c r="I52" s="15" t="s">
        <v>38</v>
      </c>
      <c r="J52" s="15" t="s">
        <v>39</v>
      </c>
      <c r="K52" s="74" t="s">
        <v>29</v>
      </c>
      <c r="L52" s="16">
        <v>37169761</v>
      </c>
      <c r="M52" s="16">
        <v>17893178</v>
      </c>
      <c r="N52" s="16">
        <v>6467856</v>
      </c>
      <c r="O52" s="16">
        <v>34845614</v>
      </c>
      <c r="P52" s="16">
        <v>32608252</v>
      </c>
      <c r="Q52" s="16">
        <v>2324147</v>
      </c>
      <c r="R52" s="16">
        <v>156076</v>
      </c>
      <c r="S52" s="16">
        <v>2</v>
      </c>
      <c r="T52" s="111">
        <v>0</v>
      </c>
    </row>
    <row r="53" spans="1:20" ht="15" customHeight="1" x14ac:dyDescent="0.2">
      <c r="A53" s="12" t="s">
        <v>198</v>
      </c>
      <c r="B53" s="56">
        <v>25683434</v>
      </c>
      <c r="C53" s="12"/>
      <c r="D53" s="12"/>
      <c r="E53" s="12"/>
      <c r="F53" s="12" t="s">
        <v>199</v>
      </c>
      <c r="G53" s="33">
        <v>2</v>
      </c>
      <c r="H53" s="33">
        <v>9</v>
      </c>
      <c r="I53" s="12" t="s">
        <v>119</v>
      </c>
      <c r="J53" s="12" t="s">
        <v>120</v>
      </c>
      <c r="K53" s="73" t="s">
        <v>29</v>
      </c>
      <c r="L53" s="13">
        <v>34542515</v>
      </c>
      <c r="M53" s="13">
        <v>93624</v>
      </c>
      <c r="N53" s="13">
        <v>16768612</v>
      </c>
      <c r="O53" s="13">
        <v>32723827</v>
      </c>
      <c r="P53" s="13">
        <v>884328</v>
      </c>
      <c r="Q53" s="13">
        <v>1818687</v>
      </c>
      <c r="R53" s="13">
        <v>118531</v>
      </c>
      <c r="S53" s="13">
        <v>0</v>
      </c>
      <c r="T53" s="81">
        <v>0</v>
      </c>
    </row>
    <row r="54" spans="1:20" ht="15" customHeight="1" x14ac:dyDescent="0.2">
      <c r="A54" s="15" t="s">
        <v>200</v>
      </c>
      <c r="B54" s="60">
        <v>4332281</v>
      </c>
      <c r="C54" s="15" t="s">
        <v>201</v>
      </c>
      <c r="D54" s="15" t="s">
        <v>202</v>
      </c>
      <c r="E54" s="15" t="s">
        <v>203</v>
      </c>
      <c r="F54" s="15" t="s">
        <v>60</v>
      </c>
      <c r="G54" s="34">
        <v>3</v>
      </c>
      <c r="H54" s="34">
        <v>8</v>
      </c>
      <c r="I54" s="15" t="s">
        <v>38</v>
      </c>
      <c r="J54" s="15" t="s">
        <v>39</v>
      </c>
      <c r="K54" s="74" t="s">
        <v>29</v>
      </c>
      <c r="L54" s="16">
        <v>34267958</v>
      </c>
      <c r="M54" s="16">
        <v>5685</v>
      </c>
      <c r="N54" s="16">
        <v>20186889</v>
      </c>
      <c r="O54" s="16">
        <v>28404250</v>
      </c>
      <c r="P54" s="16">
        <v>14608413</v>
      </c>
      <c r="Q54" s="16">
        <v>5863708</v>
      </c>
      <c r="R54" s="16">
        <v>686226</v>
      </c>
      <c r="S54" s="16">
        <v>2</v>
      </c>
      <c r="T54" s="111">
        <v>0</v>
      </c>
    </row>
    <row r="55" spans="1:20" ht="15" customHeight="1" x14ac:dyDescent="0.2">
      <c r="A55" s="12" t="s">
        <v>204</v>
      </c>
      <c r="B55" s="56">
        <v>53505601</v>
      </c>
      <c r="C55" s="12" t="s">
        <v>127</v>
      </c>
      <c r="D55" s="12" t="s">
        <v>128</v>
      </c>
      <c r="E55" s="12" t="s">
        <v>128</v>
      </c>
      <c r="F55" s="12" t="s">
        <v>65</v>
      </c>
      <c r="G55" s="33">
        <v>3</v>
      </c>
      <c r="H55" s="33">
        <v>14</v>
      </c>
      <c r="I55" s="12" t="s">
        <v>38</v>
      </c>
      <c r="J55" s="12" t="s">
        <v>39</v>
      </c>
      <c r="K55" s="73" t="s">
        <v>29</v>
      </c>
      <c r="L55" s="13">
        <v>33803605</v>
      </c>
      <c r="M55" s="13">
        <v>30264738</v>
      </c>
      <c r="N55" s="13">
        <v>32559</v>
      </c>
      <c r="O55" s="13">
        <v>33678082</v>
      </c>
      <c r="P55" s="13">
        <v>33153032</v>
      </c>
      <c r="Q55" s="13">
        <v>125523</v>
      </c>
      <c r="R55" s="13">
        <v>46816</v>
      </c>
      <c r="S55" s="13">
        <v>2</v>
      </c>
      <c r="T55" s="81">
        <v>0</v>
      </c>
    </row>
    <row r="56" spans="1:20" ht="15" customHeight="1" x14ac:dyDescent="0.2">
      <c r="A56" s="15" t="s">
        <v>205</v>
      </c>
      <c r="B56" s="60">
        <v>45437547</v>
      </c>
      <c r="C56" s="15" t="s">
        <v>67</v>
      </c>
      <c r="D56" s="15" t="s">
        <v>68</v>
      </c>
      <c r="E56" s="15" t="s">
        <v>69</v>
      </c>
      <c r="F56" s="15" t="s">
        <v>65</v>
      </c>
      <c r="G56" s="34">
        <v>2</v>
      </c>
      <c r="H56" s="34">
        <v>14</v>
      </c>
      <c r="I56" s="15" t="s">
        <v>38</v>
      </c>
      <c r="J56" s="15" t="s">
        <v>39</v>
      </c>
      <c r="K56" s="74" t="s">
        <v>29</v>
      </c>
      <c r="L56" s="16">
        <v>33188402</v>
      </c>
      <c r="M56" s="16">
        <v>21325158</v>
      </c>
      <c r="N56" s="16">
        <v>1657536</v>
      </c>
      <c r="O56" s="16">
        <v>32730969</v>
      </c>
      <c r="P56" s="16">
        <v>32013875</v>
      </c>
      <c r="Q56" s="16">
        <v>457433</v>
      </c>
      <c r="R56" s="16">
        <v>74616</v>
      </c>
      <c r="S56" s="16">
        <v>2</v>
      </c>
      <c r="T56" s="111">
        <v>0</v>
      </c>
    </row>
    <row r="57" spans="1:20" ht="15" customHeight="1" x14ac:dyDescent="0.2">
      <c r="A57" s="12" t="s">
        <v>206</v>
      </c>
      <c r="B57" s="56">
        <v>15114366</v>
      </c>
      <c r="C57" s="12" t="s">
        <v>207</v>
      </c>
      <c r="D57" s="12" t="s">
        <v>208</v>
      </c>
      <c r="E57" s="12" t="s">
        <v>209</v>
      </c>
      <c r="F57" s="12" t="s">
        <v>26</v>
      </c>
      <c r="G57" s="33">
        <v>3</v>
      </c>
      <c r="H57" s="33">
        <v>8</v>
      </c>
      <c r="I57" s="12" t="s">
        <v>210</v>
      </c>
      <c r="J57" s="12" t="s">
        <v>211</v>
      </c>
      <c r="K57" s="73" t="s">
        <v>29</v>
      </c>
      <c r="L57" s="13">
        <v>32001928</v>
      </c>
      <c r="M57" s="13">
        <v>14049138</v>
      </c>
      <c r="N57" s="13">
        <v>8031598</v>
      </c>
      <c r="O57" s="13">
        <v>30176603</v>
      </c>
      <c r="P57" s="13">
        <v>27817408</v>
      </c>
      <c r="Q57" s="13">
        <v>1825324</v>
      </c>
      <c r="R57" s="13">
        <v>257821</v>
      </c>
      <c r="S57" s="13">
        <v>4</v>
      </c>
      <c r="T57" s="81">
        <v>0</v>
      </c>
    </row>
    <row r="58" spans="1:20" ht="15" customHeight="1" x14ac:dyDescent="0.2">
      <c r="A58" s="15" t="s">
        <v>212</v>
      </c>
      <c r="B58" s="60">
        <v>92816560</v>
      </c>
      <c r="C58" s="15" t="s">
        <v>213</v>
      </c>
      <c r="D58" s="15"/>
      <c r="E58" s="15" t="s">
        <v>214</v>
      </c>
      <c r="F58" s="15" t="s">
        <v>52</v>
      </c>
      <c r="G58" s="34">
        <v>1</v>
      </c>
      <c r="H58" s="34">
        <v>5</v>
      </c>
      <c r="I58" s="15" t="s">
        <v>73</v>
      </c>
      <c r="J58" s="15" t="s">
        <v>74</v>
      </c>
      <c r="K58" s="74" t="s">
        <v>29</v>
      </c>
      <c r="L58" s="16">
        <v>30944445</v>
      </c>
      <c r="M58" s="16">
        <v>24677869</v>
      </c>
      <c r="N58" s="16">
        <v>5511980</v>
      </c>
      <c r="O58" s="16">
        <v>25160827</v>
      </c>
      <c r="P58" s="16">
        <v>23606986</v>
      </c>
      <c r="Q58" s="16">
        <v>5783618</v>
      </c>
      <c r="R58" s="16">
        <v>315733</v>
      </c>
      <c r="S58" s="16">
        <v>4</v>
      </c>
      <c r="T58" s="111">
        <v>0</v>
      </c>
    </row>
    <row r="59" spans="1:20" ht="15" customHeight="1" x14ac:dyDescent="0.2">
      <c r="A59" s="12" t="s">
        <v>215</v>
      </c>
      <c r="B59" s="56">
        <v>80160260</v>
      </c>
      <c r="C59" s="12"/>
      <c r="D59" s="12"/>
      <c r="E59" s="12"/>
      <c r="F59" s="12" t="s">
        <v>199</v>
      </c>
      <c r="G59" s="33">
        <v>2</v>
      </c>
      <c r="H59" s="33">
        <v>9</v>
      </c>
      <c r="I59" s="12" t="s">
        <v>216</v>
      </c>
      <c r="J59" s="12" t="s">
        <v>217</v>
      </c>
      <c r="K59" s="73" t="s">
        <v>29</v>
      </c>
      <c r="L59" s="13">
        <v>29002304</v>
      </c>
      <c r="M59" s="13">
        <v>302641</v>
      </c>
      <c r="N59" s="13">
        <v>5844789</v>
      </c>
      <c r="O59" s="13">
        <v>27464682</v>
      </c>
      <c r="P59" s="13">
        <v>681810</v>
      </c>
      <c r="Q59" s="13">
        <v>1537622</v>
      </c>
      <c r="R59" s="13">
        <v>73985</v>
      </c>
      <c r="S59" s="13">
        <v>0</v>
      </c>
      <c r="T59" s="81">
        <v>0</v>
      </c>
    </row>
    <row r="60" spans="1:20" ht="15" customHeight="1" x14ac:dyDescent="0.2">
      <c r="A60" s="15" t="s">
        <v>218</v>
      </c>
      <c r="B60" s="60">
        <v>27098060</v>
      </c>
      <c r="C60" s="15" t="s">
        <v>41</v>
      </c>
      <c r="D60" s="15" t="s">
        <v>42</v>
      </c>
      <c r="E60" s="15" t="s">
        <v>43</v>
      </c>
      <c r="F60" s="15" t="s">
        <v>60</v>
      </c>
      <c r="G60" s="34">
        <v>2</v>
      </c>
      <c r="H60" s="34">
        <v>8</v>
      </c>
      <c r="I60" s="15" t="s">
        <v>44</v>
      </c>
      <c r="J60" s="15" t="s">
        <v>39</v>
      </c>
      <c r="K60" s="74" t="s">
        <v>29</v>
      </c>
      <c r="L60" s="16">
        <v>28060664</v>
      </c>
      <c r="M60" s="16">
        <v>20228053</v>
      </c>
      <c r="N60" s="16">
        <v>2336309</v>
      </c>
      <c r="O60" s="16">
        <v>28005231</v>
      </c>
      <c r="P60" s="16">
        <v>25773075</v>
      </c>
      <c r="Q60" s="16">
        <v>55433</v>
      </c>
      <c r="R60" s="16">
        <v>-219706</v>
      </c>
      <c r="S60" s="16">
        <v>2</v>
      </c>
      <c r="T60" s="111">
        <v>0</v>
      </c>
    </row>
    <row r="61" spans="1:20" ht="15" customHeight="1" x14ac:dyDescent="0.2">
      <c r="A61" s="12" t="s">
        <v>219</v>
      </c>
      <c r="B61" s="56">
        <v>309024</v>
      </c>
      <c r="C61" s="12"/>
      <c r="D61" s="12"/>
      <c r="E61" s="12"/>
      <c r="F61" s="12" t="s">
        <v>199</v>
      </c>
      <c r="G61" s="33">
        <v>2</v>
      </c>
      <c r="H61" s="33">
        <v>9</v>
      </c>
      <c r="I61" s="12" t="s">
        <v>119</v>
      </c>
      <c r="J61" s="12" t="s">
        <v>120</v>
      </c>
      <c r="K61" s="73" t="s">
        <v>29</v>
      </c>
      <c r="L61" s="13">
        <v>27630783</v>
      </c>
      <c r="M61" s="13">
        <v>643420</v>
      </c>
      <c r="N61" s="13">
        <v>10514846</v>
      </c>
      <c r="O61" s="13">
        <v>26627866</v>
      </c>
      <c r="P61" s="13">
        <v>0</v>
      </c>
      <c r="Q61" s="13">
        <v>1002917</v>
      </c>
      <c r="R61" s="13">
        <v>50294</v>
      </c>
      <c r="S61" s="13">
        <v>0</v>
      </c>
      <c r="T61" s="81">
        <v>0</v>
      </c>
    </row>
    <row r="62" spans="1:20" ht="15" customHeight="1" x14ac:dyDescent="0.2">
      <c r="A62" s="15" t="s">
        <v>220</v>
      </c>
      <c r="B62" s="60">
        <v>33042953</v>
      </c>
      <c r="C62" s="15" t="s">
        <v>90</v>
      </c>
      <c r="D62" s="15" t="s">
        <v>91</v>
      </c>
      <c r="E62" s="15" t="s">
        <v>92</v>
      </c>
      <c r="F62" s="15" t="s">
        <v>26</v>
      </c>
      <c r="G62" s="34">
        <v>3</v>
      </c>
      <c r="H62" s="34">
        <v>28</v>
      </c>
      <c r="I62" s="15" t="s">
        <v>38</v>
      </c>
      <c r="J62" s="15" t="s">
        <v>39</v>
      </c>
      <c r="K62" s="74" t="s">
        <v>29</v>
      </c>
      <c r="L62" s="16">
        <v>26282572</v>
      </c>
      <c r="M62" s="16">
        <v>15968</v>
      </c>
      <c r="N62" s="16">
        <v>2311009</v>
      </c>
      <c r="O62" s="16">
        <v>21074114</v>
      </c>
      <c r="P62" s="16">
        <v>15553292</v>
      </c>
      <c r="Q62" s="16">
        <v>5208458</v>
      </c>
      <c r="R62" s="16">
        <v>341539</v>
      </c>
      <c r="S62" s="16">
        <v>2</v>
      </c>
      <c r="T62" s="111">
        <v>0</v>
      </c>
    </row>
    <row r="63" spans="1:20" ht="15" customHeight="1" x14ac:dyDescent="0.2">
      <c r="A63" s="12" t="s">
        <v>221</v>
      </c>
      <c r="B63" s="56">
        <v>4862600</v>
      </c>
      <c r="C63" s="12" t="s">
        <v>222</v>
      </c>
      <c r="D63" s="12" t="s">
        <v>223</v>
      </c>
      <c r="E63" s="12" t="s">
        <v>224</v>
      </c>
      <c r="F63" s="12" t="s">
        <v>65</v>
      </c>
      <c r="G63" s="33">
        <v>2</v>
      </c>
      <c r="H63" s="33">
        <v>14</v>
      </c>
      <c r="I63" s="12" t="s">
        <v>38</v>
      </c>
      <c r="J63" s="12" t="s">
        <v>39</v>
      </c>
      <c r="K63" s="73" t="s">
        <v>29</v>
      </c>
      <c r="L63" s="13">
        <v>25524629</v>
      </c>
      <c r="M63" s="13">
        <v>20556575</v>
      </c>
      <c r="N63" s="13">
        <v>2421316</v>
      </c>
      <c r="O63" s="13">
        <v>24209822</v>
      </c>
      <c r="P63" s="13">
        <v>6946052</v>
      </c>
      <c r="Q63" s="13">
        <v>1314807</v>
      </c>
      <c r="R63" s="13">
        <v>-32886</v>
      </c>
      <c r="S63" s="13">
        <v>2</v>
      </c>
      <c r="T63" s="81">
        <v>0</v>
      </c>
    </row>
    <row r="64" spans="1:20" ht="15" customHeight="1" x14ac:dyDescent="0.2">
      <c r="A64" s="15" t="s">
        <v>225</v>
      </c>
      <c r="B64" s="60">
        <v>2992446</v>
      </c>
      <c r="C64" s="15" t="s">
        <v>226</v>
      </c>
      <c r="D64" s="15"/>
      <c r="E64" s="15" t="s">
        <v>227</v>
      </c>
      <c r="F64" s="15" t="s">
        <v>60</v>
      </c>
      <c r="G64" s="34">
        <v>3</v>
      </c>
      <c r="H64" s="34">
        <v>8</v>
      </c>
      <c r="I64" s="15" t="s">
        <v>228</v>
      </c>
      <c r="J64" s="15" t="s">
        <v>229</v>
      </c>
      <c r="K64" s="74" t="s">
        <v>29</v>
      </c>
      <c r="L64" s="16">
        <v>24178316</v>
      </c>
      <c r="M64" s="16">
        <v>20416836</v>
      </c>
      <c r="N64" s="16">
        <v>1306</v>
      </c>
      <c r="O64" s="16">
        <v>21566756</v>
      </c>
      <c r="P64" s="16">
        <v>19821707</v>
      </c>
      <c r="Q64" s="16">
        <v>2611560</v>
      </c>
      <c r="R64" s="16">
        <v>-99496</v>
      </c>
      <c r="S64" s="16">
        <v>2</v>
      </c>
      <c r="T64" s="111">
        <v>0</v>
      </c>
    </row>
    <row r="65" spans="1:20" ht="15" customHeight="1" x14ac:dyDescent="0.2">
      <c r="A65" s="12" t="s">
        <v>230</v>
      </c>
      <c r="B65" s="56">
        <v>8357240</v>
      </c>
      <c r="C65" s="12" t="s">
        <v>231</v>
      </c>
      <c r="D65" s="12"/>
      <c r="E65" s="12" t="s">
        <v>232</v>
      </c>
      <c r="F65" s="12" t="s">
        <v>60</v>
      </c>
      <c r="G65" s="33">
        <v>2</v>
      </c>
      <c r="H65" s="33">
        <v>8</v>
      </c>
      <c r="I65" s="12" t="s">
        <v>38</v>
      </c>
      <c r="J65" s="12" t="s">
        <v>39</v>
      </c>
      <c r="K65" s="73" t="s">
        <v>29</v>
      </c>
      <c r="L65" s="13">
        <v>23818077</v>
      </c>
      <c r="M65" s="13">
        <v>18220416</v>
      </c>
      <c r="N65" s="13">
        <v>1536756</v>
      </c>
      <c r="O65" s="13">
        <v>20380331</v>
      </c>
      <c r="P65" s="13">
        <v>4877271</v>
      </c>
      <c r="Q65" s="13">
        <v>3437746</v>
      </c>
      <c r="R65" s="13">
        <v>300157</v>
      </c>
      <c r="S65" s="13">
        <v>2</v>
      </c>
      <c r="T65" s="81">
        <v>0</v>
      </c>
    </row>
    <row r="66" spans="1:20" ht="15" customHeight="1" x14ac:dyDescent="0.2">
      <c r="A66" s="15" t="s">
        <v>233</v>
      </c>
      <c r="B66" s="60">
        <v>17157777</v>
      </c>
      <c r="C66" s="15" t="s">
        <v>56</v>
      </c>
      <c r="D66" s="15" t="s">
        <v>57</v>
      </c>
      <c r="E66" s="15" t="s">
        <v>58</v>
      </c>
      <c r="F66" s="15" t="s">
        <v>60</v>
      </c>
      <c r="G66" s="34">
        <v>2</v>
      </c>
      <c r="H66" s="34">
        <v>8</v>
      </c>
      <c r="I66" s="15" t="s">
        <v>53</v>
      </c>
      <c r="J66" s="15" t="s">
        <v>54</v>
      </c>
      <c r="K66" s="74" t="s">
        <v>29</v>
      </c>
      <c r="L66" s="16">
        <v>23199020</v>
      </c>
      <c r="M66" s="16">
        <v>362369</v>
      </c>
      <c r="N66" s="16">
        <v>198133</v>
      </c>
      <c r="O66" s="16">
        <v>11829743</v>
      </c>
      <c r="P66" s="16">
        <v>5909715</v>
      </c>
      <c r="Q66" s="16">
        <v>11369277</v>
      </c>
      <c r="R66" s="16">
        <v>1828643</v>
      </c>
      <c r="S66" s="16">
        <v>1</v>
      </c>
      <c r="T66" s="111">
        <v>0</v>
      </c>
    </row>
    <row r="67" spans="1:20" ht="15" customHeight="1" x14ac:dyDescent="0.2">
      <c r="A67" s="12" t="s">
        <v>234</v>
      </c>
      <c r="B67" s="56">
        <v>37679449</v>
      </c>
      <c r="C67" s="12" t="s">
        <v>113</v>
      </c>
      <c r="D67" s="12" t="s">
        <v>114</v>
      </c>
      <c r="E67" s="12" t="s">
        <v>114</v>
      </c>
      <c r="F67" s="12" t="s">
        <v>65</v>
      </c>
      <c r="G67" s="33">
        <v>3</v>
      </c>
      <c r="H67" s="33">
        <v>14</v>
      </c>
      <c r="I67" s="12" t="s">
        <v>44</v>
      </c>
      <c r="J67" s="12" t="s">
        <v>39</v>
      </c>
      <c r="K67" s="73" t="s">
        <v>29</v>
      </c>
      <c r="L67" s="13">
        <v>23031915</v>
      </c>
      <c r="M67" s="13">
        <v>11218909</v>
      </c>
      <c r="N67" s="13">
        <v>3421828</v>
      </c>
      <c r="O67" s="13">
        <v>19040377</v>
      </c>
      <c r="P67" s="13">
        <v>15365256</v>
      </c>
      <c r="Q67" s="13">
        <v>3991538</v>
      </c>
      <c r="R67" s="13">
        <v>293857</v>
      </c>
      <c r="S67" s="13">
        <v>2</v>
      </c>
      <c r="T67" s="81">
        <v>0</v>
      </c>
    </row>
    <row r="68" spans="1:20" ht="15" customHeight="1" x14ac:dyDescent="0.2">
      <c r="A68" s="15" t="s">
        <v>235</v>
      </c>
      <c r="B68" s="60">
        <v>58616418</v>
      </c>
      <c r="C68" s="15" t="s">
        <v>236</v>
      </c>
      <c r="D68" s="15"/>
      <c r="E68" s="15" t="s">
        <v>237</v>
      </c>
      <c r="F68" s="15" t="s">
        <v>26</v>
      </c>
      <c r="G68" s="34">
        <v>2</v>
      </c>
      <c r="H68" s="34">
        <v>8</v>
      </c>
      <c r="I68" s="15" t="s">
        <v>38</v>
      </c>
      <c r="J68" s="15" t="s">
        <v>39</v>
      </c>
      <c r="K68" s="74" t="s">
        <v>29</v>
      </c>
      <c r="L68" s="16">
        <v>22655142</v>
      </c>
      <c r="M68" s="16">
        <v>5556997</v>
      </c>
      <c r="N68" s="16">
        <v>12148350</v>
      </c>
      <c r="O68" s="16">
        <v>21200920</v>
      </c>
      <c r="P68" s="16">
        <v>19896779</v>
      </c>
      <c r="Q68" s="16">
        <v>1454222</v>
      </c>
      <c r="R68" s="16">
        <v>154451</v>
      </c>
      <c r="S68" s="16">
        <v>2</v>
      </c>
      <c r="T68" s="111">
        <v>0</v>
      </c>
    </row>
    <row r="69" spans="1:20" ht="15" customHeight="1" x14ac:dyDescent="0.2">
      <c r="A69" s="12" t="s">
        <v>238</v>
      </c>
      <c r="B69" s="56">
        <v>18189547</v>
      </c>
      <c r="C69" s="12" t="s">
        <v>239</v>
      </c>
      <c r="D69" s="12"/>
      <c r="E69" s="12" t="s">
        <v>240</v>
      </c>
      <c r="F69" s="12" t="s">
        <v>84</v>
      </c>
      <c r="G69" s="33">
        <v>2</v>
      </c>
      <c r="H69" s="33">
        <v>41</v>
      </c>
      <c r="I69" s="12" t="s">
        <v>38</v>
      </c>
      <c r="J69" s="12" t="s">
        <v>39</v>
      </c>
      <c r="K69" s="73" t="s">
        <v>29</v>
      </c>
      <c r="L69" s="13">
        <v>22593972</v>
      </c>
      <c r="M69" s="13">
        <v>0</v>
      </c>
      <c r="N69" s="13">
        <v>819519</v>
      </c>
      <c r="O69" s="13">
        <v>20277561</v>
      </c>
      <c r="P69" s="13">
        <v>1355863</v>
      </c>
      <c r="Q69" s="13">
        <v>2316411</v>
      </c>
      <c r="R69" s="13">
        <v>552378</v>
      </c>
      <c r="S69" s="13">
        <v>1</v>
      </c>
      <c r="T69" s="81">
        <v>0</v>
      </c>
    </row>
    <row r="70" spans="1:20" ht="15" customHeight="1" x14ac:dyDescent="0.2">
      <c r="A70" s="15" t="s">
        <v>241</v>
      </c>
      <c r="B70" s="60">
        <v>62331228</v>
      </c>
      <c r="C70" s="15" t="s">
        <v>242</v>
      </c>
      <c r="D70" s="15"/>
      <c r="E70" s="15" t="s">
        <v>243</v>
      </c>
      <c r="F70" s="15" t="s">
        <v>26</v>
      </c>
      <c r="G70" s="34">
        <v>3</v>
      </c>
      <c r="H70" s="34">
        <v>8</v>
      </c>
      <c r="I70" s="15" t="s">
        <v>38</v>
      </c>
      <c r="J70" s="15" t="s">
        <v>39</v>
      </c>
      <c r="K70" s="74" t="s">
        <v>29</v>
      </c>
      <c r="L70" s="16">
        <v>21745428</v>
      </c>
      <c r="M70" s="16">
        <v>3777593</v>
      </c>
      <c r="N70" s="16">
        <v>9872679</v>
      </c>
      <c r="O70" s="16">
        <v>18666470</v>
      </c>
      <c r="P70" s="16">
        <v>15460387</v>
      </c>
      <c r="Q70" s="16">
        <v>3078957</v>
      </c>
      <c r="R70" s="16">
        <v>101246</v>
      </c>
      <c r="S70" s="16">
        <v>2</v>
      </c>
      <c r="T70" s="111">
        <v>0</v>
      </c>
    </row>
    <row r="71" spans="1:20" ht="15" customHeight="1" x14ac:dyDescent="0.2">
      <c r="A71" s="12" t="s">
        <v>244</v>
      </c>
      <c r="B71" s="56">
        <v>3502961</v>
      </c>
      <c r="C71" s="12" t="s">
        <v>245</v>
      </c>
      <c r="D71" s="12" t="s">
        <v>246</v>
      </c>
      <c r="E71" s="12" t="s">
        <v>247</v>
      </c>
      <c r="F71" s="12" t="s">
        <v>65</v>
      </c>
      <c r="G71" s="33">
        <v>3</v>
      </c>
      <c r="H71" s="33">
        <v>14</v>
      </c>
      <c r="I71" s="12" t="s">
        <v>38</v>
      </c>
      <c r="J71" s="12" t="s">
        <v>39</v>
      </c>
      <c r="K71" s="73" t="s">
        <v>29</v>
      </c>
      <c r="L71" s="13">
        <v>21539454</v>
      </c>
      <c r="M71" s="13">
        <v>18478169</v>
      </c>
      <c r="N71" s="13">
        <v>750647</v>
      </c>
      <c r="O71" s="13">
        <v>18535784</v>
      </c>
      <c r="P71" s="13">
        <v>17973893</v>
      </c>
      <c r="Q71" s="13">
        <v>3003670</v>
      </c>
      <c r="R71" s="13">
        <v>119318</v>
      </c>
      <c r="S71" s="13">
        <v>2</v>
      </c>
      <c r="T71" s="81">
        <v>0</v>
      </c>
    </row>
    <row r="72" spans="1:20" ht="15" customHeight="1" x14ac:dyDescent="0.2">
      <c r="A72" s="15" t="s">
        <v>248</v>
      </c>
      <c r="B72" s="60">
        <v>4913711</v>
      </c>
      <c r="C72" s="15" t="s">
        <v>249</v>
      </c>
      <c r="D72" s="15"/>
      <c r="E72" s="15" t="s">
        <v>250</v>
      </c>
      <c r="F72" s="15" t="s">
        <v>26</v>
      </c>
      <c r="G72" s="34">
        <v>1</v>
      </c>
      <c r="H72" s="34">
        <v>8</v>
      </c>
      <c r="I72" s="15" t="s">
        <v>143</v>
      </c>
      <c r="J72" s="15" t="s">
        <v>144</v>
      </c>
      <c r="K72" s="74" t="s">
        <v>29</v>
      </c>
      <c r="L72" s="16">
        <v>21444615</v>
      </c>
      <c r="M72" s="16">
        <v>15444766</v>
      </c>
      <c r="N72" s="16">
        <v>1420567</v>
      </c>
      <c r="O72" s="16">
        <v>19200343</v>
      </c>
      <c r="P72" s="16">
        <v>18223337</v>
      </c>
      <c r="Q72" s="16">
        <v>2244272</v>
      </c>
      <c r="R72" s="16">
        <v>100805</v>
      </c>
      <c r="S72" s="16">
        <v>165</v>
      </c>
      <c r="T72" s="111">
        <v>34</v>
      </c>
    </row>
    <row r="73" spans="1:20" ht="15" customHeight="1" x14ac:dyDescent="0.2">
      <c r="A73" s="12" t="s">
        <v>251</v>
      </c>
      <c r="B73" s="56">
        <v>60814191</v>
      </c>
      <c r="C73" s="12" t="s">
        <v>252</v>
      </c>
      <c r="D73" s="12" t="s">
        <v>253</v>
      </c>
      <c r="E73" s="12" t="s">
        <v>254</v>
      </c>
      <c r="F73" s="12" t="s">
        <v>60</v>
      </c>
      <c r="G73" s="33">
        <v>3</v>
      </c>
      <c r="H73" s="33">
        <v>8</v>
      </c>
      <c r="I73" s="12" t="s">
        <v>255</v>
      </c>
      <c r="J73" s="12" t="s">
        <v>39</v>
      </c>
      <c r="K73" s="73" t="s">
        <v>29</v>
      </c>
      <c r="L73" s="13">
        <v>20853819</v>
      </c>
      <c r="M73" s="13">
        <v>19284332</v>
      </c>
      <c r="N73" s="13">
        <v>317664</v>
      </c>
      <c r="O73" s="13">
        <v>18430109</v>
      </c>
      <c r="P73" s="13">
        <v>17728172</v>
      </c>
      <c r="Q73" s="13">
        <v>2423711</v>
      </c>
      <c r="R73" s="13">
        <v>39490</v>
      </c>
      <c r="S73" s="13">
        <v>2</v>
      </c>
      <c r="T73" s="81">
        <v>0</v>
      </c>
    </row>
    <row r="74" spans="1:20" ht="15" customHeight="1" x14ac:dyDescent="0.2">
      <c r="A74" s="15" t="s">
        <v>256</v>
      </c>
      <c r="B74" s="60">
        <v>75647891</v>
      </c>
      <c r="C74" s="15" t="s">
        <v>257</v>
      </c>
      <c r="D74" s="15"/>
      <c r="E74" s="15" t="s">
        <v>258</v>
      </c>
      <c r="F74" s="15" t="s">
        <v>26</v>
      </c>
      <c r="G74" s="34">
        <v>3</v>
      </c>
      <c r="H74" s="34">
        <v>8</v>
      </c>
      <c r="I74" s="15" t="s">
        <v>38</v>
      </c>
      <c r="J74" s="15" t="s">
        <v>39</v>
      </c>
      <c r="K74" s="74" t="s">
        <v>29</v>
      </c>
      <c r="L74" s="16">
        <v>20150414</v>
      </c>
      <c r="M74" s="16">
        <v>8746825</v>
      </c>
      <c r="N74" s="16">
        <v>4002938</v>
      </c>
      <c r="O74" s="16">
        <v>15955785</v>
      </c>
      <c r="P74" s="16">
        <v>14040180</v>
      </c>
      <c r="Q74" s="16">
        <v>4194628</v>
      </c>
      <c r="R74" s="16">
        <v>137358</v>
      </c>
      <c r="S74" s="16">
        <v>2</v>
      </c>
      <c r="T74" s="111">
        <v>0</v>
      </c>
    </row>
    <row r="75" spans="1:20" ht="15" customHeight="1" x14ac:dyDescent="0.2">
      <c r="A75" s="12" t="s">
        <v>259</v>
      </c>
      <c r="B75" s="56">
        <v>2206577</v>
      </c>
      <c r="C75" s="12" t="s">
        <v>35</v>
      </c>
      <c r="D75" s="12" t="s">
        <v>36</v>
      </c>
      <c r="E75" s="12" t="s">
        <v>37</v>
      </c>
      <c r="F75" s="12" t="s">
        <v>65</v>
      </c>
      <c r="G75" s="33">
        <v>2</v>
      </c>
      <c r="H75" s="33">
        <v>14</v>
      </c>
      <c r="I75" s="12" t="s">
        <v>38</v>
      </c>
      <c r="J75" s="12" t="s">
        <v>39</v>
      </c>
      <c r="K75" s="73" t="s">
        <v>29</v>
      </c>
      <c r="L75" s="13">
        <v>19422651</v>
      </c>
      <c r="M75" s="13">
        <v>17848013</v>
      </c>
      <c r="N75" s="13">
        <v>26208</v>
      </c>
      <c r="O75" s="13">
        <v>17177854</v>
      </c>
      <c r="P75" s="13">
        <v>3392857</v>
      </c>
      <c r="Q75" s="13">
        <v>2244797</v>
      </c>
      <c r="R75" s="13">
        <v>218800</v>
      </c>
      <c r="S75" s="13">
        <v>2</v>
      </c>
      <c r="T75" s="81">
        <v>0</v>
      </c>
    </row>
    <row r="76" spans="1:20" ht="15" customHeight="1" x14ac:dyDescent="0.2">
      <c r="A76" s="15" t="s">
        <v>260</v>
      </c>
      <c r="B76" s="60">
        <v>47509120</v>
      </c>
      <c r="C76" s="15" t="s">
        <v>41</v>
      </c>
      <c r="D76" s="15" t="s">
        <v>42</v>
      </c>
      <c r="E76" s="15" t="s">
        <v>43</v>
      </c>
      <c r="F76" s="15" t="s">
        <v>65</v>
      </c>
      <c r="G76" s="34">
        <v>2</v>
      </c>
      <c r="H76" s="34">
        <v>19</v>
      </c>
      <c r="I76" s="15" t="s">
        <v>44</v>
      </c>
      <c r="J76" s="15" t="s">
        <v>39</v>
      </c>
      <c r="K76" s="74" t="s">
        <v>29</v>
      </c>
      <c r="L76" s="16">
        <v>19322032</v>
      </c>
      <c r="M76" s="16">
        <v>8085279</v>
      </c>
      <c r="N76" s="16">
        <v>9678666</v>
      </c>
      <c r="O76" s="16">
        <v>14638157</v>
      </c>
      <c r="P76" s="16">
        <v>13099402</v>
      </c>
      <c r="Q76" s="16">
        <v>4683875</v>
      </c>
      <c r="R76" s="16">
        <v>238141</v>
      </c>
      <c r="S76" s="16">
        <v>2</v>
      </c>
      <c r="T76" s="111">
        <v>0</v>
      </c>
    </row>
    <row r="77" spans="1:20" ht="15" customHeight="1" x14ac:dyDescent="0.2">
      <c r="A77" s="12" t="s">
        <v>261</v>
      </c>
      <c r="B77" s="56">
        <v>63917579</v>
      </c>
      <c r="C77" s="12"/>
      <c r="D77" s="12"/>
      <c r="E77" s="12"/>
      <c r="F77" s="12" t="s">
        <v>199</v>
      </c>
      <c r="G77" s="33">
        <v>2</v>
      </c>
      <c r="H77" s="33">
        <v>9</v>
      </c>
      <c r="I77" s="12" t="s">
        <v>262</v>
      </c>
      <c r="J77" s="12" t="s">
        <v>39</v>
      </c>
      <c r="K77" s="73" t="s">
        <v>29</v>
      </c>
      <c r="L77" s="13">
        <v>19289667</v>
      </c>
      <c r="M77" s="13">
        <v>0</v>
      </c>
      <c r="N77" s="13">
        <v>6723730</v>
      </c>
      <c r="O77" s="13">
        <v>18358775</v>
      </c>
      <c r="P77" s="13">
        <v>1544428</v>
      </c>
      <c r="Q77" s="13">
        <v>930893</v>
      </c>
      <c r="R77" s="13">
        <v>61944</v>
      </c>
      <c r="S77" s="13">
        <v>0</v>
      </c>
      <c r="T77" s="81">
        <v>0</v>
      </c>
    </row>
    <row r="78" spans="1:20" ht="15" customHeight="1" x14ac:dyDescent="0.2">
      <c r="A78" s="15" t="s">
        <v>263</v>
      </c>
      <c r="B78" s="60">
        <v>43815158</v>
      </c>
      <c r="C78" s="15" t="s">
        <v>56</v>
      </c>
      <c r="D78" s="15" t="s">
        <v>57</v>
      </c>
      <c r="E78" s="15" t="s">
        <v>58</v>
      </c>
      <c r="F78" s="15" t="s">
        <v>98</v>
      </c>
      <c r="G78" s="34">
        <v>2</v>
      </c>
      <c r="H78" s="34">
        <v>15</v>
      </c>
      <c r="I78" s="15" t="s">
        <v>53</v>
      </c>
      <c r="J78" s="15" t="s">
        <v>54</v>
      </c>
      <c r="K78" s="74" t="s">
        <v>29</v>
      </c>
      <c r="L78" s="16">
        <v>19186457</v>
      </c>
      <c r="M78" s="16">
        <v>0</v>
      </c>
      <c r="N78" s="16">
        <v>1113824</v>
      </c>
      <c r="O78" s="16">
        <v>18159300</v>
      </c>
      <c r="P78" s="16">
        <v>325053</v>
      </c>
      <c r="Q78" s="16">
        <v>1027158</v>
      </c>
      <c r="R78" s="16">
        <v>180891</v>
      </c>
      <c r="S78" s="16">
        <v>6</v>
      </c>
      <c r="T78" s="111">
        <v>0</v>
      </c>
    </row>
    <row r="79" spans="1:20" ht="15" customHeight="1" x14ac:dyDescent="0.2">
      <c r="A79" s="12" t="s">
        <v>264</v>
      </c>
      <c r="B79" s="56">
        <v>54037916</v>
      </c>
      <c r="C79" s="12"/>
      <c r="D79" s="12"/>
      <c r="E79" s="12"/>
      <c r="F79" s="12" t="s">
        <v>265</v>
      </c>
      <c r="G79" s="33">
        <v>2</v>
      </c>
      <c r="H79" s="33">
        <v>9</v>
      </c>
      <c r="I79" s="12" t="s">
        <v>266</v>
      </c>
      <c r="J79" s="12" t="s">
        <v>39</v>
      </c>
      <c r="K79" s="73" t="s">
        <v>29</v>
      </c>
      <c r="L79" s="13">
        <v>18797895</v>
      </c>
      <c r="M79" s="13">
        <v>9038341</v>
      </c>
      <c r="N79" s="13">
        <v>3840257</v>
      </c>
      <c r="O79" s="13">
        <v>15102280</v>
      </c>
      <c r="P79" s="13">
        <v>13307188</v>
      </c>
      <c r="Q79" s="13">
        <v>3695615</v>
      </c>
      <c r="R79" s="13">
        <v>164239</v>
      </c>
      <c r="S79" s="13">
        <v>0</v>
      </c>
      <c r="T79" s="81">
        <v>127</v>
      </c>
    </row>
    <row r="80" spans="1:20" ht="15" customHeight="1" x14ac:dyDescent="0.2">
      <c r="A80" s="15" t="s">
        <v>267</v>
      </c>
      <c r="B80" s="60">
        <v>13220493</v>
      </c>
      <c r="C80" s="15" t="s">
        <v>268</v>
      </c>
      <c r="D80" s="15"/>
      <c r="E80" s="15" t="s">
        <v>269</v>
      </c>
      <c r="F80" s="15" t="s">
        <v>60</v>
      </c>
      <c r="G80" s="34">
        <v>2</v>
      </c>
      <c r="H80" s="34">
        <v>13</v>
      </c>
      <c r="I80" s="15" t="s">
        <v>38</v>
      </c>
      <c r="J80" s="15" t="s">
        <v>39</v>
      </c>
      <c r="K80" s="74" t="s">
        <v>29</v>
      </c>
      <c r="L80" s="16">
        <v>18254444</v>
      </c>
      <c r="M80" s="16">
        <v>178232</v>
      </c>
      <c r="N80" s="16">
        <v>16606264</v>
      </c>
      <c r="O80" s="16">
        <v>17676436</v>
      </c>
      <c r="P80" s="16">
        <v>16192670</v>
      </c>
      <c r="Q80" s="16">
        <v>578008</v>
      </c>
      <c r="R80" s="16">
        <v>-4635</v>
      </c>
      <c r="S80" s="16">
        <v>2</v>
      </c>
      <c r="T80" s="111">
        <v>0</v>
      </c>
    </row>
    <row r="81" spans="1:20" ht="15" customHeight="1" x14ac:dyDescent="0.2">
      <c r="A81" s="12" t="s">
        <v>270</v>
      </c>
      <c r="B81" s="56">
        <v>59274605</v>
      </c>
      <c r="C81" s="12" t="s">
        <v>271</v>
      </c>
      <c r="D81" s="12"/>
      <c r="E81" s="12" t="s">
        <v>272</v>
      </c>
      <c r="F81" s="12" t="s">
        <v>60</v>
      </c>
      <c r="G81" s="33">
        <v>3</v>
      </c>
      <c r="H81" s="33">
        <v>8</v>
      </c>
      <c r="I81" s="12" t="s">
        <v>38</v>
      </c>
      <c r="J81" s="12" t="s">
        <v>39</v>
      </c>
      <c r="K81" s="73" t="s">
        <v>29</v>
      </c>
      <c r="L81" s="13">
        <v>18035945</v>
      </c>
      <c r="M81" s="13">
        <v>13773333</v>
      </c>
      <c r="N81" s="13">
        <v>162166</v>
      </c>
      <c r="O81" s="13">
        <v>15113876</v>
      </c>
      <c r="P81" s="13">
        <v>13229613</v>
      </c>
      <c r="Q81" s="13">
        <v>2922069</v>
      </c>
      <c r="R81" s="13">
        <v>277328</v>
      </c>
      <c r="S81" s="13">
        <v>2</v>
      </c>
      <c r="T81" s="81">
        <v>0</v>
      </c>
    </row>
    <row r="82" spans="1:20" ht="15" customHeight="1" x14ac:dyDescent="0.2">
      <c r="A82" s="15" t="s">
        <v>273</v>
      </c>
      <c r="B82" s="60">
        <v>60889128</v>
      </c>
      <c r="C82" s="15" t="s">
        <v>274</v>
      </c>
      <c r="D82" s="15" t="s">
        <v>275</v>
      </c>
      <c r="E82" s="15" t="s">
        <v>276</v>
      </c>
      <c r="F82" s="15" t="s">
        <v>26</v>
      </c>
      <c r="G82" s="34">
        <v>2</v>
      </c>
      <c r="H82" s="34">
        <v>8</v>
      </c>
      <c r="I82" s="15" t="s">
        <v>38</v>
      </c>
      <c r="J82" s="15" t="s">
        <v>39</v>
      </c>
      <c r="K82" s="74" t="s">
        <v>29</v>
      </c>
      <c r="L82" s="16">
        <v>17860040</v>
      </c>
      <c r="M82" s="16">
        <v>7681224</v>
      </c>
      <c r="N82" s="16">
        <v>8389223</v>
      </c>
      <c r="O82" s="16">
        <v>16702237</v>
      </c>
      <c r="P82" s="16">
        <v>15763634</v>
      </c>
      <c r="Q82" s="16">
        <v>1157803</v>
      </c>
      <c r="R82" s="16">
        <v>39612</v>
      </c>
      <c r="S82" s="16">
        <v>24</v>
      </c>
      <c r="T82" s="111">
        <v>0</v>
      </c>
    </row>
    <row r="83" spans="1:20" ht="15" customHeight="1" x14ac:dyDescent="0.2">
      <c r="A83" s="12" t="s">
        <v>277</v>
      </c>
      <c r="B83" s="56">
        <v>1401771</v>
      </c>
      <c r="C83" s="12"/>
      <c r="D83" s="12"/>
      <c r="E83" s="12"/>
      <c r="F83" s="12" t="s">
        <v>199</v>
      </c>
      <c r="G83" s="33">
        <v>2</v>
      </c>
      <c r="H83" s="33">
        <v>9</v>
      </c>
      <c r="I83" s="12" t="s">
        <v>278</v>
      </c>
      <c r="J83" s="12" t="s">
        <v>229</v>
      </c>
      <c r="K83" s="73" t="s">
        <v>29</v>
      </c>
      <c r="L83" s="13">
        <v>17754461</v>
      </c>
      <c r="M83" s="13">
        <v>99057</v>
      </c>
      <c r="N83" s="13">
        <v>4187898</v>
      </c>
      <c r="O83" s="13">
        <v>16966332</v>
      </c>
      <c r="P83" s="13">
        <v>10293913</v>
      </c>
      <c r="Q83" s="13">
        <v>788128</v>
      </c>
      <c r="R83" s="13">
        <v>57735</v>
      </c>
      <c r="S83" s="13">
        <v>0</v>
      </c>
      <c r="T83" s="81">
        <v>0</v>
      </c>
    </row>
    <row r="84" spans="1:20" ht="15" customHeight="1" x14ac:dyDescent="0.2">
      <c r="A84" s="15" t="s">
        <v>279</v>
      </c>
      <c r="B84" s="60">
        <v>315557</v>
      </c>
      <c r="C84" s="15"/>
      <c r="D84" s="15"/>
      <c r="E84" s="15"/>
      <c r="F84" s="15" t="s">
        <v>199</v>
      </c>
      <c r="G84" s="34">
        <v>2</v>
      </c>
      <c r="H84" s="34">
        <v>9</v>
      </c>
      <c r="I84" s="15" t="s">
        <v>38</v>
      </c>
      <c r="J84" s="15" t="s">
        <v>39</v>
      </c>
      <c r="K84" s="74" t="s">
        <v>29</v>
      </c>
      <c r="L84" s="16">
        <v>17572425</v>
      </c>
      <c r="M84" s="16">
        <v>0</v>
      </c>
      <c r="N84" s="16">
        <v>9733269</v>
      </c>
      <c r="O84" s="16">
        <v>16799091</v>
      </c>
      <c r="P84" s="16">
        <v>58</v>
      </c>
      <c r="Q84" s="16">
        <v>773335</v>
      </c>
      <c r="R84" s="16">
        <v>41955</v>
      </c>
      <c r="S84" s="16">
        <v>0</v>
      </c>
      <c r="T84" s="111">
        <v>1</v>
      </c>
    </row>
    <row r="85" spans="1:20" ht="15" customHeight="1" x14ac:dyDescent="0.2">
      <c r="A85" s="12" t="s">
        <v>280</v>
      </c>
      <c r="B85" s="56">
        <v>82639451</v>
      </c>
      <c r="C85" s="12"/>
      <c r="D85" s="12"/>
      <c r="E85" s="12"/>
      <c r="F85" s="12" t="s">
        <v>265</v>
      </c>
      <c r="G85" s="33">
        <v>2</v>
      </c>
      <c r="H85" s="33">
        <v>9</v>
      </c>
      <c r="I85" s="12" t="s">
        <v>281</v>
      </c>
      <c r="J85" s="12" t="s">
        <v>217</v>
      </c>
      <c r="K85" s="73" t="s">
        <v>29</v>
      </c>
      <c r="L85" s="13">
        <v>17524030</v>
      </c>
      <c r="M85" s="13">
        <v>8725675</v>
      </c>
      <c r="N85" s="13">
        <v>721306</v>
      </c>
      <c r="O85" s="13">
        <v>13841312</v>
      </c>
      <c r="P85" s="13">
        <v>12675486</v>
      </c>
      <c r="Q85" s="13">
        <v>3682717</v>
      </c>
      <c r="R85" s="13">
        <v>405343</v>
      </c>
      <c r="S85" s="13">
        <v>0</v>
      </c>
      <c r="T85" s="81">
        <v>119</v>
      </c>
    </row>
    <row r="86" spans="1:20" ht="15" customHeight="1" x14ac:dyDescent="0.2">
      <c r="A86" s="15" t="s">
        <v>282</v>
      </c>
      <c r="B86" s="60">
        <v>91884981</v>
      </c>
      <c r="C86" s="15" t="s">
        <v>41</v>
      </c>
      <c r="D86" s="15" t="s">
        <v>42</v>
      </c>
      <c r="E86" s="15" t="s">
        <v>43</v>
      </c>
      <c r="F86" s="15" t="s">
        <v>26</v>
      </c>
      <c r="G86" s="34">
        <v>2</v>
      </c>
      <c r="H86" s="34">
        <v>8</v>
      </c>
      <c r="I86" s="15" t="s">
        <v>44</v>
      </c>
      <c r="J86" s="15" t="s">
        <v>39</v>
      </c>
      <c r="K86" s="74" t="s">
        <v>29</v>
      </c>
      <c r="L86" s="16">
        <v>16770609</v>
      </c>
      <c r="M86" s="16">
        <v>14635555</v>
      </c>
      <c r="N86" s="16">
        <v>30340</v>
      </c>
      <c r="O86" s="16">
        <v>12482523</v>
      </c>
      <c r="P86" s="16">
        <v>12310073</v>
      </c>
      <c r="Q86" s="16">
        <v>4288086</v>
      </c>
      <c r="R86" s="16">
        <v>65446</v>
      </c>
      <c r="S86" s="16">
        <v>2</v>
      </c>
      <c r="T86" s="111">
        <v>0</v>
      </c>
    </row>
    <row r="87" spans="1:20" ht="15" customHeight="1" x14ac:dyDescent="0.2">
      <c r="A87" s="12" t="s">
        <v>283</v>
      </c>
      <c r="B87" s="56">
        <v>6271464</v>
      </c>
      <c r="C87" s="12" t="s">
        <v>41</v>
      </c>
      <c r="D87" s="12" t="s">
        <v>42</v>
      </c>
      <c r="E87" s="12" t="s">
        <v>43</v>
      </c>
      <c r="F87" s="12" t="s">
        <v>26</v>
      </c>
      <c r="G87" s="33">
        <v>2</v>
      </c>
      <c r="H87" s="33">
        <v>8</v>
      </c>
      <c r="I87" s="12" t="s">
        <v>44</v>
      </c>
      <c r="J87" s="12" t="s">
        <v>39</v>
      </c>
      <c r="K87" s="73" t="s">
        <v>29</v>
      </c>
      <c r="L87" s="13">
        <v>16757041</v>
      </c>
      <c r="M87" s="13">
        <v>0</v>
      </c>
      <c r="N87" s="13">
        <v>5081557</v>
      </c>
      <c r="O87" s="13">
        <v>10258524</v>
      </c>
      <c r="P87" s="13">
        <v>8516751</v>
      </c>
      <c r="Q87" s="13">
        <v>6498517</v>
      </c>
      <c r="R87" s="13">
        <v>803976</v>
      </c>
      <c r="S87" s="13">
        <v>5</v>
      </c>
      <c r="T87" s="81">
        <v>0</v>
      </c>
    </row>
    <row r="88" spans="1:20" ht="15" customHeight="1" x14ac:dyDescent="0.2">
      <c r="A88" s="15" t="s">
        <v>284</v>
      </c>
      <c r="B88" s="60">
        <v>29030467</v>
      </c>
      <c r="C88" s="15" t="s">
        <v>285</v>
      </c>
      <c r="D88" s="15" t="s">
        <v>286</v>
      </c>
      <c r="E88" s="15" t="s">
        <v>287</v>
      </c>
      <c r="F88" s="15" t="s">
        <v>26</v>
      </c>
      <c r="G88" s="34">
        <v>3</v>
      </c>
      <c r="H88" s="34">
        <v>8</v>
      </c>
      <c r="I88" s="15" t="s">
        <v>38</v>
      </c>
      <c r="J88" s="15" t="s">
        <v>39</v>
      </c>
      <c r="K88" s="74" t="s">
        <v>29</v>
      </c>
      <c r="L88" s="16">
        <v>16750390</v>
      </c>
      <c r="M88" s="16">
        <v>2503686</v>
      </c>
      <c r="N88" s="16">
        <v>4358158</v>
      </c>
      <c r="O88" s="16">
        <v>13483132</v>
      </c>
      <c r="P88" s="16">
        <v>12778534</v>
      </c>
      <c r="Q88" s="16">
        <v>3267259</v>
      </c>
      <c r="R88" s="16">
        <v>156951</v>
      </c>
      <c r="S88" s="16">
        <v>2</v>
      </c>
      <c r="T88" s="111">
        <v>0</v>
      </c>
    </row>
    <row r="89" spans="1:20" ht="15" customHeight="1" x14ac:dyDescent="0.2">
      <c r="A89" s="12" t="s">
        <v>288</v>
      </c>
      <c r="B89" s="56">
        <v>2801938</v>
      </c>
      <c r="C89" s="12" t="s">
        <v>289</v>
      </c>
      <c r="D89" s="12" t="s">
        <v>290</v>
      </c>
      <c r="E89" s="12" t="s">
        <v>291</v>
      </c>
      <c r="F89" s="12" t="s">
        <v>26</v>
      </c>
      <c r="G89" s="33">
        <v>3</v>
      </c>
      <c r="H89" s="33">
        <v>8</v>
      </c>
      <c r="I89" s="12" t="s">
        <v>38</v>
      </c>
      <c r="J89" s="12" t="s">
        <v>39</v>
      </c>
      <c r="K89" s="73" t="s">
        <v>29</v>
      </c>
      <c r="L89" s="13">
        <v>16726636</v>
      </c>
      <c r="M89" s="13">
        <v>232468</v>
      </c>
      <c r="N89" s="13">
        <v>10148169</v>
      </c>
      <c r="O89" s="13">
        <v>11812063</v>
      </c>
      <c r="P89" s="13">
        <v>6524914</v>
      </c>
      <c r="Q89" s="13">
        <v>4914573</v>
      </c>
      <c r="R89" s="13">
        <v>315166</v>
      </c>
      <c r="S89" s="13">
        <v>2</v>
      </c>
      <c r="T89" s="81">
        <v>0</v>
      </c>
    </row>
    <row r="90" spans="1:20" ht="15" customHeight="1" x14ac:dyDescent="0.2">
      <c r="A90" s="15" t="s">
        <v>292</v>
      </c>
      <c r="B90" s="60">
        <v>53518684</v>
      </c>
      <c r="C90" s="15" t="s">
        <v>293</v>
      </c>
      <c r="D90" s="15"/>
      <c r="E90" s="15" t="s">
        <v>294</v>
      </c>
      <c r="F90" s="15" t="s">
        <v>26</v>
      </c>
      <c r="G90" s="34">
        <v>3</v>
      </c>
      <c r="H90" s="34">
        <v>8</v>
      </c>
      <c r="I90" s="15" t="s">
        <v>38</v>
      </c>
      <c r="J90" s="15" t="s">
        <v>39</v>
      </c>
      <c r="K90" s="74" t="s">
        <v>29</v>
      </c>
      <c r="L90" s="16">
        <v>16666011</v>
      </c>
      <c r="M90" s="16">
        <v>5254439</v>
      </c>
      <c r="N90" s="16">
        <v>6256048</v>
      </c>
      <c r="O90" s="16">
        <v>15037777</v>
      </c>
      <c r="P90" s="16">
        <v>12899483</v>
      </c>
      <c r="Q90" s="16">
        <v>1628234</v>
      </c>
      <c r="R90" s="16">
        <v>91854</v>
      </c>
      <c r="S90" s="16">
        <v>2</v>
      </c>
      <c r="T90" s="111">
        <v>0</v>
      </c>
    </row>
    <row r="91" spans="1:20" ht="15" customHeight="1" x14ac:dyDescent="0.2">
      <c r="A91" s="12" t="s">
        <v>295</v>
      </c>
      <c r="B91" s="56">
        <v>7450604</v>
      </c>
      <c r="C91" s="12" t="s">
        <v>296</v>
      </c>
      <c r="D91" s="12" t="s">
        <v>297</v>
      </c>
      <c r="E91" s="12" t="s">
        <v>298</v>
      </c>
      <c r="F91" s="12" t="s">
        <v>26</v>
      </c>
      <c r="G91" s="33">
        <v>3</v>
      </c>
      <c r="H91" s="33">
        <v>8</v>
      </c>
      <c r="I91" s="12" t="s">
        <v>38</v>
      </c>
      <c r="J91" s="12" t="s">
        <v>39</v>
      </c>
      <c r="K91" s="73" t="s">
        <v>29</v>
      </c>
      <c r="L91" s="13">
        <v>16639710</v>
      </c>
      <c r="M91" s="13">
        <v>7784956</v>
      </c>
      <c r="N91" s="13">
        <v>5876990</v>
      </c>
      <c r="O91" s="13">
        <v>15385491</v>
      </c>
      <c r="P91" s="13">
        <v>14157109</v>
      </c>
      <c r="Q91" s="13">
        <v>1254219</v>
      </c>
      <c r="R91" s="13">
        <v>-26542</v>
      </c>
      <c r="S91" s="13">
        <v>8</v>
      </c>
      <c r="T91" s="81">
        <v>0</v>
      </c>
    </row>
    <row r="92" spans="1:20" ht="15" customHeight="1" x14ac:dyDescent="0.2">
      <c r="A92" s="15" t="s">
        <v>299</v>
      </c>
      <c r="B92" s="60">
        <v>62307848</v>
      </c>
      <c r="C92" s="15" t="s">
        <v>46</v>
      </c>
      <c r="D92" s="15" t="s">
        <v>47</v>
      </c>
      <c r="E92" s="15" t="s">
        <v>48</v>
      </c>
      <c r="F92" s="15" t="s">
        <v>60</v>
      </c>
      <c r="G92" s="34">
        <v>3</v>
      </c>
      <c r="H92" s="34">
        <v>8</v>
      </c>
      <c r="I92" s="15" t="s">
        <v>38</v>
      </c>
      <c r="J92" s="15" t="s">
        <v>39</v>
      </c>
      <c r="K92" s="74" t="s">
        <v>29</v>
      </c>
      <c r="L92" s="16">
        <v>16401701</v>
      </c>
      <c r="M92" s="16">
        <v>10365397</v>
      </c>
      <c r="N92" s="16">
        <v>4387693</v>
      </c>
      <c r="O92" s="16">
        <v>14986286</v>
      </c>
      <c r="P92" s="16">
        <v>13736063</v>
      </c>
      <c r="Q92" s="16">
        <v>1415415</v>
      </c>
      <c r="R92" s="16">
        <v>149582</v>
      </c>
      <c r="S92" s="16">
        <v>2</v>
      </c>
      <c r="T92" s="111">
        <v>0</v>
      </c>
    </row>
    <row r="93" spans="1:20" ht="15" customHeight="1" x14ac:dyDescent="0.2">
      <c r="A93" s="12" t="s">
        <v>300</v>
      </c>
      <c r="B93" s="56">
        <v>58017179</v>
      </c>
      <c r="C93" s="12" t="s">
        <v>301</v>
      </c>
      <c r="D93" s="12"/>
      <c r="E93" s="12" t="s">
        <v>302</v>
      </c>
      <c r="F93" s="12" t="s">
        <v>60</v>
      </c>
      <c r="G93" s="33">
        <v>3</v>
      </c>
      <c r="H93" s="33">
        <v>8</v>
      </c>
      <c r="I93" s="12" t="s">
        <v>228</v>
      </c>
      <c r="J93" s="12" t="s">
        <v>229</v>
      </c>
      <c r="K93" s="73" t="s">
        <v>29</v>
      </c>
      <c r="L93" s="13">
        <v>16337893</v>
      </c>
      <c r="M93" s="13">
        <v>14011636</v>
      </c>
      <c r="N93" s="13">
        <v>1158021</v>
      </c>
      <c r="O93" s="13">
        <v>12164690</v>
      </c>
      <c r="P93" s="13">
        <v>12024746</v>
      </c>
      <c r="Q93" s="13">
        <v>4173203</v>
      </c>
      <c r="R93" s="13">
        <v>198482</v>
      </c>
      <c r="S93" s="13">
        <v>2</v>
      </c>
      <c r="T93" s="81">
        <v>0</v>
      </c>
    </row>
    <row r="94" spans="1:20" ht="15" customHeight="1" x14ac:dyDescent="0.2">
      <c r="A94" s="15" t="s">
        <v>303</v>
      </c>
      <c r="B94" s="60">
        <v>62237425</v>
      </c>
      <c r="C94" s="15" t="s">
        <v>245</v>
      </c>
      <c r="D94" s="15" t="s">
        <v>246</v>
      </c>
      <c r="E94" s="15" t="s">
        <v>247</v>
      </c>
      <c r="F94" s="15" t="s">
        <v>60</v>
      </c>
      <c r="G94" s="34">
        <v>3</v>
      </c>
      <c r="H94" s="34">
        <v>8</v>
      </c>
      <c r="I94" s="15" t="s">
        <v>38</v>
      </c>
      <c r="J94" s="15" t="s">
        <v>39</v>
      </c>
      <c r="K94" s="74" t="s">
        <v>29</v>
      </c>
      <c r="L94" s="16">
        <v>15786564</v>
      </c>
      <c r="M94" s="16">
        <v>7362599</v>
      </c>
      <c r="N94" s="16">
        <v>439799</v>
      </c>
      <c r="O94" s="16">
        <v>14258835</v>
      </c>
      <c r="P94" s="16">
        <v>13973289</v>
      </c>
      <c r="Q94" s="16">
        <v>1527729</v>
      </c>
      <c r="R94" s="16">
        <v>135403</v>
      </c>
      <c r="S94" s="16">
        <v>2</v>
      </c>
      <c r="T94" s="111">
        <v>0</v>
      </c>
    </row>
    <row r="95" spans="1:20" ht="15" customHeight="1" x14ac:dyDescent="0.2">
      <c r="A95" s="12" t="s">
        <v>304</v>
      </c>
      <c r="B95" s="56">
        <v>79342069</v>
      </c>
      <c r="C95" s="12"/>
      <c r="D95" s="12"/>
      <c r="E95" s="12"/>
      <c r="F95" s="12" t="s">
        <v>265</v>
      </c>
      <c r="G95" s="33">
        <v>2</v>
      </c>
      <c r="H95" s="33">
        <v>9</v>
      </c>
      <c r="I95" s="12" t="s">
        <v>305</v>
      </c>
      <c r="J95" s="12" t="s">
        <v>229</v>
      </c>
      <c r="K95" s="73" t="s">
        <v>29</v>
      </c>
      <c r="L95" s="13">
        <v>15763618</v>
      </c>
      <c r="M95" s="13">
        <v>8895732</v>
      </c>
      <c r="N95" s="13">
        <v>5471429</v>
      </c>
      <c r="O95" s="13">
        <v>14298311</v>
      </c>
      <c r="P95" s="13">
        <v>9139325</v>
      </c>
      <c r="Q95" s="13">
        <v>1465307</v>
      </c>
      <c r="R95" s="13">
        <v>88996</v>
      </c>
      <c r="S95" s="13">
        <v>0</v>
      </c>
      <c r="T95" s="81">
        <v>114</v>
      </c>
    </row>
    <row r="96" spans="1:20" ht="15" customHeight="1" x14ac:dyDescent="0.2">
      <c r="A96" s="15" t="s">
        <v>306</v>
      </c>
      <c r="B96" s="60">
        <v>1701201</v>
      </c>
      <c r="C96" s="15" t="s">
        <v>41</v>
      </c>
      <c r="D96" s="15" t="s">
        <v>42</v>
      </c>
      <c r="E96" s="15" t="s">
        <v>43</v>
      </c>
      <c r="F96" s="15" t="s">
        <v>26</v>
      </c>
      <c r="G96" s="34">
        <v>2</v>
      </c>
      <c r="H96" s="34">
        <v>8</v>
      </c>
      <c r="I96" s="15" t="s">
        <v>44</v>
      </c>
      <c r="J96" s="15" t="s">
        <v>39</v>
      </c>
      <c r="K96" s="74" t="s">
        <v>29</v>
      </c>
      <c r="L96" s="16">
        <v>15529831</v>
      </c>
      <c r="M96" s="16">
        <v>0</v>
      </c>
      <c r="N96" s="16">
        <v>4250</v>
      </c>
      <c r="O96" s="16">
        <v>3698093</v>
      </c>
      <c r="P96" s="16">
        <v>2427709</v>
      </c>
      <c r="Q96" s="16">
        <v>11831737</v>
      </c>
      <c r="R96" s="16">
        <v>377737</v>
      </c>
      <c r="S96" s="16">
        <v>1</v>
      </c>
      <c r="T96" s="111">
        <v>0</v>
      </c>
    </row>
    <row r="97" spans="1:20" ht="15" customHeight="1" x14ac:dyDescent="0.2">
      <c r="A97" s="12" t="s">
        <v>307</v>
      </c>
      <c r="B97" s="56">
        <v>4184779</v>
      </c>
      <c r="C97" s="12" t="s">
        <v>41</v>
      </c>
      <c r="D97" s="12" t="s">
        <v>42</v>
      </c>
      <c r="E97" s="12" t="s">
        <v>43</v>
      </c>
      <c r="F97" s="12" t="s">
        <v>26</v>
      </c>
      <c r="G97" s="33">
        <v>2</v>
      </c>
      <c r="H97" s="33">
        <v>8</v>
      </c>
      <c r="I97" s="12" t="s">
        <v>44</v>
      </c>
      <c r="J97" s="12" t="s">
        <v>39</v>
      </c>
      <c r="K97" s="73" t="s">
        <v>29</v>
      </c>
      <c r="L97" s="13">
        <v>15522406</v>
      </c>
      <c r="M97" s="13">
        <v>8283770</v>
      </c>
      <c r="N97" s="13">
        <v>18</v>
      </c>
      <c r="O97" s="13">
        <v>15413267</v>
      </c>
      <c r="P97" s="13">
        <v>7112832</v>
      </c>
      <c r="Q97" s="13">
        <v>109139</v>
      </c>
      <c r="R97" s="13">
        <v>1536</v>
      </c>
      <c r="S97" s="13">
        <v>2</v>
      </c>
      <c r="T97" s="81">
        <v>0</v>
      </c>
    </row>
    <row r="98" spans="1:20" ht="15" customHeight="1" x14ac:dyDescent="0.2">
      <c r="A98" s="15" t="s">
        <v>308</v>
      </c>
      <c r="B98" s="60">
        <v>38486817</v>
      </c>
      <c r="C98" s="15" t="s">
        <v>309</v>
      </c>
      <c r="D98" s="15"/>
      <c r="E98" s="15" t="s">
        <v>310</v>
      </c>
      <c r="F98" s="15" t="s">
        <v>52</v>
      </c>
      <c r="G98" s="34">
        <v>1</v>
      </c>
      <c r="H98" s="34">
        <v>5</v>
      </c>
      <c r="I98" s="15" t="s">
        <v>119</v>
      </c>
      <c r="J98" s="15" t="s">
        <v>120</v>
      </c>
      <c r="K98" s="74" t="s">
        <v>29</v>
      </c>
      <c r="L98" s="16">
        <v>15427555</v>
      </c>
      <c r="M98" s="16">
        <v>9253331</v>
      </c>
      <c r="N98" s="16">
        <v>4175546</v>
      </c>
      <c r="O98" s="16">
        <v>12945523</v>
      </c>
      <c r="P98" s="16">
        <v>11810887</v>
      </c>
      <c r="Q98" s="16">
        <v>2482032</v>
      </c>
      <c r="R98" s="16">
        <v>71599</v>
      </c>
      <c r="S98" s="16">
        <v>2</v>
      </c>
      <c r="T98" s="111">
        <v>0</v>
      </c>
    </row>
    <row r="99" spans="1:20" ht="15" customHeight="1" x14ac:dyDescent="0.2">
      <c r="A99" s="12" t="s">
        <v>311</v>
      </c>
      <c r="B99" s="56">
        <v>32428294</v>
      </c>
      <c r="C99" s="12"/>
      <c r="D99" s="12"/>
      <c r="E99" s="12"/>
      <c r="F99" s="12" t="s">
        <v>199</v>
      </c>
      <c r="G99" s="33">
        <v>2</v>
      </c>
      <c r="H99" s="33">
        <v>9</v>
      </c>
      <c r="I99" s="12" t="s">
        <v>182</v>
      </c>
      <c r="J99" s="12" t="s">
        <v>183</v>
      </c>
      <c r="K99" s="73" t="s">
        <v>29</v>
      </c>
      <c r="L99" s="13">
        <v>15057607</v>
      </c>
      <c r="M99" s="13">
        <v>124827</v>
      </c>
      <c r="N99" s="13">
        <v>4108110</v>
      </c>
      <c r="O99" s="13">
        <v>14252356</v>
      </c>
      <c r="P99" s="13">
        <v>282392</v>
      </c>
      <c r="Q99" s="13">
        <v>805251</v>
      </c>
      <c r="R99" s="13">
        <v>19394</v>
      </c>
      <c r="S99" s="13">
        <v>0</v>
      </c>
      <c r="T99" s="81">
        <v>0</v>
      </c>
    </row>
    <row r="100" spans="1:20" ht="15" customHeight="1" x14ac:dyDescent="0.2">
      <c r="A100" s="15" t="s">
        <v>312</v>
      </c>
      <c r="B100" s="60">
        <v>61088183</v>
      </c>
      <c r="C100" s="15" t="s">
        <v>313</v>
      </c>
      <c r="D100" s="15"/>
      <c r="E100" s="15" t="s">
        <v>314</v>
      </c>
      <c r="F100" s="15" t="s">
        <v>26</v>
      </c>
      <c r="G100" s="34">
        <v>3</v>
      </c>
      <c r="H100" s="34">
        <v>8</v>
      </c>
      <c r="I100" s="15" t="s">
        <v>38</v>
      </c>
      <c r="J100" s="15" t="s">
        <v>39</v>
      </c>
      <c r="K100" s="74" t="s">
        <v>29</v>
      </c>
      <c r="L100" s="16">
        <v>15033171</v>
      </c>
      <c r="M100" s="16">
        <v>3270316</v>
      </c>
      <c r="N100" s="16">
        <v>5891940</v>
      </c>
      <c r="O100" s="16">
        <v>13699571</v>
      </c>
      <c r="P100" s="16">
        <v>12505201</v>
      </c>
      <c r="Q100" s="16">
        <v>1333599</v>
      </c>
      <c r="R100" s="16">
        <v>40301</v>
      </c>
      <c r="S100" s="16">
        <v>2</v>
      </c>
      <c r="T100" s="111">
        <v>0</v>
      </c>
    </row>
    <row r="101" spans="1:20" ht="15" customHeight="1" x14ac:dyDescent="0.2">
      <c r="A101" s="12" t="s">
        <v>315</v>
      </c>
      <c r="B101" s="56">
        <v>5463212</v>
      </c>
      <c r="C101" s="12"/>
      <c r="D101" s="12"/>
      <c r="E101" s="12"/>
      <c r="F101" s="12" t="s">
        <v>199</v>
      </c>
      <c r="G101" s="33">
        <v>2</v>
      </c>
      <c r="H101" s="33">
        <v>9</v>
      </c>
      <c r="I101" s="12" t="s">
        <v>281</v>
      </c>
      <c r="J101" s="12" t="s">
        <v>217</v>
      </c>
      <c r="K101" s="73" t="s">
        <v>29</v>
      </c>
      <c r="L101" s="13">
        <v>15013283</v>
      </c>
      <c r="M101" s="13">
        <v>867026</v>
      </c>
      <c r="N101" s="13">
        <v>10349258</v>
      </c>
      <c r="O101" s="13">
        <v>13955963</v>
      </c>
      <c r="P101" s="13">
        <v>2549732</v>
      </c>
      <c r="Q101" s="13">
        <v>1057321</v>
      </c>
      <c r="R101" s="13">
        <v>0</v>
      </c>
      <c r="S101" s="13">
        <v>0</v>
      </c>
      <c r="T101" s="81">
        <v>0</v>
      </c>
    </row>
    <row r="102" spans="1:20" ht="15" customHeight="1" x14ac:dyDescent="0.2">
      <c r="A102" s="15" t="s">
        <v>316</v>
      </c>
      <c r="B102" s="60">
        <v>4866275</v>
      </c>
      <c r="C102" s="15" t="s">
        <v>317</v>
      </c>
      <c r="D102" s="15"/>
      <c r="E102" s="15" t="s">
        <v>318</v>
      </c>
      <c r="F102" s="15" t="s">
        <v>26</v>
      </c>
      <c r="G102" s="34">
        <v>3</v>
      </c>
      <c r="H102" s="34">
        <v>8</v>
      </c>
      <c r="I102" s="15" t="s">
        <v>38</v>
      </c>
      <c r="J102" s="15" t="s">
        <v>39</v>
      </c>
      <c r="K102" s="74" t="s">
        <v>29</v>
      </c>
      <c r="L102" s="16">
        <v>14606558</v>
      </c>
      <c r="M102" s="16">
        <v>13506814</v>
      </c>
      <c r="N102" s="16">
        <v>927339</v>
      </c>
      <c r="O102" s="16">
        <v>13161285</v>
      </c>
      <c r="P102" s="16">
        <v>13090687</v>
      </c>
      <c r="Q102" s="16">
        <v>1445274</v>
      </c>
      <c r="R102" s="16">
        <v>50461</v>
      </c>
      <c r="S102" s="16">
        <v>2</v>
      </c>
      <c r="T102" s="111">
        <v>1</v>
      </c>
    </row>
    <row r="103" spans="1:20" ht="15" customHeight="1" x14ac:dyDescent="0.2">
      <c r="A103" s="12" t="s">
        <v>319</v>
      </c>
      <c r="B103" s="56">
        <v>11417016</v>
      </c>
      <c r="C103" s="12" t="s">
        <v>320</v>
      </c>
      <c r="D103" s="12"/>
      <c r="E103" s="12" t="s">
        <v>321</v>
      </c>
      <c r="F103" s="12" t="s">
        <v>60</v>
      </c>
      <c r="G103" s="33">
        <v>3</v>
      </c>
      <c r="H103" s="33">
        <v>8</v>
      </c>
      <c r="I103" s="12" t="s">
        <v>255</v>
      </c>
      <c r="J103" s="12" t="s">
        <v>39</v>
      </c>
      <c r="K103" s="73" t="s">
        <v>29</v>
      </c>
      <c r="L103" s="13">
        <v>14576177</v>
      </c>
      <c r="M103" s="13">
        <v>13856076</v>
      </c>
      <c r="N103" s="13">
        <v>1077</v>
      </c>
      <c r="O103" s="13">
        <v>13361825</v>
      </c>
      <c r="P103" s="13">
        <v>13257387</v>
      </c>
      <c r="Q103" s="13">
        <v>1214352</v>
      </c>
      <c r="R103" s="13">
        <v>-73181</v>
      </c>
      <c r="S103" s="13">
        <v>2</v>
      </c>
      <c r="T103" s="81">
        <v>0</v>
      </c>
    </row>
    <row r="104" spans="1:20" ht="15" customHeight="1" x14ac:dyDescent="0.2">
      <c r="A104" s="15" t="s">
        <v>322</v>
      </c>
      <c r="B104" s="60">
        <v>47193149</v>
      </c>
      <c r="C104" s="15" t="s">
        <v>46</v>
      </c>
      <c r="D104" s="15" t="s">
        <v>47</v>
      </c>
      <c r="E104" s="15" t="s">
        <v>48</v>
      </c>
      <c r="F104" s="15" t="s">
        <v>65</v>
      </c>
      <c r="G104" s="34">
        <v>3</v>
      </c>
      <c r="H104" s="34">
        <v>19</v>
      </c>
      <c r="I104" s="15" t="s">
        <v>38</v>
      </c>
      <c r="J104" s="15" t="s">
        <v>39</v>
      </c>
      <c r="K104" s="74" t="s">
        <v>29</v>
      </c>
      <c r="L104" s="16">
        <v>14538148</v>
      </c>
      <c r="M104" s="16">
        <v>3499587</v>
      </c>
      <c r="N104" s="16">
        <v>1702547</v>
      </c>
      <c r="O104" s="16">
        <v>3935051</v>
      </c>
      <c r="P104" s="16">
        <v>2507342</v>
      </c>
      <c r="Q104" s="16">
        <v>10603098</v>
      </c>
      <c r="R104" s="16">
        <v>541988</v>
      </c>
      <c r="S104" s="16">
        <v>2</v>
      </c>
      <c r="T104" s="111">
        <v>0</v>
      </c>
    </row>
    <row r="105" spans="1:20" ht="15" customHeight="1" x14ac:dyDescent="0.2">
      <c r="A105" s="12" t="s">
        <v>323</v>
      </c>
      <c r="B105" s="56">
        <v>14388334</v>
      </c>
      <c r="C105" s="12" t="s">
        <v>324</v>
      </c>
      <c r="D105" s="12" t="s">
        <v>325</v>
      </c>
      <c r="E105" s="12" t="s">
        <v>326</v>
      </c>
      <c r="F105" s="12" t="s">
        <v>26</v>
      </c>
      <c r="G105" s="33">
        <v>2</v>
      </c>
      <c r="H105" s="33">
        <v>8</v>
      </c>
      <c r="I105" s="12" t="s">
        <v>228</v>
      </c>
      <c r="J105" s="12" t="s">
        <v>229</v>
      </c>
      <c r="K105" s="73" t="s">
        <v>29</v>
      </c>
      <c r="L105" s="13">
        <v>14347062</v>
      </c>
      <c r="M105" s="13">
        <v>10228934</v>
      </c>
      <c r="N105" s="13">
        <v>1948928</v>
      </c>
      <c r="O105" s="13">
        <v>13027790</v>
      </c>
      <c r="P105" s="13">
        <v>12590519</v>
      </c>
      <c r="Q105" s="13">
        <v>1319272</v>
      </c>
      <c r="R105" s="13">
        <v>63662</v>
      </c>
      <c r="S105" s="13">
        <v>2</v>
      </c>
      <c r="T105" s="81">
        <v>0</v>
      </c>
    </row>
    <row r="106" spans="1:20" ht="15" customHeight="1" x14ac:dyDescent="0.2">
      <c r="A106" s="15" t="s">
        <v>327</v>
      </c>
      <c r="B106" s="60">
        <v>26529420</v>
      </c>
      <c r="C106" s="15"/>
      <c r="D106" s="15"/>
      <c r="E106" s="15"/>
      <c r="F106" s="15" t="s">
        <v>265</v>
      </c>
      <c r="G106" s="34">
        <v>2</v>
      </c>
      <c r="H106" s="34">
        <v>9</v>
      </c>
      <c r="I106" s="15" t="s">
        <v>328</v>
      </c>
      <c r="J106" s="15" t="s">
        <v>329</v>
      </c>
      <c r="K106" s="74" t="s">
        <v>29</v>
      </c>
      <c r="L106" s="16">
        <v>14275375</v>
      </c>
      <c r="M106" s="16">
        <v>8240441</v>
      </c>
      <c r="N106" s="16">
        <v>5115503</v>
      </c>
      <c r="O106" s="16">
        <v>12116632</v>
      </c>
      <c r="P106" s="16">
        <v>6937118</v>
      </c>
      <c r="Q106" s="16">
        <v>2158743</v>
      </c>
      <c r="R106" s="16">
        <v>138820</v>
      </c>
      <c r="S106" s="16">
        <v>0</v>
      </c>
      <c r="T106" s="111">
        <v>52</v>
      </c>
    </row>
    <row r="107" spans="1:20" ht="15" customHeight="1" x14ac:dyDescent="0.2">
      <c r="A107" s="12" t="s">
        <v>330</v>
      </c>
      <c r="B107" s="56">
        <v>32430233</v>
      </c>
      <c r="C107" s="12"/>
      <c r="D107" s="12"/>
      <c r="E107" s="12"/>
      <c r="F107" s="12" t="s">
        <v>265</v>
      </c>
      <c r="G107" s="33">
        <v>2</v>
      </c>
      <c r="H107" s="33">
        <v>9</v>
      </c>
      <c r="I107" s="12" t="s">
        <v>331</v>
      </c>
      <c r="J107" s="12" t="s">
        <v>183</v>
      </c>
      <c r="K107" s="73" t="s">
        <v>29</v>
      </c>
      <c r="L107" s="13">
        <v>14077036</v>
      </c>
      <c r="M107" s="13">
        <v>8366223</v>
      </c>
      <c r="N107" s="13">
        <v>1208342</v>
      </c>
      <c r="O107" s="13">
        <v>11335914</v>
      </c>
      <c r="P107" s="13">
        <v>9530472</v>
      </c>
      <c r="Q107" s="13">
        <v>2741123</v>
      </c>
      <c r="R107" s="13">
        <v>344184</v>
      </c>
      <c r="S107" s="13">
        <v>0</v>
      </c>
      <c r="T107" s="81">
        <v>47</v>
      </c>
    </row>
    <row r="108" spans="1:20" ht="15" customHeight="1" x14ac:dyDescent="0.2">
      <c r="A108" s="15" t="s">
        <v>332</v>
      </c>
      <c r="B108" s="60">
        <v>76543115</v>
      </c>
      <c r="C108" s="15" t="s">
        <v>56</v>
      </c>
      <c r="D108" s="15" t="s">
        <v>57</v>
      </c>
      <c r="E108" s="15" t="s">
        <v>58</v>
      </c>
      <c r="F108" s="15" t="s">
        <v>26</v>
      </c>
      <c r="G108" s="34">
        <v>2</v>
      </c>
      <c r="H108" s="34">
        <v>8</v>
      </c>
      <c r="I108" s="15" t="s">
        <v>53</v>
      </c>
      <c r="J108" s="15" t="s">
        <v>54</v>
      </c>
      <c r="K108" s="74" t="s">
        <v>29</v>
      </c>
      <c r="L108" s="16">
        <v>14045177</v>
      </c>
      <c r="M108" s="16">
        <v>136235</v>
      </c>
      <c r="N108" s="16">
        <v>478</v>
      </c>
      <c r="O108" s="16">
        <v>2973559</v>
      </c>
      <c r="P108" s="16">
        <v>2729563</v>
      </c>
      <c r="Q108" s="16">
        <v>11071619</v>
      </c>
      <c r="R108" s="16">
        <v>791049</v>
      </c>
      <c r="S108" s="16">
        <v>1</v>
      </c>
      <c r="T108" s="111">
        <v>0</v>
      </c>
    </row>
    <row r="109" spans="1:20" ht="15" customHeight="1" x14ac:dyDescent="0.2">
      <c r="A109" s="12" t="s">
        <v>333</v>
      </c>
      <c r="B109" s="56">
        <v>81099491</v>
      </c>
      <c r="C109" s="12"/>
      <c r="D109" s="12"/>
      <c r="E109" s="12"/>
      <c r="F109" s="12" t="s">
        <v>265</v>
      </c>
      <c r="G109" s="33">
        <v>2</v>
      </c>
      <c r="H109" s="33">
        <v>9</v>
      </c>
      <c r="I109" s="12" t="s">
        <v>334</v>
      </c>
      <c r="J109" s="12" t="s">
        <v>229</v>
      </c>
      <c r="K109" s="73" t="s">
        <v>29</v>
      </c>
      <c r="L109" s="13">
        <v>14018360</v>
      </c>
      <c r="M109" s="13">
        <v>7916771</v>
      </c>
      <c r="N109" s="13">
        <v>4987574</v>
      </c>
      <c r="O109" s="13">
        <v>12804827</v>
      </c>
      <c r="P109" s="13">
        <v>9042223</v>
      </c>
      <c r="Q109" s="13">
        <v>1213534</v>
      </c>
      <c r="R109" s="13">
        <v>15132</v>
      </c>
      <c r="S109" s="13">
        <v>0</v>
      </c>
      <c r="T109" s="81">
        <v>99</v>
      </c>
    </row>
    <row r="110" spans="1:20" ht="15" customHeight="1" x14ac:dyDescent="0.2">
      <c r="A110" s="15" t="s">
        <v>335</v>
      </c>
      <c r="B110" s="60">
        <v>81466286</v>
      </c>
      <c r="C110" s="15"/>
      <c r="D110" s="15"/>
      <c r="E110" s="15"/>
      <c r="F110" s="15" t="s">
        <v>265</v>
      </c>
      <c r="G110" s="34">
        <v>2</v>
      </c>
      <c r="H110" s="34">
        <v>9</v>
      </c>
      <c r="I110" s="15" t="s">
        <v>336</v>
      </c>
      <c r="J110" s="15" t="s">
        <v>229</v>
      </c>
      <c r="K110" s="74" t="s">
        <v>29</v>
      </c>
      <c r="L110" s="16">
        <v>13974601</v>
      </c>
      <c r="M110" s="16">
        <v>7514227</v>
      </c>
      <c r="N110" s="16">
        <v>5894205</v>
      </c>
      <c r="O110" s="16">
        <v>12537460</v>
      </c>
      <c r="P110" s="16">
        <v>9570690</v>
      </c>
      <c r="Q110" s="16">
        <v>1437140</v>
      </c>
      <c r="R110" s="16">
        <v>112756</v>
      </c>
      <c r="S110" s="16">
        <v>0</v>
      </c>
      <c r="T110" s="111">
        <v>67</v>
      </c>
    </row>
    <row r="111" spans="1:20" ht="15" customHeight="1" x14ac:dyDescent="0.2">
      <c r="A111" s="12" t="s">
        <v>337</v>
      </c>
      <c r="B111" s="56">
        <v>90608712</v>
      </c>
      <c r="C111" s="12"/>
      <c r="D111" s="12"/>
      <c r="E111" s="12"/>
      <c r="F111" s="12" t="s">
        <v>265</v>
      </c>
      <c r="G111" s="33">
        <v>2</v>
      </c>
      <c r="H111" s="33">
        <v>9</v>
      </c>
      <c r="I111" s="12" t="s">
        <v>338</v>
      </c>
      <c r="J111" s="12" t="s">
        <v>74</v>
      </c>
      <c r="K111" s="73" t="s">
        <v>29</v>
      </c>
      <c r="L111" s="13">
        <v>13586344</v>
      </c>
      <c r="M111" s="13">
        <v>6300100</v>
      </c>
      <c r="N111" s="13">
        <v>5905777</v>
      </c>
      <c r="O111" s="13">
        <v>12207314</v>
      </c>
      <c r="P111" s="13">
        <v>9533766</v>
      </c>
      <c r="Q111" s="13">
        <v>1379030</v>
      </c>
      <c r="R111" s="13">
        <v>113959</v>
      </c>
      <c r="S111" s="13">
        <v>0</v>
      </c>
      <c r="T111" s="81">
        <v>53</v>
      </c>
    </row>
    <row r="112" spans="1:20" ht="15" customHeight="1" x14ac:dyDescent="0.2">
      <c r="A112" s="15" t="s">
        <v>339</v>
      </c>
      <c r="B112" s="60">
        <v>78414067</v>
      </c>
      <c r="C112" s="15"/>
      <c r="D112" s="15"/>
      <c r="E112" s="15"/>
      <c r="F112" s="15" t="s">
        <v>265</v>
      </c>
      <c r="G112" s="34">
        <v>2</v>
      </c>
      <c r="H112" s="34">
        <v>9</v>
      </c>
      <c r="I112" s="15" t="s">
        <v>340</v>
      </c>
      <c r="J112" s="15" t="s">
        <v>229</v>
      </c>
      <c r="K112" s="74" t="s">
        <v>29</v>
      </c>
      <c r="L112" s="16">
        <v>13507632</v>
      </c>
      <c r="M112" s="16">
        <v>6820737</v>
      </c>
      <c r="N112" s="16">
        <v>5547449</v>
      </c>
      <c r="O112" s="16">
        <v>11880745</v>
      </c>
      <c r="P112" s="16">
        <v>8451752</v>
      </c>
      <c r="Q112" s="16">
        <v>1626887</v>
      </c>
      <c r="R112" s="16">
        <v>164127</v>
      </c>
      <c r="S112" s="16">
        <v>0</v>
      </c>
      <c r="T112" s="111">
        <v>103</v>
      </c>
    </row>
    <row r="113" spans="1:20" ht="15" customHeight="1" x14ac:dyDescent="0.2">
      <c r="A113" s="12" t="s">
        <v>341</v>
      </c>
      <c r="B113" s="56">
        <v>71328769</v>
      </c>
      <c r="C113" s="12"/>
      <c r="D113" s="12"/>
      <c r="E113" s="12"/>
      <c r="F113" s="12" t="s">
        <v>265</v>
      </c>
      <c r="G113" s="33">
        <v>2</v>
      </c>
      <c r="H113" s="33">
        <v>9</v>
      </c>
      <c r="I113" s="12" t="s">
        <v>342</v>
      </c>
      <c r="J113" s="12" t="s">
        <v>39</v>
      </c>
      <c r="K113" s="73" t="s">
        <v>29</v>
      </c>
      <c r="L113" s="13">
        <v>13447581</v>
      </c>
      <c r="M113" s="13">
        <v>7137064</v>
      </c>
      <c r="N113" s="13">
        <v>507699</v>
      </c>
      <c r="O113" s="13">
        <v>11588801</v>
      </c>
      <c r="P113" s="13">
        <v>10812970</v>
      </c>
      <c r="Q113" s="13">
        <v>1858780</v>
      </c>
      <c r="R113" s="13">
        <v>43795</v>
      </c>
      <c r="S113" s="13">
        <v>0</v>
      </c>
      <c r="T113" s="81">
        <v>43</v>
      </c>
    </row>
    <row r="114" spans="1:20" ht="15" customHeight="1" x14ac:dyDescent="0.2">
      <c r="A114" s="15" t="s">
        <v>343</v>
      </c>
      <c r="B114" s="60">
        <v>13009717</v>
      </c>
      <c r="C114" s="15" t="s">
        <v>344</v>
      </c>
      <c r="D114" s="15"/>
      <c r="E114" s="15" t="s">
        <v>345</v>
      </c>
      <c r="F114" s="15" t="s">
        <v>26</v>
      </c>
      <c r="G114" s="34">
        <v>1</v>
      </c>
      <c r="H114" s="34">
        <v>8</v>
      </c>
      <c r="I114" s="15" t="s">
        <v>346</v>
      </c>
      <c r="J114" s="15" t="s">
        <v>347</v>
      </c>
      <c r="K114" s="74" t="s">
        <v>29</v>
      </c>
      <c r="L114" s="16">
        <v>13095223</v>
      </c>
      <c r="M114" s="16">
        <v>5161133</v>
      </c>
      <c r="N114" s="16">
        <v>3681718</v>
      </c>
      <c r="O114" s="16">
        <v>12111926</v>
      </c>
      <c r="P114" s="16">
        <v>11542610</v>
      </c>
      <c r="Q114" s="16">
        <v>983297</v>
      </c>
      <c r="R114" s="16">
        <v>62758</v>
      </c>
      <c r="S114" s="16">
        <v>65</v>
      </c>
      <c r="T114" s="111">
        <v>8</v>
      </c>
    </row>
    <row r="115" spans="1:20" ht="15" customHeight="1" x14ac:dyDescent="0.2">
      <c r="A115" s="12" t="s">
        <v>348</v>
      </c>
      <c r="B115" s="56">
        <v>3215790</v>
      </c>
      <c r="C115" s="12" t="s">
        <v>349</v>
      </c>
      <c r="D115" s="12"/>
      <c r="E115" s="12" t="s">
        <v>350</v>
      </c>
      <c r="F115" s="12" t="s">
        <v>60</v>
      </c>
      <c r="G115" s="33">
        <v>3</v>
      </c>
      <c r="H115" s="33">
        <v>8</v>
      </c>
      <c r="I115" s="12" t="s">
        <v>38</v>
      </c>
      <c r="J115" s="12" t="s">
        <v>39</v>
      </c>
      <c r="K115" s="73" t="s">
        <v>29</v>
      </c>
      <c r="L115" s="13">
        <v>12962999</v>
      </c>
      <c r="M115" s="13">
        <v>10952867</v>
      </c>
      <c r="N115" s="13">
        <v>0</v>
      </c>
      <c r="O115" s="13">
        <v>11566878</v>
      </c>
      <c r="P115" s="13">
        <v>11024860</v>
      </c>
      <c r="Q115" s="13">
        <v>1396120</v>
      </c>
      <c r="R115" s="13">
        <v>138158</v>
      </c>
      <c r="S115" s="13">
        <v>2</v>
      </c>
      <c r="T115" s="81">
        <v>0</v>
      </c>
    </row>
    <row r="116" spans="1:20" ht="15" customHeight="1" x14ac:dyDescent="0.2">
      <c r="A116" s="15" t="s">
        <v>351</v>
      </c>
      <c r="B116" s="60">
        <v>33987793</v>
      </c>
      <c r="C116" s="15" t="s">
        <v>352</v>
      </c>
      <c r="D116" s="15" t="s">
        <v>353</v>
      </c>
      <c r="E116" s="15" t="s">
        <v>354</v>
      </c>
      <c r="F116" s="15" t="s">
        <v>60</v>
      </c>
      <c r="G116" s="34">
        <v>3</v>
      </c>
      <c r="H116" s="34">
        <v>13</v>
      </c>
      <c r="I116" s="15" t="s">
        <v>38</v>
      </c>
      <c r="J116" s="15" t="s">
        <v>39</v>
      </c>
      <c r="K116" s="74" t="s">
        <v>29</v>
      </c>
      <c r="L116" s="16">
        <v>12813312</v>
      </c>
      <c r="M116" s="16">
        <v>2829899</v>
      </c>
      <c r="N116" s="16">
        <v>3031128</v>
      </c>
      <c r="O116" s="16">
        <v>8823098</v>
      </c>
      <c r="P116" s="16">
        <v>6910910</v>
      </c>
      <c r="Q116" s="16">
        <v>3990214</v>
      </c>
      <c r="R116" s="16">
        <v>-245038</v>
      </c>
      <c r="S116" s="16">
        <v>3</v>
      </c>
      <c r="T116" s="111">
        <v>0</v>
      </c>
    </row>
    <row r="117" spans="1:20" ht="15" customHeight="1" x14ac:dyDescent="0.2">
      <c r="A117" s="12" t="s">
        <v>355</v>
      </c>
      <c r="B117" s="56">
        <v>5040481</v>
      </c>
      <c r="C117" s="12" t="s">
        <v>356</v>
      </c>
      <c r="D117" s="12"/>
      <c r="E117" s="12" t="s">
        <v>357</v>
      </c>
      <c r="F117" s="12" t="s">
        <v>60</v>
      </c>
      <c r="G117" s="33">
        <v>3</v>
      </c>
      <c r="H117" s="33">
        <v>8</v>
      </c>
      <c r="I117" s="12" t="s">
        <v>73</v>
      </c>
      <c r="J117" s="12" t="s">
        <v>74</v>
      </c>
      <c r="K117" s="73" t="s">
        <v>29</v>
      </c>
      <c r="L117" s="13">
        <v>12747922</v>
      </c>
      <c r="M117" s="13">
        <v>10633465</v>
      </c>
      <c r="N117" s="13">
        <v>0</v>
      </c>
      <c r="O117" s="13">
        <v>11203148</v>
      </c>
      <c r="P117" s="13">
        <v>10577133</v>
      </c>
      <c r="Q117" s="13">
        <v>1544774</v>
      </c>
      <c r="R117" s="13">
        <v>-82291</v>
      </c>
      <c r="S117" s="13">
        <v>3</v>
      </c>
      <c r="T117" s="81">
        <v>0</v>
      </c>
    </row>
    <row r="118" spans="1:20" ht="15" customHeight="1" x14ac:dyDescent="0.2">
      <c r="A118" s="15" t="s">
        <v>358</v>
      </c>
      <c r="B118" s="60">
        <v>22896431</v>
      </c>
      <c r="C118" s="15" t="s">
        <v>171</v>
      </c>
      <c r="D118" s="15"/>
      <c r="E118" s="15" t="s">
        <v>173</v>
      </c>
      <c r="F118" s="15" t="s">
        <v>84</v>
      </c>
      <c r="G118" s="34">
        <v>2</v>
      </c>
      <c r="H118" s="34">
        <v>41</v>
      </c>
      <c r="I118" s="15" t="s">
        <v>38</v>
      </c>
      <c r="J118" s="15" t="s">
        <v>39</v>
      </c>
      <c r="K118" s="74" t="s">
        <v>29</v>
      </c>
      <c r="L118" s="16">
        <v>12442386</v>
      </c>
      <c r="M118" s="16">
        <v>0</v>
      </c>
      <c r="N118" s="16">
        <v>579802</v>
      </c>
      <c r="O118" s="16">
        <v>9608844</v>
      </c>
      <c r="P118" s="16">
        <v>3248317</v>
      </c>
      <c r="Q118" s="16">
        <v>2833542</v>
      </c>
      <c r="R118" s="16">
        <v>353166</v>
      </c>
      <c r="S118" s="16">
        <v>1</v>
      </c>
      <c r="T118" s="111">
        <v>0</v>
      </c>
    </row>
    <row r="119" spans="1:20" ht="15" customHeight="1" x14ac:dyDescent="0.2">
      <c r="A119" s="12" t="s">
        <v>359</v>
      </c>
      <c r="B119" s="56">
        <v>91586982</v>
      </c>
      <c r="C119" s="12"/>
      <c r="D119" s="12"/>
      <c r="E119" s="12"/>
      <c r="F119" s="12" t="s">
        <v>265</v>
      </c>
      <c r="G119" s="33">
        <v>2</v>
      </c>
      <c r="H119" s="33">
        <v>9</v>
      </c>
      <c r="I119" s="12" t="s">
        <v>360</v>
      </c>
      <c r="J119" s="12" t="s">
        <v>74</v>
      </c>
      <c r="K119" s="73" t="s">
        <v>29</v>
      </c>
      <c r="L119" s="13">
        <v>12226563</v>
      </c>
      <c r="M119" s="13">
        <v>6209920</v>
      </c>
      <c r="N119" s="13">
        <v>4830757</v>
      </c>
      <c r="O119" s="13">
        <v>10939887</v>
      </c>
      <c r="P119" s="13">
        <v>9065460</v>
      </c>
      <c r="Q119" s="13">
        <v>1286676</v>
      </c>
      <c r="R119" s="13">
        <v>93377</v>
      </c>
      <c r="S119" s="13">
        <v>0</v>
      </c>
      <c r="T119" s="81">
        <v>59</v>
      </c>
    </row>
    <row r="120" spans="1:20" ht="15" customHeight="1" x14ac:dyDescent="0.2">
      <c r="A120" s="15" t="s">
        <v>361</v>
      </c>
      <c r="B120" s="60">
        <v>60498557</v>
      </c>
      <c r="C120" s="15" t="s">
        <v>362</v>
      </c>
      <c r="D120" s="15"/>
      <c r="E120" s="15" t="s">
        <v>363</v>
      </c>
      <c r="F120" s="15" t="s">
        <v>26</v>
      </c>
      <c r="G120" s="34">
        <v>3</v>
      </c>
      <c r="H120" s="34">
        <v>8</v>
      </c>
      <c r="I120" s="15" t="s">
        <v>38</v>
      </c>
      <c r="J120" s="15" t="s">
        <v>39</v>
      </c>
      <c r="K120" s="74" t="s">
        <v>29</v>
      </c>
      <c r="L120" s="16">
        <v>12013998</v>
      </c>
      <c r="M120" s="16">
        <v>3443386</v>
      </c>
      <c r="N120" s="16">
        <v>4322735</v>
      </c>
      <c r="O120" s="16">
        <v>10348619</v>
      </c>
      <c r="P120" s="16">
        <v>9398798</v>
      </c>
      <c r="Q120" s="16">
        <v>1665379</v>
      </c>
      <c r="R120" s="16">
        <v>44215</v>
      </c>
      <c r="S120" s="16">
        <v>2</v>
      </c>
      <c r="T120" s="111">
        <v>0</v>
      </c>
    </row>
    <row r="121" spans="1:20" ht="15" customHeight="1" x14ac:dyDescent="0.2">
      <c r="A121" s="12" t="s">
        <v>364</v>
      </c>
      <c r="B121" s="56">
        <v>3634220</v>
      </c>
      <c r="C121" s="12" t="s">
        <v>365</v>
      </c>
      <c r="D121" s="12" t="s">
        <v>366</v>
      </c>
      <c r="E121" s="12" t="s">
        <v>367</v>
      </c>
      <c r="F121" s="12" t="s">
        <v>60</v>
      </c>
      <c r="G121" s="33">
        <v>3</v>
      </c>
      <c r="H121" s="33">
        <v>8</v>
      </c>
      <c r="I121" s="12" t="s">
        <v>38</v>
      </c>
      <c r="J121" s="12" t="s">
        <v>39</v>
      </c>
      <c r="K121" s="73" t="s">
        <v>29</v>
      </c>
      <c r="L121" s="13">
        <v>11951545</v>
      </c>
      <c r="M121" s="13">
        <v>9938301</v>
      </c>
      <c r="N121" s="13">
        <v>303287</v>
      </c>
      <c r="O121" s="13">
        <v>10474002</v>
      </c>
      <c r="P121" s="13">
        <v>9514928</v>
      </c>
      <c r="Q121" s="13">
        <v>1477543</v>
      </c>
      <c r="R121" s="13">
        <v>32922</v>
      </c>
      <c r="S121" s="13">
        <v>2</v>
      </c>
      <c r="T121" s="81">
        <v>0</v>
      </c>
    </row>
    <row r="122" spans="1:20" ht="15" customHeight="1" x14ac:dyDescent="0.2">
      <c r="A122" s="15" t="s">
        <v>368</v>
      </c>
      <c r="B122" s="60">
        <v>78825270</v>
      </c>
      <c r="C122" s="15"/>
      <c r="D122" s="15"/>
      <c r="E122" s="15"/>
      <c r="F122" s="15" t="s">
        <v>265</v>
      </c>
      <c r="G122" s="34">
        <v>2</v>
      </c>
      <c r="H122" s="34">
        <v>9</v>
      </c>
      <c r="I122" s="15" t="s">
        <v>369</v>
      </c>
      <c r="J122" s="15" t="s">
        <v>217</v>
      </c>
      <c r="K122" s="74" t="s">
        <v>29</v>
      </c>
      <c r="L122" s="16">
        <v>11925490</v>
      </c>
      <c r="M122" s="16">
        <v>7818296</v>
      </c>
      <c r="N122" s="16">
        <v>181850</v>
      </c>
      <c r="O122" s="16">
        <v>10540985</v>
      </c>
      <c r="P122" s="16">
        <v>8857750</v>
      </c>
      <c r="Q122" s="16">
        <v>1384505</v>
      </c>
      <c r="R122" s="16">
        <v>139862</v>
      </c>
      <c r="S122" s="16">
        <v>0</v>
      </c>
      <c r="T122" s="111">
        <v>103</v>
      </c>
    </row>
    <row r="123" spans="1:20" ht="15" customHeight="1" x14ac:dyDescent="0.2">
      <c r="A123" s="12" t="s">
        <v>370</v>
      </c>
      <c r="B123" s="56">
        <v>1858774</v>
      </c>
      <c r="C123" s="12" t="s">
        <v>94</v>
      </c>
      <c r="D123" s="12" t="s">
        <v>95</v>
      </c>
      <c r="E123" s="12" t="s">
        <v>96</v>
      </c>
      <c r="F123" s="12" t="s">
        <v>26</v>
      </c>
      <c r="G123" s="33">
        <v>2</v>
      </c>
      <c r="H123" s="33">
        <v>8</v>
      </c>
      <c r="I123" s="12" t="s">
        <v>38</v>
      </c>
      <c r="J123" s="12" t="s">
        <v>39</v>
      </c>
      <c r="K123" s="73" t="s">
        <v>29</v>
      </c>
      <c r="L123" s="13">
        <v>11825107</v>
      </c>
      <c r="M123" s="13">
        <v>6655877</v>
      </c>
      <c r="N123" s="13">
        <v>326975</v>
      </c>
      <c r="O123" s="13">
        <v>9013559</v>
      </c>
      <c r="P123" s="13">
        <v>5460687</v>
      </c>
      <c r="Q123" s="13">
        <v>2811548</v>
      </c>
      <c r="R123" s="13">
        <v>2587</v>
      </c>
      <c r="S123" s="13">
        <v>3</v>
      </c>
      <c r="T123" s="81">
        <v>0</v>
      </c>
    </row>
    <row r="124" spans="1:20" ht="15" customHeight="1" x14ac:dyDescent="0.2">
      <c r="A124" s="15" t="s">
        <v>371</v>
      </c>
      <c r="B124" s="60">
        <v>2398976</v>
      </c>
      <c r="C124" s="15"/>
      <c r="D124" s="15"/>
      <c r="E124" s="15"/>
      <c r="F124" s="15" t="s">
        <v>265</v>
      </c>
      <c r="G124" s="34">
        <v>2</v>
      </c>
      <c r="H124" s="34">
        <v>9</v>
      </c>
      <c r="I124" s="15" t="s">
        <v>372</v>
      </c>
      <c r="J124" s="15" t="s">
        <v>229</v>
      </c>
      <c r="K124" s="74" t="s">
        <v>29</v>
      </c>
      <c r="L124" s="16">
        <v>11545828</v>
      </c>
      <c r="M124" s="16">
        <v>5767254</v>
      </c>
      <c r="N124" s="16">
        <v>4148694</v>
      </c>
      <c r="O124" s="16">
        <v>9645699</v>
      </c>
      <c r="P124" s="16">
        <v>9078257</v>
      </c>
      <c r="Q124" s="16">
        <v>1900128</v>
      </c>
      <c r="R124" s="16">
        <v>166110</v>
      </c>
      <c r="S124" s="16">
        <v>0</v>
      </c>
      <c r="T124" s="111">
        <v>50</v>
      </c>
    </row>
    <row r="125" spans="1:20" ht="15" customHeight="1" x14ac:dyDescent="0.2">
      <c r="A125" s="12" t="s">
        <v>373</v>
      </c>
      <c r="B125" s="56">
        <v>32345784</v>
      </c>
      <c r="C125" s="12" t="s">
        <v>101</v>
      </c>
      <c r="D125" s="12" t="s">
        <v>102</v>
      </c>
      <c r="E125" s="12" t="s">
        <v>103</v>
      </c>
      <c r="F125" s="12" t="s">
        <v>98</v>
      </c>
      <c r="G125" s="33">
        <v>2</v>
      </c>
      <c r="H125" s="33">
        <v>15</v>
      </c>
      <c r="I125" s="12" t="s">
        <v>38</v>
      </c>
      <c r="J125" s="12" t="s">
        <v>39</v>
      </c>
      <c r="K125" s="73" t="s">
        <v>29</v>
      </c>
      <c r="L125" s="13">
        <v>11539480</v>
      </c>
      <c r="M125" s="13">
        <v>0</v>
      </c>
      <c r="N125" s="13">
        <v>134483</v>
      </c>
      <c r="O125" s="13">
        <v>11058162</v>
      </c>
      <c r="P125" s="13">
        <v>10645661</v>
      </c>
      <c r="Q125" s="13">
        <v>481319</v>
      </c>
      <c r="R125" s="13">
        <v>65663</v>
      </c>
      <c r="S125" s="13">
        <v>2</v>
      </c>
      <c r="T125" s="81">
        <v>0</v>
      </c>
    </row>
    <row r="126" spans="1:20" ht="15" customHeight="1" x14ac:dyDescent="0.2">
      <c r="A126" s="15" t="s">
        <v>374</v>
      </c>
      <c r="B126" s="60">
        <v>655522</v>
      </c>
      <c r="C126" s="15" t="s">
        <v>375</v>
      </c>
      <c r="D126" s="15"/>
      <c r="E126" s="15" t="s">
        <v>376</v>
      </c>
      <c r="F126" s="15" t="s">
        <v>65</v>
      </c>
      <c r="G126" s="34">
        <v>2</v>
      </c>
      <c r="H126" s="34">
        <v>25</v>
      </c>
      <c r="I126" s="15" t="s">
        <v>27</v>
      </c>
      <c r="J126" s="15" t="s">
        <v>28</v>
      </c>
      <c r="K126" s="74" t="s">
        <v>29</v>
      </c>
      <c r="L126" s="16">
        <v>11286494</v>
      </c>
      <c r="M126" s="16">
        <v>5130634</v>
      </c>
      <c r="N126" s="16">
        <v>1238420</v>
      </c>
      <c r="O126" s="16">
        <v>3354854</v>
      </c>
      <c r="P126" s="16">
        <v>3229622</v>
      </c>
      <c r="Q126" s="16">
        <v>7931640</v>
      </c>
      <c r="R126" s="16">
        <v>123226</v>
      </c>
      <c r="S126" s="16">
        <v>61</v>
      </c>
      <c r="T126" s="111">
        <v>0</v>
      </c>
    </row>
    <row r="127" spans="1:20" ht="15" customHeight="1" x14ac:dyDescent="0.2">
      <c r="A127" s="12" t="s">
        <v>377</v>
      </c>
      <c r="B127" s="56">
        <v>4088208</v>
      </c>
      <c r="C127" s="12" t="s">
        <v>378</v>
      </c>
      <c r="D127" s="12"/>
      <c r="E127" s="12" t="s">
        <v>379</v>
      </c>
      <c r="F127" s="12" t="s">
        <v>84</v>
      </c>
      <c r="G127" s="33">
        <v>3</v>
      </c>
      <c r="H127" s="33">
        <v>41</v>
      </c>
      <c r="I127" s="12" t="s">
        <v>38</v>
      </c>
      <c r="J127" s="12" t="s">
        <v>39</v>
      </c>
      <c r="K127" s="73" t="s">
        <v>29</v>
      </c>
      <c r="L127" s="13">
        <v>11099227</v>
      </c>
      <c r="M127" s="13">
        <v>0</v>
      </c>
      <c r="N127" s="13">
        <v>2640376</v>
      </c>
      <c r="O127" s="13">
        <v>5179821</v>
      </c>
      <c r="P127" s="13">
        <v>1423695</v>
      </c>
      <c r="Q127" s="13">
        <v>5919406</v>
      </c>
      <c r="R127" s="13">
        <v>769491</v>
      </c>
      <c r="S127" s="13">
        <v>1</v>
      </c>
      <c r="T127" s="81">
        <v>0</v>
      </c>
    </row>
    <row r="128" spans="1:20" ht="15" customHeight="1" x14ac:dyDescent="0.2">
      <c r="A128" s="15" t="s">
        <v>380</v>
      </c>
      <c r="B128" s="60">
        <v>15124464</v>
      </c>
      <c r="C128" s="15" t="s">
        <v>56</v>
      </c>
      <c r="D128" s="15" t="s">
        <v>57</v>
      </c>
      <c r="E128" s="15" t="s">
        <v>58</v>
      </c>
      <c r="F128" s="15" t="s">
        <v>60</v>
      </c>
      <c r="G128" s="34">
        <v>2</v>
      </c>
      <c r="H128" s="34">
        <v>8</v>
      </c>
      <c r="I128" s="15" t="s">
        <v>53</v>
      </c>
      <c r="J128" s="15" t="s">
        <v>54</v>
      </c>
      <c r="K128" s="74" t="s">
        <v>29</v>
      </c>
      <c r="L128" s="16">
        <v>10702180</v>
      </c>
      <c r="M128" s="16">
        <v>16158</v>
      </c>
      <c r="N128" s="16">
        <v>202434</v>
      </c>
      <c r="O128" s="16">
        <v>4537075</v>
      </c>
      <c r="P128" s="16">
        <v>1250075</v>
      </c>
      <c r="Q128" s="16">
        <v>6165104</v>
      </c>
      <c r="R128" s="16">
        <v>799257</v>
      </c>
      <c r="S128" s="16">
        <v>1</v>
      </c>
      <c r="T128" s="111">
        <v>0</v>
      </c>
    </row>
    <row r="129" spans="1:20" ht="15" customHeight="1" x14ac:dyDescent="0.2">
      <c r="A129" s="12" t="s">
        <v>381</v>
      </c>
      <c r="B129" s="56">
        <v>88894548</v>
      </c>
      <c r="C129" s="12"/>
      <c r="D129" s="12"/>
      <c r="E129" s="12"/>
      <c r="F129" s="12" t="s">
        <v>265</v>
      </c>
      <c r="G129" s="33">
        <v>2</v>
      </c>
      <c r="H129" s="33">
        <v>9</v>
      </c>
      <c r="I129" s="12" t="s">
        <v>382</v>
      </c>
      <c r="J129" s="12" t="s">
        <v>74</v>
      </c>
      <c r="K129" s="73" t="s">
        <v>29</v>
      </c>
      <c r="L129" s="13">
        <v>10639748</v>
      </c>
      <c r="M129" s="13">
        <v>6280671</v>
      </c>
      <c r="N129" s="13">
        <v>3545702</v>
      </c>
      <c r="O129" s="13">
        <v>9314803</v>
      </c>
      <c r="P129" s="13">
        <v>5972633</v>
      </c>
      <c r="Q129" s="13">
        <v>1324945</v>
      </c>
      <c r="R129" s="13">
        <v>101195</v>
      </c>
      <c r="S129" s="13">
        <v>0</v>
      </c>
      <c r="T129" s="81">
        <v>74</v>
      </c>
    </row>
    <row r="130" spans="1:20" ht="15" customHeight="1" x14ac:dyDescent="0.2">
      <c r="A130" s="15" t="s">
        <v>383</v>
      </c>
      <c r="B130" s="60">
        <v>42898825</v>
      </c>
      <c r="C130" s="15"/>
      <c r="D130" s="15"/>
      <c r="E130" s="15"/>
      <c r="F130" s="15" t="s">
        <v>265</v>
      </c>
      <c r="G130" s="34">
        <v>2</v>
      </c>
      <c r="H130" s="34">
        <v>9</v>
      </c>
      <c r="I130" s="15" t="s">
        <v>119</v>
      </c>
      <c r="J130" s="15" t="s">
        <v>120</v>
      </c>
      <c r="K130" s="74" t="s">
        <v>29</v>
      </c>
      <c r="L130" s="16">
        <v>10596586</v>
      </c>
      <c r="M130" s="16">
        <v>4690192</v>
      </c>
      <c r="N130" s="16">
        <v>196069</v>
      </c>
      <c r="O130" s="16">
        <v>9130854</v>
      </c>
      <c r="P130" s="16">
        <v>8391715</v>
      </c>
      <c r="Q130" s="16">
        <v>1465732</v>
      </c>
      <c r="R130" s="16">
        <v>107626</v>
      </c>
      <c r="S130" s="16">
        <v>0</v>
      </c>
      <c r="T130" s="111">
        <v>54</v>
      </c>
    </row>
    <row r="131" spans="1:20" ht="15" customHeight="1" x14ac:dyDescent="0.2">
      <c r="A131" s="12" t="s">
        <v>384</v>
      </c>
      <c r="B131" s="56">
        <v>33147315</v>
      </c>
      <c r="C131" s="12" t="s">
        <v>41</v>
      </c>
      <c r="D131" s="12" t="s">
        <v>42</v>
      </c>
      <c r="E131" s="12" t="s">
        <v>43</v>
      </c>
      <c r="F131" s="12" t="s">
        <v>26</v>
      </c>
      <c r="G131" s="33">
        <v>2</v>
      </c>
      <c r="H131" s="33">
        <v>8</v>
      </c>
      <c r="I131" s="12" t="s">
        <v>44</v>
      </c>
      <c r="J131" s="12" t="s">
        <v>39</v>
      </c>
      <c r="K131" s="73" t="s">
        <v>29</v>
      </c>
      <c r="L131" s="13">
        <v>10462849</v>
      </c>
      <c r="M131" s="13">
        <v>0</v>
      </c>
      <c r="N131" s="13">
        <v>6438208</v>
      </c>
      <c r="O131" s="13">
        <v>9348029</v>
      </c>
      <c r="P131" s="13">
        <v>7695623</v>
      </c>
      <c r="Q131" s="13">
        <v>1114820</v>
      </c>
      <c r="R131" s="13">
        <v>26881</v>
      </c>
      <c r="S131" s="13">
        <v>2</v>
      </c>
      <c r="T131" s="81">
        <v>0</v>
      </c>
    </row>
    <row r="132" spans="1:20" ht="15" customHeight="1" x14ac:dyDescent="0.2">
      <c r="A132" s="15" t="s">
        <v>385</v>
      </c>
      <c r="B132" s="60">
        <v>32995755</v>
      </c>
      <c r="C132" s="15"/>
      <c r="D132" s="15"/>
      <c r="E132" s="15"/>
      <c r="F132" s="15" t="s">
        <v>265</v>
      </c>
      <c r="G132" s="34">
        <v>2</v>
      </c>
      <c r="H132" s="34">
        <v>9</v>
      </c>
      <c r="I132" s="15" t="s">
        <v>386</v>
      </c>
      <c r="J132" s="15" t="s">
        <v>329</v>
      </c>
      <c r="K132" s="74" t="s">
        <v>29</v>
      </c>
      <c r="L132" s="16">
        <v>10429410</v>
      </c>
      <c r="M132" s="16">
        <v>5139880</v>
      </c>
      <c r="N132" s="16">
        <v>4267337</v>
      </c>
      <c r="O132" s="16">
        <v>9137080</v>
      </c>
      <c r="P132" s="16">
        <v>6499937</v>
      </c>
      <c r="Q132" s="16">
        <v>1292330</v>
      </c>
      <c r="R132" s="16">
        <v>74920</v>
      </c>
      <c r="S132" s="16">
        <v>0</v>
      </c>
      <c r="T132" s="111">
        <v>100</v>
      </c>
    </row>
    <row r="133" spans="1:20" ht="15" customHeight="1" x14ac:dyDescent="0.2">
      <c r="A133" s="12" t="s">
        <v>387</v>
      </c>
      <c r="B133" s="56">
        <v>37395399</v>
      </c>
      <c r="C133" s="12"/>
      <c r="D133" s="12"/>
      <c r="E133" s="12"/>
      <c r="F133" s="12" t="s">
        <v>265</v>
      </c>
      <c r="G133" s="33">
        <v>2</v>
      </c>
      <c r="H133" s="33">
        <v>9</v>
      </c>
      <c r="I133" s="12" t="s">
        <v>388</v>
      </c>
      <c r="J133" s="12" t="s">
        <v>389</v>
      </c>
      <c r="K133" s="73" t="s">
        <v>29</v>
      </c>
      <c r="L133" s="13">
        <v>10287933</v>
      </c>
      <c r="M133" s="13">
        <v>5822341</v>
      </c>
      <c r="N133" s="13">
        <v>126018</v>
      </c>
      <c r="O133" s="13">
        <v>9212159</v>
      </c>
      <c r="P133" s="13">
        <v>8620391</v>
      </c>
      <c r="Q133" s="13">
        <v>1075774</v>
      </c>
      <c r="R133" s="13">
        <v>-63405</v>
      </c>
      <c r="S133" s="13">
        <v>0</v>
      </c>
      <c r="T133" s="81">
        <v>94</v>
      </c>
    </row>
    <row r="134" spans="1:20" ht="15" customHeight="1" x14ac:dyDescent="0.2">
      <c r="A134" s="15" t="s">
        <v>390</v>
      </c>
      <c r="B134" s="60">
        <v>2682287</v>
      </c>
      <c r="C134" s="15" t="s">
        <v>56</v>
      </c>
      <c r="D134" s="15" t="s">
        <v>57</v>
      </c>
      <c r="E134" s="15" t="s">
        <v>58</v>
      </c>
      <c r="F134" s="15" t="s">
        <v>65</v>
      </c>
      <c r="G134" s="34">
        <v>2</v>
      </c>
      <c r="H134" s="34">
        <v>14</v>
      </c>
      <c r="I134" s="15" t="s">
        <v>53</v>
      </c>
      <c r="J134" s="15" t="s">
        <v>54</v>
      </c>
      <c r="K134" s="74" t="s">
        <v>29</v>
      </c>
      <c r="L134" s="16">
        <v>10058481</v>
      </c>
      <c r="M134" s="16">
        <v>8448672</v>
      </c>
      <c r="N134" s="16">
        <v>1047212</v>
      </c>
      <c r="O134" s="16">
        <v>7838397</v>
      </c>
      <c r="P134" s="16">
        <v>7333902</v>
      </c>
      <c r="Q134" s="16">
        <v>2220084</v>
      </c>
      <c r="R134" s="16">
        <v>425126</v>
      </c>
      <c r="S134" s="16">
        <v>3</v>
      </c>
      <c r="T134" s="111">
        <v>0</v>
      </c>
    </row>
    <row r="135" spans="1:20" ht="15" customHeight="1" x14ac:dyDescent="0.2">
      <c r="A135" s="12" t="s">
        <v>391</v>
      </c>
      <c r="B135" s="56">
        <v>92874270</v>
      </c>
      <c r="C135" s="12" t="s">
        <v>392</v>
      </c>
      <c r="D135" s="12"/>
      <c r="E135" s="12" t="s">
        <v>393</v>
      </c>
      <c r="F135" s="12" t="s">
        <v>26</v>
      </c>
      <c r="G135" s="33">
        <v>3</v>
      </c>
      <c r="H135" s="33">
        <v>8</v>
      </c>
      <c r="I135" s="12" t="s">
        <v>38</v>
      </c>
      <c r="J135" s="12" t="s">
        <v>39</v>
      </c>
      <c r="K135" s="73" t="s">
        <v>29</v>
      </c>
      <c r="L135" s="13">
        <v>9817920</v>
      </c>
      <c r="M135" s="13">
        <v>1491826</v>
      </c>
      <c r="N135" s="13">
        <v>4759598</v>
      </c>
      <c r="O135" s="13">
        <v>9487003</v>
      </c>
      <c r="P135" s="13">
        <v>8704047</v>
      </c>
      <c r="Q135" s="13">
        <v>330917</v>
      </c>
      <c r="R135" s="13">
        <v>-581406</v>
      </c>
      <c r="S135" s="13">
        <v>3</v>
      </c>
      <c r="T135" s="81">
        <v>0</v>
      </c>
    </row>
    <row r="136" spans="1:20" ht="15" customHeight="1" x14ac:dyDescent="0.2">
      <c r="A136" s="15" t="s">
        <v>394</v>
      </c>
      <c r="B136" s="60">
        <v>74014747</v>
      </c>
      <c r="C136" s="15" t="s">
        <v>41</v>
      </c>
      <c r="D136" s="15" t="s">
        <v>42</v>
      </c>
      <c r="E136" s="15" t="s">
        <v>43</v>
      </c>
      <c r="F136" s="15" t="s">
        <v>98</v>
      </c>
      <c r="G136" s="34">
        <v>2</v>
      </c>
      <c r="H136" s="34">
        <v>15</v>
      </c>
      <c r="I136" s="15" t="s">
        <v>44</v>
      </c>
      <c r="J136" s="15" t="s">
        <v>39</v>
      </c>
      <c r="K136" s="74" t="s">
        <v>29</v>
      </c>
      <c r="L136" s="16">
        <v>9704670</v>
      </c>
      <c r="M136" s="16">
        <v>20275</v>
      </c>
      <c r="N136" s="16">
        <v>4092799</v>
      </c>
      <c r="O136" s="16">
        <v>5586079</v>
      </c>
      <c r="P136" s="16">
        <v>1505150</v>
      </c>
      <c r="Q136" s="16">
        <v>4118591</v>
      </c>
      <c r="R136" s="16">
        <v>246545</v>
      </c>
      <c r="S136" s="16">
        <v>2</v>
      </c>
      <c r="T136" s="111">
        <v>0</v>
      </c>
    </row>
    <row r="137" spans="1:20" ht="15" customHeight="1" x14ac:dyDescent="0.2">
      <c r="A137" s="12" t="s">
        <v>395</v>
      </c>
      <c r="B137" s="56">
        <v>15581638</v>
      </c>
      <c r="C137" s="12" t="s">
        <v>396</v>
      </c>
      <c r="D137" s="12" t="s">
        <v>397</v>
      </c>
      <c r="E137" s="12" t="s">
        <v>397</v>
      </c>
      <c r="F137" s="12" t="s">
        <v>65</v>
      </c>
      <c r="G137" s="33">
        <v>2</v>
      </c>
      <c r="H137" s="33">
        <v>14</v>
      </c>
      <c r="I137" s="12" t="s">
        <v>73</v>
      </c>
      <c r="J137" s="12" t="s">
        <v>74</v>
      </c>
      <c r="K137" s="73" t="s">
        <v>29</v>
      </c>
      <c r="L137" s="13">
        <v>9681585</v>
      </c>
      <c r="M137" s="13">
        <v>4410744</v>
      </c>
      <c r="N137" s="13">
        <v>4265713</v>
      </c>
      <c r="O137" s="13">
        <v>8970580</v>
      </c>
      <c r="P137" s="13">
        <v>7871552</v>
      </c>
      <c r="Q137" s="13">
        <v>711005</v>
      </c>
      <c r="R137" s="13">
        <v>23910</v>
      </c>
      <c r="S137" s="13">
        <v>2</v>
      </c>
      <c r="T137" s="81">
        <v>0</v>
      </c>
    </row>
    <row r="138" spans="1:20" ht="15" customHeight="1" x14ac:dyDescent="0.2">
      <c r="A138" s="15" t="s">
        <v>398</v>
      </c>
      <c r="B138" s="60">
        <v>5036532</v>
      </c>
      <c r="C138" s="15"/>
      <c r="D138" s="15"/>
      <c r="E138" s="15"/>
      <c r="F138" s="15" t="s">
        <v>199</v>
      </c>
      <c r="G138" s="34">
        <v>2</v>
      </c>
      <c r="H138" s="34">
        <v>9</v>
      </c>
      <c r="I138" s="15" t="s">
        <v>305</v>
      </c>
      <c r="J138" s="15" t="s">
        <v>229</v>
      </c>
      <c r="K138" s="74" t="s">
        <v>29</v>
      </c>
      <c r="L138" s="16">
        <v>9673655</v>
      </c>
      <c r="M138" s="16">
        <v>0</v>
      </c>
      <c r="N138" s="16">
        <v>5544270</v>
      </c>
      <c r="O138" s="16">
        <v>9170752</v>
      </c>
      <c r="P138" s="16">
        <v>12358</v>
      </c>
      <c r="Q138" s="16">
        <v>502903</v>
      </c>
      <c r="R138" s="16">
        <v>41528</v>
      </c>
      <c r="S138" s="16">
        <v>0</v>
      </c>
      <c r="T138" s="111">
        <v>0</v>
      </c>
    </row>
    <row r="139" spans="1:20" ht="15" customHeight="1" x14ac:dyDescent="0.2">
      <c r="A139" s="12" t="s">
        <v>399</v>
      </c>
      <c r="B139" s="56">
        <v>26408161</v>
      </c>
      <c r="C139" s="12"/>
      <c r="D139" s="12"/>
      <c r="E139" s="12"/>
      <c r="F139" s="12" t="s">
        <v>265</v>
      </c>
      <c r="G139" s="33">
        <v>2</v>
      </c>
      <c r="H139" s="33">
        <v>9</v>
      </c>
      <c r="I139" s="12" t="s">
        <v>400</v>
      </c>
      <c r="J139" s="12" t="s">
        <v>401</v>
      </c>
      <c r="K139" s="73" t="s">
        <v>29</v>
      </c>
      <c r="L139" s="13">
        <v>9593676</v>
      </c>
      <c r="M139" s="13">
        <v>5865696</v>
      </c>
      <c r="N139" s="13">
        <v>2635353</v>
      </c>
      <c r="O139" s="13">
        <v>8273179</v>
      </c>
      <c r="P139" s="13">
        <v>5658920</v>
      </c>
      <c r="Q139" s="13">
        <v>1320497</v>
      </c>
      <c r="R139" s="13">
        <v>-11290</v>
      </c>
      <c r="S139" s="13">
        <v>0</v>
      </c>
      <c r="T139" s="81">
        <v>63</v>
      </c>
    </row>
    <row r="140" spans="1:20" ht="15" customHeight="1" x14ac:dyDescent="0.2">
      <c r="A140" s="15" t="s">
        <v>402</v>
      </c>
      <c r="B140" s="60">
        <v>33416108</v>
      </c>
      <c r="C140" s="15"/>
      <c r="D140" s="15"/>
      <c r="E140" s="15"/>
      <c r="F140" s="15" t="s">
        <v>199</v>
      </c>
      <c r="G140" s="34">
        <v>2</v>
      </c>
      <c r="H140" s="34">
        <v>9</v>
      </c>
      <c r="I140" s="15" t="s">
        <v>388</v>
      </c>
      <c r="J140" s="15" t="s">
        <v>389</v>
      </c>
      <c r="K140" s="74" t="s">
        <v>29</v>
      </c>
      <c r="L140" s="16">
        <v>9398098</v>
      </c>
      <c r="M140" s="16">
        <v>84757</v>
      </c>
      <c r="N140" s="16">
        <v>5085412</v>
      </c>
      <c r="O140" s="16">
        <v>8589182</v>
      </c>
      <c r="P140" s="16">
        <v>0</v>
      </c>
      <c r="Q140" s="16">
        <v>808917</v>
      </c>
      <c r="R140" s="16">
        <v>38272</v>
      </c>
      <c r="S140" s="16">
        <v>0</v>
      </c>
      <c r="T140" s="111">
        <v>1</v>
      </c>
    </row>
    <row r="141" spans="1:20" ht="15" customHeight="1" x14ac:dyDescent="0.2">
      <c r="A141" s="12" t="s">
        <v>403</v>
      </c>
      <c r="B141" s="56">
        <v>24654881</v>
      </c>
      <c r="C141" s="12"/>
      <c r="D141" s="12"/>
      <c r="E141" s="12"/>
      <c r="F141" s="12" t="s">
        <v>265</v>
      </c>
      <c r="G141" s="33">
        <v>2</v>
      </c>
      <c r="H141" s="33">
        <v>9</v>
      </c>
      <c r="I141" s="12" t="s">
        <v>404</v>
      </c>
      <c r="J141" s="12" t="s">
        <v>401</v>
      </c>
      <c r="K141" s="73" t="s">
        <v>29</v>
      </c>
      <c r="L141" s="13">
        <v>9392669</v>
      </c>
      <c r="M141" s="13">
        <v>5390917</v>
      </c>
      <c r="N141" s="13">
        <v>2877767</v>
      </c>
      <c r="O141" s="13">
        <v>8364627</v>
      </c>
      <c r="P141" s="13">
        <v>5024687</v>
      </c>
      <c r="Q141" s="13">
        <v>1028042</v>
      </c>
      <c r="R141" s="13">
        <v>47445</v>
      </c>
      <c r="S141" s="13">
        <v>0</v>
      </c>
      <c r="T141" s="81">
        <v>60</v>
      </c>
    </row>
    <row r="142" spans="1:20" ht="15" customHeight="1" x14ac:dyDescent="0.2">
      <c r="A142" s="15" t="s">
        <v>405</v>
      </c>
      <c r="B142" s="60">
        <v>71027866</v>
      </c>
      <c r="C142" s="15" t="s">
        <v>406</v>
      </c>
      <c r="D142" s="15"/>
      <c r="E142" s="15" t="s">
        <v>407</v>
      </c>
      <c r="F142" s="15" t="s">
        <v>26</v>
      </c>
      <c r="G142" s="34">
        <v>2</v>
      </c>
      <c r="H142" s="34">
        <v>8</v>
      </c>
      <c r="I142" s="15" t="s">
        <v>119</v>
      </c>
      <c r="J142" s="15" t="s">
        <v>120</v>
      </c>
      <c r="K142" s="74" t="s">
        <v>29</v>
      </c>
      <c r="L142" s="16">
        <v>9319011</v>
      </c>
      <c r="M142" s="16">
        <v>2346761</v>
      </c>
      <c r="N142" s="16">
        <v>2833063</v>
      </c>
      <c r="O142" s="16">
        <v>8281145</v>
      </c>
      <c r="P142" s="16">
        <v>7678118</v>
      </c>
      <c r="Q142" s="16">
        <v>1037866</v>
      </c>
      <c r="R142" s="16">
        <v>46735</v>
      </c>
      <c r="S142" s="16">
        <v>3</v>
      </c>
      <c r="T142" s="111">
        <v>0</v>
      </c>
    </row>
    <row r="143" spans="1:20" ht="15" customHeight="1" x14ac:dyDescent="0.2">
      <c r="A143" s="12" t="s">
        <v>408</v>
      </c>
      <c r="B143" s="56">
        <v>6881898</v>
      </c>
      <c r="C143" s="12" t="s">
        <v>35</v>
      </c>
      <c r="D143" s="12" t="s">
        <v>36</v>
      </c>
      <c r="E143" s="12" t="s">
        <v>37</v>
      </c>
      <c r="F143" s="12" t="s">
        <v>65</v>
      </c>
      <c r="G143" s="33">
        <v>2</v>
      </c>
      <c r="H143" s="33">
        <v>14</v>
      </c>
      <c r="I143" s="12" t="s">
        <v>38</v>
      </c>
      <c r="J143" s="12" t="s">
        <v>39</v>
      </c>
      <c r="K143" s="73" t="s">
        <v>29</v>
      </c>
      <c r="L143" s="13">
        <v>9136786</v>
      </c>
      <c r="M143" s="13">
        <v>7857621</v>
      </c>
      <c r="N143" s="13">
        <v>18587</v>
      </c>
      <c r="O143" s="13">
        <v>7707169</v>
      </c>
      <c r="P143" s="13">
        <v>586759</v>
      </c>
      <c r="Q143" s="13">
        <v>1429617</v>
      </c>
      <c r="R143" s="13">
        <v>212065</v>
      </c>
      <c r="S143" s="13">
        <v>2</v>
      </c>
      <c r="T143" s="81">
        <v>0</v>
      </c>
    </row>
    <row r="144" spans="1:20" ht="15" customHeight="1" x14ac:dyDescent="0.2">
      <c r="A144" s="15" t="s">
        <v>409</v>
      </c>
      <c r="B144" s="60">
        <v>60518222</v>
      </c>
      <c r="C144" s="15" t="s">
        <v>410</v>
      </c>
      <c r="D144" s="15"/>
      <c r="E144" s="15" t="s">
        <v>411</v>
      </c>
      <c r="F144" s="15" t="s">
        <v>26</v>
      </c>
      <c r="G144" s="34">
        <v>3</v>
      </c>
      <c r="H144" s="34">
        <v>8</v>
      </c>
      <c r="I144" s="15" t="s">
        <v>38</v>
      </c>
      <c r="J144" s="15" t="s">
        <v>39</v>
      </c>
      <c r="K144" s="74" t="s">
        <v>29</v>
      </c>
      <c r="L144" s="16">
        <v>9128133</v>
      </c>
      <c r="M144" s="16">
        <v>1808271</v>
      </c>
      <c r="N144" s="16">
        <v>3225298</v>
      </c>
      <c r="O144" s="16">
        <v>7153636</v>
      </c>
      <c r="P144" s="16">
        <v>6030391</v>
      </c>
      <c r="Q144" s="16">
        <v>1974496</v>
      </c>
      <c r="R144" s="16">
        <v>23588</v>
      </c>
      <c r="S144" s="16">
        <v>2</v>
      </c>
      <c r="T144" s="111">
        <v>0</v>
      </c>
    </row>
    <row r="145" spans="1:20" ht="15" customHeight="1" x14ac:dyDescent="0.2">
      <c r="A145" s="12" t="s">
        <v>412</v>
      </c>
      <c r="B145" s="56">
        <v>4243780</v>
      </c>
      <c r="C145" s="12"/>
      <c r="D145" s="12"/>
      <c r="E145" s="12"/>
      <c r="F145" s="12" t="s">
        <v>199</v>
      </c>
      <c r="G145" s="33">
        <v>2</v>
      </c>
      <c r="H145" s="33">
        <v>9</v>
      </c>
      <c r="I145" s="12" t="s">
        <v>388</v>
      </c>
      <c r="J145" s="12" t="s">
        <v>389</v>
      </c>
      <c r="K145" s="73" t="s">
        <v>29</v>
      </c>
      <c r="L145" s="13">
        <v>8966357</v>
      </c>
      <c r="M145" s="13">
        <v>171308</v>
      </c>
      <c r="N145" s="13">
        <v>2121755</v>
      </c>
      <c r="O145" s="13">
        <v>8604194</v>
      </c>
      <c r="P145" s="13">
        <v>6119</v>
      </c>
      <c r="Q145" s="13">
        <v>362163</v>
      </c>
      <c r="R145" s="13">
        <v>28640</v>
      </c>
      <c r="S145" s="13">
        <v>0</v>
      </c>
      <c r="T145" s="81">
        <v>0</v>
      </c>
    </row>
    <row r="146" spans="1:20" ht="15" customHeight="1" x14ac:dyDescent="0.2">
      <c r="A146" s="15" t="s">
        <v>413</v>
      </c>
      <c r="B146" s="60">
        <v>87780268</v>
      </c>
      <c r="C146" s="15"/>
      <c r="D146" s="15"/>
      <c r="E146" s="15"/>
      <c r="F146" s="15" t="s">
        <v>265</v>
      </c>
      <c r="G146" s="34">
        <v>2</v>
      </c>
      <c r="H146" s="34">
        <v>9</v>
      </c>
      <c r="I146" s="15" t="s">
        <v>414</v>
      </c>
      <c r="J146" s="15" t="s">
        <v>74</v>
      </c>
      <c r="K146" s="74" t="s">
        <v>29</v>
      </c>
      <c r="L146" s="16">
        <v>8886240</v>
      </c>
      <c r="M146" s="16">
        <v>4355200</v>
      </c>
      <c r="N146" s="16">
        <v>3695086</v>
      </c>
      <c r="O146" s="16">
        <v>7904884</v>
      </c>
      <c r="P146" s="16">
        <v>5826637</v>
      </c>
      <c r="Q146" s="16">
        <v>981357</v>
      </c>
      <c r="R146" s="16">
        <v>72764</v>
      </c>
      <c r="S146" s="16">
        <v>0</v>
      </c>
      <c r="T146" s="111">
        <v>71</v>
      </c>
    </row>
    <row r="147" spans="1:20" ht="15" customHeight="1" x14ac:dyDescent="0.2">
      <c r="A147" s="12" t="s">
        <v>415</v>
      </c>
      <c r="B147" s="56">
        <v>26555235</v>
      </c>
      <c r="C147" s="12"/>
      <c r="D147" s="12"/>
      <c r="E147" s="12"/>
      <c r="F147" s="12" t="s">
        <v>265</v>
      </c>
      <c r="G147" s="33">
        <v>2</v>
      </c>
      <c r="H147" s="33">
        <v>9</v>
      </c>
      <c r="I147" s="12" t="s">
        <v>416</v>
      </c>
      <c r="J147" s="12" t="s">
        <v>329</v>
      </c>
      <c r="K147" s="73" t="s">
        <v>29</v>
      </c>
      <c r="L147" s="13">
        <v>8289955</v>
      </c>
      <c r="M147" s="13">
        <v>3047856</v>
      </c>
      <c r="N147" s="13">
        <v>4535970</v>
      </c>
      <c r="O147" s="13">
        <v>6987568</v>
      </c>
      <c r="P147" s="13">
        <v>5025327</v>
      </c>
      <c r="Q147" s="13">
        <v>1302387</v>
      </c>
      <c r="R147" s="13">
        <v>128269</v>
      </c>
      <c r="S147" s="13">
        <v>0</v>
      </c>
      <c r="T147" s="81">
        <v>23</v>
      </c>
    </row>
    <row r="148" spans="1:20" ht="15" customHeight="1" x14ac:dyDescent="0.2">
      <c r="A148" s="15" t="s">
        <v>417</v>
      </c>
      <c r="B148" s="60">
        <v>28517628</v>
      </c>
      <c r="C148" s="15" t="s">
        <v>418</v>
      </c>
      <c r="D148" s="15"/>
      <c r="E148" s="15" t="s">
        <v>419</v>
      </c>
      <c r="F148" s="15" t="s">
        <v>60</v>
      </c>
      <c r="G148" s="34">
        <v>3</v>
      </c>
      <c r="H148" s="34">
        <v>8</v>
      </c>
      <c r="I148" s="15" t="s">
        <v>336</v>
      </c>
      <c r="J148" s="15" t="s">
        <v>229</v>
      </c>
      <c r="K148" s="74" t="s">
        <v>29</v>
      </c>
      <c r="L148" s="16">
        <v>8264224</v>
      </c>
      <c r="M148" s="16">
        <v>7613096</v>
      </c>
      <c r="N148" s="16">
        <v>0</v>
      </c>
      <c r="O148" s="16">
        <v>5386785</v>
      </c>
      <c r="P148" s="16">
        <v>5155575</v>
      </c>
      <c r="Q148" s="16">
        <v>2877439</v>
      </c>
      <c r="R148" s="16">
        <v>34966</v>
      </c>
      <c r="S148" s="16">
        <v>2</v>
      </c>
      <c r="T148" s="111">
        <v>0</v>
      </c>
    </row>
    <row r="149" spans="1:20" ht="15" customHeight="1" x14ac:dyDescent="0.2">
      <c r="A149" s="12" t="s">
        <v>420</v>
      </c>
      <c r="B149" s="56">
        <v>61533584</v>
      </c>
      <c r="C149" s="12" t="s">
        <v>421</v>
      </c>
      <c r="D149" s="12"/>
      <c r="E149" s="12" t="s">
        <v>422</v>
      </c>
      <c r="F149" s="12" t="s">
        <v>26</v>
      </c>
      <c r="G149" s="33">
        <v>3</v>
      </c>
      <c r="H149" s="33">
        <v>8</v>
      </c>
      <c r="I149" s="12" t="s">
        <v>38</v>
      </c>
      <c r="J149" s="12" t="s">
        <v>39</v>
      </c>
      <c r="K149" s="73" t="s">
        <v>29</v>
      </c>
      <c r="L149" s="13">
        <v>8109928</v>
      </c>
      <c r="M149" s="13">
        <v>124566</v>
      </c>
      <c r="N149" s="13">
        <v>1208503</v>
      </c>
      <c r="O149" s="13">
        <v>6356540</v>
      </c>
      <c r="P149" s="13">
        <v>3232439</v>
      </c>
      <c r="Q149" s="13">
        <v>1753388</v>
      </c>
      <c r="R149" s="13">
        <v>59340</v>
      </c>
      <c r="S149" s="13">
        <v>2</v>
      </c>
      <c r="T149" s="81">
        <v>0</v>
      </c>
    </row>
    <row r="150" spans="1:20" ht="15" customHeight="1" x14ac:dyDescent="0.2">
      <c r="A150" s="15" t="s">
        <v>423</v>
      </c>
      <c r="B150" s="60">
        <v>31895683</v>
      </c>
      <c r="C150" s="15" t="s">
        <v>424</v>
      </c>
      <c r="D150" s="15" t="s">
        <v>425</v>
      </c>
      <c r="E150" s="15" t="s">
        <v>426</v>
      </c>
      <c r="F150" s="15" t="s">
        <v>26</v>
      </c>
      <c r="G150" s="34">
        <v>2</v>
      </c>
      <c r="H150" s="34">
        <v>8</v>
      </c>
      <c r="I150" s="15" t="s">
        <v>38</v>
      </c>
      <c r="J150" s="15" t="s">
        <v>39</v>
      </c>
      <c r="K150" s="74" t="s">
        <v>29</v>
      </c>
      <c r="L150" s="16">
        <v>8063936</v>
      </c>
      <c r="M150" s="16">
        <v>5541831</v>
      </c>
      <c r="N150" s="16">
        <v>1074834</v>
      </c>
      <c r="O150" s="16">
        <v>7312160</v>
      </c>
      <c r="P150" s="16">
        <v>6216121</v>
      </c>
      <c r="Q150" s="16">
        <v>751776</v>
      </c>
      <c r="R150" s="16">
        <v>44746</v>
      </c>
      <c r="S150" s="16">
        <v>11</v>
      </c>
      <c r="T150" s="111">
        <v>0</v>
      </c>
    </row>
    <row r="151" spans="1:20" ht="15" customHeight="1" x14ac:dyDescent="0.2">
      <c r="A151" s="12" t="s">
        <v>427</v>
      </c>
      <c r="B151" s="56">
        <v>81607046</v>
      </c>
      <c r="C151" s="12"/>
      <c r="D151" s="12"/>
      <c r="E151" s="12"/>
      <c r="F151" s="12" t="s">
        <v>265</v>
      </c>
      <c r="G151" s="33">
        <v>2</v>
      </c>
      <c r="H151" s="33">
        <v>9</v>
      </c>
      <c r="I151" s="12" t="s">
        <v>428</v>
      </c>
      <c r="J151" s="12" t="s">
        <v>217</v>
      </c>
      <c r="K151" s="73" t="s">
        <v>29</v>
      </c>
      <c r="L151" s="13">
        <v>8012202</v>
      </c>
      <c r="M151" s="13">
        <v>4669445</v>
      </c>
      <c r="N151" s="13">
        <v>102063</v>
      </c>
      <c r="O151" s="13">
        <v>7136735</v>
      </c>
      <c r="P151" s="13">
        <v>5737237</v>
      </c>
      <c r="Q151" s="13">
        <v>875466</v>
      </c>
      <c r="R151" s="13">
        <v>90156</v>
      </c>
      <c r="S151" s="13">
        <v>0</v>
      </c>
      <c r="T151" s="81">
        <v>67</v>
      </c>
    </row>
    <row r="152" spans="1:20" ht="15" customHeight="1" x14ac:dyDescent="0.2">
      <c r="A152" s="15" t="s">
        <v>429</v>
      </c>
      <c r="B152" s="60">
        <v>30172491</v>
      </c>
      <c r="C152" s="15" t="s">
        <v>46</v>
      </c>
      <c r="D152" s="15" t="s">
        <v>47</v>
      </c>
      <c r="E152" s="15" t="s">
        <v>48</v>
      </c>
      <c r="F152" s="15" t="s">
        <v>60</v>
      </c>
      <c r="G152" s="34">
        <v>3</v>
      </c>
      <c r="H152" s="34">
        <v>8</v>
      </c>
      <c r="I152" s="15" t="s">
        <v>38</v>
      </c>
      <c r="J152" s="15" t="s">
        <v>39</v>
      </c>
      <c r="K152" s="74" t="s">
        <v>29</v>
      </c>
      <c r="L152" s="16">
        <v>7931312</v>
      </c>
      <c r="M152" s="16">
        <v>5280962</v>
      </c>
      <c r="N152" s="16">
        <v>2185139</v>
      </c>
      <c r="O152" s="16">
        <v>7046260</v>
      </c>
      <c r="P152" s="16">
        <v>6955519</v>
      </c>
      <c r="Q152" s="16">
        <v>885052</v>
      </c>
      <c r="R152" s="16">
        <v>97635</v>
      </c>
      <c r="S152" s="16">
        <v>2</v>
      </c>
      <c r="T152" s="111">
        <v>0</v>
      </c>
    </row>
    <row r="153" spans="1:20" ht="15" customHeight="1" x14ac:dyDescent="0.2">
      <c r="A153" s="12" t="s">
        <v>430</v>
      </c>
      <c r="B153" s="56">
        <v>3632872</v>
      </c>
      <c r="C153" s="12"/>
      <c r="D153" s="12"/>
      <c r="E153" s="12"/>
      <c r="F153" s="12" t="s">
        <v>265</v>
      </c>
      <c r="G153" s="33">
        <v>2</v>
      </c>
      <c r="H153" s="33">
        <v>9</v>
      </c>
      <c r="I153" s="12" t="s">
        <v>431</v>
      </c>
      <c r="J153" s="12" t="s">
        <v>432</v>
      </c>
      <c r="K153" s="73" t="s">
        <v>29</v>
      </c>
      <c r="L153" s="13">
        <v>7797398</v>
      </c>
      <c r="M153" s="13">
        <v>4894374</v>
      </c>
      <c r="N153" s="13">
        <v>128024</v>
      </c>
      <c r="O153" s="13">
        <v>6463112</v>
      </c>
      <c r="P153" s="13">
        <v>5469313</v>
      </c>
      <c r="Q153" s="13">
        <v>1334286</v>
      </c>
      <c r="R153" s="13">
        <v>102132</v>
      </c>
      <c r="S153" s="13">
        <v>0</v>
      </c>
      <c r="T153" s="81">
        <v>47</v>
      </c>
    </row>
    <row r="154" spans="1:20" ht="15" customHeight="1" x14ac:dyDescent="0.2">
      <c r="A154" s="15" t="s">
        <v>433</v>
      </c>
      <c r="B154" s="60">
        <v>815319</v>
      </c>
      <c r="C154" s="15"/>
      <c r="D154" s="15"/>
      <c r="E154" s="15"/>
      <c r="F154" s="15" t="s">
        <v>265</v>
      </c>
      <c r="G154" s="34">
        <v>2</v>
      </c>
      <c r="H154" s="34">
        <v>9</v>
      </c>
      <c r="I154" s="15" t="s">
        <v>434</v>
      </c>
      <c r="J154" s="15" t="s">
        <v>183</v>
      </c>
      <c r="K154" s="74" t="s">
        <v>29</v>
      </c>
      <c r="L154" s="16">
        <v>7709142</v>
      </c>
      <c r="M154" s="16">
        <v>4734025</v>
      </c>
      <c r="N154" s="16">
        <v>679880</v>
      </c>
      <c r="O154" s="16">
        <v>6376913</v>
      </c>
      <c r="P154" s="16">
        <v>5798229</v>
      </c>
      <c r="Q154" s="16">
        <v>1332229</v>
      </c>
      <c r="R154" s="16">
        <v>160941</v>
      </c>
      <c r="S154" s="16">
        <v>0</v>
      </c>
      <c r="T154" s="111">
        <v>43</v>
      </c>
    </row>
    <row r="155" spans="1:20" ht="15" customHeight="1" x14ac:dyDescent="0.2">
      <c r="A155" s="12" t="s">
        <v>435</v>
      </c>
      <c r="B155" s="56">
        <v>10398952</v>
      </c>
      <c r="C155" s="12"/>
      <c r="D155" s="12"/>
      <c r="E155" s="12"/>
      <c r="F155" s="12" t="s">
        <v>199</v>
      </c>
      <c r="G155" s="33">
        <v>2</v>
      </c>
      <c r="H155" s="33">
        <v>9</v>
      </c>
      <c r="I155" s="12" t="s">
        <v>278</v>
      </c>
      <c r="J155" s="12" t="s">
        <v>229</v>
      </c>
      <c r="K155" s="73" t="s">
        <v>29</v>
      </c>
      <c r="L155" s="13">
        <v>7667718</v>
      </c>
      <c r="M155" s="13">
        <v>0</v>
      </c>
      <c r="N155" s="13">
        <v>2296079</v>
      </c>
      <c r="O155" s="13">
        <v>7451784</v>
      </c>
      <c r="P155" s="13">
        <v>1109082</v>
      </c>
      <c r="Q155" s="13">
        <v>215934</v>
      </c>
      <c r="R155" s="13">
        <v>18575</v>
      </c>
      <c r="S155" s="13">
        <v>0</v>
      </c>
      <c r="T155" s="81">
        <v>0</v>
      </c>
    </row>
    <row r="156" spans="1:20" ht="15" customHeight="1" x14ac:dyDescent="0.2">
      <c r="A156" s="15" t="s">
        <v>436</v>
      </c>
      <c r="B156" s="60">
        <v>11285104</v>
      </c>
      <c r="C156" s="15" t="s">
        <v>437</v>
      </c>
      <c r="D156" s="15" t="s">
        <v>438</v>
      </c>
      <c r="E156" s="15" t="s">
        <v>439</v>
      </c>
      <c r="F156" s="15" t="s">
        <v>65</v>
      </c>
      <c r="G156" s="34">
        <v>2</v>
      </c>
      <c r="H156" s="34">
        <v>14</v>
      </c>
      <c r="I156" s="15" t="s">
        <v>38</v>
      </c>
      <c r="J156" s="15" t="s">
        <v>39</v>
      </c>
      <c r="K156" s="74" t="s">
        <v>29</v>
      </c>
      <c r="L156" s="16">
        <v>7627581</v>
      </c>
      <c r="M156" s="16">
        <v>4337620</v>
      </c>
      <c r="N156" s="16">
        <v>2352219</v>
      </c>
      <c r="O156" s="16">
        <v>6759606</v>
      </c>
      <c r="P156" s="16">
        <v>5860092</v>
      </c>
      <c r="Q156" s="16">
        <v>867975</v>
      </c>
      <c r="R156" s="16">
        <v>-20980</v>
      </c>
      <c r="S156" s="16">
        <v>2</v>
      </c>
      <c r="T156" s="111">
        <v>0</v>
      </c>
    </row>
    <row r="157" spans="1:20" ht="15" customHeight="1" x14ac:dyDescent="0.2">
      <c r="A157" s="12" t="s">
        <v>440</v>
      </c>
      <c r="B157" s="56">
        <v>60779196</v>
      </c>
      <c r="C157" s="12" t="s">
        <v>441</v>
      </c>
      <c r="D157" s="12" t="s">
        <v>442</v>
      </c>
      <c r="E157" s="12" t="s">
        <v>443</v>
      </c>
      <c r="F157" s="12" t="s">
        <v>65</v>
      </c>
      <c r="G157" s="33">
        <v>2</v>
      </c>
      <c r="H157" s="33">
        <v>14</v>
      </c>
      <c r="I157" s="12" t="s">
        <v>38</v>
      </c>
      <c r="J157" s="12" t="s">
        <v>39</v>
      </c>
      <c r="K157" s="73" t="s">
        <v>29</v>
      </c>
      <c r="L157" s="13">
        <v>7603079</v>
      </c>
      <c r="M157" s="13">
        <v>2665028</v>
      </c>
      <c r="N157" s="13">
        <v>1462521</v>
      </c>
      <c r="O157" s="13">
        <v>363229</v>
      </c>
      <c r="P157" s="13">
        <v>6384</v>
      </c>
      <c r="Q157" s="13">
        <v>7239850</v>
      </c>
      <c r="R157" s="13">
        <v>353723</v>
      </c>
      <c r="S157" s="13">
        <v>2</v>
      </c>
      <c r="T157" s="81">
        <v>0</v>
      </c>
    </row>
    <row r="158" spans="1:20" ht="15" customHeight="1" x14ac:dyDescent="0.2">
      <c r="A158" s="15" t="s">
        <v>444</v>
      </c>
      <c r="B158" s="60">
        <v>88038260</v>
      </c>
      <c r="C158" s="15"/>
      <c r="D158" s="15"/>
      <c r="E158" s="15"/>
      <c r="F158" s="15" t="s">
        <v>265</v>
      </c>
      <c r="G158" s="34">
        <v>2</v>
      </c>
      <c r="H158" s="34">
        <v>9</v>
      </c>
      <c r="I158" s="15" t="s">
        <v>445</v>
      </c>
      <c r="J158" s="15" t="s">
        <v>74</v>
      </c>
      <c r="K158" s="74" t="s">
        <v>29</v>
      </c>
      <c r="L158" s="16">
        <v>7597702</v>
      </c>
      <c r="M158" s="16">
        <v>5157460</v>
      </c>
      <c r="N158" s="16">
        <v>1957449</v>
      </c>
      <c r="O158" s="16">
        <v>6198618</v>
      </c>
      <c r="P158" s="16">
        <v>2722048</v>
      </c>
      <c r="Q158" s="16">
        <v>1399084</v>
      </c>
      <c r="R158" s="16">
        <v>64128</v>
      </c>
      <c r="S158" s="16">
        <v>0</v>
      </c>
      <c r="T158" s="111">
        <v>41</v>
      </c>
    </row>
    <row r="159" spans="1:20" ht="15" customHeight="1" x14ac:dyDescent="0.2">
      <c r="A159" s="12" t="s">
        <v>446</v>
      </c>
      <c r="B159" s="56">
        <v>61194353</v>
      </c>
      <c r="C159" s="12" t="s">
        <v>35</v>
      </c>
      <c r="D159" s="12" t="s">
        <v>36</v>
      </c>
      <c r="E159" s="12" t="s">
        <v>37</v>
      </c>
      <c r="F159" s="12" t="s">
        <v>98</v>
      </c>
      <c r="G159" s="33">
        <v>2</v>
      </c>
      <c r="H159" s="33">
        <v>15</v>
      </c>
      <c r="I159" s="12" t="s">
        <v>38</v>
      </c>
      <c r="J159" s="12" t="s">
        <v>39</v>
      </c>
      <c r="K159" s="73" t="s">
        <v>29</v>
      </c>
      <c r="L159" s="13">
        <v>7589747</v>
      </c>
      <c r="M159" s="13">
        <v>0</v>
      </c>
      <c r="N159" s="13">
        <v>814489</v>
      </c>
      <c r="O159" s="13">
        <v>4115185</v>
      </c>
      <c r="P159" s="13">
        <v>263379</v>
      </c>
      <c r="Q159" s="13">
        <v>3474562</v>
      </c>
      <c r="R159" s="13">
        <v>323909</v>
      </c>
      <c r="S159" s="13">
        <v>2</v>
      </c>
      <c r="T159" s="81">
        <v>0</v>
      </c>
    </row>
    <row r="160" spans="1:20" ht="15" customHeight="1" x14ac:dyDescent="0.2">
      <c r="A160" s="15" t="s">
        <v>447</v>
      </c>
      <c r="B160" s="60">
        <v>92228410</v>
      </c>
      <c r="C160" s="15" t="s">
        <v>448</v>
      </c>
      <c r="D160" s="15" t="s">
        <v>449</v>
      </c>
      <c r="E160" s="15" t="s">
        <v>450</v>
      </c>
      <c r="F160" s="15" t="s">
        <v>65</v>
      </c>
      <c r="G160" s="34">
        <v>2</v>
      </c>
      <c r="H160" s="34">
        <v>14</v>
      </c>
      <c r="I160" s="15" t="s">
        <v>38</v>
      </c>
      <c r="J160" s="15" t="s">
        <v>39</v>
      </c>
      <c r="K160" s="74" t="s">
        <v>29</v>
      </c>
      <c r="L160" s="16">
        <v>7484495</v>
      </c>
      <c r="M160" s="16">
        <v>4439278</v>
      </c>
      <c r="N160" s="16">
        <v>321356</v>
      </c>
      <c r="O160" s="16">
        <v>6562893</v>
      </c>
      <c r="P160" s="16">
        <v>6259932</v>
      </c>
      <c r="Q160" s="16">
        <v>921601</v>
      </c>
      <c r="R160" s="16">
        <v>3159</v>
      </c>
      <c r="S160" s="16">
        <v>2</v>
      </c>
      <c r="T160" s="111">
        <v>0</v>
      </c>
    </row>
    <row r="161" spans="1:20" ht="15" customHeight="1" x14ac:dyDescent="0.2">
      <c r="A161" s="12" t="s">
        <v>451</v>
      </c>
      <c r="B161" s="56">
        <v>3459850</v>
      </c>
      <c r="C161" s="12"/>
      <c r="D161" s="12"/>
      <c r="E161" s="12"/>
      <c r="F161" s="12" t="s">
        <v>265</v>
      </c>
      <c r="G161" s="33">
        <v>2</v>
      </c>
      <c r="H161" s="33">
        <v>9</v>
      </c>
      <c r="I161" s="12" t="s">
        <v>305</v>
      </c>
      <c r="J161" s="12" t="s">
        <v>229</v>
      </c>
      <c r="K161" s="73" t="s">
        <v>29</v>
      </c>
      <c r="L161" s="13">
        <v>7450455</v>
      </c>
      <c r="M161" s="13">
        <v>3941264</v>
      </c>
      <c r="N161" s="13">
        <v>95370</v>
      </c>
      <c r="O161" s="13">
        <v>6614889</v>
      </c>
      <c r="P161" s="13">
        <v>5712286</v>
      </c>
      <c r="Q161" s="13">
        <v>835565</v>
      </c>
      <c r="R161" s="13">
        <v>73225</v>
      </c>
      <c r="S161" s="13">
        <v>0</v>
      </c>
      <c r="T161" s="81">
        <v>91</v>
      </c>
    </row>
    <row r="162" spans="1:20" ht="15" customHeight="1" x14ac:dyDescent="0.2">
      <c r="A162" s="15" t="s">
        <v>452</v>
      </c>
      <c r="B162" s="60">
        <v>21198087</v>
      </c>
      <c r="C162" s="15"/>
      <c r="D162" s="15"/>
      <c r="E162" s="15"/>
      <c r="F162" s="15" t="s">
        <v>199</v>
      </c>
      <c r="G162" s="34">
        <v>2</v>
      </c>
      <c r="H162" s="34">
        <v>9</v>
      </c>
      <c r="I162" s="15" t="s">
        <v>453</v>
      </c>
      <c r="J162" s="15" t="s">
        <v>74</v>
      </c>
      <c r="K162" s="74" t="s">
        <v>29</v>
      </c>
      <c r="L162" s="16">
        <v>7344967</v>
      </c>
      <c r="M162" s="16">
        <v>70447</v>
      </c>
      <c r="N162" s="16">
        <v>1442519</v>
      </c>
      <c r="O162" s="16">
        <v>7030518</v>
      </c>
      <c r="P162" s="16">
        <v>3969962</v>
      </c>
      <c r="Q162" s="16">
        <v>314449</v>
      </c>
      <c r="R162" s="16">
        <v>9645</v>
      </c>
      <c r="S162" s="16">
        <v>0</v>
      </c>
      <c r="T162" s="111">
        <v>0</v>
      </c>
    </row>
    <row r="163" spans="1:20" ht="15" customHeight="1" x14ac:dyDescent="0.2">
      <c r="A163" s="12" t="s">
        <v>454</v>
      </c>
      <c r="B163" s="56">
        <v>10866788</v>
      </c>
      <c r="C163" s="12" t="s">
        <v>46</v>
      </c>
      <c r="D163" s="12" t="s">
        <v>47</v>
      </c>
      <c r="E163" s="12" t="s">
        <v>48</v>
      </c>
      <c r="F163" s="12" t="s">
        <v>26</v>
      </c>
      <c r="G163" s="33">
        <v>3</v>
      </c>
      <c r="H163" s="33">
        <v>8</v>
      </c>
      <c r="I163" s="12" t="s">
        <v>38</v>
      </c>
      <c r="J163" s="12" t="s">
        <v>39</v>
      </c>
      <c r="K163" s="73" t="s">
        <v>29</v>
      </c>
      <c r="L163" s="13">
        <v>7244739</v>
      </c>
      <c r="M163" s="13">
        <v>0</v>
      </c>
      <c r="N163" s="13">
        <v>5949901</v>
      </c>
      <c r="O163" s="13">
        <v>1153915</v>
      </c>
      <c r="P163" s="13">
        <v>839432</v>
      </c>
      <c r="Q163" s="13">
        <v>6090824</v>
      </c>
      <c r="R163" s="13">
        <v>251848</v>
      </c>
      <c r="S163" s="13">
        <v>2</v>
      </c>
      <c r="T163" s="81">
        <v>0</v>
      </c>
    </row>
    <row r="164" spans="1:20" ht="15" customHeight="1" x14ac:dyDescent="0.2">
      <c r="A164" s="15" t="s">
        <v>455</v>
      </c>
      <c r="B164" s="60">
        <v>33868597</v>
      </c>
      <c r="C164" s="15" t="s">
        <v>90</v>
      </c>
      <c r="D164" s="15" t="s">
        <v>91</v>
      </c>
      <c r="E164" s="15" t="s">
        <v>92</v>
      </c>
      <c r="F164" s="15" t="s">
        <v>98</v>
      </c>
      <c r="G164" s="34">
        <v>3</v>
      </c>
      <c r="H164" s="34">
        <v>16</v>
      </c>
      <c r="I164" s="15" t="s">
        <v>38</v>
      </c>
      <c r="J164" s="15" t="s">
        <v>39</v>
      </c>
      <c r="K164" s="74" t="s">
        <v>29</v>
      </c>
      <c r="L164" s="16">
        <v>7217748</v>
      </c>
      <c r="M164" s="16">
        <v>0</v>
      </c>
      <c r="N164" s="16">
        <v>173617</v>
      </c>
      <c r="O164" s="16">
        <v>6957037</v>
      </c>
      <c r="P164" s="16">
        <v>5707320</v>
      </c>
      <c r="Q164" s="16">
        <v>260712</v>
      </c>
      <c r="R164" s="16">
        <v>165034</v>
      </c>
      <c r="S164" s="16">
        <v>2</v>
      </c>
      <c r="T164" s="111">
        <v>0</v>
      </c>
    </row>
    <row r="165" spans="1:20" ht="15" customHeight="1" x14ac:dyDescent="0.2">
      <c r="A165" s="12" t="s">
        <v>456</v>
      </c>
      <c r="B165" s="56">
        <v>3502131</v>
      </c>
      <c r="C165" s="12"/>
      <c r="D165" s="12"/>
      <c r="E165" s="12"/>
      <c r="F165" s="12" t="s">
        <v>199</v>
      </c>
      <c r="G165" s="33">
        <v>2</v>
      </c>
      <c r="H165" s="33">
        <v>9</v>
      </c>
      <c r="I165" s="12" t="s">
        <v>457</v>
      </c>
      <c r="J165" s="12" t="s">
        <v>432</v>
      </c>
      <c r="K165" s="73" t="s">
        <v>29</v>
      </c>
      <c r="L165" s="13">
        <v>7156587</v>
      </c>
      <c r="M165" s="13">
        <v>0</v>
      </c>
      <c r="N165" s="13">
        <v>1530024</v>
      </c>
      <c r="O165" s="13">
        <v>6765041</v>
      </c>
      <c r="P165" s="13">
        <v>19788</v>
      </c>
      <c r="Q165" s="13">
        <v>391545</v>
      </c>
      <c r="R165" s="13">
        <v>31485</v>
      </c>
      <c r="S165" s="13">
        <v>0</v>
      </c>
      <c r="T165" s="81">
        <v>0</v>
      </c>
    </row>
    <row r="166" spans="1:20" ht="15" customHeight="1" x14ac:dyDescent="0.2">
      <c r="A166" s="15" t="s">
        <v>458</v>
      </c>
      <c r="B166" s="60">
        <v>4962772</v>
      </c>
      <c r="C166" s="15" t="s">
        <v>459</v>
      </c>
      <c r="D166" s="15"/>
      <c r="E166" s="15" t="s">
        <v>460</v>
      </c>
      <c r="F166" s="15" t="s">
        <v>84</v>
      </c>
      <c r="G166" s="34">
        <v>3</v>
      </c>
      <c r="H166" s="34">
        <v>41</v>
      </c>
      <c r="I166" s="15" t="s">
        <v>38</v>
      </c>
      <c r="J166" s="15" t="s">
        <v>39</v>
      </c>
      <c r="K166" s="74" t="s">
        <v>29</v>
      </c>
      <c r="L166" s="16">
        <v>7128230</v>
      </c>
      <c r="M166" s="16">
        <v>0</v>
      </c>
      <c r="N166" s="16">
        <v>57602</v>
      </c>
      <c r="O166" s="16">
        <v>5428185</v>
      </c>
      <c r="P166" s="16">
        <v>1436051</v>
      </c>
      <c r="Q166" s="16">
        <v>1700046</v>
      </c>
      <c r="R166" s="16">
        <v>7241</v>
      </c>
      <c r="S166" s="16">
        <v>1</v>
      </c>
      <c r="T166" s="111">
        <v>0</v>
      </c>
    </row>
    <row r="167" spans="1:20" ht="15" customHeight="1" x14ac:dyDescent="0.2">
      <c r="A167" s="12" t="s">
        <v>461</v>
      </c>
      <c r="B167" s="56">
        <v>89126130</v>
      </c>
      <c r="C167" s="12"/>
      <c r="D167" s="12"/>
      <c r="E167" s="12"/>
      <c r="F167" s="12" t="s">
        <v>265</v>
      </c>
      <c r="G167" s="33">
        <v>2</v>
      </c>
      <c r="H167" s="33">
        <v>9</v>
      </c>
      <c r="I167" s="12" t="s">
        <v>462</v>
      </c>
      <c r="J167" s="12" t="s">
        <v>74</v>
      </c>
      <c r="K167" s="73" t="s">
        <v>29</v>
      </c>
      <c r="L167" s="13">
        <v>7090260</v>
      </c>
      <c r="M167" s="13">
        <v>1795225</v>
      </c>
      <c r="N167" s="13">
        <v>4733686</v>
      </c>
      <c r="O167" s="13">
        <v>5601399</v>
      </c>
      <c r="P167" s="13">
        <v>4982889</v>
      </c>
      <c r="Q167" s="13">
        <v>1488860</v>
      </c>
      <c r="R167" s="13">
        <v>137717</v>
      </c>
      <c r="S167" s="13">
        <v>0</v>
      </c>
      <c r="T167" s="81">
        <v>21</v>
      </c>
    </row>
    <row r="168" spans="1:20" ht="15" customHeight="1" x14ac:dyDescent="0.2">
      <c r="A168" s="15" t="s">
        <v>463</v>
      </c>
      <c r="B168" s="60">
        <v>34111187</v>
      </c>
      <c r="C168" s="15" t="s">
        <v>464</v>
      </c>
      <c r="D168" s="15" t="s">
        <v>465</v>
      </c>
      <c r="E168" s="15" t="s">
        <v>466</v>
      </c>
      <c r="F168" s="15" t="s">
        <v>60</v>
      </c>
      <c r="G168" s="34">
        <v>3</v>
      </c>
      <c r="H168" s="34">
        <v>13</v>
      </c>
      <c r="I168" s="15" t="s">
        <v>38</v>
      </c>
      <c r="J168" s="15" t="s">
        <v>39</v>
      </c>
      <c r="K168" s="74" t="s">
        <v>29</v>
      </c>
      <c r="L168" s="16">
        <v>6955488</v>
      </c>
      <c r="M168" s="16">
        <v>206228</v>
      </c>
      <c r="N168" s="16">
        <v>5715858</v>
      </c>
      <c r="O168" s="16">
        <v>6438446</v>
      </c>
      <c r="P168" s="16">
        <v>6301417</v>
      </c>
      <c r="Q168" s="16">
        <v>517042</v>
      </c>
      <c r="R168" s="16">
        <v>-20340</v>
      </c>
      <c r="S168" s="16">
        <v>2</v>
      </c>
      <c r="T168" s="111">
        <v>0</v>
      </c>
    </row>
    <row r="169" spans="1:20" ht="15" customHeight="1" x14ac:dyDescent="0.2">
      <c r="A169" s="12" t="s">
        <v>467</v>
      </c>
      <c r="B169" s="56">
        <v>87795639</v>
      </c>
      <c r="C169" s="12"/>
      <c r="D169" s="12"/>
      <c r="E169" s="12"/>
      <c r="F169" s="12" t="s">
        <v>265</v>
      </c>
      <c r="G169" s="33">
        <v>2</v>
      </c>
      <c r="H169" s="33">
        <v>9</v>
      </c>
      <c r="I169" s="12" t="s">
        <v>468</v>
      </c>
      <c r="J169" s="12" t="s">
        <v>74</v>
      </c>
      <c r="K169" s="73" t="s">
        <v>29</v>
      </c>
      <c r="L169" s="13">
        <v>6738109</v>
      </c>
      <c r="M169" s="13">
        <v>3381902</v>
      </c>
      <c r="N169" s="13">
        <v>2653159</v>
      </c>
      <c r="O169" s="13">
        <v>6036798</v>
      </c>
      <c r="P169" s="13">
        <v>4330744</v>
      </c>
      <c r="Q169" s="13">
        <v>701311</v>
      </c>
      <c r="R169" s="13">
        <v>63169</v>
      </c>
      <c r="S169" s="13">
        <v>0</v>
      </c>
      <c r="T169" s="81">
        <v>64</v>
      </c>
    </row>
    <row r="170" spans="1:20" ht="15" customHeight="1" x14ac:dyDescent="0.2">
      <c r="A170" s="15" t="s">
        <v>469</v>
      </c>
      <c r="B170" s="60">
        <v>52067630</v>
      </c>
      <c r="C170" s="15" t="s">
        <v>470</v>
      </c>
      <c r="D170" s="15"/>
      <c r="E170" s="15" t="s">
        <v>471</v>
      </c>
      <c r="F170" s="15" t="s">
        <v>60</v>
      </c>
      <c r="G170" s="34">
        <v>3</v>
      </c>
      <c r="H170" s="34">
        <v>8</v>
      </c>
      <c r="I170" s="15" t="s">
        <v>38</v>
      </c>
      <c r="J170" s="15" t="s">
        <v>39</v>
      </c>
      <c r="K170" s="74" t="s">
        <v>29</v>
      </c>
      <c r="L170" s="16">
        <v>6728365</v>
      </c>
      <c r="M170" s="16">
        <v>5045598</v>
      </c>
      <c r="N170" s="16">
        <v>300929</v>
      </c>
      <c r="O170" s="16">
        <v>5269499</v>
      </c>
      <c r="P170" s="16">
        <v>5249290</v>
      </c>
      <c r="Q170" s="16">
        <v>1458866</v>
      </c>
      <c r="R170" s="16">
        <v>27428</v>
      </c>
      <c r="S170" s="16">
        <v>2</v>
      </c>
      <c r="T170" s="111">
        <v>0</v>
      </c>
    </row>
    <row r="171" spans="1:20" ht="15" customHeight="1" x14ac:dyDescent="0.2">
      <c r="A171" s="12" t="s">
        <v>472</v>
      </c>
      <c r="B171" s="56">
        <v>37442605</v>
      </c>
      <c r="C171" s="12"/>
      <c r="D171" s="12"/>
      <c r="E171" s="12"/>
      <c r="F171" s="12" t="s">
        <v>265</v>
      </c>
      <c r="G171" s="33">
        <v>2</v>
      </c>
      <c r="H171" s="33">
        <v>9</v>
      </c>
      <c r="I171" s="12" t="s">
        <v>473</v>
      </c>
      <c r="J171" s="12" t="s">
        <v>329</v>
      </c>
      <c r="K171" s="73" t="s">
        <v>29</v>
      </c>
      <c r="L171" s="13">
        <v>6709540</v>
      </c>
      <c r="M171" s="13">
        <v>3134146</v>
      </c>
      <c r="N171" s="13">
        <v>2625446</v>
      </c>
      <c r="O171" s="13">
        <v>5797217</v>
      </c>
      <c r="P171" s="13">
        <v>4132297</v>
      </c>
      <c r="Q171" s="13">
        <v>912323</v>
      </c>
      <c r="R171" s="13">
        <v>27824</v>
      </c>
      <c r="S171" s="13">
        <v>0</v>
      </c>
      <c r="T171" s="81">
        <v>52</v>
      </c>
    </row>
    <row r="172" spans="1:20" ht="15" customHeight="1" x14ac:dyDescent="0.2">
      <c r="A172" s="15" t="s">
        <v>474</v>
      </c>
      <c r="B172" s="60">
        <v>3320525</v>
      </c>
      <c r="C172" s="15"/>
      <c r="D172" s="15"/>
      <c r="E172" s="15"/>
      <c r="F172" s="15" t="s">
        <v>265</v>
      </c>
      <c r="G172" s="34">
        <v>2</v>
      </c>
      <c r="H172" s="34">
        <v>9</v>
      </c>
      <c r="I172" s="15" t="s">
        <v>475</v>
      </c>
      <c r="J172" s="15" t="s">
        <v>120</v>
      </c>
      <c r="K172" s="74" t="s">
        <v>29</v>
      </c>
      <c r="L172" s="16">
        <v>6440975</v>
      </c>
      <c r="M172" s="16">
        <v>4276888</v>
      </c>
      <c r="N172" s="16">
        <v>101468</v>
      </c>
      <c r="O172" s="16">
        <v>5742632</v>
      </c>
      <c r="P172" s="16">
        <v>4257310</v>
      </c>
      <c r="Q172" s="16">
        <v>698343</v>
      </c>
      <c r="R172" s="16">
        <v>-58960</v>
      </c>
      <c r="S172" s="16">
        <v>0</v>
      </c>
      <c r="T172" s="111">
        <v>37</v>
      </c>
    </row>
    <row r="173" spans="1:20" ht="15" customHeight="1" x14ac:dyDescent="0.2">
      <c r="A173" s="12" t="s">
        <v>476</v>
      </c>
      <c r="B173" s="56">
        <v>79052122</v>
      </c>
      <c r="C173" s="12"/>
      <c r="D173" s="12"/>
      <c r="E173" s="12"/>
      <c r="F173" s="12" t="s">
        <v>265</v>
      </c>
      <c r="G173" s="33">
        <v>2</v>
      </c>
      <c r="H173" s="33">
        <v>9</v>
      </c>
      <c r="I173" s="12" t="s">
        <v>477</v>
      </c>
      <c r="J173" s="12" t="s">
        <v>229</v>
      </c>
      <c r="K173" s="73" t="s">
        <v>29</v>
      </c>
      <c r="L173" s="13">
        <v>6153198</v>
      </c>
      <c r="M173" s="13">
        <v>4146753</v>
      </c>
      <c r="N173" s="13">
        <v>1513457</v>
      </c>
      <c r="O173" s="13">
        <v>5607802</v>
      </c>
      <c r="P173" s="13">
        <v>3684186</v>
      </c>
      <c r="Q173" s="13">
        <v>545396</v>
      </c>
      <c r="R173" s="13">
        <v>6265</v>
      </c>
      <c r="S173" s="13">
        <v>0</v>
      </c>
      <c r="T173" s="81">
        <v>38</v>
      </c>
    </row>
    <row r="174" spans="1:20" ht="15" customHeight="1" x14ac:dyDescent="0.2">
      <c r="A174" s="15" t="s">
        <v>478</v>
      </c>
      <c r="B174" s="60">
        <v>32467086</v>
      </c>
      <c r="C174" s="15"/>
      <c r="D174" s="15"/>
      <c r="E174" s="15"/>
      <c r="F174" s="15" t="s">
        <v>265</v>
      </c>
      <c r="G174" s="34">
        <v>2</v>
      </c>
      <c r="H174" s="34">
        <v>9</v>
      </c>
      <c r="I174" s="15" t="s">
        <v>479</v>
      </c>
      <c r="J174" s="15" t="s">
        <v>183</v>
      </c>
      <c r="K174" s="74" t="s">
        <v>29</v>
      </c>
      <c r="L174" s="16">
        <v>6150462</v>
      </c>
      <c r="M174" s="16">
        <v>2426734</v>
      </c>
      <c r="N174" s="16">
        <v>580660</v>
      </c>
      <c r="O174" s="16">
        <v>5062692</v>
      </c>
      <c r="P174" s="16">
        <v>4713804</v>
      </c>
      <c r="Q174" s="16">
        <v>1087770</v>
      </c>
      <c r="R174" s="16">
        <v>126692</v>
      </c>
      <c r="S174" s="16">
        <v>0</v>
      </c>
      <c r="T174" s="111">
        <v>42</v>
      </c>
    </row>
    <row r="175" spans="1:20" ht="15" customHeight="1" x14ac:dyDescent="0.2">
      <c r="A175" s="12" t="s">
        <v>480</v>
      </c>
      <c r="B175" s="56">
        <v>27351731</v>
      </c>
      <c r="C175" s="12" t="s">
        <v>481</v>
      </c>
      <c r="D175" s="12"/>
      <c r="E175" s="12" t="s">
        <v>482</v>
      </c>
      <c r="F175" s="12" t="s">
        <v>65</v>
      </c>
      <c r="G175" s="33">
        <v>3</v>
      </c>
      <c r="H175" s="33">
        <v>14</v>
      </c>
      <c r="I175" s="12" t="s">
        <v>73</v>
      </c>
      <c r="J175" s="12" t="s">
        <v>74</v>
      </c>
      <c r="K175" s="73" t="s">
        <v>29</v>
      </c>
      <c r="L175" s="13">
        <v>6127059</v>
      </c>
      <c r="M175" s="13">
        <v>5052520</v>
      </c>
      <c r="N175" s="13">
        <v>358837</v>
      </c>
      <c r="O175" s="13">
        <v>5114215</v>
      </c>
      <c r="P175" s="13">
        <v>1401791</v>
      </c>
      <c r="Q175" s="13">
        <v>1012844</v>
      </c>
      <c r="R175" s="13">
        <v>87801</v>
      </c>
      <c r="S175" s="13">
        <v>2</v>
      </c>
      <c r="T175" s="81">
        <v>0</v>
      </c>
    </row>
    <row r="176" spans="1:20" ht="15" customHeight="1" x14ac:dyDescent="0.2">
      <c r="A176" s="15" t="s">
        <v>483</v>
      </c>
      <c r="B176" s="60">
        <v>87733770</v>
      </c>
      <c r="C176" s="15"/>
      <c r="D176" s="15"/>
      <c r="E176" s="15"/>
      <c r="F176" s="15" t="s">
        <v>265</v>
      </c>
      <c r="G176" s="34">
        <v>2</v>
      </c>
      <c r="H176" s="34">
        <v>9</v>
      </c>
      <c r="I176" s="15" t="s">
        <v>484</v>
      </c>
      <c r="J176" s="15" t="s">
        <v>74</v>
      </c>
      <c r="K176" s="74" t="s">
        <v>29</v>
      </c>
      <c r="L176" s="16">
        <v>6025512</v>
      </c>
      <c r="M176" s="16">
        <v>3904119</v>
      </c>
      <c r="N176" s="16">
        <v>1766625</v>
      </c>
      <c r="O176" s="16">
        <v>5245617</v>
      </c>
      <c r="P176" s="16">
        <v>3895892</v>
      </c>
      <c r="Q176" s="16">
        <v>779896</v>
      </c>
      <c r="R176" s="16">
        <v>43690</v>
      </c>
      <c r="S176" s="16">
        <v>0</v>
      </c>
      <c r="T176" s="111">
        <v>65</v>
      </c>
    </row>
    <row r="177" spans="1:20" ht="15" customHeight="1" x14ac:dyDescent="0.2">
      <c r="A177" s="12" t="s">
        <v>485</v>
      </c>
      <c r="B177" s="56">
        <v>2015588</v>
      </c>
      <c r="C177" s="12"/>
      <c r="D177" s="12"/>
      <c r="E177" s="12"/>
      <c r="F177" s="12" t="s">
        <v>265</v>
      </c>
      <c r="G177" s="33">
        <v>2</v>
      </c>
      <c r="H177" s="33">
        <v>9</v>
      </c>
      <c r="I177" s="12" t="s">
        <v>486</v>
      </c>
      <c r="J177" s="12" t="s">
        <v>432</v>
      </c>
      <c r="K177" s="73" t="s">
        <v>29</v>
      </c>
      <c r="L177" s="13">
        <v>5947631</v>
      </c>
      <c r="M177" s="13">
        <v>2715140</v>
      </c>
      <c r="N177" s="13">
        <v>122142</v>
      </c>
      <c r="O177" s="13">
        <v>5082570</v>
      </c>
      <c r="P177" s="13">
        <v>4215916</v>
      </c>
      <c r="Q177" s="13">
        <v>865061</v>
      </c>
      <c r="R177" s="13">
        <v>84355</v>
      </c>
      <c r="S177" s="13">
        <v>0</v>
      </c>
      <c r="T177" s="81">
        <v>48</v>
      </c>
    </row>
    <row r="178" spans="1:20" ht="15" customHeight="1" x14ac:dyDescent="0.2">
      <c r="A178" s="15" t="s">
        <v>487</v>
      </c>
      <c r="B178" s="60">
        <v>9464032</v>
      </c>
      <c r="C178" s="15" t="s">
        <v>488</v>
      </c>
      <c r="D178" s="15"/>
      <c r="E178" s="15" t="s">
        <v>489</v>
      </c>
      <c r="F178" s="15" t="s">
        <v>65</v>
      </c>
      <c r="G178" s="34">
        <v>2</v>
      </c>
      <c r="H178" s="34">
        <v>14</v>
      </c>
      <c r="I178" s="15" t="s">
        <v>38</v>
      </c>
      <c r="J178" s="15" t="s">
        <v>39</v>
      </c>
      <c r="K178" s="74" t="s">
        <v>29</v>
      </c>
      <c r="L178" s="16">
        <v>5910371</v>
      </c>
      <c r="M178" s="16">
        <v>4911404</v>
      </c>
      <c r="N178" s="16">
        <v>142443</v>
      </c>
      <c r="O178" s="16">
        <v>4604461</v>
      </c>
      <c r="P178" s="16">
        <v>955770</v>
      </c>
      <c r="Q178" s="16">
        <v>1305911</v>
      </c>
      <c r="R178" s="16">
        <v>53482</v>
      </c>
      <c r="S178" s="16">
        <v>2</v>
      </c>
      <c r="T178" s="111">
        <v>0</v>
      </c>
    </row>
    <row r="179" spans="1:20" ht="15" customHeight="1" x14ac:dyDescent="0.2">
      <c r="A179" s="12" t="s">
        <v>490</v>
      </c>
      <c r="B179" s="56">
        <v>2658435</v>
      </c>
      <c r="C179" s="12" t="s">
        <v>491</v>
      </c>
      <c r="D179" s="12"/>
      <c r="E179" s="12" t="s">
        <v>492</v>
      </c>
      <c r="F179" s="12" t="s">
        <v>60</v>
      </c>
      <c r="G179" s="33">
        <v>3</v>
      </c>
      <c r="H179" s="33">
        <v>8</v>
      </c>
      <c r="I179" s="12" t="s">
        <v>38</v>
      </c>
      <c r="J179" s="12" t="s">
        <v>39</v>
      </c>
      <c r="K179" s="73" t="s">
        <v>29</v>
      </c>
      <c r="L179" s="13">
        <v>5908741</v>
      </c>
      <c r="M179" s="13">
        <v>5699352</v>
      </c>
      <c r="N179" s="13">
        <v>0</v>
      </c>
      <c r="O179" s="13">
        <v>4565835</v>
      </c>
      <c r="P179" s="13">
        <v>4284526</v>
      </c>
      <c r="Q179" s="13">
        <v>1342907</v>
      </c>
      <c r="R179" s="13">
        <v>21772</v>
      </c>
      <c r="S179" s="13">
        <v>2</v>
      </c>
      <c r="T179" s="81">
        <v>0</v>
      </c>
    </row>
    <row r="180" spans="1:20" ht="15" customHeight="1" x14ac:dyDescent="0.2">
      <c r="A180" s="15" t="s">
        <v>493</v>
      </c>
      <c r="B180" s="60">
        <v>78834975</v>
      </c>
      <c r="C180" s="15"/>
      <c r="D180" s="15"/>
      <c r="E180" s="15"/>
      <c r="F180" s="15" t="s">
        <v>265</v>
      </c>
      <c r="G180" s="34">
        <v>2</v>
      </c>
      <c r="H180" s="34">
        <v>9</v>
      </c>
      <c r="I180" s="15" t="s">
        <v>494</v>
      </c>
      <c r="J180" s="15" t="s">
        <v>217</v>
      </c>
      <c r="K180" s="74" t="s">
        <v>29</v>
      </c>
      <c r="L180" s="16">
        <v>5864997</v>
      </c>
      <c r="M180" s="16">
        <v>3484517</v>
      </c>
      <c r="N180" s="16">
        <v>93410</v>
      </c>
      <c r="O180" s="16">
        <v>5176305</v>
      </c>
      <c r="P180" s="16">
        <v>4200019</v>
      </c>
      <c r="Q180" s="16">
        <v>688692</v>
      </c>
      <c r="R180" s="16">
        <v>96744</v>
      </c>
      <c r="S180" s="16">
        <v>0</v>
      </c>
      <c r="T180" s="111">
        <v>43</v>
      </c>
    </row>
    <row r="181" spans="1:20" ht="15" customHeight="1" x14ac:dyDescent="0.2">
      <c r="A181" s="12" t="s">
        <v>495</v>
      </c>
      <c r="B181" s="56">
        <v>92934215</v>
      </c>
      <c r="C181" s="12" t="s">
        <v>86</v>
      </c>
      <c r="D181" s="12"/>
      <c r="E181" s="12" t="s">
        <v>88</v>
      </c>
      <c r="F181" s="12" t="s">
        <v>84</v>
      </c>
      <c r="G181" s="33">
        <v>1</v>
      </c>
      <c r="H181" s="33">
        <v>41</v>
      </c>
      <c r="I181" s="12" t="s">
        <v>73</v>
      </c>
      <c r="J181" s="12" t="s">
        <v>74</v>
      </c>
      <c r="K181" s="73" t="s">
        <v>29</v>
      </c>
      <c r="L181" s="13">
        <v>5840339</v>
      </c>
      <c r="M181" s="13">
        <v>13422</v>
      </c>
      <c r="N181" s="13">
        <v>2078296</v>
      </c>
      <c r="O181" s="13">
        <v>2843018</v>
      </c>
      <c r="P181" s="13">
        <v>446078</v>
      </c>
      <c r="Q181" s="13">
        <v>2997321</v>
      </c>
      <c r="R181" s="13">
        <v>234895</v>
      </c>
      <c r="S181" s="13">
        <v>1</v>
      </c>
      <c r="T181" s="81">
        <v>0</v>
      </c>
    </row>
    <row r="182" spans="1:20" ht="15" customHeight="1" x14ac:dyDescent="0.2">
      <c r="A182" s="15" t="s">
        <v>496</v>
      </c>
      <c r="B182" s="60">
        <v>7202627</v>
      </c>
      <c r="C182" s="15"/>
      <c r="D182" s="15"/>
      <c r="E182" s="15"/>
      <c r="F182" s="15" t="s">
        <v>199</v>
      </c>
      <c r="G182" s="34">
        <v>2</v>
      </c>
      <c r="H182" s="34">
        <v>9</v>
      </c>
      <c r="I182" s="15" t="s">
        <v>369</v>
      </c>
      <c r="J182" s="15" t="s">
        <v>217</v>
      </c>
      <c r="K182" s="74" t="s">
        <v>29</v>
      </c>
      <c r="L182" s="16">
        <v>5757818</v>
      </c>
      <c r="M182" s="16">
        <v>117078</v>
      </c>
      <c r="N182" s="16">
        <v>1739421</v>
      </c>
      <c r="O182" s="16">
        <v>5373679</v>
      </c>
      <c r="P182" s="16">
        <v>2897611</v>
      </c>
      <c r="Q182" s="16">
        <v>384138</v>
      </c>
      <c r="R182" s="16">
        <v>6703</v>
      </c>
      <c r="S182" s="16">
        <v>0</v>
      </c>
      <c r="T182" s="111">
        <v>0</v>
      </c>
    </row>
    <row r="183" spans="1:20" ht="15" customHeight="1" x14ac:dyDescent="0.2">
      <c r="A183" s="12" t="s">
        <v>497</v>
      </c>
      <c r="B183" s="56">
        <v>10348181</v>
      </c>
      <c r="C183" s="12"/>
      <c r="D183" s="12"/>
      <c r="E183" s="12"/>
      <c r="F183" s="12" t="s">
        <v>265</v>
      </c>
      <c r="G183" s="33">
        <v>2</v>
      </c>
      <c r="H183" s="33">
        <v>9</v>
      </c>
      <c r="I183" s="12" t="s">
        <v>498</v>
      </c>
      <c r="J183" s="12" t="s">
        <v>217</v>
      </c>
      <c r="K183" s="73" t="s">
        <v>29</v>
      </c>
      <c r="L183" s="13">
        <v>5719662</v>
      </c>
      <c r="M183" s="13">
        <v>3339910</v>
      </c>
      <c r="N183" s="13">
        <v>1938620</v>
      </c>
      <c r="O183" s="13">
        <v>4949213</v>
      </c>
      <c r="P183" s="13">
        <v>4208550</v>
      </c>
      <c r="Q183" s="13">
        <v>770449</v>
      </c>
      <c r="R183" s="13">
        <v>97940</v>
      </c>
      <c r="S183" s="13">
        <v>0</v>
      </c>
      <c r="T183" s="81">
        <v>42</v>
      </c>
    </row>
    <row r="184" spans="1:20" ht="15" customHeight="1" x14ac:dyDescent="0.2">
      <c r="A184" s="15" t="s">
        <v>499</v>
      </c>
      <c r="B184" s="60">
        <v>20855875</v>
      </c>
      <c r="C184" s="15" t="s">
        <v>437</v>
      </c>
      <c r="D184" s="15"/>
      <c r="E184" s="15" t="s">
        <v>439</v>
      </c>
      <c r="F184" s="15" t="s">
        <v>84</v>
      </c>
      <c r="G184" s="34">
        <v>2</v>
      </c>
      <c r="H184" s="34">
        <v>41</v>
      </c>
      <c r="I184" s="15" t="s">
        <v>38</v>
      </c>
      <c r="J184" s="15" t="s">
        <v>39</v>
      </c>
      <c r="K184" s="74" t="s">
        <v>29</v>
      </c>
      <c r="L184" s="16">
        <v>5693593</v>
      </c>
      <c r="M184" s="16">
        <v>2749466</v>
      </c>
      <c r="N184" s="16">
        <v>285902</v>
      </c>
      <c r="O184" s="16">
        <v>5209013</v>
      </c>
      <c r="P184" s="16">
        <v>1424737</v>
      </c>
      <c r="Q184" s="16">
        <v>484580</v>
      </c>
      <c r="R184" s="16">
        <v>62997</v>
      </c>
      <c r="S184" s="16">
        <v>1</v>
      </c>
      <c r="T184" s="111">
        <v>0</v>
      </c>
    </row>
    <row r="185" spans="1:20" ht="15" customHeight="1" x14ac:dyDescent="0.2">
      <c r="A185" s="12" t="s">
        <v>500</v>
      </c>
      <c r="B185" s="56">
        <v>24933830</v>
      </c>
      <c r="C185" s="12" t="s">
        <v>23</v>
      </c>
      <c r="D185" s="12" t="s">
        <v>24</v>
      </c>
      <c r="E185" s="12" t="s">
        <v>25</v>
      </c>
      <c r="F185" s="12" t="s">
        <v>60</v>
      </c>
      <c r="G185" s="33">
        <v>1</v>
      </c>
      <c r="H185" s="33">
        <v>13</v>
      </c>
      <c r="I185" s="12" t="s">
        <v>27</v>
      </c>
      <c r="J185" s="12" t="s">
        <v>28</v>
      </c>
      <c r="K185" s="73" t="s">
        <v>29</v>
      </c>
      <c r="L185" s="13">
        <v>5676680</v>
      </c>
      <c r="M185" s="13">
        <v>0</v>
      </c>
      <c r="N185" s="13">
        <v>3106732</v>
      </c>
      <c r="O185" s="13">
        <v>4904552</v>
      </c>
      <c r="P185" s="13">
        <v>4083444</v>
      </c>
      <c r="Q185" s="13">
        <v>772128</v>
      </c>
      <c r="R185" s="13">
        <v>190029</v>
      </c>
      <c r="S185" s="13">
        <v>2</v>
      </c>
      <c r="T185" s="81">
        <v>0</v>
      </c>
    </row>
    <row r="186" spans="1:20" ht="15" customHeight="1" x14ac:dyDescent="0.2">
      <c r="A186" s="15" t="s">
        <v>501</v>
      </c>
      <c r="B186" s="60">
        <v>62287735</v>
      </c>
      <c r="C186" s="15" t="s">
        <v>502</v>
      </c>
      <c r="D186" s="15" t="s">
        <v>503</v>
      </c>
      <c r="E186" s="15" t="s">
        <v>504</v>
      </c>
      <c r="F186" s="15" t="s">
        <v>98</v>
      </c>
      <c r="G186" s="34">
        <v>2</v>
      </c>
      <c r="H186" s="34">
        <v>16</v>
      </c>
      <c r="I186" s="15" t="s">
        <v>73</v>
      </c>
      <c r="J186" s="15" t="s">
        <v>74</v>
      </c>
      <c r="K186" s="74" t="s">
        <v>29</v>
      </c>
      <c r="L186" s="16">
        <v>5672568</v>
      </c>
      <c r="M186" s="16">
        <v>0</v>
      </c>
      <c r="N186" s="16">
        <v>74202</v>
      </c>
      <c r="O186" s="16">
        <v>5621912</v>
      </c>
      <c r="P186" s="16">
        <v>5571532</v>
      </c>
      <c r="Q186" s="16">
        <v>50656</v>
      </c>
      <c r="R186" s="16">
        <v>-11857</v>
      </c>
      <c r="S186" s="16">
        <v>2</v>
      </c>
      <c r="T186" s="111">
        <v>0</v>
      </c>
    </row>
    <row r="187" spans="1:20" ht="15" customHeight="1" x14ac:dyDescent="0.2">
      <c r="A187" s="12" t="s">
        <v>505</v>
      </c>
      <c r="B187" s="56">
        <v>38372267</v>
      </c>
      <c r="C187" s="12" t="s">
        <v>506</v>
      </c>
      <c r="D187" s="12"/>
      <c r="E187" s="12" t="s">
        <v>507</v>
      </c>
      <c r="F187" s="12" t="s">
        <v>84</v>
      </c>
      <c r="G187" s="33">
        <v>3</v>
      </c>
      <c r="H187" s="33">
        <v>41</v>
      </c>
      <c r="I187" s="12" t="s">
        <v>38</v>
      </c>
      <c r="J187" s="12" t="s">
        <v>39</v>
      </c>
      <c r="K187" s="73" t="s">
        <v>29</v>
      </c>
      <c r="L187" s="13">
        <v>5605239</v>
      </c>
      <c r="M187" s="13">
        <v>0</v>
      </c>
      <c r="N187" s="13">
        <v>1702943</v>
      </c>
      <c r="O187" s="13">
        <v>5191285</v>
      </c>
      <c r="P187" s="13">
        <v>1527129</v>
      </c>
      <c r="Q187" s="13">
        <v>413953</v>
      </c>
      <c r="R187" s="13">
        <v>183581</v>
      </c>
      <c r="S187" s="13">
        <v>1</v>
      </c>
      <c r="T187" s="81">
        <v>0</v>
      </c>
    </row>
    <row r="188" spans="1:20" ht="15" customHeight="1" x14ac:dyDescent="0.2">
      <c r="A188" s="15" t="s">
        <v>508</v>
      </c>
      <c r="B188" s="60">
        <v>19468242</v>
      </c>
      <c r="C188" s="15" t="s">
        <v>509</v>
      </c>
      <c r="D188" s="15"/>
      <c r="E188" s="15" t="s">
        <v>510</v>
      </c>
      <c r="F188" s="15" t="s">
        <v>84</v>
      </c>
      <c r="G188" s="34">
        <v>2</v>
      </c>
      <c r="H188" s="34">
        <v>41</v>
      </c>
      <c r="I188" s="15" t="s">
        <v>44</v>
      </c>
      <c r="J188" s="15" t="s">
        <v>39</v>
      </c>
      <c r="K188" s="74" t="s">
        <v>29</v>
      </c>
      <c r="L188" s="16">
        <v>5601767</v>
      </c>
      <c r="M188" s="16">
        <v>0</v>
      </c>
      <c r="N188" s="16">
        <v>83223</v>
      </c>
      <c r="O188" s="16">
        <v>5150710</v>
      </c>
      <c r="P188" s="16">
        <v>2793620</v>
      </c>
      <c r="Q188" s="16">
        <v>451057</v>
      </c>
      <c r="R188" s="16">
        <v>157740</v>
      </c>
      <c r="S188" s="16">
        <v>1</v>
      </c>
      <c r="T188" s="111">
        <v>0</v>
      </c>
    </row>
    <row r="189" spans="1:20" ht="15" customHeight="1" x14ac:dyDescent="0.2">
      <c r="A189" s="12" t="s">
        <v>511</v>
      </c>
      <c r="B189" s="56">
        <v>87853206</v>
      </c>
      <c r="C189" s="12"/>
      <c r="D189" s="12"/>
      <c r="E189" s="12"/>
      <c r="F189" s="12" t="s">
        <v>265</v>
      </c>
      <c r="G189" s="33">
        <v>2</v>
      </c>
      <c r="H189" s="33">
        <v>9</v>
      </c>
      <c r="I189" s="12" t="s">
        <v>512</v>
      </c>
      <c r="J189" s="12" t="s">
        <v>74</v>
      </c>
      <c r="K189" s="73" t="s">
        <v>29</v>
      </c>
      <c r="L189" s="13">
        <v>5518860</v>
      </c>
      <c r="M189" s="13">
        <v>3014084</v>
      </c>
      <c r="N189" s="13">
        <v>1999359</v>
      </c>
      <c r="O189" s="13">
        <v>4797328</v>
      </c>
      <c r="P189" s="13">
        <v>3759992</v>
      </c>
      <c r="Q189" s="13">
        <v>721533</v>
      </c>
      <c r="R189" s="13">
        <v>63192</v>
      </c>
      <c r="S189" s="13">
        <v>0</v>
      </c>
      <c r="T189" s="81">
        <v>37</v>
      </c>
    </row>
    <row r="190" spans="1:20" ht="15" customHeight="1" x14ac:dyDescent="0.2">
      <c r="A190" s="15" t="s">
        <v>513</v>
      </c>
      <c r="B190" s="60">
        <v>90497256</v>
      </c>
      <c r="C190" s="15"/>
      <c r="D190" s="15"/>
      <c r="E190" s="15"/>
      <c r="F190" s="15" t="s">
        <v>265</v>
      </c>
      <c r="G190" s="34">
        <v>2</v>
      </c>
      <c r="H190" s="34">
        <v>9</v>
      </c>
      <c r="I190" s="15" t="s">
        <v>514</v>
      </c>
      <c r="J190" s="15" t="s">
        <v>74</v>
      </c>
      <c r="K190" s="74" t="s">
        <v>29</v>
      </c>
      <c r="L190" s="16">
        <v>5480854</v>
      </c>
      <c r="M190" s="16">
        <v>2414154</v>
      </c>
      <c r="N190" s="16">
        <v>2362178</v>
      </c>
      <c r="O190" s="16">
        <v>4749686</v>
      </c>
      <c r="P190" s="16">
        <v>3640564</v>
      </c>
      <c r="Q190" s="16">
        <v>731168</v>
      </c>
      <c r="R190" s="16">
        <v>67567</v>
      </c>
      <c r="S190" s="16">
        <v>0</v>
      </c>
      <c r="T190" s="111">
        <v>42</v>
      </c>
    </row>
    <row r="191" spans="1:20" ht="15" customHeight="1" x14ac:dyDescent="0.2">
      <c r="A191" s="12" t="s">
        <v>515</v>
      </c>
      <c r="B191" s="56">
        <v>43180355</v>
      </c>
      <c r="C191" s="12" t="s">
        <v>516</v>
      </c>
      <c r="D191" s="12"/>
      <c r="E191" s="12" t="s">
        <v>517</v>
      </c>
      <c r="F191" s="12" t="s">
        <v>65</v>
      </c>
      <c r="G191" s="33">
        <v>2</v>
      </c>
      <c r="H191" s="33">
        <v>14</v>
      </c>
      <c r="I191" s="12" t="s">
        <v>38</v>
      </c>
      <c r="J191" s="12" t="s">
        <v>39</v>
      </c>
      <c r="K191" s="73" t="s">
        <v>29</v>
      </c>
      <c r="L191" s="13">
        <v>5396429</v>
      </c>
      <c r="M191" s="13">
        <v>3146654</v>
      </c>
      <c r="N191" s="13">
        <v>380061</v>
      </c>
      <c r="O191" s="13">
        <v>4330973</v>
      </c>
      <c r="P191" s="13">
        <v>2403206</v>
      </c>
      <c r="Q191" s="13">
        <v>1065456</v>
      </c>
      <c r="R191" s="13">
        <v>5623</v>
      </c>
      <c r="S191" s="13">
        <v>2</v>
      </c>
      <c r="T191" s="81">
        <v>0</v>
      </c>
    </row>
    <row r="192" spans="1:20" ht="15" customHeight="1" x14ac:dyDescent="0.2">
      <c r="A192" s="15" t="s">
        <v>518</v>
      </c>
      <c r="B192" s="60">
        <v>45246410</v>
      </c>
      <c r="C192" s="15" t="s">
        <v>519</v>
      </c>
      <c r="D192" s="15" t="s">
        <v>520</v>
      </c>
      <c r="E192" s="15" t="s">
        <v>521</v>
      </c>
      <c r="F192" s="15" t="s">
        <v>26</v>
      </c>
      <c r="G192" s="34">
        <v>2</v>
      </c>
      <c r="H192" s="34">
        <v>8</v>
      </c>
      <c r="I192" s="15" t="s">
        <v>53</v>
      </c>
      <c r="J192" s="15" t="s">
        <v>54</v>
      </c>
      <c r="K192" s="74" t="s">
        <v>29</v>
      </c>
      <c r="L192" s="16">
        <v>5356726</v>
      </c>
      <c r="M192" s="16">
        <v>349134</v>
      </c>
      <c r="N192" s="16">
        <v>2708563</v>
      </c>
      <c r="O192" s="16">
        <v>5216863</v>
      </c>
      <c r="P192" s="16">
        <v>4170953</v>
      </c>
      <c r="Q192" s="16">
        <v>139863</v>
      </c>
      <c r="R192" s="16">
        <v>-72542</v>
      </c>
      <c r="S192" s="16">
        <v>3</v>
      </c>
      <c r="T192" s="111">
        <v>0</v>
      </c>
    </row>
    <row r="193" spans="1:20" ht="15" customHeight="1" x14ac:dyDescent="0.2">
      <c r="A193" s="12" t="s">
        <v>522</v>
      </c>
      <c r="B193" s="56">
        <v>31546476</v>
      </c>
      <c r="C193" s="12" t="s">
        <v>23</v>
      </c>
      <c r="D193" s="12" t="s">
        <v>24</v>
      </c>
      <c r="E193" s="12" t="s">
        <v>25</v>
      </c>
      <c r="F193" s="12" t="s">
        <v>65</v>
      </c>
      <c r="G193" s="33">
        <v>1</v>
      </c>
      <c r="H193" s="33">
        <v>19</v>
      </c>
      <c r="I193" s="12" t="s">
        <v>27</v>
      </c>
      <c r="J193" s="12" t="s">
        <v>28</v>
      </c>
      <c r="K193" s="73" t="s">
        <v>29</v>
      </c>
      <c r="L193" s="13">
        <v>5350132</v>
      </c>
      <c r="M193" s="13">
        <v>787494</v>
      </c>
      <c r="N193" s="13">
        <v>0</v>
      </c>
      <c r="O193" s="13">
        <v>496361</v>
      </c>
      <c r="P193" s="13">
        <v>0</v>
      </c>
      <c r="Q193" s="13">
        <v>4853771</v>
      </c>
      <c r="R193" s="13">
        <v>195459</v>
      </c>
      <c r="S193" s="13">
        <v>2</v>
      </c>
      <c r="T193" s="81">
        <v>0</v>
      </c>
    </row>
    <row r="194" spans="1:20" ht="15" customHeight="1" x14ac:dyDescent="0.2">
      <c r="A194" s="15" t="s">
        <v>523</v>
      </c>
      <c r="B194" s="60">
        <v>24795049</v>
      </c>
      <c r="C194" s="15"/>
      <c r="D194" s="15"/>
      <c r="E194" s="15"/>
      <c r="F194" s="15" t="s">
        <v>265</v>
      </c>
      <c r="G194" s="34">
        <v>2</v>
      </c>
      <c r="H194" s="34">
        <v>9</v>
      </c>
      <c r="I194" s="15" t="s">
        <v>524</v>
      </c>
      <c r="J194" s="15" t="s">
        <v>389</v>
      </c>
      <c r="K194" s="74" t="s">
        <v>29</v>
      </c>
      <c r="L194" s="16">
        <v>5255197</v>
      </c>
      <c r="M194" s="16">
        <v>2414287</v>
      </c>
      <c r="N194" s="16">
        <v>268857</v>
      </c>
      <c r="O194" s="16">
        <v>3712056</v>
      </c>
      <c r="P194" s="16">
        <v>3478935</v>
      </c>
      <c r="Q194" s="16">
        <v>1543140</v>
      </c>
      <c r="R194" s="16">
        <v>55905</v>
      </c>
      <c r="S194" s="16">
        <v>0</v>
      </c>
      <c r="T194" s="111">
        <v>34</v>
      </c>
    </row>
    <row r="195" spans="1:20" ht="15" customHeight="1" x14ac:dyDescent="0.2">
      <c r="A195" s="12" t="s">
        <v>525</v>
      </c>
      <c r="B195" s="56">
        <v>92555150</v>
      </c>
      <c r="C195" s="12"/>
      <c r="D195" s="12"/>
      <c r="E195" s="12"/>
      <c r="F195" s="12" t="s">
        <v>265</v>
      </c>
      <c r="G195" s="33">
        <v>2</v>
      </c>
      <c r="H195" s="33">
        <v>9</v>
      </c>
      <c r="I195" s="12" t="s">
        <v>526</v>
      </c>
      <c r="J195" s="12" t="s">
        <v>74</v>
      </c>
      <c r="K195" s="73" t="s">
        <v>29</v>
      </c>
      <c r="L195" s="13">
        <v>5237017</v>
      </c>
      <c r="M195" s="13">
        <v>3269865</v>
      </c>
      <c r="N195" s="13">
        <v>1690494</v>
      </c>
      <c r="O195" s="13">
        <v>4578165</v>
      </c>
      <c r="P195" s="13">
        <v>2875361</v>
      </c>
      <c r="Q195" s="13">
        <v>658852</v>
      </c>
      <c r="R195" s="13">
        <v>51433</v>
      </c>
      <c r="S195" s="13">
        <v>0</v>
      </c>
      <c r="T195" s="81">
        <v>43</v>
      </c>
    </row>
    <row r="196" spans="1:20" ht="15" customHeight="1" x14ac:dyDescent="0.2">
      <c r="A196" s="15" t="s">
        <v>527</v>
      </c>
      <c r="B196" s="60">
        <v>2843443</v>
      </c>
      <c r="C196" s="15"/>
      <c r="D196" s="15"/>
      <c r="E196" s="15"/>
      <c r="F196" s="15" t="s">
        <v>265</v>
      </c>
      <c r="G196" s="34">
        <v>2</v>
      </c>
      <c r="H196" s="34">
        <v>9</v>
      </c>
      <c r="I196" s="15" t="s">
        <v>528</v>
      </c>
      <c r="J196" s="15" t="s">
        <v>217</v>
      </c>
      <c r="K196" s="74" t="s">
        <v>29</v>
      </c>
      <c r="L196" s="16">
        <v>5226965</v>
      </c>
      <c r="M196" s="16">
        <v>2502039</v>
      </c>
      <c r="N196" s="16">
        <v>2315549</v>
      </c>
      <c r="O196" s="16">
        <v>4486752</v>
      </c>
      <c r="P196" s="16">
        <v>3966163</v>
      </c>
      <c r="Q196" s="16">
        <v>740213</v>
      </c>
      <c r="R196" s="16">
        <v>80060</v>
      </c>
      <c r="S196" s="16">
        <v>0</v>
      </c>
      <c r="T196" s="111">
        <v>42</v>
      </c>
    </row>
    <row r="197" spans="1:20" ht="15" customHeight="1" x14ac:dyDescent="0.2">
      <c r="A197" s="12" t="s">
        <v>529</v>
      </c>
      <c r="B197" s="56">
        <v>62169875</v>
      </c>
      <c r="C197" s="12" t="s">
        <v>62</v>
      </c>
      <c r="D197" s="12" t="s">
        <v>63</v>
      </c>
      <c r="E197" s="12" t="s">
        <v>64</v>
      </c>
      <c r="F197" s="12" t="s">
        <v>98</v>
      </c>
      <c r="G197" s="33">
        <v>3</v>
      </c>
      <c r="H197" s="33">
        <v>15</v>
      </c>
      <c r="I197" s="12" t="s">
        <v>38</v>
      </c>
      <c r="J197" s="12" t="s">
        <v>39</v>
      </c>
      <c r="K197" s="73" t="s">
        <v>29</v>
      </c>
      <c r="L197" s="13">
        <v>5198065</v>
      </c>
      <c r="M197" s="13">
        <v>0</v>
      </c>
      <c r="N197" s="13">
        <v>3481090</v>
      </c>
      <c r="O197" s="13">
        <v>375553</v>
      </c>
      <c r="P197" s="13">
        <v>123609</v>
      </c>
      <c r="Q197" s="13">
        <v>4822512</v>
      </c>
      <c r="R197" s="13">
        <v>100384</v>
      </c>
      <c r="S197" s="13">
        <v>2</v>
      </c>
      <c r="T197" s="81">
        <v>0</v>
      </c>
    </row>
    <row r="198" spans="1:20" ht="15" customHeight="1" x14ac:dyDescent="0.2">
      <c r="A198" s="15" t="s">
        <v>530</v>
      </c>
      <c r="B198" s="60">
        <v>82527557</v>
      </c>
      <c r="C198" s="15"/>
      <c r="D198" s="15"/>
      <c r="E198" s="15"/>
      <c r="F198" s="15" t="s">
        <v>265</v>
      </c>
      <c r="G198" s="34">
        <v>2</v>
      </c>
      <c r="H198" s="34">
        <v>9</v>
      </c>
      <c r="I198" s="15" t="s">
        <v>531</v>
      </c>
      <c r="J198" s="15" t="s">
        <v>229</v>
      </c>
      <c r="K198" s="74" t="s">
        <v>29</v>
      </c>
      <c r="L198" s="16">
        <v>5120654</v>
      </c>
      <c r="M198" s="16">
        <v>3007322</v>
      </c>
      <c r="N198" s="16">
        <v>1781578</v>
      </c>
      <c r="O198" s="16">
        <v>4552206</v>
      </c>
      <c r="P198" s="16">
        <v>3233206</v>
      </c>
      <c r="Q198" s="16">
        <v>568449</v>
      </c>
      <c r="R198" s="16">
        <v>14813</v>
      </c>
      <c r="S198" s="16">
        <v>0</v>
      </c>
      <c r="T198" s="111">
        <v>48</v>
      </c>
    </row>
    <row r="199" spans="1:20" ht="15" customHeight="1" x14ac:dyDescent="0.2">
      <c r="A199" s="12" t="s">
        <v>532</v>
      </c>
      <c r="B199" s="56">
        <v>95594941</v>
      </c>
      <c r="C199" s="12"/>
      <c r="D199" s="12"/>
      <c r="E199" s="12"/>
      <c r="F199" s="12" t="s">
        <v>265</v>
      </c>
      <c r="G199" s="33">
        <v>2</v>
      </c>
      <c r="H199" s="33">
        <v>9</v>
      </c>
      <c r="I199" s="12" t="s">
        <v>533</v>
      </c>
      <c r="J199" s="12" t="s">
        <v>74</v>
      </c>
      <c r="K199" s="73" t="s">
        <v>29</v>
      </c>
      <c r="L199" s="13">
        <v>5080095</v>
      </c>
      <c r="M199" s="13">
        <v>2825843</v>
      </c>
      <c r="N199" s="13">
        <v>1742638</v>
      </c>
      <c r="O199" s="13">
        <v>4400213</v>
      </c>
      <c r="P199" s="13">
        <v>3127441</v>
      </c>
      <c r="Q199" s="13">
        <v>679882</v>
      </c>
      <c r="R199" s="13">
        <v>39849</v>
      </c>
      <c r="S199" s="13">
        <v>0</v>
      </c>
      <c r="T199" s="81">
        <v>52</v>
      </c>
    </row>
    <row r="200" spans="1:20" ht="15" customHeight="1" x14ac:dyDescent="0.2">
      <c r="A200" s="15" t="s">
        <v>534</v>
      </c>
      <c r="B200" s="60">
        <v>91159764</v>
      </c>
      <c r="C200" s="15"/>
      <c r="D200" s="15"/>
      <c r="E200" s="15"/>
      <c r="F200" s="15" t="s">
        <v>265</v>
      </c>
      <c r="G200" s="34">
        <v>2</v>
      </c>
      <c r="H200" s="34">
        <v>9</v>
      </c>
      <c r="I200" s="15" t="s">
        <v>535</v>
      </c>
      <c r="J200" s="15" t="s">
        <v>74</v>
      </c>
      <c r="K200" s="74" t="s">
        <v>29</v>
      </c>
      <c r="L200" s="16">
        <v>5006767</v>
      </c>
      <c r="M200" s="16">
        <v>2253045</v>
      </c>
      <c r="N200" s="16">
        <v>1985392</v>
      </c>
      <c r="O200" s="16">
        <v>4281566</v>
      </c>
      <c r="P200" s="16">
        <v>3569795</v>
      </c>
      <c r="Q200" s="16">
        <v>725201</v>
      </c>
      <c r="R200" s="16">
        <v>91288</v>
      </c>
      <c r="S200" s="16">
        <v>0</v>
      </c>
      <c r="T200" s="111">
        <v>42</v>
      </c>
    </row>
    <row r="201" spans="1:20" ht="15" customHeight="1" x14ac:dyDescent="0.2">
      <c r="A201" s="12" t="s">
        <v>536</v>
      </c>
      <c r="B201" s="56">
        <v>31804966</v>
      </c>
      <c r="C201" s="12"/>
      <c r="D201" s="12"/>
      <c r="E201" s="12"/>
      <c r="F201" s="12" t="s">
        <v>265</v>
      </c>
      <c r="G201" s="33">
        <v>2</v>
      </c>
      <c r="H201" s="33">
        <v>9</v>
      </c>
      <c r="I201" s="12" t="s">
        <v>537</v>
      </c>
      <c r="J201" s="12" t="s">
        <v>183</v>
      </c>
      <c r="K201" s="73" t="s">
        <v>29</v>
      </c>
      <c r="L201" s="13">
        <v>5001705</v>
      </c>
      <c r="M201" s="13">
        <v>2465775</v>
      </c>
      <c r="N201" s="13">
        <v>417999</v>
      </c>
      <c r="O201" s="13">
        <v>4294849</v>
      </c>
      <c r="P201" s="13">
        <v>3809418</v>
      </c>
      <c r="Q201" s="13">
        <v>706857</v>
      </c>
      <c r="R201" s="13">
        <v>89771</v>
      </c>
      <c r="S201" s="13">
        <v>0</v>
      </c>
      <c r="T201" s="81">
        <v>26</v>
      </c>
    </row>
    <row r="202" spans="1:20" ht="15" customHeight="1" x14ac:dyDescent="0.2">
      <c r="A202" s="15" t="s">
        <v>538</v>
      </c>
      <c r="B202" s="60">
        <v>79457883</v>
      </c>
      <c r="C202" s="15"/>
      <c r="D202" s="15"/>
      <c r="E202" s="15"/>
      <c r="F202" s="15" t="s">
        <v>265</v>
      </c>
      <c r="G202" s="34">
        <v>2</v>
      </c>
      <c r="H202" s="34">
        <v>9</v>
      </c>
      <c r="I202" s="15" t="s">
        <v>539</v>
      </c>
      <c r="J202" s="15" t="s">
        <v>229</v>
      </c>
      <c r="K202" s="74" t="s">
        <v>29</v>
      </c>
      <c r="L202" s="16">
        <v>5001481</v>
      </c>
      <c r="M202" s="16">
        <v>2405513</v>
      </c>
      <c r="N202" s="16">
        <v>2274203</v>
      </c>
      <c r="O202" s="16">
        <v>4513039</v>
      </c>
      <c r="P202" s="16">
        <v>3579169</v>
      </c>
      <c r="Q202" s="16">
        <v>488442</v>
      </c>
      <c r="R202" s="16">
        <v>56092</v>
      </c>
      <c r="S202" s="16">
        <v>0</v>
      </c>
      <c r="T202" s="111">
        <v>43</v>
      </c>
    </row>
    <row r="203" spans="1:20" ht="15" customHeight="1" x14ac:dyDescent="0.2">
      <c r="A203" s="12" t="s">
        <v>540</v>
      </c>
      <c r="B203" s="56">
        <v>17167412</v>
      </c>
      <c r="C203" s="12" t="s">
        <v>67</v>
      </c>
      <c r="D203" s="12" t="s">
        <v>68</v>
      </c>
      <c r="E203" s="12" t="s">
        <v>69</v>
      </c>
      <c r="F203" s="12" t="s">
        <v>65</v>
      </c>
      <c r="G203" s="33">
        <v>2</v>
      </c>
      <c r="H203" s="33">
        <v>14</v>
      </c>
      <c r="I203" s="12" t="s">
        <v>38</v>
      </c>
      <c r="J203" s="12" t="s">
        <v>39</v>
      </c>
      <c r="K203" s="73" t="s">
        <v>29</v>
      </c>
      <c r="L203" s="13">
        <v>4992073</v>
      </c>
      <c r="M203" s="13">
        <v>3049427</v>
      </c>
      <c r="N203" s="13">
        <v>226815</v>
      </c>
      <c r="O203" s="13">
        <v>3932814</v>
      </c>
      <c r="P203" s="13">
        <v>3759223</v>
      </c>
      <c r="Q203" s="13">
        <v>1059259</v>
      </c>
      <c r="R203" s="13">
        <v>69516</v>
      </c>
      <c r="S203" s="13">
        <v>21</v>
      </c>
      <c r="T203" s="81">
        <v>0</v>
      </c>
    </row>
    <row r="204" spans="1:20" ht="15" customHeight="1" x14ac:dyDescent="0.2">
      <c r="A204" s="15" t="s">
        <v>541</v>
      </c>
      <c r="B204" s="60">
        <v>32588139</v>
      </c>
      <c r="C204" s="15" t="s">
        <v>109</v>
      </c>
      <c r="D204" s="15" t="s">
        <v>110</v>
      </c>
      <c r="E204" s="15" t="s">
        <v>111</v>
      </c>
      <c r="F204" s="15" t="s">
        <v>98</v>
      </c>
      <c r="G204" s="34">
        <v>3</v>
      </c>
      <c r="H204" s="34">
        <v>15</v>
      </c>
      <c r="I204" s="15" t="s">
        <v>38</v>
      </c>
      <c r="J204" s="15" t="s">
        <v>39</v>
      </c>
      <c r="K204" s="74" t="s">
        <v>29</v>
      </c>
      <c r="L204" s="16">
        <v>4955661</v>
      </c>
      <c r="M204" s="16">
        <v>0</v>
      </c>
      <c r="N204" s="16">
        <v>31096</v>
      </c>
      <c r="O204" s="16">
        <v>2676022</v>
      </c>
      <c r="P204" s="16">
        <v>1903715</v>
      </c>
      <c r="Q204" s="16">
        <v>2279639</v>
      </c>
      <c r="R204" s="16">
        <v>189881</v>
      </c>
      <c r="S204" s="16">
        <v>2</v>
      </c>
      <c r="T204" s="111">
        <v>0</v>
      </c>
    </row>
    <row r="205" spans="1:20" ht="15" customHeight="1" x14ac:dyDescent="0.2">
      <c r="A205" s="12" t="s">
        <v>542</v>
      </c>
      <c r="B205" s="56">
        <v>3566655</v>
      </c>
      <c r="C205" s="12"/>
      <c r="D205" s="12"/>
      <c r="E205" s="12"/>
      <c r="F205" s="12" t="s">
        <v>265</v>
      </c>
      <c r="G205" s="33">
        <v>2</v>
      </c>
      <c r="H205" s="33">
        <v>9</v>
      </c>
      <c r="I205" s="12" t="s">
        <v>543</v>
      </c>
      <c r="J205" s="12" t="s">
        <v>401</v>
      </c>
      <c r="K205" s="73" t="s">
        <v>29</v>
      </c>
      <c r="L205" s="13">
        <v>4955393</v>
      </c>
      <c r="M205" s="13">
        <v>2543544</v>
      </c>
      <c r="N205" s="13">
        <v>1776853</v>
      </c>
      <c r="O205" s="13">
        <v>4170475</v>
      </c>
      <c r="P205" s="13">
        <v>2524489</v>
      </c>
      <c r="Q205" s="13">
        <v>784918</v>
      </c>
      <c r="R205" s="13">
        <v>17861</v>
      </c>
      <c r="S205" s="13">
        <v>0</v>
      </c>
      <c r="T205" s="81">
        <v>37</v>
      </c>
    </row>
    <row r="206" spans="1:20" ht="15" customHeight="1" x14ac:dyDescent="0.2">
      <c r="A206" s="15" t="s">
        <v>544</v>
      </c>
      <c r="B206" s="60">
        <v>2282709</v>
      </c>
      <c r="C206" s="15"/>
      <c r="D206" s="15"/>
      <c r="E206" s="15"/>
      <c r="F206" s="15" t="s">
        <v>265</v>
      </c>
      <c r="G206" s="34">
        <v>2</v>
      </c>
      <c r="H206" s="34">
        <v>9</v>
      </c>
      <c r="I206" s="15" t="s">
        <v>545</v>
      </c>
      <c r="J206" s="15" t="s">
        <v>389</v>
      </c>
      <c r="K206" s="74" t="s">
        <v>29</v>
      </c>
      <c r="L206" s="16">
        <v>4900497</v>
      </c>
      <c r="M206" s="16">
        <v>2806982</v>
      </c>
      <c r="N206" s="16">
        <v>64904</v>
      </c>
      <c r="O206" s="16">
        <v>4355306</v>
      </c>
      <c r="P206" s="16">
        <v>4069063</v>
      </c>
      <c r="Q206" s="16">
        <v>545191</v>
      </c>
      <c r="R206" s="16">
        <v>40727</v>
      </c>
      <c r="S206" s="16">
        <v>0</v>
      </c>
      <c r="T206" s="111">
        <v>61</v>
      </c>
    </row>
    <row r="207" spans="1:20" ht="15" customHeight="1" x14ac:dyDescent="0.2">
      <c r="A207" s="12" t="s">
        <v>546</v>
      </c>
      <c r="B207" s="56">
        <v>74828799</v>
      </c>
      <c r="C207" s="12" t="s">
        <v>547</v>
      </c>
      <c r="D207" s="12"/>
      <c r="E207" s="12" t="s">
        <v>548</v>
      </c>
      <c r="F207" s="12" t="s">
        <v>26</v>
      </c>
      <c r="G207" s="33">
        <v>3</v>
      </c>
      <c r="H207" s="33">
        <v>8</v>
      </c>
      <c r="I207" s="12" t="s">
        <v>73</v>
      </c>
      <c r="J207" s="12" t="s">
        <v>74</v>
      </c>
      <c r="K207" s="73" t="s">
        <v>29</v>
      </c>
      <c r="L207" s="13">
        <v>4867454</v>
      </c>
      <c r="M207" s="13">
        <v>4058265</v>
      </c>
      <c r="N207" s="13">
        <v>133330</v>
      </c>
      <c r="O207" s="13">
        <v>4580926</v>
      </c>
      <c r="P207" s="13">
        <v>4427000</v>
      </c>
      <c r="Q207" s="13">
        <v>286528</v>
      </c>
      <c r="R207" s="13">
        <v>-15088</v>
      </c>
      <c r="S207" s="13">
        <v>2</v>
      </c>
      <c r="T207" s="81">
        <v>0</v>
      </c>
    </row>
    <row r="208" spans="1:20" ht="15" customHeight="1" x14ac:dyDescent="0.2">
      <c r="A208" s="15" t="s">
        <v>549</v>
      </c>
      <c r="B208" s="60">
        <v>92796564</v>
      </c>
      <c r="C208" s="15"/>
      <c r="D208" s="15"/>
      <c r="E208" s="15"/>
      <c r="F208" s="15" t="s">
        <v>265</v>
      </c>
      <c r="G208" s="34">
        <v>2</v>
      </c>
      <c r="H208" s="34">
        <v>9</v>
      </c>
      <c r="I208" s="15" t="s">
        <v>73</v>
      </c>
      <c r="J208" s="15" t="s">
        <v>74</v>
      </c>
      <c r="K208" s="74" t="s">
        <v>29</v>
      </c>
      <c r="L208" s="16">
        <v>4823195</v>
      </c>
      <c r="M208" s="16">
        <v>2063713</v>
      </c>
      <c r="N208" s="16">
        <v>2358709</v>
      </c>
      <c r="O208" s="16">
        <v>4361957</v>
      </c>
      <c r="P208" s="16">
        <v>3701135</v>
      </c>
      <c r="Q208" s="16">
        <v>461238</v>
      </c>
      <c r="R208" s="16">
        <v>35402</v>
      </c>
      <c r="S208" s="16">
        <v>0</v>
      </c>
      <c r="T208" s="111">
        <v>32</v>
      </c>
    </row>
    <row r="209" spans="1:20" ht="15" customHeight="1" x14ac:dyDescent="0.2">
      <c r="A209" s="12" t="s">
        <v>550</v>
      </c>
      <c r="B209" s="56">
        <v>33021064</v>
      </c>
      <c r="C209" s="12"/>
      <c r="D209" s="12"/>
      <c r="E209" s="12"/>
      <c r="F209" s="12" t="s">
        <v>265</v>
      </c>
      <c r="G209" s="33">
        <v>2</v>
      </c>
      <c r="H209" s="33">
        <v>9</v>
      </c>
      <c r="I209" s="12" t="s">
        <v>551</v>
      </c>
      <c r="J209" s="12" t="s">
        <v>329</v>
      </c>
      <c r="K209" s="73" t="s">
        <v>29</v>
      </c>
      <c r="L209" s="13">
        <v>4809081</v>
      </c>
      <c r="M209" s="13">
        <v>3029511</v>
      </c>
      <c r="N209" s="13">
        <v>860496</v>
      </c>
      <c r="O209" s="13">
        <v>4250410</v>
      </c>
      <c r="P209" s="13">
        <v>2599551</v>
      </c>
      <c r="Q209" s="13">
        <v>558671</v>
      </c>
      <c r="R209" s="13">
        <v>-94630</v>
      </c>
      <c r="S209" s="13">
        <v>0</v>
      </c>
      <c r="T209" s="81">
        <v>33</v>
      </c>
    </row>
    <row r="210" spans="1:20" ht="15" customHeight="1" x14ac:dyDescent="0.2">
      <c r="A210" s="15" t="s">
        <v>552</v>
      </c>
      <c r="B210" s="60">
        <v>81723108</v>
      </c>
      <c r="C210" s="15"/>
      <c r="D210" s="15"/>
      <c r="E210" s="15"/>
      <c r="F210" s="15" t="s">
        <v>265</v>
      </c>
      <c r="G210" s="34">
        <v>2</v>
      </c>
      <c r="H210" s="34">
        <v>9</v>
      </c>
      <c r="I210" s="15" t="s">
        <v>553</v>
      </c>
      <c r="J210" s="15" t="s">
        <v>229</v>
      </c>
      <c r="K210" s="74" t="s">
        <v>29</v>
      </c>
      <c r="L210" s="16">
        <v>4761886</v>
      </c>
      <c r="M210" s="16">
        <v>2112846</v>
      </c>
      <c r="N210" s="16">
        <v>272749</v>
      </c>
      <c r="O210" s="16">
        <v>2941561</v>
      </c>
      <c r="P210" s="16">
        <v>2702820</v>
      </c>
      <c r="Q210" s="16">
        <v>1820326</v>
      </c>
      <c r="R210" s="16">
        <v>150861</v>
      </c>
      <c r="S210" s="16">
        <v>0</v>
      </c>
      <c r="T210" s="111">
        <v>53</v>
      </c>
    </row>
    <row r="211" spans="1:20" ht="15" customHeight="1" x14ac:dyDescent="0.2">
      <c r="A211" s="12" t="s">
        <v>554</v>
      </c>
      <c r="B211" s="56">
        <v>89468565</v>
      </c>
      <c r="C211" s="12"/>
      <c r="D211" s="12"/>
      <c r="E211" s="12"/>
      <c r="F211" s="12" t="s">
        <v>265</v>
      </c>
      <c r="G211" s="33">
        <v>2</v>
      </c>
      <c r="H211" s="33">
        <v>9</v>
      </c>
      <c r="I211" s="12" t="s">
        <v>555</v>
      </c>
      <c r="J211" s="12" t="s">
        <v>74</v>
      </c>
      <c r="K211" s="73" t="s">
        <v>29</v>
      </c>
      <c r="L211" s="13">
        <v>4743625</v>
      </c>
      <c r="M211" s="13">
        <v>2649065</v>
      </c>
      <c r="N211" s="13">
        <v>1563458</v>
      </c>
      <c r="O211" s="13">
        <v>4294414</v>
      </c>
      <c r="P211" s="13">
        <v>3216918</v>
      </c>
      <c r="Q211" s="13">
        <v>449211</v>
      </c>
      <c r="R211" s="13">
        <v>-21007</v>
      </c>
      <c r="S211" s="13">
        <v>0</v>
      </c>
      <c r="T211" s="81">
        <v>44</v>
      </c>
    </row>
    <row r="212" spans="1:20" ht="15" customHeight="1" x14ac:dyDescent="0.2">
      <c r="A212" s="15" t="s">
        <v>556</v>
      </c>
      <c r="B212" s="60">
        <v>62063177</v>
      </c>
      <c r="C212" s="15" t="s">
        <v>67</v>
      </c>
      <c r="D212" s="15" t="s">
        <v>68</v>
      </c>
      <c r="E212" s="15" t="s">
        <v>69</v>
      </c>
      <c r="F212" s="15" t="s">
        <v>65</v>
      </c>
      <c r="G212" s="34">
        <v>2</v>
      </c>
      <c r="H212" s="34">
        <v>19</v>
      </c>
      <c r="I212" s="15" t="s">
        <v>38</v>
      </c>
      <c r="J212" s="15" t="s">
        <v>39</v>
      </c>
      <c r="K212" s="74" t="s">
        <v>29</v>
      </c>
      <c r="L212" s="16">
        <v>4735678</v>
      </c>
      <c r="M212" s="16">
        <v>2893446</v>
      </c>
      <c r="N212" s="16">
        <v>1709398</v>
      </c>
      <c r="O212" s="16">
        <v>3481172</v>
      </c>
      <c r="P212" s="16">
        <v>2981369</v>
      </c>
      <c r="Q212" s="16">
        <v>1254506</v>
      </c>
      <c r="R212" s="16">
        <v>70261</v>
      </c>
      <c r="S212" s="16">
        <v>2</v>
      </c>
      <c r="T212" s="111">
        <v>0</v>
      </c>
    </row>
    <row r="213" spans="1:20" ht="15" customHeight="1" x14ac:dyDescent="0.2">
      <c r="A213" s="12" t="s">
        <v>557</v>
      </c>
      <c r="B213" s="56">
        <v>82065285</v>
      </c>
      <c r="C213" s="12"/>
      <c r="D213" s="12"/>
      <c r="E213" s="12"/>
      <c r="F213" s="12" t="s">
        <v>265</v>
      </c>
      <c r="G213" s="33">
        <v>2</v>
      </c>
      <c r="H213" s="33">
        <v>9</v>
      </c>
      <c r="I213" s="12" t="s">
        <v>558</v>
      </c>
      <c r="J213" s="12" t="s">
        <v>229</v>
      </c>
      <c r="K213" s="73" t="s">
        <v>29</v>
      </c>
      <c r="L213" s="13">
        <v>4711067</v>
      </c>
      <c r="M213" s="13">
        <v>2604416</v>
      </c>
      <c r="N213" s="13">
        <v>1757371</v>
      </c>
      <c r="O213" s="13">
        <v>4251167</v>
      </c>
      <c r="P213" s="13">
        <v>3104437</v>
      </c>
      <c r="Q213" s="13">
        <v>459900</v>
      </c>
      <c r="R213" s="13">
        <v>31316</v>
      </c>
      <c r="S213" s="13">
        <v>0</v>
      </c>
      <c r="T213" s="81">
        <v>48</v>
      </c>
    </row>
    <row r="214" spans="1:20" ht="15" customHeight="1" x14ac:dyDescent="0.2">
      <c r="A214" s="15" t="s">
        <v>559</v>
      </c>
      <c r="B214" s="60">
        <v>89990501</v>
      </c>
      <c r="C214" s="15"/>
      <c r="D214" s="15"/>
      <c r="E214" s="15"/>
      <c r="F214" s="15" t="s">
        <v>265</v>
      </c>
      <c r="G214" s="34">
        <v>2</v>
      </c>
      <c r="H214" s="34">
        <v>9</v>
      </c>
      <c r="I214" s="15" t="s">
        <v>560</v>
      </c>
      <c r="J214" s="15" t="s">
        <v>74</v>
      </c>
      <c r="K214" s="74" t="s">
        <v>29</v>
      </c>
      <c r="L214" s="16">
        <v>4708756</v>
      </c>
      <c r="M214" s="16">
        <v>2442816</v>
      </c>
      <c r="N214" s="16">
        <v>1900759</v>
      </c>
      <c r="O214" s="16">
        <v>3974929</v>
      </c>
      <c r="P214" s="16">
        <v>2831124</v>
      </c>
      <c r="Q214" s="16">
        <v>733827</v>
      </c>
      <c r="R214" s="16">
        <v>43745</v>
      </c>
      <c r="S214" s="16">
        <v>0</v>
      </c>
      <c r="T214" s="111">
        <v>43</v>
      </c>
    </row>
    <row r="215" spans="1:20" ht="15" customHeight="1" x14ac:dyDescent="0.2">
      <c r="A215" s="12" t="s">
        <v>561</v>
      </c>
      <c r="B215" s="56">
        <v>17351180</v>
      </c>
      <c r="C215" s="12" t="s">
        <v>562</v>
      </c>
      <c r="D215" s="12"/>
      <c r="E215" s="12" t="s">
        <v>563</v>
      </c>
      <c r="F215" s="12" t="s">
        <v>26</v>
      </c>
      <c r="G215" s="33">
        <v>2</v>
      </c>
      <c r="H215" s="33">
        <v>8</v>
      </c>
      <c r="I215" s="12" t="s">
        <v>564</v>
      </c>
      <c r="J215" s="12" t="s">
        <v>120</v>
      </c>
      <c r="K215" s="73" t="s">
        <v>29</v>
      </c>
      <c r="L215" s="13">
        <v>4694166</v>
      </c>
      <c r="M215" s="13">
        <v>2081191</v>
      </c>
      <c r="N215" s="13">
        <v>202378</v>
      </c>
      <c r="O215" s="13">
        <v>4151046</v>
      </c>
      <c r="P215" s="13">
        <v>3006019</v>
      </c>
      <c r="Q215" s="13">
        <v>543120</v>
      </c>
      <c r="R215" s="13">
        <v>6616</v>
      </c>
      <c r="S215" s="13">
        <v>2</v>
      </c>
      <c r="T215" s="81">
        <v>0</v>
      </c>
    </row>
    <row r="216" spans="1:20" ht="15" customHeight="1" x14ac:dyDescent="0.2">
      <c r="A216" s="15" t="s">
        <v>565</v>
      </c>
      <c r="B216" s="60">
        <v>3584906</v>
      </c>
      <c r="C216" s="15" t="s">
        <v>566</v>
      </c>
      <c r="D216" s="15"/>
      <c r="E216" s="15" t="s">
        <v>567</v>
      </c>
      <c r="F216" s="15" t="s">
        <v>65</v>
      </c>
      <c r="G216" s="34">
        <v>1</v>
      </c>
      <c r="H216" s="34">
        <v>30</v>
      </c>
      <c r="I216" s="15" t="s">
        <v>228</v>
      </c>
      <c r="J216" s="15" t="s">
        <v>229</v>
      </c>
      <c r="K216" s="74" t="s">
        <v>29</v>
      </c>
      <c r="L216" s="16">
        <v>4693143</v>
      </c>
      <c r="M216" s="16">
        <v>1705318</v>
      </c>
      <c r="N216" s="16">
        <v>2877681</v>
      </c>
      <c r="O216" s="16">
        <v>627711</v>
      </c>
      <c r="P216" s="16">
        <v>462814</v>
      </c>
      <c r="Q216" s="16">
        <v>4065433</v>
      </c>
      <c r="R216" s="16">
        <v>178193</v>
      </c>
      <c r="S216" s="16">
        <v>2</v>
      </c>
      <c r="T216" s="111">
        <v>0</v>
      </c>
    </row>
    <row r="217" spans="1:20" ht="15" customHeight="1" x14ac:dyDescent="0.2">
      <c r="A217" s="12" t="s">
        <v>568</v>
      </c>
      <c r="B217" s="56">
        <v>68900810</v>
      </c>
      <c r="C217" s="12" t="s">
        <v>569</v>
      </c>
      <c r="D217" s="12" t="s">
        <v>570</v>
      </c>
      <c r="E217" s="12" t="s">
        <v>571</v>
      </c>
      <c r="F217" s="12" t="s">
        <v>26</v>
      </c>
      <c r="G217" s="33">
        <v>2</v>
      </c>
      <c r="H217" s="33">
        <v>2</v>
      </c>
      <c r="I217" s="12" t="s">
        <v>38</v>
      </c>
      <c r="J217" s="12" t="s">
        <v>39</v>
      </c>
      <c r="K217" s="73" t="s">
        <v>29</v>
      </c>
      <c r="L217" s="13">
        <v>4661149</v>
      </c>
      <c r="M217" s="13">
        <v>519289</v>
      </c>
      <c r="N217" s="13">
        <v>237270</v>
      </c>
      <c r="O217" s="13">
        <v>4128316</v>
      </c>
      <c r="P217" s="13">
        <v>3140923</v>
      </c>
      <c r="Q217" s="13">
        <v>532833</v>
      </c>
      <c r="R217" s="13">
        <v>74144</v>
      </c>
      <c r="S217" s="13">
        <v>7</v>
      </c>
      <c r="T217" s="81">
        <v>1</v>
      </c>
    </row>
    <row r="218" spans="1:20" ht="15" customHeight="1" x14ac:dyDescent="0.2">
      <c r="A218" s="15" t="s">
        <v>572</v>
      </c>
      <c r="B218" s="60">
        <v>84974278</v>
      </c>
      <c r="C218" s="15"/>
      <c r="D218" s="15"/>
      <c r="E218" s="15"/>
      <c r="F218" s="15" t="s">
        <v>265</v>
      </c>
      <c r="G218" s="34">
        <v>2</v>
      </c>
      <c r="H218" s="34">
        <v>9</v>
      </c>
      <c r="I218" s="15" t="s">
        <v>573</v>
      </c>
      <c r="J218" s="15" t="s">
        <v>229</v>
      </c>
      <c r="K218" s="74" t="s">
        <v>29</v>
      </c>
      <c r="L218" s="16">
        <v>4628457</v>
      </c>
      <c r="M218" s="16">
        <v>2759911</v>
      </c>
      <c r="N218" s="16">
        <v>1477685</v>
      </c>
      <c r="O218" s="16">
        <v>4052907</v>
      </c>
      <c r="P218" s="16">
        <v>2926934</v>
      </c>
      <c r="Q218" s="16">
        <v>575550</v>
      </c>
      <c r="R218" s="16">
        <v>39506</v>
      </c>
      <c r="S218" s="16">
        <v>0</v>
      </c>
      <c r="T218" s="111">
        <v>41</v>
      </c>
    </row>
    <row r="219" spans="1:20" ht="15" customHeight="1" x14ac:dyDescent="0.2">
      <c r="A219" s="12" t="s">
        <v>574</v>
      </c>
      <c r="B219" s="56">
        <v>74114042</v>
      </c>
      <c r="C219" s="12"/>
      <c r="D219" s="12"/>
      <c r="E219" s="12"/>
      <c r="F219" s="12" t="s">
        <v>265</v>
      </c>
      <c r="G219" s="33">
        <v>2</v>
      </c>
      <c r="H219" s="33">
        <v>9</v>
      </c>
      <c r="I219" s="12" t="s">
        <v>575</v>
      </c>
      <c r="J219" s="12" t="s">
        <v>217</v>
      </c>
      <c r="K219" s="73" t="s">
        <v>29</v>
      </c>
      <c r="L219" s="13">
        <v>4623919</v>
      </c>
      <c r="M219" s="13">
        <v>2226604</v>
      </c>
      <c r="N219" s="13">
        <v>62988</v>
      </c>
      <c r="O219" s="13">
        <v>4278904</v>
      </c>
      <c r="P219" s="13">
        <v>4034494</v>
      </c>
      <c r="Q219" s="13">
        <v>345015</v>
      </c>
      <c r="R219" s="13">
        <v>4137</v>
      </c>
      <c r="S219" s="13">
        <v>0</v>
      </c>
      <c r="T219" s="81">
        <v>33</v>
      </c>
    </row>
    <row r="220" spans="1:20" ht="15" customHeight="1" x14ac:dyDescent="0.2">
      <c r="A220" s="15" t="s">
        <v>576</v>
      </c>
      <c r="B220" s="60">
        <v>35571249</v>
      </c>
      <c r="C220" s="15"/>
      <c r="D220" s="15"/>
      <c r="E220" s="15"/>
      <c r="F220" s="15" t="s">
        <v>265</v>
      </c>
      <c r="G220" s="34">
        <v>2</v>
      </c>
      <c r="H220" s="34">
        <v>9</v>
      </c>
      <c r="I220" s="15" t="s">
        <v>577</v>
      </c>
      <c r="J220" s="15" t="s">
        <v>578</v>
      </c>
      <c r="K220" s="74" t="s">
        <v>29</v>
      </c>
      <c r="L220" s="16">
        <v>4619477</v>
      </c>
      <c r="M220" s="16">
        <v>2203747</v>
      </c>
      <c r="N220" s="16">
        <v>1878095</v>
      </c>
      <c r="O220" s="16">
        <v>3944573</v>
      </c>
      <c r="P220" s="16">
        <v>3362668</v>
      </c>
      <c r="Q220" s="16">
        <v>674904</v>
      </c>
      <c r="R220" s="16">
        <v>61351</v>
      </c>
      <c r="S220" s="16">
        <v>0</v>
      </c>
      <c r="T220" s="111">
        <v>35</v>
      </c>
    </row>
    <row r="221" spans="1:20" ht="15" customHeight="1" x14ac:dyDescent="0.2">
      <c r="A221" s="12" t="s">
        <v>579</v>
      </c>
      <c r="B221" s="56">
        <v>7206072</v>
      </c>
      <c r="C221" s="12"/>
      <c r="D221" s="12"/>
      <c r="E221" s="12"/>
      <c r="F221" s="12" t="s">
        <v>265</v>
      </c>
      <c r="G221" s="33">
        <v>2</v>
      </c>
      <c r="H221" s="33">
        <v>9</v>
      </c>
      <c r="I221" s="12" t="s">
        <v>580</v>
      </c>
      <c r="J221" s="12" t="s">
        <v>229</v>
      </c>
      <c r="K221" s="73" t="s">
        <v>29</v>
      </c>
      <c r="L221" s="13">
        <v>4611344</v>
      </c>
      <c r="M221" s="13">
        <v>2511048</v>
      </c>
      <c r="N221" s="13">
        <v>1827077</v>
      </c>
      <c r="O221" s="13">
        <v>4149322</v>
      </c>
      <c r="P221" s="13">
        <v>3147337</v>
      </c>
      <c r="Q221" s="13">
        <v>462022</v>
      </c>
      <c r="R221" s="13">
        <v>56029</v>
      </c>
      <c r="S221" s="13">
        <v>0</v>
      </c>
      <c r="T221" s="81">
        <v>34</v>
      </c>
    </row>
    <row r="222" spans="1:20" ht="15" customHeight="1" x14ac:dyDescent="0.2">
      <c r="A222" s="15" t="s">
        <v>581</v>
      </c>
      <c r="B222" s="60">
        <v>74064502</v>
      </c>
      <c r="C222" s="15"/>
      <c r="D222" s="15"/>
      <c r="E222" s="15"/>
      <c r="F222" s="15" t="s">
        <v>265</v>
      </c>
      <c r="G222" s="34">
        <v>2</v>
      </c>
      <c r="H222" s="34">
        <v>9</v>
      </c>
      <c r="I222" s="15" t="s">
        <v>216</v>
      </c>
      <c r="J222" s="15" t="s">
        <v>217</v>
      </c>
      <c r="K222" s="74" t="s">
        <v>29</v>
      </c>
      <c r="L222" s="16">
        <v>4592109</v>
      </c>
      <c r="M222" s="16">
        <v>2119061</v>
      </c>
      <c r="N222" s="16">
        <v>98016</v>
      </c>
      <c r="O222" s="16">
        <v>4086659</v>
      </c>
      <c r="P222" s="16">
        <v>3821250</v>
      </c>
      <c r="Q222" s="16">
        <v>505450</v>
      </c>
      <c r="R222" s="16">
        <v>37386</v>
      </c>
      <c r="S222" s="16">
        <v>0</v>
      </c>
      <c r="T222" s="111">
        <v>23</v>
      </c>
    </row>
    <row r="223" spans="1:20" ht="15" customHeight="1" x14ac:dyDescent="0.2">
      <c r="A223" s="12" t="s">
        <v>582</v>
      </c>
      <c r="B223" s="56">
        <v>4388688</v>
      </c>
      <c r="C223" s="12"/>
      <c r="D223" s="12"/>
      <c r="E223" s="12"/>
      <c r="F223" s="12" t="s">
        <v>265</v>
      </c>
      <c r="G223" s="33">
        <v>2</v>
      </c>
      <c r="H223" s="33">
        <v>9</v>
      </c>
      <c r="I223" s="12" t="s">
        <v>388</v>
      </c>
      <c r="J223" s="12" t="s">
        <v>389</v>
      </c>
      <c r="K223" s="73" t="s">
        <v>29</v>
      </c>
      <c r="L223" s="13">
        <v>4576649</v>
      </c>
      <c r="M223" s="13">
        <v>1918926</v>
      </c>
      <c r="N223" s="13">
        <v>95106</v>
      </c>
      <c r="O223" s="13">
        <v>3981973</v>
      </c>
      <c r="P223" s="13">
        <v>3614558</v>
      </c>
      <c r="Q223" s="13">
        <v>594676</v>
      </c>
      <c r="R223" s="13">
        <v>20745</v>
      </c>
      <c r="S223" s="13">
        <v>0</v>
      </c>
      <c r="T223" s="81">
        <v>13</v>
      </c>
    </row>
    <row r="224" spans="1:20" ht="15" customHeight="1" x14ac:dyDescent="0.2">
      <c r="A224" s="15" t="s">
        <v>583</v>
      </c>
      <c r="B224" s="60">
        <v>91669747</v>
      </c>
      <c r="C224" s="15" t="s">
        <v>584</v>
      </c>
      <c r="D224" s="15" t="s">
        <v>585</v>
      </c>
      <c r="E224" s="15" t="s">
        <v>586</v>
      </c>
      <c r="F224" s="15" t="s">
        <v>65</v>
      </c>
      <c r="G224" s="34">
        <v>2</v>
      </c>
      <c r="H224" s="34">
        <v>14</v>
      </c>
      <c r="I224" s="15" t="s">
        <v>587</v>
      </c>
      <c r="J224" s="15" t="s">
        <v>39</v>
      </c>
      <c r="K224" s="74" t="s">
        <v>29</v>
      </c>
      <c r="L224" s="16">
        <v>4426695</v>
      </c>
      <c r="M224" s="16">
        <v>3009461</v>
      </c>
      <c r="N224" s="16">
        <v>303146</v>
      </c>
      <c r="O224" s="16">
        <v>3791145</v>
      </c>
      <c r="P224" s="16">
        <v>2097512</v>
      </c>
      <c r="Q224" s="16">
        <v>635550</v>
      </c>
      <c r="R224" s="16">
        <v>77527</v>
      </c>
      <c r="S224" s="16">
        <v>2</v>
      </c>
      <c r="T224" s="111">
        <v>0</v>
      </c>
    </row>
    <row r="225" spans="1:20" ht="15" customHeight="1" x14ac:dyDescent="0.2">
      <c r="A225" s="12" t="s">
        <v>588</v>
      </c>
      <c r="B225" s="56">
        <v>87733077</v>
      </c>
      <c r="C225" s="12"/>
      <c r="D225" s="12"/>
      <c r="E225" s="12"/>
      <c r="F225" s="12" t="s">
        <v>265</v>
      </c>
      <c r="G225" s="33">
        <v>2</v>
      </c>
      <c r="H225" s="33">
        <v>9</v>
      </c>
      <c r="I225" s="12" t="s">
        <v>589</v>
      </c>
      <c r="J225" s="12" t="s">
        <v>74</v>
      </c>
      <c r="K225" s="73" t="s">
        <v>29</v>
      </c>
      <c r="L225" s="13">
        <v>4396565</v>
      </c>
      <c r="M225" s="13">
        <v>2418705</v>
      </c>
      <c r="N225" s="13">
        <v>1725897</v>
      </c>
      <c r="O225" s="13">
        <v>3713519</v>
      </c>
      <c r="P225" s="13">
        <v>2413371</v>
      </c>
      <c r="Q225" s="13">
        <v>683045</v>
      </c>
      <c r="R225" s="13">
        <v>47363</v>
      </c>
      <c r="S225" s="13">
        <v>0</v>
      </c>
      <c r="T225" s="81">
        <v>27</v>
      </c>
    </row>
    <row r="226" spans="1:20" ht="15" customHeight="1" x14ac:dyDescent="0.2">
      <c r="A226" s="15" t="s">
        <v>590</v>
      </c>
      <c r="B226" s="60">
        <v>70431630</v>
      </c>
      <c r="C226" s="15"/>
      <c r="D226" s="15"/>
      <c r="E226" s="15"/>
      <c r="F226" s="15" t="s">
        <v>265</v>
      </c>
      <c r="G226" s="34">
        <v>2</v>
      </c>
      <c r="H226" s="34">
        <v>9</v>
      </c>
      <c r="I226" s="15" t="s">
        <v>591</v>
      </c>
      <c r="J226" s="15" t="s">
        <v>329</v>
      </c>
      <c r="K226" s="74" t="s">
        <v>29</v>
      </c>
      <c r="L226" s="16">
        <v>4353921</v>
      </c>
      <c r="M226" s="16">
        <v>2093169</v>
      </c>
      <c r="N226" s="16">
        <v>1630122</v>
      </c>
      <c r="O226" s="16">
        <v>3728002</v>
      </c>
      <c r="P226" s="16">
        <v>2693904</v>
      </c>
      <c r="Q226" s="16">
        <v>625919</v>
      </c>
      <c r="R226" s="16">
        <v>11184</v>
      </c>
      <c r="S226" s="16">
        <v>0</v>
      </c>
      <c r="T226" s="111">
        <v>46</v>
      </c>
    </row>
    <row r="227" spans="1:20" ht="15" customHeight="1" x14ac:dyDescent="0.2">
      <c r="A227" s="12" t="s">
        <v>592</v>
      </c>
      <c r="B227" s="56">
        <v>3793242</v>
      </c>
      <c r="C227" s="12"/>
      <c r="D227" s="12"/>
      <c r="E227" s="12"/>
      <c r="F227" s="12" t="s">
        <v>265</v>
      </c>
      <c r="G227" s="33">
        <v>2</v>
      </c>
      <c r="H227" s="33">
        <v>9</v>
      </c>
      <c r="I227" s="12" t="s">
        <v>593</v>
      </c>
      <c r="J227" s="12" t="s">
        <v>217</v>
      </c>
      <c r="K227" s="73" t="s">
        <v>29</v>
      </c>
      <c r="L227" s="13">
        <v>4293025</v>
      </c>
      <c r="M227" s="13">
        <v>1931981</v>
      </c>
      <c r="N227" s="13">
        <v>2082784</v>
      </c>
      <c r="O227" s="13">
        <v>3926078</v>
      </c>
      <c r="P227" s="13">
        <v>3248681</v>
      </c>
      <c r="Q227" s="13">
        <v>366947</v>
      </c>
      <c r="R227" s="13">
        <v>30621</v>
      </c>
      <c r="S227" s="13">
        <v>0</v>
      </c>
      <c r="T227" s="81">
        <v>30</v>
      </c>
    </row>
    <row r="228" spans="1:20" ht="15" customHeight="1" x14ac:dyDescent="0.2">
      <c r="A228" s="15" t="s">
        <v>594</v>
      </c>
      <c r="B228" s="60">
        <v>32983165</v>
      </c>
      <c r="C228" s="15"/>
      <c r="D228" s="15"/>
      <c r="E228" s="15"/>
      <c r="F228" s="15" t="s">
        <v>265</v>
      </c>
      <c r="G228" s="34">
        <v>2</v>
      </c>
      <c r="H228" s="34">
        <v>9</v>
      </c>
      <c r="I228" s="15" t="s">
        <v>595</v>
      </c>
      <c r="J228" s="15" t="s">
        <v>329</v>
      </c>
      <c r="K228" s="74" t="s">
        <v>29</v>
      </c>
      <c r="L228" s="16">
        <v>4277774</v>
      </c>
      <c r="M228" s="16">
        <v>2912319</v>
      </c>
      <c r="N228" s="16">
        <v>842001</v>
      </c>
      <c r="O228" s="16">
        <v>3824832</v>
      </c>
      <c r="P228" s="16">
        <v>2178933</v>
      </c>
      <c r="Q228" s="16">
        <v>452941</v>
      </c>
      <c r="R228" s="16">
        <v>-47234</v>
      </c>
      <c r="S228" s="16">
        <v>0</v>
      </c>
      <c r="T228" s="111">
        <v>25</v>
      </c>
    </row>
    <row r="229" spans="1:20" ht="15" customHeight="1" x14ac:dyDescent="0.2">
      <c r="A229" s="12" t="s">
        <v>596</v>
      </c>
      <c r="B229" s="56">
        <v>25021356</v>
      </c>
      <c r="C229" s="12" t="s">
        <v>597</v>
      </c>
      <c r="D229" s="12"/>
      <c r="E229" s="12" t="s">
        <v>598</v>
      </c>
      <c r="F229" s="12" t="s">
        <v>84</v>
      </c>
      <c r="G229" s="33">
        <v>3</v>
      </c>
      <c r="H229" s="33">
        <v>41</v>
      </c>
      <c r="I229" s="12" t="s">
        <v>38</v>
      </c>
      <c r="J229" s="12" t="s">
        <v>39</v>
      </c>
      <c r="K229" s="73" t="s">
        <v>29</v>
      </c>
      <c r="L229" s="13">
        <v>4273032</v>
      </c>
      <c r="M229" s="13">
        <v>0</v>
      </c>
      <c r="N229" s="13">
        <v>10070</v>
      </c>
      <c r="O229" s="13">
        <v>4054308</v>
      </c>
      <c r="P229" s="13">
        <v>302882</v>
      </c>
      <c r="Q229" s="13">
        <v>218725</v>
      </c>
      <c r="R229" s="13">
        <v>27357</v>
      </c>
      <c r="S229" s="13">
        <v>1</v>
      </c>
      <c r="T229" s="81">
        <v>0</v>
      </c>
    </row>
    <row r="230" spans="1:20" ht="15" customHeight="1" x14ac:dyDescent="0.2">
      <c r="A230" s="15" t="s">
        <v>599</v>
      </c>
      <c r="B230" s="60">
        <v>5241619</v>
      </c>
      <c r="C230" s="15"/>
      <c r="D230" s="15"/>
      <c r="E230" s="15"/>
      <c r="F230" s="15" t="s">
        <v>265</v>
      </c>
      <c r="G230" s="34">
        <v>2</v>
      </c>
      <c r="H230" s="34">
        <v>9</v>
      </c>
      <c r="I230" s="15" t="s">
        <v>600</v>
      </c>
      <c r="J230" s="15" t="s">
        <v>329</v>
      </c>
      <c r="K230" s="74" t="s">
        <v>29</v>
      </c>
      <c r="L230" s="16">
        <v>4220290</v>
      </c>
      <c r="M230" s="16">
        <v>2838984</v>
      </c>
      <c r="N230" s="16">
        <v>51013</v>
      </c>
      <c r="O230" s="16">
        <v>3705206</v>
      </c>
      <c r="P230" s="16">
        <v>3120122</v>
      </c>
      <c r="Q230" s="16">
        <v>515085</v>
      </c>
      <c r="R230" s="16">
        <v>2438</v>
      </c>
      <c r="S230" s="16">
        <v>0</v>
      </c>
      <c r="T230" s="111">
        <v>64</v>
      </c>
    </row>
    <row r="231" spans="1:20" ht="15" customHeight="1" x14ac:dyDescent="0.2">
      <c r="A231" s="12" t="s">
        <v>601</v>
      </c>
      <c r="B231" s="56">
        <v>10663610</v>
      </c>
      <c r="C231" s="12" t="s">
        <v>602</v>
      </c>
      <c r="D231" s="12"/>
      <c r="E231" s="12" t="s">
        <v>603</v>
      </c>
      <c r="F231" s="12" t="s">
        <v>65</v>
      </c>
      <c r="G231" s="33">
        <v>1</v>
      </c>
      <c r="H231" s="33">
        <v>30</v>
      </c>
      <c r="I231" s="12" t="s">
        <v>38</v>
      </c>
      <c r="J231" s="12" t="s">
        <v>39</v>
      </c>
      <c r="K231" s="73" t="s">
        <v>29</v>
      </c>
      <c r="L231" s="13">
        <v>4216691</v>
      </c>
      <c r="M231" s="13">
        <v>2371524</v>
      </c>
      <c r="N231" s="13">
        <v>1584124</v>
      </c>
      <c r="O231" s="13">
        <v>845490</v>
      </c>
      <c r="P231" s="13">
        <v>628360</v>
      </c>
      <c r="Q231" s="13">
        <v>3371201</v>
      </c>
      <c r="R231" s="13">
        <v>142709</v>
      </c>
      <c r="S231" s="13">
        <v>1</v>
      </c>
      <c r="T231" s="81">
        <v>0</v>
      </c>
    </row>
    <row r="232" spans="1:20" ht="15" customHeight="1" x14ac:dyDescent="0.2">
      <c r="A232" s="15" t="s">
        <v>604</v>
      </c>
      <c r="B232" s="60">
        <v>59118133</v>
      </c>
      <c r="C232" s="15" t="s">
        <v>605</v>
      </c>
      <c r="D232" s="15"/>
      <c r="E232" s="15" t="s">
        <v>606</v>
      </c>
      <c r="F232" s="15" t="s">
        <v>26</v>
      </c>
      <c r="G232" s="34">
        <v>3</v>
      </c>
      <c r="H232" s="34">
        <v>8</v>
      </c>
      <c r="I232" s="15" t="s">
        <v>38</v>
      </c>
      <c r="J232" s="15" t="s">
        <v>39</v>
      </c>
      <c r="K232" s="74" t="s">
        <v>29</v>
      </c>
      <c r="L232" s="16">
        <v>4210126</v>
      </c>
      <c r="M232" s="16">
        <v>2847301</v>
      </c>
      <c r="N232" s="16">
        <v>43125</v>
      </c>
      <c r="O232" s="16">
        <v>3877707</v>
      </c>
      <c r="P232" s="16">
        <v>3595866</v>
      </c>
      <c r="Q232" s="16">
        <v>332419</v>
      </c>
      <c r="R232" s="16">
        <v>10938</v>
      </c>
      <c r="S232" s="16">
        <v>2</v>
      </c>
      <c r="T232" s="111">
        <v>0</v>
      </c>
    </row>
    <row r="233" spans="1:20" ht="15" customHeight="1" x14ac:dyDescent="0.2">
      <c r="A233" s="12" t="s">
        <v>607</v>
      </c>
      <c r="B233" s="56">
        <v>78840071</v>
      </c>
      <c r="C233" s="12"/>
      <c r="D233" s="12"/>
      <c r="E233" s="12"/>
      <c r="F233" s="12" t="s">
        <v>265</v>
      </c>
      <c r="G233" s="33">
        <v>2</v>
      </c>
      <c r="H233" s="33">
        <v>9</v>
      </c>
      <c r="I233" s="12" t="s">
        <v>608</v>
      </c>
      <c r="J233" s="12" t="s">
        <v>217</v>
      </c>
      <c r="K233" s="73" t="s">
        <v>29</v>
      </c>
      <c r="L233" s="13">
        <v>4208943</v>
      </c>
      <c r="M233" s="13">
        <v>2155418</v>
      </c>
      <c r="N233" s="13">
        <v>64259</v>
      </c>
      <c r="O233" s="13">
        <v>3729590</v>
      </c>
      <c r="P233" s="13">
        <v>2881808</v>
      </c>
      <c r="Q233" s="13">
        <v>479354</v>
      </c>
      <c r="R233" s="13">
        <v>33690</v>
      </c>
      <c r="S233" s="13">
        <v>0</v>
      </c>
      <c r="T233" s="81">
        <v>32</v>
      </c>
    </row>
    <row r="234" spans="1:20" ht="15" customHeight="1" x14ac:dyDescent="0.2">
      <c r="A234" s="15" t="s">
        <v>609</v>
      </c>
      <c r="B234" s="60">
        <v>10736214</v>
      </c>
      <c r="C234" s="15"/>
      <c r="D234" s="15"/>
      <c r="E234" s="15"/>
      <c r="F234" s="15" t="s">
        <v>265</v>
      </c>
      <c r="G234" s="34">
        <v>2</v>
      </c>
      <c r="H234" s="34">
        <v>9</v>
      </c>
      <c r="I234" s="15" t="s">
        <v>610</v>
      </c>
      <c r="J234" s="15" t="s">
        <v>389</v>
      </c>
      <c r="K234" s="74" t="s">
        <v>29</v>
      </c>
      <c r="L234" s="16">
        <v>4197272</v>
      </c>
      <c r="M234" s="16">
        <v>2316100</v>
      </c>
      <c r="N234" s="16">
        <v>1596916</v>
      </c>
      <c r="O234" s="16">
        <v>3808279</v>
      </c>
      <c r="P234" s="16">
        <v>2581655</v>
      </c>
      <c r="Q234" s="16">
        <v>388994</v>
      </c>
      <c r="R234" s="16">
        <v>-11297</v>
      </c>
      <c r="S234" s="16">
        <v>0</v>
      </c>
      <c r="T234" s="111">
        <v>36</v>
      </c>
    </row>
    <row r="235" spans="1:20" ht="15" customHeight="1" x14ac:dyDescent="0.2">
      <c r="A235" s="12" t="s">
        <v>611</v>
      </c>
      <c r="B235" s="56">
        <v>3609817</v>
      </c>
      <c r="C235" s="12" t="s">
        <v>612</v>
      </c>
      <c r="D235" s="12"/>
      <c r="E235" s="12" t="s">
        <v>613</v>
      </c>
      <c r="F235" s="12" t="s">
        <v>26</v>
      </c>
      <c r="G235" s="33">
        <v>3</v>
      </c>
      <c r="H235" s="33">
        <v>8</v>
      </c>
      <c r="I235" s="12" t="s">
        <v>38</v>
      </c>
      <c r="J235" s="12" t="s">
        <v>39</v>
      </c>
      <c r="K235" s="73" t="s">
        <v>29</v>
      </c>
      <c r="L235" s="13">
        <v>4169757</v>
      </c>
      <c r="M235" s="13">
        <v>3015052</v>
      </c>
      <c r="N235" s="13">
        <v>426429</v>
      </c>
      <c r="O235" s="13">
        <v>3206112</v>
      </c>
      <c r="P235" s="13">
        <v>3148852</v>
      </c>
      <c r="Q235" s="13">
        <v>963645</v>
      </c>
      <c r="R235" s="13">
        <v>36714</v>
      </c>
      <c r="S235" s="13">
        <v>2</v>
      </c>
      <c r="T235" s="81">
        <v>0</v>
      </c>
    </row>
    <row r="236" spans="1:20" ht="15" customHeight="1" x14ac:dyDescent="0.2">
      <c r="A236" s="15" t="s">
        <v>614</v>
      </c>
      <c r="B236" s="60">
        <v>1644264</v>
      </c>
      <c r="C236" s="15"/>
      <c r="D236" s="15"/>
      <c r="E236" s="15"/>
      <c r="F236" s="15" t="s">
        <v>265</v>
      </c>
      <c r="G236" s="34">
        <v>2</v>
      </c>
      <c r="H236" s="34">
        <v>9</v>
      </c>
      <c r="I236" s="15" t="s">
        <v>615</v>
      </c>
      <c r="J236" s="15" t="s">
        <v>120</v>
      </c>
      <c r="K236" s="74" t="s">
        <v>29</v>
      </c>
      <c r="L236" s="16">
        <v>4165405</v>
      </c>
      <c r="M236" s="16">
        <v>1902039</v>
      </c>
      <c r="N236" s="16">
        <v>62696</v>
      </c>
      <c r="O236" s="16">
        <v>3605161</v>
      </c>
      <c r="P236" s="16">
        <v>3475567</v>
      </c>
      <c r="Q236" s="16">
        <v>560245</v>
      </c>
      <c r="R236" s="16">
        <v>69149</v>
      </c>
      <c r="S236" s="16">
        <v>0</v>
      </c>
      <c r="T236" s="111">
        <v>33</v>
      </c>
    </row>
    <row r="237" spans="1:20" ht="15" customHeight="1" x14ac:dyDescent="0.2">
      <c r="A237" s="12" t="s">
        <v>616</v>
      </c>
      <c r="B237" s="56">
        <v>71297899</v>
      </c>
      <c r="C237" s="12"/>
      <c r="D237" s="12"/>
      <c r="E237" s="12"/>
      <c r="F237" s="12" t="s">
        <v>265</v>
      </c>
      <c r="G237" s="33">
        <v>2</v>
      </c>
      <c r="H237" s="33">
        <v>9</v>
      </c>
      <c r="I237" s="12" t="s">
        <v>617</v>
      </c>
      <c r="J237" s="12" t="s">
        <v>120</v>
      </c>
      <c r="K237" s="73" t="s">
        <v>29</v>
      </c>
      <c r="L237" s="13">
        <v>4139220</v>
      </c>
      <c r="M237" s="13">
        <v>2205442</v>
      </c>
      <c r="N237" s="13">
        <v>71983</v>
      </c>
      <c r="O237" s="13">
        <v>3767157</v>
      </c>
      <c r="P237" s="13">
        <v>3072793</v>
      </c>
      <c r="Q237" s="13">
        <v>372063</v>
      </c>
      <c r="R237" s="13">
        <v>-175224</v>
      </c>
      <c r="S237" s="13">
        <v>0</v>
      </c>
      <c r="T237" s="81">
        <v>57</v>
      </c>
    </row>
    <row r="238" spans="1:20" ht="15" customHeight="1" x14ac:dyDescent="0.2">
      <c r="A238" s="15" t="s">
        <v>618</v>
      </c>
      <c r="B238" s="60">
        <v>10371492</v>
      </c>
      <c r="C238" s="15" t="s">
        <v>619</v>
      </c>
      <c r="D238" s="15"/>
      <c r="E238" s="15" t="s">
        <v>620</v>
      </c>
      <c r="F238" s="15" t="s">
        <v>26</v>
      </c>
      <c r="G238" s="34">
        <v>3</v>
      </c>
      <c r="H238" s="34">
        <v>8</v>
      </c>
      <c r="I238" s="15" t="s">
        <v>38</v>
      </c>
      <c r="J238" s="15" t="s">
        <v>39</v>
      </c>
      <c r="K238" s="74" t="s">
        <v>29</v>
      </c>
      <c r="L238" s="16">
        <v>4083051</v>
      </c>
      <c r="M238" s="16">
        <v>3072887</v>
      </c>
      <c r="N238" s="16">
        <v>0</v>
      </c>
      <c r="O238" s="16">
        <v>3586224</v>
      </c>
      <c r="P238" s="16">
        <v>3290397</v>
      </c>
      <c r="Q238" s="16">
        <v>496827</v>
      </c>
      <c r="R238" s="16">
        <v>37510</v>
      </c>
      <c r="S238" s="16">
        <v>2</v>
      </c>
      <c r="T238" s="111">
        <v>0</v>
      </c>
    </row>
    <row r="239" spans="1:20" ht="15" customHeight="1" x14ac:dyDescent="0.2">
      <c r="A239" s="12" t="s">
        <v>621</v>
      </c>
      <c r="B239" s="56">
        <v>48795256</v>
      </c>
      <c r="C239" s="12" t="s">
        <v>622</v>
      </c>
      <c r="D239" s="12" t="s">
        <v>623</v>
      </c>
      <c r="E239" s="12" t="s">
        <v>624</v>
      </c>
      <c r="F239" s="12" t="s">
        <v>26</v>
      </c>
      <c r="G239" s="33">
        <v>3</v>
      </c>
      <c r="H239" s="33">
        <v>8</v>
      </c>
      <c r="I239" s="12" t="s">
        <v>38</v>
      </c>
      <c r="J239" s="12" t="s">
        <v>39</v>
      </c>
      <c r="K239" s="73" t="s">
        <v>29</v>
      </c>
      <c r="L239" s="13">
        <v>4057603</v>
      </c>
      <c r="M239" s="13">
        <v>2336217</v>
      </c>
      <c r="N239" s="13">
        <v>770895</v>
      </c>
      <c r="O239" s="13">
        <v>3827337</v>
      </c>
      <c r="P239" s="13">
        <v>3689692</v>
      </c>
      <c r="Q239" s="13">
        <v>230266</v>
      </c>
      <c r="R239" s="13">
        <v>-11532</v>
      </c>
      <c r="S239" s="13">
        <v>2</v>
      </c>
      <c r="T239" s="81">
        <v>2</v>
      </c>
    </row>
    <row r="240" spans="1:20" ht="15" customHeight="1" x14ac:dyDescent="0.2">
      <c r="A240" s="15" t="s">
        <v>625</v>
      </c>
      <c r="B240" s="60">
        <v>55230916</v>
      </c>
      <c r="C240" s="15" t="s">
        <v>626</v>
      </c>
      <c r="D240" s="15"/>
      <c r="E240" s="15" t="s">
        <v>627</v>
      </c>
      <c r="F240" s="15" t="s">
        <v>26</v>
      </c>
      <c r="G240" s="34">
        <v>3</v>
      </c>
      <c r="H240" s="34">
        <v>8</v>
      </c>
      <c r="I240" s="15" t="s">
        <v>38</v>
      </c>
      <c r="J240" s="15" t="s">
        <v>39</v>
      </c>
      <c r="K240" s="74" t="s">
        <v>29</v>
      </c>
      <c r="L240" s="16">
        <v>4015478</v>
      </c>
      <c r="M240" s="16">
        <v>1049271</v>
      </c>
      <c r="N240" s="16">
        <v>397840</v>
      </c>
      <c r="O240" s="16">
        <v>2768001</v>
      </c>
      <c r="P240" s="16">
        <v>2548528</v>
      </c>
      <c r="Q240" s="16">
        <v>1247478</v>
      </c>
      <c r="R240" s="16">
        <v>40983</v>
      </c>
      <c r="S240" s="16">
        <v>2</v>
      </c>
      <c r="T240" s="111">
        <v>0</v>
      </c>
    </row>
    <row r="241" spans="1:20" ht="15" customHeight="1" x14ac:dyDescent="0.2">
      <c r="A241" s="12" t="s">
        <v>628</v>
      </c>
      <c r="B241" s="56">
        <v>57731012</v>
      </c>
      <c r="C241" s="12" t="s">
        <v>122</v>
      </c>
      <c r="D241" s="12" t="s">
        <v>123</v>
      </c>
      <c r="E241" s="12" t="s">
        <v>124</v>
      </c>
      <c r="F241" s="12" t="s">
        <v>65</v>
      </c>
      <c r="G241" s="33">
        <v>2</v>
      </c>
      <c r="H241" s="33">
        <v>19</v>
      </c>
      <c r="I241" s="12" t="s">
        <v>38</v>
      </c>
      <c r="J241" s="12" t="s">
        <v>39</v>
      </c>
      <c r="K241" s="73" t="s">
        <v>29</v>
      </c>
      <c r="L241" s="13">
        <v>3993757</v>
      </c>
      <c r="M241" s="13">
        <v>3088804</v>
      </c>
      <c r="N241" s="13">
        <v>732996</v>
      </c>
      <c r="O241" s="13">
        <v>3869332</v>
      </c>
      <c r="P241" s="13">
        <v>3365516</v>
      </c>
      <c r="Q241" s="13">
        <v>124425</v>
      </c>
      <c r="R241" s="13">
        <v>69703</v>
      </c>
      <c r="S241" s="13">
        <v>2</v>
      </c>
      <c r="T241" s="81">
        <v>0</v>
      </c>
    </row>
    <row r="242" spans="1:20" ht="15" customHeight="1" x14ac:dyDescent="0.2">
      <c r="A242" s="15" t="s">
        <v>629</v>
      </c>
      <c r="B242" s="60">
        <v>78632767</v>
      </c>
      <c r="C242" s="15" t="s">
        <v>630</v>
      </c>
      <c r="D242" s="15"/>
      <c r="E242" s="15" t="s">
        <v>631</v>
      </c>
      <c r="F242" s="15" t="s">
        <v>26</v>
      </c>
      <c r="G242" s="34">
        <v>2</v>
      </c>
      <c r="H242" s="34">
        <v>8</v>
      </c>
      <c r="I242" s="15" t="s">
        <v>38</v>
      </c>
      <c r="J242" s="15" t="s">
        <v>39</v>
      </c>
      <c r="K242" s="74" t="s">
        <v>29</v>
      </c>
      <c r="L242" s="16">
        <v>3974214</v>
      </c>
      <c r="M242" s="16">
        <v>1481346</v>
      </c>
      <c r="N242" s="16">
        <v>1467647</v>
      </c>
      <c r="O242" s="16">
        <v>3476632</v>
      </c>
      <c r="P242" s="16">
        <v>2505700</v>
      </c>
      <c r="Q242" s="16">
        <v>497582</v>
      </c>
      <c r="R242" s="16">
        <v>178132</v>
      </c>
      <c r="S242" s="16">
        <v>2</v>
      </c>
      <c r="T242" s="111">
        <v>0</v>
      </c>
    </row>
    <row r="243" spans="1:20" ht="15" customHeight="1" x14ac:dyDescent="0.2">
      <c r="A243" s="12" t="s">
        <v>632</v>
      </c>
      <c r="B243" s="56">
        <v>971300</v>
      </c>
      <c r="C243" s="12"/>
      <c r="D243" s="12"/>
      <c r="E243" s="12"/>
      <c r="F243" s="12" t="s">
        <v>265</v>
      </c>
      <c r="G243" s="33">
        <v>2</v>
      </c>
      <c r="H243" s="33">
        <v>9</v>
      </c>
      <c r="I243" s="12" t="s">
        <v>633</v>
      </c>
      <c r="J243" s="12" t="s">
        <v>229</v>
      </c>
      <c r="K243" s="73" t="s">
        <v>29</v>
      </c>
      <c r="L243" s="13">
        <v>3972475</v>
      </c>
      <c r="M243" s="13">
        <v>2984261</v>
      </c>
      <c r="N243" s="13">
        <v>45978</v>
      </c>
      <c r="O243" s="13">
        <v>3408327</v>
      </c>
      <c r="P243" s="13">
        <v>2184028</v>
      </c>
      <c r="Q243" s="13">
        <v>564148</v>
      </c>
      <c r="R243" s="13">
        <v>54242</v>
      </c>
      <c r="S243" s="13">
        <v>0</v>
      </c>
      <c r="T243" s="81">
        <v>67</v>
      </c>
    </row>
    <row r="244" spans="1:20" ht="15" customHeight="1" x14ac:dyDescent="0.2">
      <c r="A244" s="15" t="s">
        <v>634</v>
      </c>
      <c r="B244" s="60">
        <v>75847</v>
      </c>
      <c r="C244" s="15"/>
      <c r="D244" s="15"/>
      <c r="E244" s="15"/>
      <c r="F244" s="15" t="s">
        <v>265</v>
      </c>
      <c r="G244" s="34">
        <v>2</v>
      </c>
      <c r="H244" s="34">
        <v>9</v>
      </c>
      <c r="I244" s="15" t="s">
        <v>593</v>
      </c>
      <c r="J244" s="15" t="s">
        <v>217</v>
      </c>
      <c r="K244" s="74" t="s">
        <v>29</v>
      </c>
      <c r="L244" s="16">
        <v>3937240</v>
      </c>
      <c r="M244" s="16">
        <v>1896239</v>
      </c>
      <c r="N244" s="16">
        <v>64906</v>
      </c>
      <c r="O244" s="16">
        <v>3595750</v>
      </c>
      <c r="P244" s="16">
        <v>3358772</v>
      </c>
      <c r="Q244" s="16">
        <v>341490</v>
      </c>
      <c r="R244" s="16">
        <v>22200</v>
      </c>
      <c r="S244" s="16">
        <v>0</v>
      </c>
      <c r="T244" s="111">
        <v>20</v>
      </c>
    </row>
    <row r="245" spans="1:20" ht="15" customHeight="1" x14ac:dyDescent="0.2">
      <c r="A245" s="12" t="s">
        <v>635</v>
      </c>
      <c r="B245" s="56">
        <v>87781530</v>
      </c>
      <c r="C245" s="12"/>
      <c r="D245" s="12"/>
      <c r="E245" s="12"/>
      <c r="F245" s="12" t="s">
        <v>265</v>
      </c>
      <c r="G245" s="33">
        <v>2</v>
      </c>
      <c r="H245" s="33">
        <v>9</v>
      </c>
      <c r="I245" s="12" t="s">
        <v>453</v>
      </c>
      <c r="J245" s="12" t="s">
        <v>74</v>
      </c>
      <c r="K245" s="73" t="s">
        <v>29</v>
      </c>
      <c r="L245" s="13">
        <v>3925612</v>
      </c>
      <c r="M245" s="13">
        <v>2510069</v>
      </c>
      <c r="N245" s="13">
        <v>1252624</v>
      </c>
      <c r="O245" s="13">
        <v>3482422</v>
      </c>
      <c r="P245" s="13">
        <v>2385515</v>
      </c>
      <c r="Q245" s="13">
        <v>443190</v>
      </c>
      <c r="R245" s="13">
        <v>2990</v>
      </c>
      <c r="S245" s="13">
        <v>0</v>
      </c>
      <c r="T245" s="81">
        <v>40</v>
      </c>
    </row>
    <row r="246" spans="1:20" ht="15" customHeight="1" x14ac:dyDescent="0.2">
      <c r="A246" s="15" t="s">
        <v>636</v>
      </c>
      <c r="B246" s="60">
        <v>4452473</v>
      </c>
      <c r="C246" s="15" t="s">
        <v>637</v>
      </c>
      <c r="D246" s="15" t="s">
        <v>638</v>
      </c>
      <c r="E246" s="15" t="s">
        <v>639</v>
      </c>
      <c r="F246" s="15" t="s">
        <v>65</v>
      </c>
      <c r="G246" s="34">
        <v>3</v>
      </c>
      <c r="H246" s="34">
        <v>14</v>
      </c>
      <c r="I246" s="15" t="s">
        <v>38</v>
      </c>
      <c r="J246" s="15" t="s">
        <v>39</v>
      </c>
      <c r="K246" s="74" t="s">
        <v>29</v>
      </c>
      <c r="L246" s="16">
        <v>3864614</v>
      </c>
      <c r="M246" s="16">
        <v>3669172</v>
      </c>
      <c r="N246" s="16">
        <v>0</v>
      </c>
      <c r="O246" s="16">
        <v>3175133</v>
      </c>
      <c r="P246" s="16">
        <v>2966265</v>
      </c>
      <c r="Q246" s="16">
        <v>689481</v>
      </c>
      <c r="R246" s="16">
        <v>55960</v>
      </c>
      <c r="S246" s="16">
        <v>2</v>
      </c>
      <c r="T246" s="111">
        <v>0</v>
      </c>
    </row>
    <row r="247" spans="1:20" ht="15" customHeight="1" x14ac:dyDescent="0.2">
      <c r="A247" s="12" t="s">
        <v>640</v>
      </c>
      <c r="B247" s="56">
        <v>30822936</v>
      </c>
      <c r="C247" s="12" t="s">
        <v>23</v>
      </c>
      <c r="D247" s="12" t="s">
        <v>24</v>
      </c>
      <c r="E247" s="12" t="s">
        <v>25</v>
      </c>
      <c r="F247" s="12" t="s">
        <v>98</v>
      </c>
      <c r="G247" s="33">
        <v>1</v>
      </c>
      <c r="H247" s="33">
        <v>16</v>
      </c>
      <c r="I247" s="12" t="s">
        <v>27</v>
      </c>
      <c r="J247" s="12" t="s">
        <v>28</v>
      </c>
      <c r="K247" s="73" t="s">
        <v>29</v>
      </c>
      <c r="L247" s="13">
        <v>3841544</v>
      </c>
      <c r="M247" s="13">
        <v>0</v>
      </c>
      <c r="N247" s="13">
        <v>915199</v>
      </c>
      <c r="O247" s="13">
        <v>2411986</v>
      </c>
      <c r="P247" s="13">
        <v>0</v>
      </c>
      <c r="Q247" s="13">
        <v>1429558</v>
      </c>
      <c r="R247" s="13">
        <v>1245521</v>
      </c>
      <c r="S247" s="13">
        <v>3</v>
      </c>
      <c r="T247" s="81">
        <v>0</v>
      </c>
    </row>
    <row r="248" spans="1:20" ht="15" customHeight="1" x14ac:dyDescent="0.2">
      <c r="A248" s="15" t="s">
        <v>641</v>
      </c>
      <c r="B248" s="60">
        <v>33603457</v>
      </c>
      <c r="C248" s="15" t="s">
        <v>642</v>
      </c>
      <c r="D248" s="15"/>
      <c r="E248" s="15" t="s">
        <v>643</v>
      </c>
      <c r="F248" s="15" t="s">
        <v>26</v>
      </c>
      <c r="G248" s="34">
        <v>2</v>
      </c>
      <c r="H248" s="34">
        <v>8</v>
      </c>
      <c r="I248" s="15" t="s">
        <v>38</v>
      </c>
      <c r="J248" s="15" t="s">
        <v>39</v>
      </c>
      <c r="K248" s="74" t="s">
        <v>29</v>
      </c>
      <c r="L248" s="16">
        <v>3838853</v>
      </c>
      <c r="M248" s="16">
        <v>2169339</v>
      </c>
      <c r="N248" s="16">
        <v>624007</v>
      </c>
      <c r="O248" s="16">
        <v>3082489</v>
      </c>
      <c r="P248" s="16">
        <v>2888708</v>
      </c>
      <c r="Q248" s="16">
        <v>756364</v>
      </c>
      <c r="R248" s="16">
        <v>63886</v>
      </c>
      <c r="S248" s="16">
        <v>2</v>
      </c>
      <c r="T248" s="111">
        <v>0</v>
      </c>
    </row>
    <row r="249" spans="1:20" ht="15" customHeight="1" x14ac:dyDescent="0.2">
      <c r="A249" s="12" t="s">
        <v>644</v>
      </c>
      <c r="B249" s="56">
        <v>90729369</v>
      </c>
      <c r="C249" s="12"/>
      <c r="D249" s="12"/>
      <c r="E249" s="12"/>
      <c r="F249" s="12" t="s">
        <v>265</v>
      </c>
      <c r="G249" s="33">
        <v>2</v>
      </c>
      <c r="H249" s="33">
        <v>9</v>
      </c>
      <c r="I249" s="12" t="s">
        <v>645</v>
      </c>
      <c r="J249" s="12" t="s">
        <v>74</v>
      </c>
      <c r="K249" s="73" t="s">
        <v>29</v>
      </c>
      <c r="L249" s="13">
        <v>3821907</v>
      </c>
      <c r="M249" s="13">
        <v>2104047</v>
      </c>
      <c r="N249" s="13">
        <v>1433561</v>
      </c>
      <c r="O249" s="13">
        <v>3160085</v>
      </c>
      <c r="P249" s="13">
        <v>2195942</v>
      </c>
      <c r="Q249" s="13">
        <v>661823</v>
      </c>
      <c r="R249" s="13">
        <v>46266</v>
      </c>
      <c r="S249" s="13">
        <v>0</v>
      </c>
      <c r="T249" s="81">
        <v>33</v>
      </c>
    </row>
    <row r="250" spans="1:20" ht="15" customHeight="1" x14ac:dyDescent="0.2">
      <c r="A250" s="15" t="s">
        <v>646</v>
      </c>
      <c r="B250" s="60">
        <v>4323351</v>
      </c>
      <c r="C250" s="15" t="s">
        <v>289</v>
      </c>
      <c r="D250" s="15" t="s">
        <v>290</v>
      </c>
      <c r="E250" s="15" t="s">
        <v>291</v>
      </c>
      <c r="F250" s="15" t="s">
        <v>98</v>
      </c>
      <c r="G250" s="34">
        <v>3</v>
      </c>
      <c r="H250" s="34">
        <v>15</v>
      </c>
      <c r="I250" s="15" t="s">
        <v>38</v>
      </c>
      <c r="J250" s="15" t="s">
        <v>39</v>
      </c>
      <c r="K250" s="74" t="s">
        <v>29</v>
      </c>
      <c r="L250" s="16">
        <v>3791270</v>
      </c>
      <c r="M250" s="16">
        <v>0</v>
      </c>
      <c r="N250" s="16">
        <v>650588</v>
      </c>
      <c r="O250" s="16">
        <v>1395284</v>
      </c>
      <c r="P250" s="16">
        <v>28799</v>
      </c>
      <c r="Q250" s="16">
        <v>2395986</v>
      </c>
      <c r="R250" s="16">
        <v>139445</v>
      </c>
      <c r="S250" s="16">
        <v>2</v>
      </c>
      <c r="T250" s="111">
        <v>0</v>
      </c>
    </row>
    <row r="251" spans="1:20" ht="15" customHeight="1" x14ac:dyDescent="0.2">
      <c r="A251" s="12" t="s">
        <v>647</v>
      </c>
      <c r="B251" s="56">
        <v>2885855</v>
      </c>
      <c r="C251" s="12" t="s">
        <v>648</v>
      </c>
      <c r="D251" s="12"/>
      <c r="E251" s="12" t="s">
        <v>649</v>
      </c>
      <c r="F251" s="12" t="s">
        <v>65</v>
      </c>
      <c r="G251" s="33">
        <v>1</v>
      </c>
      <c r="H251" s="33">
        <v>30</v>
      </c>
      <c r="I251" s="12" t="s">
        <v>73</v>
      </c>
      <c r="J251" s="12" t="s">
        <v>74</v>
      </c>
      <c r="K251" s="73" t="s">
        <v>29</v>
      </c>
      <c r="L251" s="13">
        <v>3771045</v>
      </c>
      <c r="M251" s="13">
        <v>2855746</v>
      </c>
      <c r="N251" s="13">
        <v>659934</v>
      </c>
      <c r="O251" s="13">
        <v>2600674</v>
      </c>
      <c r="P251" s="13">
        <v>2530465</v>
      </c>
      <c r="Q251" s="13">
        <v>1170371</v>
      </c>
      <c r="R251" s="13">
        <v>22439</v>
      </c>
      <c r="S251" s="13">
        <v>2</v>
      </c>
      <c r="T251" s="81">
        <v>0</v>
      </c>
    </row>
    <row r="252" spans="1:20" ht="15" customHeight="1" x14ac:dyDescent="0.2">
      <c r="A252" s="15" t="s">
        <v>650</v>
      </c>
      <c r="B252" s="60">
        <v>3017677</v>
      </c>
      <c r="C252" s="15" t="s">
        <v>67</v>
      </c>
      <c r="D252" s="15" t="s">
        <v>68</v>
      </c>
      <c r="E252" s="15" t="s">
        <v>69</v>
      </c>
      <c r="F252" s="15" t="s">
        <v>26</v>
      </c>
      <c r="G252" s="34">
        <v>2</v>
      </c>
      <c r="H252" s="34">
        <v>8</v>
      </c>
      <c r="I252" s="15" t="s">
        <v>38</v>
      </c>
      <c r="J252" s="15" t="s">
        <v>39</v>
      </c>
      <c r="K252" s="74" t="s">
        <v>29</v>
      </c>
      <c r="L252" s="16">
        <v>3752910</v>
      </c>
      <c r="M252" s="16">
        <v>1161349</v>
      </c>
      <c r="N252" s="16">
        <v>155771</v>
      </c>
      <c r="O252" s="16">
        <v>2555589</v>
      </c>
      <c r="P252" s="16">
        <v>2288558</v>
      </c>
      <c r="Q252" s="16">
        <v>1197321</v>
      </c>
      <c r="R252" s="16">
        <v>105155</v>
      </c>
      <c r="S252" s="16">
        <v>2</v>
      </c>
      <c r="T252" s="111">
        <v>0</v>
      </c>
    </row>
    <row r="253" spans="1:20" ht="15" customHeight="1" x14ac:dyDescent="0.2">
      <c r="A253" s="12" t="s">
        <v>651</v>
      </c>
      <c r="B253" s="56">
        <v>1658426</v>
      </c>
      <c r="C253" s="12"/>
      <c r="D253" s="12"/>
      <c r="E253" s="12"/>
      <c r="F253" s="12" t="s">
        <v>265</v>
      </c>
      <c r="G253" s="33">
        <v>2</v>
      </c>
      <c r="H253" s="33">
        <v>9</v>
      </c>
      <c r="I253" s="12" t="s">
        <v>27</v>
      </c>
      <c r="J253" s="12" t="s">
        <v>28</v>
      </c>
      <c r="K253" s="73" t="s">
        <v>29</v>
      </c>
      <c r="L253" s="13">
        <v>3697064</v>
      </c>
      <c r="M253" s="13">
        <v>2359271</v>
      </c>
      <c r="N253" s="13">
        <v>1298166</v>
      </c>
      <c r="O253" s="13">
        <v>2958395</v>
      </c>
      <c r="P253" s="13">
        <v>2895602</v>
      </c>
      <c r="Q253" s="13">
        <v>738669</v>
      </c>
      <c r="R253" s="13">
        <v>32971</v>
      </c>
      <c r="S253" s="13">
        <v>0</v>
      </c>
      <c r="T253" s="81">
        <v>3</v>
      </c>
    </row>
    <row r="254" spans="1:20" ht="15" customHeight="1" x14ac:dyDescent="0.2">
      <c r="A254" s="15" t="s">
        <v>652</v>
      </c>
      <c r="B254" s="60">
        <v>88099247</v>
      </c>
      <c r="C254" s="15"/>
      <c r="D254" s="15"/>
      <c r="E254" s="15"/>
      <c r="F254" s="15" t="s">
        <v>265</v>
      </c>
      <c r="G254" s="34">
        <v>2</v>
      </c>
      <c r="H254" s="34">
        <v>9</v>
      </c>
      <c r="I254" s="15" t="s">
        <v>653</v>
      </c>
      <c r="J254" s="15" t="s">
        <v>74</v>
      </c>
      <c r="K254" s="74" t="s">
        <v>29</v>
      </c>
      <c r="L254" s="16">
        <v>3602002</v>
      </c>
      <c r="M254" s="16">
        <v>2122930</v>
      </c>
      <c r="N254" s="16">
        <v>1237073</v>
      </c>
      <c r="O254" s="16">
        <v>2952122</v>
      </c>
      <c r="P254" s="16">
        <v>2123286</v>
      </c>
      <c r="Q254" s="16">
        <v>649880</v>
      </c>
      <c r="R254" s="16">
        <v>49612</v>
      </c>
      <c r="S254" s="16">
        <v>0</v>
      </c>
      <c r="T254" s="111">
        <v>49</v>
      </c>
    </row>
    <row r="255" spans="1:20" ht="15" customHeight="1" x14ac:dyDescent="0.2">
      <c r="A255" s="12" t="s">
        <v>654</v>
      </c>
      <c r="B255" s="56">
        <v>94433109</v>
      </c>
      <c r="C255" s="12"/>
      <c r="D255" s="12"/>
      <c r="E255" s="12"/>
      <c r="F255" s="12" t="s">
        <v>265</v>
      </c>
      <c r="G255" s="33">
        <v>2</v>
      </c>
      <c r="H255" s="33">
        <v>9</v>
      </c>
      <c r="I255" s="12" t="s">
        <v>73</v>
      </c>
      <c r="J255" s="12" t="s">
        <v>74</v>
      </c>
      <c r="K255" s="73" t="s">
        <v>29</v>
      </c>
      <c r="L255" s="13">
        <v>3599853</v>
      </c>
      <c r="M255" s="13">
        <v>1971630</v>
      </c>
      <c r="N255" s="13">
        <v>67374</v>
      </c>
      <c r="O255" s="13">
        <v>3204306</v>
      </c>
      <c r="P255" s="13">
        <v>2928278</v>
      </c>
      <c r="Q255" s="13">
        <v>395546</v>
      </c>
      <c r="R255" s="13">
        <v>43282</v>
      </c>
      <c r="S255" s="13">
        <v>0</v>
      </c>
      <c r="T255" s="81">
        <v>36</v>
      </c>
    </row>
    <row r="256" spans="1:20" ht="15" customHeight="1" x14ac:dyDescent="0.2">
      <c r="A256" s="15" t="s">
        <v>655</v>
      </c>
      <c r="B256" s="60">
        <v>3358914</v>
      </c>
      <c r="C256" s="15"/>
      <c r="D256" s="15"/>
      <c r="E256" s="15"/>
      <c r="F256" s="15" t="s">
        <v>265</v>
      </c>
      <c r="G256" s="34">
        <v>2</v>
      </c>
      <c r="H256" s="34">
        <v>9</v>
      </c>
      <c r="I256" s="15" t="s">
        <v>479</v>
      </c>
      <c r="J256" s="15" t="s">
        <v>183</v>
      </c>
      <c r="K256" s="74" t="s">
        <v>29</v>
      </c>
      <c r="L256" s="16">
        <v>3594753</v>
      </c>
      <c r="M256" s="16">
        <v>1704360</v>
      </c>
      <c r="N256" s="16">
        <v>69573</v>
      </c>
      <c r="O256" s="16">
        <v>3222508</v>
      </c>
      <c r="P256" s="16">
        <v>3063219</v>
      </c>
      <c r="Q256" s="16">
        <v>372246</v>
      </c>
      <c r="R256" s="16">
        <v>40028</v>
      </c>
      <c r="S256" s="16">
        <v>0</v>
      </c>
      <c r="T256" s="111">
        <v>31</v>
      </c>
    </row>
    <row r="257" spans="1:20" ht="15" customHeight="1" x14ac:dyDescent="0.2">
      <c r="A257" s="12" t="s">
        <v>656</v>
      </c>
      <c r="B257" s="56">
        <v>78907607</v>
      </c>
      <c r="C257" s="12"/>
      <c r="D257" s="12"/>
      <c r="E257" s="12"/>
      <c r="F257" s="12" t="s">
        <v>265</v>
      </c>
      <c r="G257" s="33">
        <v>2</v>
      </c>
      <c r="H257" s="33">
        <v>9</v>
      </c>
      <c r="I257" s="12" t="s">
        <v>657</v>
      </c>
      <c r="J257" s="12" t="s">
        <v>229</v>
      </c>
      <c r="K257" s="73" t="s">
        <v>29</v>
      </c>
      <c r="L257" s="13">
        <v>3580369</v>
      </c>
      <c r="M257" s="13">
        <v>2026537</v>
      </c>
      <c r="N257" s="13">
        <v>1263909</v>
      </c>
      <c r="O257" s="13">
        <v>3099759</v>
      </c>
      <c r="P257" s="13">
        <v>2053088</v>
      </c>
      <c r="Q257" s="13">
        <v>480609</v>
      </c>
      <c r="R257" s="13">
        <v>50518</v>
      </c>
      <c r="S257" s="13">
        <v>0</v>
      </c>
      <c r="T257" s="81">
        <v>37</v>
      </c>
    </row>
    <row r="258" spans="1:20" ht="15" customHeight="1" x14ac:dyDescent="0.2">
      <c r="A258" s="15" t="s">
        <v>658</v>
      </c>
      <c r="B258" s="60">
        <v>22610500</v>
      </c>
      <c r="C258" s="15" t="s">
        <v>659</v>
      </c>
      <c r="D258" s="15" t="s">
        <v>660</v>
      </c>
      <c r="E258" s="15" t="s">
        <v>661</v>
      </c>
      <c r="F258" s="15" t="s">
        <v>98</v>
      </c>
      <c r="G258" s="34">
        <v>2</v>
      </c>
      <c r="H258" s="34">
        <v>16</v>
      </c>
      <c r="I258" s="15" t="s">
        <v>38</v>
      </c>
      <c r="J258" s="15" t="s">
        <v>39</v>
      </c>
      <c r="K258" s="74" t="s">
        <v>29</v>
      </c>
      <c r="L258" s="16">
        <v>3576010</v>
      </c>
      <c r="M258" s="16">
        <v>0</v>
      </c>
      <c r="N258" s="16">
        <v>32827</v>
      </c>
      <c r="O258" s="16">
        <v>3461821</v>
      </c>
      <c r="P258" s="16">
        <v>3351213</v>
      </c>
      <c r="Q258" s="16">
        <v>114189</v>
      </c>
      <c r="R258" s="16">
        <v>34118</v>
      </c>
      <c r="S258" s="16">
        <v>2</v>
      </c>
      <c r="T258" s="111">
        <v>0</v>
      </c>
    </row>
    <row r="259" spans="1:20" ht="15" customHeight="1" x14ac:dyDescent="0.2">
      <c r="A259" s="12" t="s">
        <v>662</v>
      </c>
      <c r="B259" s="56">
        <v>42873828</v>
      </c>
      <c r="C259" s="12"/>
      <c r="D259" s="12"/>
      <c r="E259" s="12"/>
      <c r="F259" s="12" t="s">
        <v>265</v>
      </c>
      <c r="G259" s="33">
        <v>2</v>
      </c>
      <c r="H259" s="33">
        <v>9</v>
      </c>
      <c r="I259" s="12" t="s">
        <v>663</v>
      </c>
      <c r="J259" s="12" t="s">
        <v>120</v>
      </c>
      <c r="K259" s="73" t="s">
        <v>29</v>
      </c>
      <c r="L259" s="13">
        <v>3560020</v>
      </c>
      <c r="M259" s="13">
        <v>844153</v>
      </c>
      <c r="N259" s="13">
        <v>93547</v>
      </c>
      <c r="O259" s="13">
        <v>2777495</v>
      </c>
      <c r="P259" s="13">
        <v>2443413</v>
      </c>
      <c r="Q259" s="13">
        <v>782524</v>
      </c>
      <c r="R259" s="13">
        <v>81923</v>
      </c>
      <c r="S259" s="13">
        <v>0</v>
      </c>
      <c r="T259" s="81">
        <v>27</v>
      </c>
    </row>
    <row r="260" spans="1:20" ht="15" customHeight="1" x14ac:dyDescent="0.2">
      <c r="A260" s="15" t="s">
        <v>664</v>
      </c>
      <c r="B260" s="60">
        <v>25798596</v>
      </c>
      <c r="C260" s="15"/>
      <c r="D260" s="15"/>
      <c r="E260" s="15"/>
      <c r="F260" s="15" t="s">
        <v>265</v>
      </c>
      <c r="G260" s="34">
        <v>2</v>
      </c>
      <c r="H260" s="34">
        <v>9</v>
      </c>
      <c r="I260" s="15" t="s">
        <v>665</v>
      </c>
      <c r="J260" s="15" t="s">
        <v>120</v>
      </c>
      <c r="K260" s="74" t="s">
        <v>29</v>
      </c>
      <c r="L260" s="16">
        <v>3536882</v>
      </c>
      <c r="M260" s="16">
        <v>1947393</v>
      </c>
      <c r="N260" s="16">
        <v>76531</v>
      </c>
      <c r="O260" s="16">
        <v>3036157</v>
      </c>
      <c r="P260" s="16">
        <v>2486501</v>
      </c>
      <c r="Q260" s="16">
        <v>500725</v>
      </c>
      <c r="R260" s="16">
        <v>35360</v>
      </c>
      <c r="S260" s="16">
        <v>0</v>
      </c>
      <c r="T260" s="111">
        <v>31</v>
      </c>
    </row>
    <row r="261" spans="1:20" ht="15" customHeight="1" x14ac:dyDescent="0.2">
      <c r="A261" s="12" t="s">
        <v>666</v>
      </c>
      <c r="B261" s="56">
        <v>87900601</v>
      </c>
      <c r="C261" s="12"/>
      <c r="D261" s="12"/>
      <c r="E261" s="12"/>
      <c r="F261" s="12" t="s">
        <v>265</v>
      </c>
      <c r="G261" s="33">
        <v>2</v>
      </c>
      <c r="H261" s="33">
        <v>9</v>
      </c>
      <c r="I261" s="12" t="s">
        <v>667</v>
      </c>
      <c r="J261" s="12" t="s">
        <v>74</v>
      </c>
      <c r="K261" s="73" t="s">
        <v>29</v>
      </c>
      <c r="L261" s="13">
        <v>3533412</v>
      </c>
      <c r="M261" s="13">
        <v>2440661</v>
      </c>
      <c r="N261" s="13">
        <v>811287</v>
      </c>
      <c r="O261" s="13">
        <v>3050255</v>
      </c>
      <c r="P261" s="13">
        <v>2070676</v>
      </c>
      <c r="Q261" s="13">
        <v>483158</v>
      </c>
      <c r="R261" s="13">
        <v>38049</v>
      </c>
      <c r="S261" s="13">
        <v>0</v>
      </c>
      <c r="T261" s="81">
        <v>39</v>
      </c>
    </row>
    <row r="262" spans="1:20" ht="15" customHeight="1" x14ac:dyDescent="0.2">
      <c r="A262" s="15" t="s">
        <v>668</v>
      </c>
      <c r="B262" s="60">
        <v>2466552</v>
      </c>
      <c r="C262" s="15"/>
      <c r="D262" s="15"/>
      <c r="E262" s="15"/>
      <c r="F262" s="15" t="s">
        <v>265</v>
      </c>
      <c r="G262" s="34">
        <v>2</v>
      </c>
      <c r="H262" s="34">
        <v>9</v>
      </c>
      <c r="I262" s="15" t="s">
        <v>278</v>
      </c>
      <c r="J262" s="15" t="s">
        <v>229</v>
      </c>
      <c r="K262" s="74" t="s">
        <v>29</v>
      </c>
      <c r="L262" s="16">
        <v>3521401</v>
      </c>
      <c r="M262" s="16">
        <v>2227237</v>
      </c>
      <c r="N262" s="16">
        <v>42278</v>
      </c>
      <c r="O262" s="16">
        <v>3165067</v>
      </c>
      <c r="P262" s="16">
        <v>2107401</v>
      </c>
      <c r="Q262" s="16">
        <v>356334</v>
      </c>
      <c r="R262" s="16">
        <v>40869</v>
      </c>
      <c r="S262" s="16">
        <v>0</v>
      </c>
      <c r="T262" s="111">
        <v>50</v>
      </c>
    </row>
    <row r="263" spans="1:20" ht="15" customHeight="1" x14ac:dyDescent="0.2">
      <c r="A263" s="12" t="s">
        <v>669</v>
      </c>
      <c r="B263" s="56">
        <v>76059997</v>
      </c>
      <c r="C263" s="12"/>
      <c r="D263" s="12"/>
      <c r="E263" s="12"/>
      <c r="F263" s="12" t="s">
        <v>265</v>
      </c>
      <c r="G263" s="33">
        <v>2</v>
      </c>
      <c r="H263" s="33">
        <v>9</v>
      </c>
      <c r="I263" s="12" t="s">
        <v>670</v>
      </c>
      <c r="J263" s="12" t="s">
        <v>229</v>
      </c>
      <c r="K263" s="73" t="s">
        <v>29</v>
      </c>
      <c r="L263" s="13">
        <v>3496717</v>
      </c>
      <c r="M263" s="13">
        <v>2183195</v>
      </c>
      <c r="N263" s="13">
        <v>912950</v>
      </c>
      <c r="O263" s="13">
        <v>3107808</v>
      </c>
      <c r="P263" s="13">
        <v>2122143</v>
      </c>
      <c r="Q263" s="13">
        <v>388909</v>
      </c>
      <c r="R263" s="13">
        <v>11385</v>
      </c>
      <c r="S263" s="13">
        <v>0</v>
      </c>
      <c r="T263" s="81">
        <v>26</v>
      </c>
    </row>
    <row r="264" spans="1:20" ht="15" customHeight="1" x14ac:dyDescent="0.2">
      <c r="A264" s="15" t="s">
        <v>671</v>
      </c>
      <c r="B264" s="60">
        <v>4670195</v>
      </c>
      <c r="C264" s="15" t="s">
        <v>672</v>
      </c>
      <c r="D264" s="15"/>
      <c r="E264" s="15" t="s">
        <v>673</v>
      </c>
      <c r="F264" s="15" t="s">
        <v>84</v>
      </c>
      <c r="G264" s="34">
        <v>2</v>
      </c>
      <c r="H264" s="34">
        <v>41</v>
      </c>
      <c r="I264" s="15" t="s">
        <v>107</v>
      </c>
      <c r="J264" s="15" t="s">
        <v>39</v>
      </c>
      <c r="K264" s="74" t="s">
        <v>29</v>
      </c>
      <c r="L264" s="16">
        <v>3489800</v>
      </c>
      <c r="M264" s="16">
        <v>2651603</v>
      </c>
      <c r="N264" s="16">
        <v>245350</v>
      </c>
      <c r="O264" s="16">
        <v>2961442</v>
      </c>
      <c r="P264" s="16">
        <v>486</v>
      </c>
      <c r="Q264" s="16">
        <v>528358</v>
      </c>
      <c r="R264" s="16">
        <v>54923</v>
      </c>
      <c r="S264" s="16">
        <v>1</v>
      </c>
      <c r="T264" s="111">
        <v>0</v>
      </c>
    </row>
    <row r="265" spans="1:20" ht="15" customHeight="1" x14ac:dyDescent="0.2">
      <c r="A265" s="12" t="s">
        <v>674</v>
      </c>
      <c r="B265" s="56">
        <v>3042597</v>
      </c>
      <c r="C265" s="12"/>
      <c r="D265" s="12"/>
      <c r="E265" s="12"/>
      <c r="F265" s="12" t="s">
        <v>265</v>
      </c>
      <c r="G265" s="33">
        <v>2</v>
      </c>
      <c r="H265" s="33">
        <v>9</v>
      </c>
      <c r="I265" s="12" t="s">
        <v>404</v>
      </c>
      <c r="J265" s="12" t="s">
        <v>401</v>
      </c>
      <c r="K265" s="73" t="s">
        <v>29</v>
      </c>
      <c r="L265" s="13">
        <v>3371023</v>
      </c>
      <c r="M265" s="13">
        <v>2347045</v>
      </c>
      <c r="N265" s="13">
        <v>736496</v>
      </c>
      <c r="O265" s="13">
        <v>2951300</v>
      </c>
      <c r="P265" s="13">
        <v>1711448</v>
      </c>
      <c r="Q265" s="13">
        <v>419723</v>
      </c>
      <c r="R265" s="13">
        <v>-17502</v>
      </c>
      <c r="S265" s="13">
        <v>0</v>
      </c>
      <c r="T265" s="81">
        <v>27</v>
      </c>
    </row>
    <row r="266" spans="1:20" ht="15" customHeight="1" x14ac:dyDescent="0.2">
      <c r="A266" s="15" t="s">
        <v>675</v>
      </c>
      <c r="B266" s="60">
        <v>24313102</v>
      </c>
      <c r="C266" s="15" t="s">
        <v>676</v>
      </c>
      <c r="D266" s="15"/>
      <c r="E266" s="15" t="s">
        <v>677</v>
      </c>
      <c r="F266" s="15" t="s">
        <v>84</v>
      </c>
      <c r="G266" s="34">
        <v>3</v>
      </c>
      <c r="H266" s="34">
        <v>41</v>
      </c>
      <c r="I266" s="15" t="s">
        <v>38</v>
      </c>
      <c r="J266" s="15" t="s">
        <v>39</v>
      </c>
      <c r="K266" s="74" t="s">
        <v>29</v>
      </c>
      <c r="L266" s="16">
        <v>3355480</v>
      </c>
      <c r="M266" s="16">
        <v>0</v>
      </c>
      <c r="N266" s="16">
        <v>1496805</v>
      </c>
      <c r="O266" s="16">
        <v>3246587</v>
      </c>
      <c r="P266" s="16">
        <v>2817398</v>
      </c>
      <c r="Q266" s="16">
        <v>108894</v>
      </c>
      <c r="R266" s="16">
        <v>-21401</v>
      </c>
      <c r="S266" s="16">
        <v>1</v>
      </c>
      <c r="T266" s="111">
        <v>0</v>
      </c>
    </row>
    <row r="267" spans="1:20" ht="15" customHeight="1" x14ac:dyDescent="0.2">
      <c r="A267" s="12" t="s">
        <v>678</v>
      </c>
      <c r="B267" s="56">
        <v>45283173</v>
      </c>
      <c r="C267" s="12" t="s">
        <v>679</v>
      </c>
      <c r="D267" s="12"/>
      <c r="E267" s="12" t="s">
        <v>680</v>
      </c>
      <c r="F267" s="12" t="s">
        <v>60</v>
      </c>
      <c r="G267" s="33">
        <v>3</v>
      </c>
      <c r="H267" s="33">
        <v>13</v>
      </c>
      <c r="I267" s="12" t="s">
        <v>38</v>
      </c>
      <c r="J267" s="12" t="s">
        <v>39</v>
      </c>
      <c r="K267" s="73" t="s">
        <v>29</v>
      </c>
      <c r="L267" s="13">
        <v>3349114</v>
      </c>
      <c r="M267" s="13">
        <v>981286</v>
      </c>
      <c r="N267" s="13">
        <v>1176251</v>
      </c>
      <c r="O267" s="13">
        <v>1492807</v>
      </c>
      <c r="P267" s="13">
        <v>1195424</v>
      </c>
      <c r="Q267" s="13">
        <v>1856308</v>
      </c>
      <c r="R267" s="13">
        <v>-6861</v>
      </c>
      <c r="S267" s="13">
        <v>2</v>
      </c>
      <c r="T267" s="81">
        <v>0</v>
      </c>
    </row>
    <row r="268" spans="1:20" ht="15" customHeight="1" x14ac:dyDescent="0.2">
      <c r="A268" s="15" t="s">
        <v>681</v>
      </c>
      <c r="B268" s="60">
        <v>62285390</v>
      </c>
      <c r="C268" s="15" t="s">
        <v>682</v>
      </c>
      <c r="D268" s="15" t="s">
        <v>683</v>
      </c>
      <c r="E268" s="15" t="s">
        <v>684</v>
      </c>
      <c r="F268" s="15" t="s">
        <v>98</v>
      </c>
      <c r="G268" s="34">
        <v>3</v>
      </c>
      <c r="H268" s="34">
        <v>15</v>
      </c>
      <c r="I268" s="15" t="s">
        <v>38</v>
      </c>
      <c r="J268" s="15" t="s">
        <v>39</v>
      </c>
      <c r="K268" s="74" t="s">
        <v>29</v>
      </c>
      <c r="L268" s="16">
        <v>3317525</v>
      </c>
      <c r="M268" s="16">
        <v>0</v>
      </c>
      <c r="N268" s="16">
        <v>248438</v>
      </c>
      <c r="O268" s="16">
        <v>2611582</v>
      </c>
      <c r="P268" s="16">
        <v>2345285</v>
      </c>
      <c r="Q268" s="16">
        <v>705943</v>
      </c>
      <c r="R268" s="16">
        <v>77188</v>
      </c>
      <c r="S268" s="16">
        <v>2</v>
      </c>
      <c r="T268" s="111">
        <v>0</v>
      </c>
    </row>
    <row r="269" spans="1:20" ht="15" customHeight="1" x14ac:dyDescent="0.2">
      <c r="A269" s="12" t="s">
        <v>685</v>
      </c>
      <c r="B269" s="56">
        <v>26549311</v>
      </c>
      <c r="C269" s="12"/>
      <c r="D269" s="12"/>
      <c r="E269" s="12"/>
      <c r="F269" s="12" t="s">
        <v>265</v>
      </c>
      <c r="G269" s="33">
        <v>2</v>
      </c>
      <c r="H269" s="33">
        <v>9</v>
      </c>
      <c r="I269" s="12" t="s">
        <v>686</v>
      </c>
      <c r="J269" s="12" t="s">
        <v>329</v>
      </c>
      <c r="K269" s="73" t="s">
        <v>29</v>
      </c>
      <c r="L269" s="13">
        <v>3298316</v>
      </c>
      <c r="M269" s="13">
        <v>1553691</v>
      </c>
      <c r="N269" s="13">
        <v>1127300</v>
      </c>
      <c r="O269" s="13">
        <v>2879989</v>
      </c>
      <c r="P269" s="13">
        <v>2043465</v>
      </c>
      <c r="Q269" s="13">
        <v>418327</v>
      </c>
      <c r="R269" s="13">
        <v>14758</v>
      </c>
      <c r="S269" s="13">
        <v>0</v>
      </c>
      <c r="T269" s="81">
        <v>23</v>
      </c>
    </row>
    <row r="270" spans="1:20" ht="15" customHeight="1" x14ac:dyDescent="0.2">
      <c r="A270" s="15" t="s">
        <v>687</v>
      </c>
      <c r="B270" s="60">
        <v>95213211</v>
      </c>
      <c r="C270" s="15"/>
      <c r="D270" s="15"/>
      <c r="E270" s="15"/>
      <c r="F270" s="15" t="s">
        <v>265</v>
      </c>
      <c r="G270" s="34">
        <v>2</v>
      </c>
      <c r="H270" s="34">
        <v>9</v>
      </c>
      <c r="I270" s="15" t="s">
        <v>688</v>
      </c>
      <c r="J270" s="15" t="s">
        <v>74</v>
      </c>
      <c r="K270" s="74" t="s">
        <v>29</v>
      </c>
      <c r="L270" s="16">
        <v>3236571</v>
      </c>
      <c r="M270" s="16">
        <v>1774848</v>
      </c>
      <c r="N270" s="16">
        <v>1187747</v>
      </c>
      <c r="O270" s="16">
        <v>2994341</v>
      </c>
      <c r="P270" s="16">
        <v>2307741</v>
      </c>
      <c r="Q270" s="16">
        <v>242230</v>
      </c>
      <c r="R270" s="16">
        <v>9280</v>
      </c>
      <c r="S270" s="16">
        <v>0</v>
      </c>
      <c r="T270" s="111">
        <v>27</v>
      </c>
    </row>
    <row r="271" spans="1:20" ht="15" customHeight="1" x14ac:dyDescent="0.2">
      <c r="A271" s="12" t="s">
        <v>689</v>
      </c>
      <c r="B271" s="56">
        <v>6332931</v>
      </c>
      <c r="C271" s="12"/>
      <c r="D271" s="12"/>
      <c r="E271" s="12"/>
      <c r="F271" s="12" t="s">
        <v>265</v>
      </c>
      <c r="G271" s="33">
        <v>2</v>
      </c>
      <c r="H271" s="33">
        <v>9</v>
      </c>
      <c r="I271" s="12" t="s">
        <v>388</v>
      </c>
      <c r="J271" s="12" t="s">
        <v>389</v>
      </c>
      <c r="K271" s="73" t="s">
        <v>29</v>
      </c>
      <c r="L271" s="13">
        <v>3204041</v>
      </c>
      <c r="M271" s="13">
        <v>1899727</v>
      </c>
      <c r="N271" s="13">
        <v>920292</v>
      </c>
      <c r="O271" s="13">
        <v>2966229</v>
      </c>
      <c r="P271" s="13">
        <v>1898859</v>
      </c>
      <c r="Q271" s="13">
        <v>237812</v>
      </c>
      <c r="R271" s="13">
        <v>-36780</v>
      </c>
      <c r="S271" s="13">
        <v>0</v>
      </c>
      <c r="T271" s="81">
        <v>30</v>
      </c>
    </row>
    <row r="272" spans="1:20" ht="15" customHeight="1" x14ac:dyDescent="0.2">
      <c r="A272" s="15" t="s">
        <v>690</v>
      </c>
      <c r="B272" s="60">
        <v>14796606</v>
      </c>
      <c r="C272" s="15" t="s">
        <v>691</v>
      </c>
      <c r="D272" s="15"/>
      <c r="E272" s="15" t="s">
        <v>692</v>
      </c>
      <c r="F272" s="15" t="s">
        <v>84</v>
      </c>
      <c r="G272" s="34">
        <v>3</v>
      </c>
      <c r="H272" s="34">
        <v>41</v>
      </c>
      <c r="I272" s="15" t="s">
        <v>38</v>
      </c>
      <c r="J272" s="15" t="s">
        <v>39</v>
      </c>
      <c r="K272" s="74" t="s">
        <v>29</v>
      </c>
      <c r="L272" s="16">
        <v>3178633</v>
      </c>
      <c r="M272" s="16">
        <v>0</v>
      </c>
      <c r="N272" s="16">
        <v>188807</v>
      </c>
      <c r="O272" s="16">
        <v>2314513</v>
      </c>
      <c r="P272" s="16">
        <v>187079</v>
      </c>
      <c r="Q272" s="16">
        <v>864120</v>
      </c>
      <c r="R272" s="16">
        <v>85921</v>
      </c>
      <c r="S272" s="16">
        <v>1</v>
      </c>
      <c r="T272" s="111">
        <v>0</v>
      </c>
    </row>
    <row r="273" spans="1:20" ht="15" customHeight="1" x14ac:dyDescent="0.2">
      <c r="A273" s="12" t="s">
        <v>693</v>
      </c>
      <c r="B273" s="56">
        <v>79086997</v>
      </c>
      <c r="C273" s="12"/>
      <c r="D273" s="12"/>
      <c r="E273" s="12"/>
      <c r="F273" s="12" t="s">
        <v>265</v>
      </c>
      <c r="G273" s="33">
        <v>2</v>
      </c>
      <c r="H273" s="33">
        <v>9</v>
      </c>
      <c r="I273" s="12" t="s">
        <v>694</v>
      </c>
      <c r="J273" s="12" t="s">
        <v>229</v>
      </c>
      <c r="K273" s="73" t="s">
        <v>29</v>
      </c>
      <c r="L273" s="13">
        <v>3177885</v>
      </c>
      <c r="M273" s="13">
        <v>1903319</v>
      </c>
      <c r="N273" s="13">
        <v>755974</v>
      </c>
      <c r="O273" s="13">
        <v>2922736</v>
      </c>
      <c r="P273" s="13">
        <v>1989157</v>
      </c>
      <c r="Q273" s="13">
        <v>255149</v>
      </c>
      <c r="R273" s="13">
        <v>10379</v>
      </c>
      <c r="S273" s="13">
        <v>0</v>
      </c>
      <c r="T273" s="81">
        <v>50</v>
      </c>
    </row>
    <row r="274" spans="1:20" ht="15" customHeight="1" x14ac:dyDescent="0.2">
      <c r="A274" s="15" t="s">
        <v>695</v>
      </c>
      <c r="B274" s="60">
        <v>81367880</v>
      </c>
      <c r="C274" s="15"/>
      <c r="D274" s="15"/>
      <c r="E274" s="15"/>
      <c r="F274" s="15" t="s">
        <v>265</v>
      </c>
      <c r="G274" s="34">
        <v>2</v>
      </c>
      <c r="H274" s="34">
        <v>9</v>
      </c>
      <c r="I274" s="15" t="s">
        <v>696</v>
      </c>
      <c r="J274" s="15" t="s">
        <v>217</v>
      </c>
      <c r="K274" s="74" t="s">
        <v>29</v>
      </c>
      <c r="L274" s="16">
        <v>3170210</v>
      </c>
      <c r="M274" s="16">
        <v>1332748</v>
      </c>
      <c r="N274" s="16">
        <v>50225</v>
      </c>
      <c r="O274" s="16">
        <v>2691774</v>
      </c>
      <c r="P274" s="16">
        <v>2343824</v>
      </c>
      <c r="Q274" s="16">
        <v>478436</v>
      </c>
      <c r="R274" s="16">
        <v>61354</v>
      </c>
      <c r="S274" s="16">
        <v>0</v>
      </c>
      <c r="T274" s="111">
        <v>30</v>
      </c>
    </row>
    <row r="275" spans="1:20" ht="15" customHeight="1" x14ac:dyDescent="0.2">
      <c r="A275" s="12" t="s">
        <v>697</v>
      </c>
      <c r="B275" s="56">
        <v>81206039</v>
      </c>
      <c r="C275" s="12"/>
      <c r="D275" s="12"/>
      <c r="E275" s="12"/>
      <c r="F275" s="12" t="s">
        <v>265</v>
      </c>
      <c r="G275" s="33">
        <v>2</v>
      </c>
      <c r="H275" s="33">
        <v>9</v>
      </c>
      <c r="I275" s="12" t="s">
        <v>698</v>
      </c>
      <c r="J275" s="12" t="s">
        <v>229</v>
      </c>
      <c r="K275" s="73" t="s">
        <v>29</v>
      </c>
      <c r="L275" s="13">
        <v>3164020</v>
      </c>
      <c r="M275" s="13">
        <v>1893982</v>
      </c>
      <c r="N275" s="13">
        <v>1038960</v>
      </c>
      <c r="O275" s="13">
        <v>2694342</v>
      </c>
      <c r="P275" s="13">
        <v>1921903</v>
      </c>
      <c r="Q275" s="13">
        <v>469678</v>
      </c>
      <c r="R275" s="13">
        <v>54084</v>
      </c>
      <c r="S275" s="13">
        <v>0</v>
      </c>
      <c r="T275" s="81">
        <v>37</v>
      </c>
    </row>
    <row r="276" spans="1:20" ht="15" customHeight="1" x14ac:dyDescent="0.2">
      <c r="A276" s="15" t="s">
        <v>699</v>
      </c>
      <c r="B276" s="60">
        <v>4632856</v>
      </c>
      <c r="C276" s="15"/>
      <c r="D276" s="15"/>
      <c r="E276" s="15"/>
      <c r="F276" s="15" t="s">
        <v>199</v>
      </c>
      <c r="G276" s="34">
        <v>2</v>
      </c>
      <c r="H276" s="34">
        <v>9</v>
      </c>
      <c r="I276" s="15" t="s">
        <v>700</v>
      </c>
      <c r="J276" s="15" t="s">
        <v>432</v>
      </c>
      <c r="K276" s="74" t="s">
        <v>29</v>
      </c>
      <c r="L276" s="16">
        <v>3149260</v>
      </c>
      <c r="M276" s="16">
        <v>97703</v>
      </c>
      <c r="N276" s="16">
        <v>1887129</v>
      </c>
      <c r="O276" s="16">
        <v>2981880</v>
      </c>
      <c r="P276" s="16">
        <v>579566</v>
      </c>
      <c r="Q276" s="16">
        <v>167380</v>
      </c>
      <c r="R276" s="16">
        <v>7765</v>
      </c>
      <c r="S276" s="16">
        <v>0</v>
      </c>
      <c r="T276" s="111">
        <v>0</v>
      </c>
    </row>
    <row r="277" spans="1:20" ht="15" customHeight="1" x14ac:dyDescent="0.2">
      <c r="A277" s="12" t="s">
        <v>701</v>
      </c>
      <c r="B277" s="56">
        <v>1604998</v>
      </c>
      <c r="C277" s="12"/>
      <c r="D277" s="12"/>
      <c r="E277" s="12"/>
      <c r="F277" s="12" t="s">
        <v>265</v>
      </c>
      <c r="G277" s="33">
        <v>2</v>
      </c>
      <c r="H277" s="33">
        <v>9</v>
      </c>
      <c r="I277" s="12" t="s">
        <v>702</v>
      </c>
      <c r="J277" s="12" t="s">
        <v>120</v>
      </c>
      <c r="K277" s="73" t="s">
        <v>29</v>
      </c>
      <c r="L277" s="13">
        <v>3148823</v>
      </c>
      <c r="M277" s="13">
        <v>1137840</v>
      </c>
      <c r="N277" s="13">
        <v>63353</v>
      </c>
      <c r="O277" s="13">
        <v>2750332</v>
      </c>
      <c r="P277" s="13">
        <v>2423788</v>
      </c>
      <c r="Q277" s="13">
        <v>398491</v>
      </c>
      <c r="R277" s="13">
        <v>46430</v>
      </c>
      <c r="S277" s="13">
        <v>0</v>
      </c>
      <c r="T277" s="81">
        <v>44</v>
      </c>
    </row>
    <row r="278" spans="1:20" ht="15" customHeight="1" x14ac:dyDescent="0.2">
      <c r="A278" s="15" t="s">
        <v>703</v>
      </c>
      <c r="B278" s="60">
        <v>37880206</v>
      </c>
      <c r="C278" s="15" t="s">
        <v>704</v>
      </c>
      <c r="D278" s="15"/>
      <c r="E278" s="15" t="s">
        <v>705</v>
      </c>
      <c r="F278" s="15" t="s">
        <v>65</v>
      </c>
      <c r="G278" s="34">
        <v>2</v>
      </c>
      <c r="H278" s="34">
        <v>14</v>
      </c>
      <c r="I278" s="15" t="s">
        <v>38</v>
      </c>
      <c r="J278" s="15" t="s">
        <v>39</v>
      </c>
      <c r="K278" s="74" t="s">
        <v>29</v>
      </c>
      <c r="L278" s="16">
        <v>3121461</v>
      </c>
      <c r="M278" s="16">
        <v>322716</v>
      </c>
      <c r="N278" s="16">
        <v>2041911</v>
      </c>
      <c r="O278" s="16">
        <v>2869313</v>
      </c>
      <c r="P278" s="16">
        <v>2551067</v>
      </c>
      <c r="Q278" s="16">
        <v>252148</v>
      </c>
      <c r="R278" s="16">
        <v>26784</v>
      </c>
      <c r="S278" s="16">
        <v>2</v>
      </c>
      <c r="T278" s="111">
        <v>0</v>
      </c>
    </row>
    <row r="279" spans="1:20" ht="15" customHeight="1" x14ac:dyDescent="0.2">
      <c r="A279" s="12" t="s">
        <v>706</v>
      </c>
      <c r="B279" s="56">
        <v>5582619</v>
      </c>
      <c r="C279" s="12"/>
      <c r="D279" s="12"/>
      <c r="E279" s="12"/>
      <c r="F279" s="12" t="s">
        <v>265</v>
      </c>
      <c r="G279" s="33">
        <v>2</v>
      </c>
      <c r="H279" s="33">
        <v>9</v>
      </c>
      <c r="I279" s="12" t="s">
        <v>372</v>
      </c>
      <c r="J279" s="12" t="s">
        <v>229</v>
      </c>
      <c r="K279" s="73" t="s">
        <v>29</v>
      </c>
      <c r="L279" s="13">
        <v>3110902</v>
      </c>
      <c r="M279" s="13">
        <v>2060713</v>
      </c>
      <c r="N279" s="13">
        <v>47999</v>
      </c>
      <c r="O279" s="13">
        <v>2795236</v>
      </c>
      <c r="P279" s="13">
        <v>2444801</v>
      </c>
      <c r="Q279" s="13">
        <v>315666</v>
      </c>
      <c r="R279" s="13">
        <v>32434</v>
      </c>
      <c r="S279" s="13">
        <v>0</v>
      </c>
      <c r="T279" s="81">
        <v>52</v>
      </c>
    </row>
    <row r="280" spans="1:20" ht="15" customHeight="1" x14ac:dyDescent="0.2">
      <c r="A280" s="15" t="s">
        <v>707</v>
      </c>
      <c r="B280" s="60">
        <v>26178533</v>
      </c>
      <c r="C280" s="15"/>
      <c r="D280" s="15"/>
      <c r="E280" s="15"/>
      <c r="F280" s="15" t="s">
        <v>265</v>
      </c>
      <c r="G280" s="34">
        <v>2</v>
      </c>
      <c r="H280" s="34">
        <v>9</v>
      </c>
      <c r="I280" s="15" t="s">
        <v>708</v>
      </c>
      <c r="J280" s="15" t="s">
        <v>120</v>
      </c>
      <c r="K280" s="74" t="s">
        <v>29</v>
      </c>
      <c r="L280" s="16">
        <v>3090901</v>
      </c>
      <c r="M280" s="16">
        <v>2018252</v>
      </c>
      <c r="N280" s="16">
        <v>37393</v>
      </c>
      <c r="O280" s="16">
        <v>2788780</v>
      </c>
      <c r="P280" s="16">
        <v>1804363</v>
      </c>
      <c r="Q280" s="16">
        <v>302121</v>
      </c>
      <c r="R280" s="16">
        <v>-799</v>
      </c>
      <c r="S280" s="16">
        <v>0</v>
      </c>
      <c r="T280" s="111">
        <v>10</v>
      </c>
    </row>
    <row r="281" spans="1:20" ht="15" customHeight="1" x14ac:dyDescent="0.2">
      <c r="A281" s="12" t="s">
        <v>709</v>
      </c>
      <c r="B281" s="56">
        <v>7656500</v>
      </c>
      <c r="C281" s="12" t="s">
        <v>710</v>
      </c>
      <c r="D281" s="12"/>
      <c r="E281" s="12" t="s">
        <v>711</v>
      </c>
      <c r="F281" s="12" t="s">
        <v>26</v>
      </c>
      <c r="G281" s="33">
        <v>3</v>
      </c>
      <c r="H281" s="33">
        <v>8</v>
      </c>
      <c r="I281" s="12" t="s">
        <v>38</v>
      </c>
      <c r="J281" s="12" t="s">
        <v>39</v>
      </c>
      <c r="K281" s="73" t="s">
        <v>29</v>
      </c>
      <c r="L281" s="13">
        <v>3085035</v>
      </c>
      <c r="M281" s="13">
        <v>734757</v>
      </c>
      <c r="N281" s="13">
        <v>2187944</v>
      </c>
      <c r="O281" s="13">
        <v>2533960</v>
      </c>
      <c r="P281" s="13">
        <v>2490162</v>
      </c>
      <c r="Q281" s="13">
        <v>551075</v>
      </c>
      <c r="R281" s="13">
        <v>25874</v>
      </c>
      <c r="S281" s="13">
        <v>2</v>
      </c>
      <c r="T281" s="81">
        <v>0</v>
      </c>
    </row>
    <row r="282" spans="1:20" ht="15" customHeight="1" x14ac:dyDescent="0.2">
      <c r="A282" s="15" t="s">
        <v>712</v>
      </c>
      <c r="B282" s="60">
        <v>87510475</v>
      </c>
      <c r="C282" s="15"/>
      <c r="D282" s="15"/>
      <c r="E282" s="15"/>
      <c r="F282" s="15" t="s">
        <v>265</v>
      </c>
      <c r="G282" s="34">
        <v>2</v>
      </c>
      <c r="H282" s="34">
        <v>9</v>
      </c>
      <c r="I282" s="15" t="s">
        <v>713</v>
      </c>
      <c r="J282" s="15" t="s">
        <v>74</v>
      </c>
      <c r="K282" s="74" t="s">
        <v>29</v>
      </c>
      <c r="L282" s="16">
        <v>3075343</v>
      </c>
      <c r="M282" s="16">
        <v>1963579</v>
      </c>
      <c r="N282" s="16">
        <v>949187</v>
      </c>
      <c r="O282" s="16">
        <v>2718927</v>
      </c>
      <c r="P282" s="16">
        <v>1417754</v>
      </c>
      <c r="Q282" s="16">
        <v>356416</v>
      </c>
      <c r="R282" s="16">
        <v>-15714</v>
      </c>
      <c r="S282" s="16">
        <v>0</v>
      </c>
      <c r="T282" s="111">
        <v>28</v>
      </c>
    </row>
    <row r="283" spans="1:20" ht="15" customHeight="1" x14ac:dyDescent="0.2">
      <c r="A283" s="12" t="s">
        <v>714</v>
      </c>
      <c r="B283" s="56">
        <v>48703388</v>
      </c>
      <c r="C283" s="12" t="s">
        <v>715</v>
      </c>
      <c r="D283" s="12"/>
      <c r="E283" s="12" t="s">
        <v>716</v>
      </c>
      <c r="F283" s="12" t="s">
        <v>65</v>
      </c>
      <c r="G283" s="33">
        <v>2</v>
      </c>
      <c r="H283" s="33">
        <v>14</v>
      </c>
      <c r="I283" s="12" t="s">
        <v>38</v>
      </c>
      <c r="J283" s="12" t="s">
        <v>39</v>
      </c>
      <c r="K283" s="73" t="s">
        <v>29</v>
      </c>
      <c r="L283" s="13">
        <v>3071149</v>
      </c>
      <c r="M283" s="13">
        <v>1390480</v>
      </c>
      <c r="N283" s="13">
        <v>1128868</v>
      </c>
      <c r="O283" s="13">
        <v>2772448</v>
      </c>
      <c r="P283" s="13">
        <v>2703027</v>
      </c>
      <c r="Q283" s="13">
        <v>298701</v>
      </c>
      <c r="R283" s="13">
        <v>-90661</v>
      </c>
      <c r="S283" s="13">
        <v>3</v>
      </c>
      <c r="T283" s="81">
        <v>0</v>
      </c>
    </row>
    <row r="284" spans="1:20" ht="15" customHeight="1" x14ac:dyDescent="0.2">
      <c r="A284" s="15" t="s">
        <v>717</v>
      </c>
      <c r="B284" s="60">
        <v>81016131</v>
      </c>
      <c r="C284" s="15"/>
      <c r="D284" s="15"/>
      <c r="E284" s="15"/>
      <c r="F284" s="15" t="s">
        <v>265</v>
      </c>
      <c r="G284" s="34">
        <v>2</v>
      </c>
      <c r="H284" s="34">
        <v>9</v>
      </c>
      <c r="I284" s="15" t="s">
        <v>718</v>
      </c>
      <c r="J284" s="15" t="s">
        <v>217</v>
      </c>
      <c r="K284" s="74" t="s">
        <v>29</v>
      </c>
      <c r="L284" s="16">
        <v>3053784</v>
      </c>
      <c r="M284" s="16">
        <v>1519889</v>
      </c>
      <c r="N284" s="16">
        <v>62371</v>
      </c>
      <c r="O284" s="16">
        <v>2744119</v>
      </c>
      <c r="P284" s="16">
        <v>2156800</v>
      </c>
      <c r="Q284" s="16">
        <v>309665</v>
      </c>
      <c r="R284" s="16">
        <v>18876</v>
      </c>
      <c r="S284" s="16">
        <v>0</v>
      </c>
      <c r="T284" s="111">
        <v>34</v>
      </c>
    </row>
    <row r="285" spans="1:20" ht="15" customHeight="1" x14ac:dyDescent="0.2">
      <c r="A285" s="12" t="s">
        <v>719</v>
      </c>
      <c r="B285" s="56">
        <v>77984870</v>
      </c>
      <c r="C285" s="12"/>
      <c r="D285" s="12"/>
      <c r="E285" s="12"/>
      <c r="F285" s="12" t="s">
        <v>265</v>
      </c>
      <c r="G285" s="33">
        <v>2</v>
      </c>
      <c r="H285" s="33">
        <v>9</v>
      </c>
      <c r="I285" s="12" t="s">
        <v>720</v>
      </c>
      <c r="J285" s="12" t="s">
        <v>229</v>
      </c>
      <c r="K285" s="73" t="s">
        <v>29</v>
      </c>
      <c r="L285" s="13">
        <v>3018003</v>
      </c>
      <c r="M285" s="13">
        <v>1804806</v>
      </c>
      <c r="N285" s="13">
        <v>924481</v>
      </c>
      <c r="O285" s="13">
        <v>2721527</v>
      </c>
      <c r="P285" s="13">
        <v>1772512</v>
      </c>
      <c r="Q285" s="13">
        <v>296475</v>
      </c>
      <c r="R285" s="13">
        <v>19315</v>
      </c>
      <c r="S285" s="13">
        <v>0</v>
      </c>
      <c r="T285" s="81">
        <v>29</v>
      </c>
    </row>
    <row r="286" spans="1:20" ht="15" customHeight="1" x14ac:dyDescent="0.2">
      <c r="A286" s="15" t="s">
        <v>721</v>
      </c>
      <c r="B286" s="60">
        <v>19540550</v>
      </c>
      <c r="C286" s="15" t="s">
        <v>722</v>
      </c>
      <c r="D286" s="15"/>
      <c r="E286" s="15" t="s">
        <v>723</v>
      </c>
      <c r="F286" s="15" t="s">
        <v>84</v>
      </c>
      <c r="G286" s="34">
        <v>2</v>
      </c>
      <c r="H286" s="34">
        <v>41</v>
      </c>
      <c r="I286" s="15" t="s">
        <v>528</v>
      </c>
      <c r="J286" s="15" t="s">
        <v>217</v>
      </c>
      <c r="K286" s="74" t="s">
        <v>29</v>
      </c>
      <c r="L286" s="16">
        <v>3015510</v>
      </c>
      <c r="M286" s="16">
        <v>6614</v>
      </c>
      <c r="N286" s="16">
        <v>1125884</v>
      </c>
      <c r="O286" s="16">
        <v>2635750</v>
      </c>
      <c r="P286" s="16">
        <v>1368331</v>
      </c>
      <c r="Q286" s="16">
        <v>379760</v>
      </c>
      <c r="R286" s="16">
        <v>2595</v>
      </c>
      <c r="S286" s="16">
        <v>1</v>
      </c>
      <c r="T286" s="111">
        <v>0</v>
      </c>
    </row>
    <row r="287" spans="1:20" ht="15" customHeight="1" x14ac:dyDescent="0.2">
      <c r="A287" s="12" t="s">
        <v>724</v>
      </c>
      <c r="B287" s="56">
        <v>1852137</v>
      </c>
      <c r="C287" s="12" t="s">
        <v>725</v>
      </c>
      <c r="D287" s="12"/>
      <c r="E287" s="12" t="s">
        <v>726</v>
      </c>
      <c r="F287" s="12" t="s">
        <v>26</v>
      </c>
      <c r="G287" s="33">
        <v>2</v>
      </c>
      <c r="H287" s="33">
        <v>8</v>
      </c>
      <c r="I287" s="12" t="s">
        <v>38</v>
      </c>
      <c r="J287" s="12" t="s">
        <v>39</v>
      </c>
      <c r="K287" s="73" t="s">
        <v>29</v>
      </c>
      <c r="L287" s="13">
        <v>3005856</v>
      </c>
      <c r="M287" s="13">
        <v>2535614</v>
      </c>
      <c r="N287" s="13">
        <v>108991</v>
      </c>
      <c r="O287" s="13">
        <v>2696251</v>
      </c>
      <c r="P287" s="13">
        <v>2618378</v>
      </c>
      <c r="Q287" s="13">
        <v>309605</v>
      </c>
      <c r="R287" s="13">
        <v>-461</v>
      </c>
      <c r="S287" s="13">
        <v>2</v>
      </c>
      <c r="T287" s="81">
        <v>0</v>
      </c>
    </row>
    <row r="288" spans="1:20" ht="15" customHeight="1" x14ac:dyDescent="0.2">
      <c r="A288" s="15" t="s">
        <v>727</v>
      </c>
      <c r="B288" s="60">
        <v>79063574</v>
      </c>
      <c r="C288" s="15"/>
      <c r="D288" s="15"/>
      <c r="E288" s="15"/>
      <c r="F288" s="15" t="s">
        <v>265</v>
      </c>
      <c r="G288" s="34">
        <v>2</v>
      </c>
      <c r="H288" s="34">
        <v>9</v>
      </c>
      <c r="I288" s="15" t="s">
        <v>728</v>
      </c>
      <c r="J288" s="15" t="s">
        <v>229</v>
      </c>
      <c r="K288" s="74" t="s">
        <v>29</v>
      </c>
      <c r="L288" s="16">
        <v>2993490</v>
      </c>
      <c r="M288" s="16">
        <v>1648008</v>
      </c>
      <c r="N288" s="16">
        <v>1102377</v>
      </c>
      <c r="O288" s="16">
        <v>2692303</v>
      </c>
      <c r="P288" s="16">
        <v>1735557</v>
      </c>
      <c r="Q288" s="16">
        <v>301188</v>
      </c>
      <c r="R288" s="16">
        <v>15025</v>
      </c>
      <c r="S288" s="16">
        <v>0</v>
      </c>
      <c r="T288" s="111">
        <v>34</v>
      </c>
    </row>
    <row r="289" spans="1:20" ht="15" customHeight="1" x14ac:dyDescent="0.2">
      <c r="A289" s="12" t="s">
        <v>729</v>
      </c>
      <c r="B289" s="56">
        <v>5276770</v>
      </c>
      <c r="C289" s="12"/>
      <c r="D289" s="12"/>
      <c r="E289" s="12"/>
      <c r="F289" s="12" t="s">
        <v>265</v>
      </c>
      <c r="G289" s="33">
        <v>2</v>
      </c>
      <c r="H289" s="33">
        <v>9</v>
      </c>
      <c r="I289" s="12" t="s">
        <v>730</v>
      </c>
      <c r="J289" s="12" t="s">
        <v>229</v>
      </c>
      <c r="K289" s="73" t="s">
        <v>29</v>
      </c>
      <c r="L289" s="13">
        <v>2993218</v>
      </c>
      <c r="M289" s="13">
        <v>2281185</v>
      </c>
      <c r="N289" s="13">
        <v>44989</v>
      </c>
      <c r="O289" s="13">
        <v>2614757</v>
      </c>
      <c r="P289" s="13">
        <v>1502417</v>
      </c>
      <c r="Q289" s="13">
        <v>378462</v>
      </c>
      <c r="R289" s="13">
        <v>25738</v>
      </c>
      <c r="S289" s="13">
        <v>0</v>
      </c>
      <c r="T289" s="81">
        <v>45</v>
      </c>
    </row>
    <row r="290" spans="1:20" ht="15" customHeight="1" x14ac:dyDescent="0.2">
      <c r="A290" s="15" t="s">
        <v>731</v>
      </c>
      <c r="B290" s="60">
        <v>87784088</v>
      </c>
      <c r="C290" s="15"/>
      <c r="D290" s="15"/>
      <c r="E290" s="15"/>
      <c r="F290" s="15" t="s">
        <v>265</v>
      </c>
      <c r="G290" s="34">
        <v>2</v>
      </c>
      <c r="H290" s="34">
        <v>9</v>
      </c>
      <c r="I290" s="15" t="s">
        <v>732</v>
      </c>
      <c r="J290" s="15" t="s">
        <v>74</v>
      </c>
      <c r="K290" s="74" t="s">
        <v>29</v>
      </c>
      <c r="L290" s="16">
        <v>2993188</v>
      </c>
      <c r="M290" s="16">
        <v>1911625</v>
      </c>
      <c r="N290" s="16">
        <v>917059</v>
      </c>
      <c r="O290" s="16">
        <v>2678647</v>
      </c>
      <c r="P290" s="16">
        <v>1640215</v>
      </c>
      <c r="Q290" s="16">
        <v>314541</v>
      </c>
      <c r="R290" s="16">
        <v>10536</v>
      </c>
      <c r="S290" s="16">
        <v>0</v>
      </c>
      <c r="T290" s="111">
        <v>30</v>
      </c>
    </row>
    <row r="291" spans="1:20" ht="15" customHeight="1" x14ac:dyDescent="0.2">
      <c r="A291" s="12" t="s">
        <v>733</v>
      </c>
      <c r="B291" s="56">
        <v>81192106</v>
      </c>
      <c r="C291" s="12"/>
      <c r="D291" s="12"/>
      <c r="E291" s="12"/>
      <c r="F291" s="12" t="s">
        <v>265</v>
      </c>
      <c r="G291" s="33">
        <v>2</v>
      </c>
      <c r="H291" s="33">
        <v>9</v>
      </c>
      <c r="I291" s="12" t="s">
        <v>734</v>
      </c>
      <c r="J291" s="12" t="s">
        <v>229</v>
      </c>
      <c r="K291" s="73" t="s">
        <v>29</v>
      </c>
      <c r="L291" s="13">
        <v>2991757</v>
      </c>
      <c r="M291" s="13">
        <v>1775079</v>
      </c>
      <c r="N291" s="13">
        <v>852922</v>
      </c>
      <c r="O291" s="13">
        <v>2703702</v>
      </c>
      <c r="P291" s="13">
        <v>1769851</v>
      </c>
      <c r="Q291" s="13">
        <v>288055</v>
      </c>
      <c r="R291" s="13">
        <v>12753</v>
      </c>
      <c r="S291" s="13">
        <v>0</v>
      </c>
      <c r="T291" s="81">
        <v>31</v>
      </c>
    </row>
    <row r="292" spans="1:20" ht="15" customHeight="1" x14ac:dyDescent="0.2">
      <c r="A292" s="15" t="s">
        <v>735</v>
      </c>
      <c r="B292" s="60">
        <v>14568725</v>
      </c>
      <c r="C292" s="15"/>
      <c r="D292" s="15"/>
      <c r="E292" s="15"/>
      <c r="F292" s="15" t="s">
        <v>199</v>
      </c>
      <c r="G292" s="34">
        <v>2</v>
      </c>
      <c r="H292" s="34">
        <v>9</v>
      </c>
      <c r="I292" s="15" t="s">
        <v>53</v>
      </c>
      <c r="J292" s="15" t="s">
        <v>54</v>
      </c>
      <c r="K292" s="74" t="s">
        <v>29</v>
      </c>
      <c r="L292" s="16">
        <v>2971468</v>
      </c>
      <c r="M292" s="16">
        <v>29298</v>
      </c>
      <c r="N292" s="16">
        <v>1141543</v>
      </c>
      <c r="O292" s="16">
        <v>2706428</v>
      </c>
      <c r="P292" s="16">
        <v>0</v>
      </c>
      <c r="Q292" s="16">
        <v>265040</v>
      </c>
      <c r="R292" s="16">
        <v>12663</v>
      </c>
      <c r="S292" s="16">
        <v>0</v>
      </c>
      <c r="T292" s="111">
        <v>2</v>
      </c>
    </row>
    <row r="293" spans="1:20" ht="15" customHeight="1" x14ac:dyDescent="0.2">
      <c r="A293" s="12" t="s">
        <v>736</v>
      </c>
      <c r="B293" s="56">
        <v>60770336</v>
      </c>
      <c r="C293" s="12" t="s">
        <v>67</v>
      </c>
      <c r="D293" s="12" t="s">
        <v>68</v>
      </c>
      <c r="E293" s="12" t="s">
        <v>69</v>
      </c>
      <c r="F293" s="12" t="s">
        <v>60</v>
      </c>
      <c r="G293" s="33">
        <v>2</v>
      </c>
      <c r="H293" s="33">
        <v>13</v>
      </c>
      <c r="I293" s="12" t="s">
        <v>38</v>
      </c>
      <c r="J293" s="12" t="s">
        <v>39</v>
      </c>
      <c r="K293" s="73" t="s">
        <v>29</v>
      </c>
      <c r="L293" s="13">
        <v>2952623</v>
      </c>
      <c r="M293" s="13">
        <v>917489</v>
      </c>
      <c r="N293" s="13">
        <v>314605</v>
      </c>
      <c r="O293" s="13">
        <v>1469080</v>
      </c>
      <c r="P293" s="13">
        <v>1332118</v>
      </c>
      <c r="Q293" s="13">
        <v>1483543</v>
      </c>
      <c r="R293" s="13">
        <v>-26619</v>
      </c>
      <c r="S293" s="13">
        <v>9</v>
      </c>
      <c r="T293" s="81">
        <v>0</v>
      </c>
    </row>
    <row r="294" spans="1:20" ht="15" customHeight="1" x14ac:dyDescent="0.2">
      <c r="A294" s="15" t="s">
        <v>737</v>
      </c>
      <c r="B294" s="60">
        <v>33022690</v>
      </c>
      <c r="C294" s="15"/>
      <c r="D294" s="15"/>
      <c r="E294" s="15"/>
      <c r="F294" s="15" t="s">
        <v>265</v>
      </c>
      <c r="G294" s="34">
        <v>2</v>
      </c>
      <c r="H294" s="34">
        <v>9</v>
      </c>
      <c r="I294" s="15" t="s">
        <v>738</v>
      </c>
      <c r="J294" s="15" t="s">
        <v>329</v>
      </c>
      <c r="K294" s="74" t="s">
        <v>29</v>
      </c>
      <c r="L294" s="16">
        <v>2951598</v>
      </c>
      <c r="M294" s="16">
        <v>1955613</v>
      </c>
      <c r="N294" s="16">
        <v>671335</v>
      </c>
      <c r="O294" s="16">
        <v>2623867</v>
      </c>
      <c r="P294" s="16">
        <v>1681986</v>
      </c>
      <c r="Q294" s="16">
        <v>327731</v>
      </c>
      <c r="R294" s="16">
        <v>-37367</v>
      </c>
      <c r="S294" s="16">
        <v>0</v>
      </c>
      <c r="T294" s="111">
        <v>36</v>
      </c>
    </row>
    <row r="295" spans="1:20" ht="15" customHeight="1" x14ac:dyDescent="0.2">
      <c r="A295" s="12" t="s">
        <v>739</v>
      </c>
      <c r="B295" s="56">
        <v>89049738</v>
      </c>
      <c r="C295" s="12"/>
      <c r="D295" s="12"/>
      <c r="E295" s="12"/>
      <c r="F295" s="12" t="s">
        <v>265</v>
      </c>
      <c r="G295" s="33">
        <v>2</v>
      </c>
      <c r="H295" s="33">
        <v>9</v>
      </c>
      <c r="I295" s="12" t="s">
        <v>740</v>
      </c>
      <c r="J295" s="12" t="s">
        <v>74</v>
      </c>
      <c r="K295" s="73" t="s">
        <v>29</v>
      </c>
      <c r="L295" s="13">
        <v>2947863</v>
      </c>
      <c r="M295" s="13">
        <v>1604471</v>
      </c>
      <c r="N295" s="13">
        <v>993446</v>
      </c>
      <c r="O295" s="13">
        <v>2278328</v>
      </c>
      <c r="P295" s="13">
        <v>1726406</v>
      </c>
      <c r="Q295" s="13">
        <v>669535</v>
      </c>
      <c r="R295" s="13">
        <v>54027</v>
      </c>
      <c r="S295" s="13">
        <v>0</v>
      </c>
      <c r="T295" s="81">
        <v>26</v>
      </c>
    </row>
    <row r="296" spans="1:20" ht="15" customHeight="1" x14ac:dyDescent="0.2">
      <c r="A296" s="15" t="s">
        <v>741</v>
      </c>
      <c r="B296" s="60">
        <v>17343510</v>
      </c>
      <c r="C296" s="15"/>
      <c r="D296" s="15"/>
      <c r="E296" s="15"/>
      <c r="F296" s="15" t="s">
        <v>265</v>
      </c>
      <c r="G296" s="34">
        <v>2</v>
      </c>
      <c r="H296" s="34">
        <v>9</v>
      </c>
      <c r="I296" s="15" t="s">
        <v>742</v>
      </c>
      <c r="J296" s="15" t="s">
        <v>74</v>
      </c>
      <c r="K296" s="74" t="s">
        <v>29</v>
      </c>
      <c r="L296" s="16">
        <v>2938079</v>
      </c>
      <c r="M296" s="16">
        <v>2219286</v>
      </c>
      <c r="N296" s="16">
        <v>45272</v>
      </c>
      <c r="O296" s="16">
        <v>2608497</v>
      </c>
      <c r="P296" s="16">
        <v>1646343</v>
      </c>
      <c r="Q296" s="16">
        <v>329581</v>
      </c>
      <c r="R296" s="16">
        <v>24151</v>
      </c>
      <c r="S296" s="16">
        <v>0</v>
      </c>
      <c r="T296" s="111">
        <v>56</v>
      </c>
    </row>
    <row r="297" spans="1:20" ht="15" customHeight="1" x14ac:dyDescent="0.2">
      <c r="A297" s="12" t="s">
        <v>743</v>
      </c>
      <c r="B297" s="56">
        <v>22177858</v>
      </c>
      <c r="C297" s="12" t="s">
        <v>116</v>
      </c>
      <c r="D297" s="12"/>
      <c r="E297" s="12" t="s">
        <v>118</v>
      </c>
      <c r="F297" s="12" t="s">
        <v>84</v>
      </c>
      <c r="G297" s="33">
        <v>2</v>
      </c>
      <c r="H297" s="33">
        <v>41</v>
      </c>
      <c r="I297" s="12" t="s">
        <v>119</v>
      </c>
      <c r="J297" s="12" t="s">
        <v>120</v>
      </c>
      <c r="K297" s="73" t="s">
        <v>29</v>
      </c>
      <c r="L297" s="13">
        <v>2922091</v>
      </c>
      <c r="M297" s="13">
        <v>0</v>
      </c>
      <c r="N297" s="13">
        <v>1906534</v>
      </c>
      <c r="O297" s="13">
        <v>748459</v>
      </c>
      <c r="P297" s="13">
        <v>0</v>
      </c>
      <c r="Q297" s="13">
        <v>2173632</v>
      </c>
      <c r="R297" s="13">
        <v>54400</v>
      </c>
      <c r="S297" s="13">
        <v>1</v>
      </c>
      <c r="T297" s="81">
        <v>0</v>
      </c>
    </row>
    <row r="298" spans="1:20" ht="15" customHeight="1" x14ac:dyDescent="0.2">
      <c r="A298" s="15" t="s">
        <v>744</v>
      </c>
      <c r="B298" s="60">
        <v>3532415</v>
      </c>
      <c r="C298" s="15" t="s">
        <v>745</v>
      </c>
      <c r="D298" s="15" t="s">
        <v>746</v>
      </c>
      <c r="E298" s="15" t="s">
        <v>747</v>
      </c>
      <c r="F298" s="15" t="s">
        <v>26</v>
      </c>
      <c r="G298" s="34">
        <v>3</v>
      </c>
      <c r="H298" s="34">
        <v>8</v>
      </c>
      <c r="I298" s="15" t="s">
        <v>38</v>
      </c>
      <c r="J298" s="15" t="s">
        <v>39</v>
      </c>
      <c r="K298" s="74" t="s">
        <v>29</v>
      </c>
      <c r="L298" s="16">
        <v>2907341</v>
      </c>
      <c r="M298" s="16">
        <v>0</v>
      </c>
      <c r="N298" s="16">
        <v>849340</v>
      </c>
      <c r="O298" s="16">
        <v>2276394</v>
      </c>
      <c r="P298" s="16">
        <v>1311544</v>
      </c>
      <c r="Q298" s="16">
        <v>630947</v>
      </c>
      <c r="R298" s="16">
        <v>22996</v>
      </c>
      <c r="S298" s="16">
        <v>2</v>
      </c>
      <c r="T298" s="111">
        <v>0</v>
      </c>
    </row>
    <row r="299" spans="1:20" ht="15" customHeight="1" x14ac:dyDescent="0.2">
      <c r="A299" s="12" t="s">
        <v>748</v>
      </c>
      <c r="B299" s="56">
        <v>95424891</v>
      </c>
      <c r="C299" s="12"/>
      <c r="D299" s="12"/>
      <c r="E299" s="12"/>
      <c r="F299" s="12" t="s">
        <v>265</v>
      </c>
      <c r="G299" s="33">
        <v>2</v>
      </c>
      <c r="H299" s="33">
        <v>9</v>
      </c>
      <c r="I299" s="12" t="s">
        <v>749</v>
      </c>
      <c r="J299" s="12" t="s">
        <v>74</v>
      </c>
      <c r="K299" s="73" t="s">
        <v>29</v>
      </c>
      <c r="L299" s="13">
        <v>2892572</v>
      </c>
      <c r="M299" s="13">
        <v>1467305</v>
      </c>
      <c r="N299" s="13">
        <v>1305144</v>
      </c>
      <c r="O299" s="13">
        <v>2366108</v>
      </c>
      <c r="P299" s="13">
        <v>1829174</v>
      </c>
      <c r="Q299" s="13">
        <v>526464</v>
      </c>
      <c r="R299" s="13">
        <v>59805</v>
      </c>
      <c r="S299" s="13">
        <v>0</v>
      </c>
      <c r="T299" s="81">
        <v>16</v>
      </c>
    </row>
    <row r="300" spans="1:20" ht="15" customHeight="1" x14ac:dyDescent="0.2">
      <c r="A300" s="15" t="s">
        <v>750</v>
      </c>
      <c r="B300" s="60">
        <v>78858107</v>
      </c>
      <c r="C300" s="15"/>
      <c r="D300" s="15"/>
      <c r="E300" s="15"/>
      <c r="F300" s="15" t="s">
        <v>265</v>
      </c>
      <c r="G300" s="34">
        <v>2</v>
      </c>
      <c r="H300" s="34">
        <v>9</v>
      </c>
      <c r="I300" s="15" t="s">
        <v>751</v>
      </c>
      <c r="J300" s="15" t="s">
        <v>217</v>
      </c>
      <c r="K300" s="74" t="s">
        <v>29</v>
      </c>
      <c r="L300" s="16">
        <v>2884727</v>
      </c>
      <c r="M300" s="16">
        <v>941675</v>
      </c>
      <c r="N300" s="16">
        <v>58242</v>
      </c>
      <c r="O300" s="16">
        <v>2391918</v>
      </c>
      <c r="P300" s="16">
        <v>2062380</v>
      </c>
      <c r="Q300" s="16">
        <v>492808</v>
      </c>
      <c r="R300" s="16">
        <v>50411</v>
      </c>
      <c r="S300" s="16">
        <v>0</v>
      </c>
      <c r="T300" s="111">
        <v>18</v>
      </c>
    </row>
    <row r="301" spans="1:20" ht="15" customHeight="1" x14ac:dyDescent="0.2">
      <c r="A301" s="12" t="s">
        <v>752</v>
      </c>
      <c r="B301" s="56">
        <v>81014060</v>
      </c>
      <c r="C301" s="12"/>
      <c r="D301" s="12"/>
      <c r="E301" s="12"/>
      <c r="F301" s="12" t="s">
        <v>265</v>
      </c>
      <c r="G301" s="33">
        <v>2</v>
      </c>
      <c r="H301" s="33">
        <v>9</v>
      </c>
      <c r="I301" s="12" t="s">
        <v>753</v>
      </c>
      <c r="J301" s="12" t="s">
        <v>217</v>
      </c>
      <c r="K301" s="73" t="s">
        <v>29</v>
      </c>
      <c r="L301" s="13">
        <v>2859377</v>
      </c>
      <c r="M301" s="13">
        <v>1693198</v>
      </c>
      <c r="N301" s="13">
        <v>68685</v>
      </c>
      <c r="O301" s="13">
        <v>2504354</v>
      </c>
      <c r="P301" s="13">
        <v>1873543</v>
      </c>
      <c r="Q301" s="13">
        <v>355023</v>
      </c>
      <c r="R301" s="13">
        <v>-4365</v>
      </c>
      <c r="S301" s="13">
        <v>0</v>
      </c>
      <c r="T301" s="81">
        <v>25</v>
      </c>
    </row>
    <row r="302" spans="1:20" ht="15" customHeight="1" x14ac:dyDescent="0.2">
      <c r="A302" s="15" t="s">
        <v>754</v>
      </c>
      <c r="B302" s="60">
        <v>88471024</v>
      </c>
      <c r="C302" s="15"/>
      <c r="D302" s="15"/>
      <c r="E302" s="15"/>
      <c r="F302" s="15" t="s">
        <v>265</v>
      </c>
      <c r="G302" s="34">
        <v>2</v>
      </c>
      <c r="H302" s="34">
        <v>9</v>
      </c>
      <c r="I302" s="15" t="s">
        <v>755</v>
      </c>
      <c r="J302" s="15" t="s">
        <v>74</v>
      </c>
      <c r="K302" s="74" t="s">
        <v>29</v>
      </c>
      <c r="L302" s="16">
        <v>2849993</v>
      </c>
      <c r="M302" s="16">
        <v>1774617</v>
      </c>
      <c r="N302" s="16">
        <v>869357</v>
      </c>
      <c r="O302" s="16">
        <v>2461494</v>
      </c>
      <c r="P302" s="16">
        <v>1703255</v>
      </c>
      <c r="Q302" s="16">
        <v>388499</v>
      </c>
      <c r="R302" s="16">
        <v>15172</v>
      </c>
      <c r="S302" s="16">
        <v>0</v>
      </c>
      <c r="T302" s="111">
        <v>32</v>
      </c>
    </row>
    <row r="303" spans="1:20" ht="15" customHeight="1" x14ac:dyDescent="0.2">
      <c r="A303" s="12" t="s">
        <v>756</v>
      </c>
      <c r="B303" s="56">
        <v>16668076</v>
      </c>
      <c r="C303" s="12" t="s">
        <v>757</v>
      </c>
      <c r="D303" s="12"/>
      <c r="E303" s="12" t="s">
        <v>758</v>
      </c>
      <c r="F303" s="12" t="s">
        <v>84</v>
      </c>
      <c r="G303" s="33">
        <v>3</v>
      </c>
      <c r="H303" s="33">
        <v>41</v>
      </c>
      <c r="I303" s="12" t="s">
        <v>38</v>
      </c>
      <c r="J303" s="12" t="s">
        <v>39</v>
      </c>
      <c r="K303" s="73" t="s">
        <v>29</v>
      </c>
      <c r="L303" s="13">
        <v>2843510</v>
      </c>
      <c r="M303" s="13">
        <v>0</v>
      </c>
      <c r="N303" s="13">
        <v>103148</v>
      </c>
      <c r="O303" s="13">
        <v>2446895</v>
      </c>
      <c r="P303" s="13">
        <v>129821</v>
      </c>
      <c r="Q303" s="13">
        <v>396615</v>
      </c>
      <c r="R303" s="13">
        <v>-20852</v>
      </c>
      <c r="S303" s="13">
        <v>1</v>
      </c>
      <c r="T303" s="81">
        <v>0</v>
      </c>
    </row>
    <row r="304" spans="1:20" ht="15" customHeight="1" x14ac:dyDescent="0.2">
      <c r="A304" s="15" t="s">
        <v>759</v>
      </c>
      <c r="B304" s="60">
        <v>85291086</v>
      </c>
      <c r="C304" s="15"/>
      <c r="D304" s="15"/>
      <c r="E304" s="15"/>
      <c r="F304" s="15" t="s">
        <v>265</v>
      </c>
      <c r="G304" s="34">
        <v>2</v>
      </c>
      <c r="H304" s="34">
        <v>9</v>
      </c>
      <c r="I304" s="15" t="s">
        <v>760</v>
      </c>
      <c r="J304" s="15" t="s">
        <v>217</v>
      </c>
      <c r="K304" s="74" t="s">
        <v>29</v>
      </c>
      <c r="L304" s="16">
        <v>2842196</v>
      </c>
      <c r="M304" s="16">
        <v>1409928</v>
      </c>
      <c r="N304" s="16">
        <v>47374</v>
      </c>
      <c r="O304" s="16">
        <v>2432868</v>
      </c>
      <c r="P304" s="16">
        <v>2141787</v>
      </c>
      <c r="Q304" s="16">
        <v>409328</v>
      </c>
      <c r="R304" s="16">
        <v>45634</v>
      </c>
      <c r="S304" s="16">
        <v>0</v>
      </c>
      <c r="T304" s="111">
        <v>16</v>
      </c>
    </row>
    <row r="305" spans="1:20" ht="15" customHeight="1" x14ac:dyDescent="0.2">
      <c r="A305" s="12" t="s">
        <v>761</v>
      </c>
      <c r="B305" s="56">
        <v>87437687</v>
      </c>
      <c r="C305" s="12"/>
      <c r="D305" s="12"/>
      <c r="E305" s="12"/>
      <c r="F305" s="12" t="s">
        <v>199</v>
      </c>
      <c r="G305" s="33">
        <v>2</v>
      </c>
      <c r="H305" s="33">
        <v>9</v>
      </c>
      <c r="I305" s="12" t="s">
        <v>73</v>
      </c>
      <c r="J305" s="12" t="s">
        <v>74</v>
      </c>
      <c r="K305" s="73" t="s">
        <v>29</v>
      </c>
      <c r="L305" s="13">
        <v>2830096</v>
      </c>
      <c r="M305" s="13">
        <v>0</v>
      </c>
      <c r="N305" s="13">
        <v>1231343</v>
      </c>
      <c r="O305" s="13">
        <v>194399</v>
      </c>
      <c r="P305" s="13">
        <v>8323</v>
      </c>
      <c r="Q305" s="13">
        <v>2635697</v>
      </c>
      <c r="R305" s="13">
        <v>0</v>
      </c>
      <c r="S305" s="13">
        <v>0</v>
      </c>
      <c r="T305" s="81">
        <v>0</v>
      </c>
    </row>
    <row r="306" spans="1:20" ht="15" customHeight="1" x14ac:dyDescent="0.2">
      <c r="A306" s="15" t="s">
        <v>762</v>
      </c>
      <c r="B306" s="60">
        <v>5888589</v>
      </c>
      <c r="C306" s="15"/>
      <c r="D306" s="15"/>
      <c r="E306" s="15"/>
      <c r="F306" s="15" t="s">
        <v>265</v>
      </c>
      <c r="G306" s="34">
        <v>2</v>
      </c>
      <c r="H306" s="34">
        <v>9</v>
      </c>
      <c r="I306" s="15" t="s">
        <v>228</v>
      </c>
      <c r="J306" s="15" t="s">
        <v>229</v>
      </c>
      <c r="K306" s="74" t="s">
        <v>29</v>
      </c>
      <c r="L306" s="16">
        <v>2820180</v>
      </c>
      <c r="M306" s="16">
        <v>1978185</v>
      </c>
      <c r="N306" s="16">
        <v>39165</v>
      </c>
      <c r="O306" s="16">
        <v>2491590</v>
      </c>
      <c r="P306" s="16">
        <v>2191877</v>
      </c>
      <c r="Q306" s="16">
        <v>328590</v>
      </c>
      <c r="R306" s="16">
        <v>16282</v>
      </c>
      <c r="S306" s="16">
        <v>0</v>
      </c>
      <c r="T306" s="111">
        <v>35</v>
      </c>
    </row>
    <row r="307" spans="1:20" ht="15" customHeight="1" x14ac:dyDescent="0.2">
      <c r="A307" s="12" t="s">
        <v>763</v>
      </c>
      <c r="B307" s="56">
        <v>60850229</v>
      </c>
      <c r="C307" s="12" t="s">
        <v>448</v>
      </c>
      <c r="D307" s="12" t="s">
        <v>449</v>
      </c>
      <c r="E307" s="12" t="s">
        <v>450</v>
      </c>
      <c r="F307" s="12" t="s">
        <v>26</v>
      </c>
      <c r="G307" s="33">
        <v>2</v>
      </c>
      <c r="H307" s="33">
        <v>8</v>
      </c>
      <c r="I307" s="12" t="s">
        <v>38</v>
      </c>
      <c r="J307" s="12" t="s">
        <v>39</v>
      </c>
      <c r="K307" s="73" t="s">
        <v>29</v>
      </c>
      <c r="L307" s="13">
        <v>2809731</v>
      </c>
      <c r="M307" s="13">
        <v>511223</v>
      </c>
      <c r="N307" s="13">
        <v>96250</v>
      </c>
      <c r="O307" s="13">
        <v>2328005</v>
      </c>
      <c r="P307" s="13">
        <v>2230846</v>
      </c>
      <c r="Q307" s="13">
        <v>481727</v>
      </c>
      <c r="R307" s="13">
        <v>24553</v>
      </c>
      <c r="S307" s="13">
        <v>2</v>
      </c>
      <c r="T307" s="81">
        <v>0</v>
      </c>
    </row>
    <row r="308" spans="1:20" ht="15" customHeight="1" x14ac:dyDescent="0.2">
      <c r="A308" s="15" t="s">
        <v>764</v>
      </c>
      <c r="B308" s="60">
        <v>10878448</v>
      </c>
      <c r="C308" s="15" t="s">
        <v>765</v>
      </c>
      <c r="D308" s="15"/>
      <c r="E308" s="15" t="s">
        <v>766</v>
      </c>
      <c r="F308" s="15" t="s">
        <v>84</v>
      </c>
      <c r="G308" s="34">
        <v>3</v>
      </c>
      <c r="H308" s="34">
        <v>41</v>
      </c>
      <c r="I308" s="15" t="s">
        <v>38</v>
      </c>
      <c r="J308" s="15" t="s">
        <v>39</v>
      </c>
      <c r="K308" s="74" t="s">
        <v>29</v>
      </c>
      <c r="L308" s="16">
        <v>2784825</v>
      </c>
      <c r="M308" s="16">
        <v>0</v>
      </c>
      <c r="N308" s="16">
        <v>759910</v>
      </c>
      <c r="O308" s="16">
        <v>2204104</v>
      </c>
      <c r="P308" s="16">
        <v>164004</v>
      </c>
      <c r="Q308" s="16">
        <v>580721</v>
      </c>
      <c r="R308" s="16">
        <v>2655</v>
      </c>
      <c r="S308" s="16">
        <v>1</v>
      </c>
      <c r="T308" s="111">
        <v>0</v>
      </c>
    </row>
    <row r="309" spans="1:20" ht="15" customHeight="1" x14ac:dyDescent="0.2">
      <c r="A309" s="12" t="s">
        <v>767</v>
      </c>
      <c r="B309" s="56">
        <v>4814563</v>
      </c>
      <c r="C309" s="12" t="s">
        <v>768</v>
      </c>
      <c r="D309" s="12"/>
      <c r="E309" s="12" t="s">
        <v>769</v>
      </c>
      <c r="F309" s="12" t="s">
        <v>26</v>
      </c>
      <c r="G309" s="33">
        <v>2</v>
      </c>
      <c r="H309" s="33">
        <v>8</v>
      </c>
      <c r="I309" s="12" t="s">
        <v>770</v>
      </c>
      <c r="J309" s="12" t="s">
        <v>39</v>
      </c>
      <c r="K309" s="73" t="s">
        <v>29</v>
      </c>
      <c r="L309" s="13">
        <v>2761341</v>
      </c>
      <c r="M309" s="13">
        <v>585802</v>
      </c>
      <c r="N309" s="13">
        <v>220620</v>
      </c>
      <c r="O309" s="13">
        <v>2660329</v>
      </c>
      <c r="P309" s="13">
        <v>2503073</v>
      </c>
      <c r="Q309" s="13">
        <v>101012</v>
      </c>
      <c r="R309" s="13">
        <v>-93370</v>
      </c>
      <c r="S309" s="13">
        <v>2</v>
      </c>
      <c r="T309" s="81">
        <v>1</v>
      </c>
    </row>
    <row r="310" spans="1:20" ht="15" customHeight="1" x14ac:dyDescent="0.2">
      <c r="A310" s="15" t="s">
        <v>771</v>
      </c>
      <c r="B310" s="60">
        <v>87900411</v>
      </c>
      <c r="C310" s="15"/>
      <c r="D310" s="15"/>
      <c r="E310" s="15"/>
      <c r="F310" s="15" t="s">
        <v>265</v>
      </c>
      <c r="G310" s="34">
        <v>2</v>
      </c>
      <c r="H310" s="34">
        <v>9</v>
      </c>
      <c r="I310" s="15" t="s">
        <v>772</v>
      </c>
      <c r="J310" s="15" t="s">
        <v>74</v>
      </c>
      <c r="K310" s="74" t="s">
        <v>29</v>
      </c>
      <c r="L310" s="16">
        <v>2712139</v>
      </c>
      <c r="M310" s="16">
        <v>1726546</v>
      </c>
      <c r="N310" s="16">
        <v>730847</v>
      </c>
      <c r="O310" s="16">
        <v>2095842</v>
      </c>
      <c r="P310" s="16">
        <v>1162949</v>
      </c>
      <c r="Q310" s="16">
        <v>616297</v>
      </c>
      <c r="R310" s="16">
        <v>39535</v>
      </c>
      <c r="S310" s="16">
        <v>0</v>
      </c>
      <c r="T310" s="111">
        <v>25</v>
      </c>
    </row>
    <row r="311" spans="1:20" ht="15" customHeight="1" x14ac:dyDescent="0.2">
      <c r="A311" s="12" t="s">
        <v>773</v>
      </c>
      <c r="B311" s="56">
        <v>8075352</v>
      </c>
      <c r="C311" s="12"/>
      <c r="D311" s="12"/>
      <c r="E311" s="12"/>
      <c r="F311" s="12" t="s">
        <v>265</v>
      </c>
      <c r="G311" s="33">
        <v>2</v>
      </c>
      <c r="H311" s="33">
        <v>9</v>
      </c>
      <c r="I311" s="12" t="s">
        <v>216</v>
      </c>
      <c r="J311" s="12" t="s">
        <v>217</v>
      </c>
      <c r="K311" s="73" t="s">
        <v>29</v>
      </c>
      <c r="L311" s="13">
        <v>2709123</v>
      </c>
      <c r="M311" s="13">
        <v>2112291</v>
      </c>
      <c r="N311" s="13">
        <v>58893</v>
      </c>
      <c r="O311" s="13">
        <v>2436185</v>
      </c>
      <c r="P311" s="13">
        <v>1538624</v>
      </c>
      <c r="Q311" s="13">
        <v>272937</v>
      </c>
      <c r="R311" s="13">
        <v>-20418</v>
      </c>
      <c r="S311" s="13">
        <v>0</v>
      </c>
      <c r="T311" s="81">
        <v>58</v>
      </c>
    </row>
    <row r="312" spans="1:20" ht="15" customHeight="1" x14ac:dyDescent="0.2">
      <c r="A312" s="15" t="s">
        <v>774</v>
      </c>
      <c r="B312" s="60">
        <v>44469161</v>
      </c>
      <c r="C312" s="15"/>
      <c r="D312" s="15"/>
      <c r="E312" s="15"/>
      <c r="F312" s="15" t="s">
        <v>265</v>
      </c>
      <c r="G312" s="34">
        <v>2</v>
      </c>
      <c r="H312" s="34">
        <v>9</v>
      </c>
      <c r="I312" s="15" t="s">
        <v>775</v>
      </c>
      <c r="J312" s="15" t="s">
        <v>39</v>
      </c>
      <c r="K312" s="74" t="s">
        <v>29</v>
      </c>
      <c r="L312" s="16">
        <v>2699917</v>
      </c>
      <c r="M312" s="16">
        <v>1228232</v>
      </c>
      <c r="N312" s="16">
        <v>567867</v>
      </c>
      <c r="O312" s="16">
        <v>2252595</v>
      </c>
      <c r="P312" s="16">
        <v>2086202</v>
      </c>
      <c r="Q312" s="16">
        <v>447322</v>
      </c>
      <c r="R312" s="16">
        <v>27160</v>
      </c>
      <c r="S312" s="16">
        <v>0</v>
      </c>
      <c r="T312" s="111">
        <v>12</v>
      </c>
    </row>
    <row r="313" spans="1:20" ht="15" customHeight="1" x14ac:dyDescent="0.2">
      <c r="A313" s="12" t="s">
        <v>776</v>
      </c>
      <c r="B313" s="56">
        <v>87067757</v>
      </c>
      <c r="C313" s="12"/>
      <c r="D313" s="12"/>
      <c r="E313" s="12"/>
      <c r="F313" s="12" t="s">
        <v>265</v>
      </c>
      <c r="G313" s="33">
        <v>2</v>
      </c>
      <c r="H313" s="33">
        <v>9</v>
      </c>
      <c r="I313" s="12" t="s">
        <v>777</v>
      </c>
      <c r="J313" s="12" t="s">
        <v>74</v>
      </c>
      <c r="K313" s="73" t="s">
        <v>29</v>
      </c>
      <c r="L313" s="13">
        <v>2687885</v>
      </c>
      <c r="M313" s="13">
        <v>1032474</v>
      </c>
      <c r="N313" s="13">
        <v>1410801</v>
      </c>
      <c r="O313" s="13">
        <v>1953115</v>
      </c>
      <c r="P313" s="13">
        <v>1439093</v>
      </c>
      <c r="Q313" s="13">
        <v>734770</v>
      </c>
      <c r="R313" s="13">
        <v>87876</v>
      </c>
      <c r="S313" s="13">
        <v>0</v>
      </c>
      <c r="T313" s="81">
        <v>16</v>
      </c>
    </row>
    <row r="314" spans="1:20" ht="15" customHeight="1" x14ac:dyDescent="0.2">
      <c r="A314" s="15" t="s">
        <v>778</v>
      </c>
      <c r="B314" s="60">
        <v>4247370</v>
      </c>
      <c r="C314" s="15"/>
      <c r="D314" s="15"/>
      <c r="E314" s="15"/>
      <c r="F314" s="15" t="s">
        <v>265</v>
      </c>
      <c r="G314" s="34">
        <v>2</v>
      </c>
      <c r="H314" s="34">
        <v>9</v>
      </c>
      <c r="I314" s="15" t="s">
        <v>608</v>
      </c>
      <c r="J314" s="15" t="s">
        <v>217</v>
      </c>
      <c r="K314" s="74" t="s">
        <v>29</v>
      </c>
      <c r="L314" s="16">
        <v>2683747</v>
      </c>
      <c r="M314" s="16">
        <v>1477434</v>
      </c>
      <c r="N314" s="16">
        <v>152665</v>
      </c>
      <c r="O314" s="16">
        <v>2229397</v>
      </c>
      <c r="P314" s="16">
        <v>2177736</v>
      </c>
      <c r="Q314" s="16">
        <v>454350</v>
      </c>
      <c r="R314" s="16">
        <v>50795</v>
      </c>
      <c r="S314" s="16">
        <v>0</v>
      </c>
      <c r="T314" s="111">
        <v>5</v>
      </c>
    </row>
    <row r="315" spans="1:20" ht="15" customHeight="1" x14ac:dyDescent="0.2">
      <c r="A315" s="12" t="s">
        <v>779</v>
      </c>
      <c r="B315" s="56">
        <v>11476673</v>
      </c>
      <c r="C315" s="12" t="s">
        <v>780</v>
      </c>
      <c r="D315" s="12"/>
      <c r="E315" s="12" t="s">
        <v>781</v>
      </c>
      <c r="F315" s="12" t="s">
        <v>60</v>
      </c>
      <c r="G315" s="33">
        <v>2</v>
      </c>
      <c r="H315" s="33">
        <v>8</v>
      </c>
      <c r="I315" s="12" t="s">
        <v>782</v>
      </c>
      <c r="J315" s="12" t="s">
        <v>74</v>
      </c>
      <c r="K315" s="73" t="s">
        <v>29</v>
      </c>
      <c r="L315" s="13">
        <v>2683741</v>
      </c>
      <c r="M315" s="13">
        <v>1855948</v>
      </c>
      <c r="N315" s="13">
        <v>691465</v>
      </c>
      <c r="O315" s="13">
        <v>2313489</v>
      </c>
      <c r="P315" s="13">
        <v>2283402</v>
      </c>
      <c r="Q315" s="13">
        <v>370253</v>
      </c>
      <c r="R315" s="13">
        <v>2800</v>
      </c>
      <c r="S315" s="13">
        <v>2</v>
      </c>
      <c r="T315" s="81">
        <v>0</v>
      </c>
    </row>
    <row r="316" spans="1:20" ht="15" customHeight="1" x14ac:dyDescent="0.2">
      <c r="A316" s="15" t="s">
        <v>783</v>
      </c>
      <c r="B316" s="60">
        <v>59281253</v>
      </c>
      <c r="C316" s="15" t="s">
        <v>56</v>
      </c>
      <c r="D316" s="15" t="s">
        <v>57</v>
      </c>
      <c r="E316" s="15" t="s">
        <v>58</v>
      </c>
      <c r="F316" s="15" t="s">
        <v>98</v>
      </c>
      <c r="G316" s="34">
        <v>2</v>
      </c>
      <c r="H316" s="34">
        <v>16</v>
      </c>
      <c r="I316" s="15" t="s">
        <v>53</v>
      </c>
      <c r="J316" s="15" t="s">
        <v>54</v>
      </c>
      <c r="K316" s="74" t="s">
        <v>29</v>
      </c>
      <c r="L316" s="16">
        <v>2651422</v>
      </c>
      <c r="M316" s="16">
        <v>0</v>
      </c>
      <c r="N316" s="16">
        <v>0</v>
      </c>
      <c r="O316" s="16">
        <v>2213140</v>
      </c>
      <c r="P316" s="16">
        <v>0</v>
      </c>
      <c r="Q316" s="16">
        <v>438281</v>
      </c>
      <c r="R316" s="16">
        <v>205688</v>
      </c>
      <c r="S316" s="16">
        <v>2</v>
      </c>
      <c r="T316" s="111">
        <v>0</v>
      </c>
    </row>
    <row r="317" spans="1:20" ht="15" customHeight="1" x14ac:dyDescent="0.2">
      <c r="A317" s="12" t="s">
        <v>784</v>
      </c>
      <c r="B317" s="56">
        <v>7512780</v>
      </c>
      <c r="C317" s="12"/>
      <c r="D317" s="12"/>
      <c r="E317" s="12"/>
      <c r="F317" s="12" t="s">
        <v>265</v>
      </c>
      <c r="G317" s="33">
        <v>2</v>
      </c>
      <c r="H317" s="33">
        <v>9</v>
      </c>
      <c r="I317" s="12" t="s">
        <v>785</v>
      </c>
      <c r="J317" s="12" t="s">
        <v>217</v>
      </c>
      <c r="K317" s="73" t="s">
        <v>29</v>
      </c>
      <c r="L317" s="13">
        <v>2644860</v>
      </c>
      <c r="M317" s="13">
        <v>1667503</v>
      </c>
      <c r="N317" s="13">
        <v>24872</v>
      </c>
      <c r="O317" s="13">
        <v>2229886</v>
      </c>
      <c r="P317" s="13">
        <v>1565678</v>
      </c>
      <c r="Q317" s="13">
        <v>414974</v>
      </c>
      <c r="R317" s="13">
        <v>43121</v>
      </c>
      <c r="S317" s="13">
        <v>0</v>
      </c>
      <c r="T317" s="81">
        <v>51</v>
      </c>
    </row>
    <row r="318" spans="1:20" ht="15" customHeight="1" x14ac:dyDescent="0.2">
      <c r="A318" s="15" t="s">
        <v>786</v>
      </c>
      <c r="B318" s="60">
        <v>13370835</v>
      </c>
      <c r="C318" s="15" t="s">
        <v>787</v>
      </c>
      <c r="D318" s="15"/>
      <c r="E318" s="15" t="s">
        <v>788</v>
      </c>
      <c r="F318" s="15" t="s">
        <v>84</v>
      </c>
      <c r="G318" s="34">
        <v>2</v>
      </c>
      <c r="H318" s="34">
        <v>41</v>
      </c>
      <c r="I318" s="15" t="s">
        <v>107</v>
      </c>
      <c r="J318" s="15" t="s">
        <v>39</v>
      </c>
      <c r="K318" s="74" t="s">
        <v>29</v>
      </c>
      <c r="L318" s="16">
        <v>2609955</v>
      </c>
      <c r="M318" s="16">
        <v>28813</v>
      </c>
      <c r="N318" s="16">
        <v>121960</v>
      </c>
      <c r="O318" s="16">
        <v>2403804</v>
      </c>
      <c r="P318" s="16">
        <v>1997771</v>
      </c>
      <c r="Q318" s="16">
        <v>206151</v>
      </c>
      <c r="R318" s="16">
        <v>5611</v>
      </c>
      <c r="S318" s="16">
        <v>1</v>
      </c>
      <c r="T318" s="111">
        <v>0</v>
      </c>
    </row>
    <row r="319" spans="1:20" ht="15" customHeight="1" x14ac:dyDescent="0.2">
      <c r="A319" s="12" t="s">
        <v>789</v>
      </c>
      <c r="B319" s="56">
        <v>86829827</v>
      </c>
      <c r="C319" s="12"/>
      <c r="D319" s="12"/>
      <c r="E319" s="12"/>
      <c r="F319" s="12" t="s">
        <v>265</v>
      </c>
      <c r="G319" s="33">
        <v>2</v>
      </c>
      <c r="H319" s="33">
        <v>9</v>
      </c>
      <c r="I319" s="12" t="s">
        <v>790</v>
      </c>
      <c r="J319" s="12" t="s">
        <v>217</v>
      </c>
      <c r="K319" s="73" t="s">
        <v>29</v>
      </c>
      <c r="L319" s="13">
        <v>2582546</v>
      </c>
      <c r="M319" s="13">
        <v>1456062</v>
      </c>
      <c r="N319" s="13">
        <v>47444</v>
      </c>
      <c r="O319" s="13">
        <v>2276988</v>
      </c>
      <c r="P319" s="13">
        <v>1775019</v>
      </c>
      <c r="Q319" s="13">
        <v>305558</v>
      </c>
      <c r="R319" s="13">
        <v>32759</v>
      </c>
      <c r="S319" s="13">
        <v>0</v>
      </c>
      <c r="T319" s="81">
        <v>17</v>
      </c>
    </row>
    <row r="320" spans="1:20" ht="15" customHeight="1" x14ac:dyDescent="0.2">
      <c r="A320" s="15" t="s">
        <v>791</v>
      </c>
      <c r="B320" s="60">
        <v>1736516</v>
      </c>
      <c r="C320" s="15"/>
      <c r="D320" s="15"/>
      <c r="E320" s="15"/>
      <c r="F320" s="15" t="s">
        <v>265</v>
      </c>
      <c r="G320" s="34">
        <v>2</v>
      </c>
      <c r="H320" s="34">
        <v>9</v>
      </c>
      <c r="I320" s="15" t="s">
        <v>792</v>
      </c>
      <c r="J320" s="15" t="s">
        <v>120</v>
      </c>
      <c r="K320" s="74" t="s">
        <v>29</v>
      </c>
      <c r="L320" s="16">
        <v>2581413</v>
      </c>
      <c r="M320" s="16">
        <v>1006062</v>
      </c>
      <c r="N320" s="16">
        <v>33971</v>
      </c>
      <c r="O320" s="16">
        <v>2275400</v>
      </c>
      <c r="P320" s="16">
        <v>2218641</v>
      </c>
      <c r="Q320" s="16">
        <v>306013</v>
      </c>
      <c r="R320" s="16">
        <v>28714</v>
      </c>
      <c r="S320" s="16">
        <v>0</v>
      </c>
      <c r="T320" s="111">
        <v>30</v>
      </c>
    </row>
    <row r="321" spans="1:20" ht="15" customHeight="1" x14ac:dyDescent="0.2">
      <c r="A321" s="12" t="s">
        <v>793</v>
      </c>
      <c r="B321" s="56">
        <v>32474884</v>
      </c>
      <c r="C321" s="12"/>
      <c r="D321" s="12"/>
      <c r="E321" s="12"/>
      <c r="F321" s="12" t="s">
        <v>265</v>
      </c>
      <c r="G321" s="33">
        <v>2</v>
      </c>
      <c r="H321" s="33">
        <v>9</v>
      </c>
      <c r="I321" s="12" t="s">
        <v>794</v>
      </c>
      <c r="J321" s="12" t="s">
        <v>183</v>
      </c>
      <c r="K321" s="73" t="s">
        <v>29</v>
      </c>
      <c r="L321" s="13">
        <v>2565709</v>
      </c>
      <c r="M321" s="13">
        <v>852440</v>
      </c>
      <c r="N321" s="13">
        <v>245472</v>
      </c>
      <c r="O321" s="13">
        <v>2252233</v>
      </c>
      <c r="P321" s="13">
        <v>2101242</v>
      </c>
      <c r="Q321" s="13">
        <v>313476</v>
      </c>
      <c r="R321" s="13">
        <v>33701</v>
      </c>
      <c r="S321" s="13">
        <v>0</v>
      </c>
      <c r="T321" s="81">
        <v>18</v>
      </c>
    </row>
    <row r="322" spans="1:20" ht="15" customHeight="1" x14ac:dyDescent="0.2">
      <c r="A322" s="15" t="s">
        <v>795</v>
      </c>
      <c r="B322" s="60">
        <v>62318407</v>
      </c>
      <c r="C322" s="15" t="s">
        <v>796</v>
      </c>
      <c r="D322" s="15"/>
      <c r="E322" s="15" t="s">
        <v>797</v>
      </c>
      <c r="F322" s="15" t="s">
        <v>98</v>
      </c>
      <c r="G322" s="34">
        <v>3</v>
      </c>
      <c r="H322" s="34">
        <v>16</v>
      </c>
      <c r="I322" s="15" t="s">
        <v>38</v>
      </c>
      <c r="J322" s="15" t="s">
        <v>39</v>
      </c>
      <c r="K322" s="74" t="s">
        <v>29</v>
      </c>
      <c r="L322" s="16">
        <v>2556127</v>
      </c>
      <c r="M322" s="16">
        <v>0</v>
      </c>
      <c r="N322" s="16">
        <v>0</v>
      </c>
      <c r="O322" s="16">
        <v>1523948</v>
      </c>
      <c r="P322" s="16">
        <v>844082</v>
      </c>
      <c r="Q322" s="16">
        <v>1032179</v>
      </c>
      <c r="R322" s="16">
        <v>110535</v>
      </c>
      <c r="S322" s="16">
        <v>2</v>
      </c>
      <c r="T322" s="111">
        <v>0</v>
      </c>
    </row>
    <row r="323" spans="1:20" ht="15" customHeight="1" x14ac:dyDescent="0.2">
      <c r="A323" s="12" t="s">
        <v>798</v>
      </c>
      <c r="B323" s="56">
        <v>3130170</v>
      </c>
      <c r="C323" s="12" t="s">
        <v>799</v>
      </c>
      <c r="D323" s="12"/>
      <c r="E323" s="12" t="s">
        <v>800</v>
      </c>
      <c r="F323" s="12" t="s">
        <v>84</v>
      </c>
      <c r="G323" s="33">
        <v>2</v>
      </c>
      <c r="H323" s="33">
        <v>41</v>
      </c>
      <c r="I323" s="12" t="s">
        <v>801</v>
      </c>
      <c r="J323" s="12" t="s">
        <v>120</v>
      </c>
      <c r="K323" s="73" t="s">
        <v>29</v>
      </c>
      <c r="L323" s="13">
        <v>2550498</v>
      </c>
      <c r="M323" s="13">
        <v>1820620</v>
      </c>
      <c r="N323" s="13">
        <v>163929</v>
      </c>
      <c r="O323" s="13">
        <v>2536690</v>
      </c>
      <c r="P323" s="13">
        <v>11306</v>
      </c>
      <c r="Q323" s="13">
        <v>13808</v>
      </c>
      <c r="R323" s="13">
        <v>2751</v>
      </c>
      <c r="S323" s="13">
        <v>1</v>
      </c>
      <c r="T323" s="81">
        <v>0</v>
      </c>
    </row>
    <row r="324" spans="1:20" ht="15" customHeight="1" x14ac:dyDescent="0.2">
      <c r="A324" s="15" t="s">
        <v>802</v>
      </c>
      <c r="B324" s="60">
        <v>106180</v>
      </c>
      <c r="C324" s="15"/>
      <c r="D324" s="15"/>
      <c r="E324" s="15"/>
      <c r="F324" s="15" t="s">
        <v>199</v>
      </c>
      <c r="G324" s="34">
        <v>2</v>
      </c>
      <c r="H324" s="34">
        <v>9</v>
      </c>
      <c r="I324" s="15" t="s">
        <v>803</v>
      </c>
      <c r="J324" s="15" t="s">
        <v>329</v>
      </c>
      <c r="K324" s="74" t="s">
        <v>29</v>
      </c>
      <c r="L324" s="16">
        <v>2547146</v>
      </c>
      <c r="M324" s="16">
        <v>0</v>
      </c>
      <c r="N324" s="16">
        <v>1076493</v>
      </c>
      <c r="O324" s="16">
        <v>2392156</v>
      </c>
      <c r="P324" s="16">
        <v>114</v>
      </c>
      <c r="Q324" s="16">
        <v>154990</v>
      </c>
      <c r="R324" s="16">
        <v>7</v>
      </c>
      <c r="S324" s="16">
        <v>0</v>
      </c>
      <c r="T324" s="111">
        <v>2</v>
      </c>
    </row>
    <row r="325" spans="1:20" ht="15" customHeight="1" x14ac:dyDescent="0.2">
      <c r="A325" s="12" t="s">
        <v>804</v>
      </c>
      <c r="B325" s="56">
        <v>1060307</v>
      </c>
      <c r="C325" s="12"/>
      <c r="D325" s="12"/>
      <c r="E325" s="12"/>
      <c r="F325" s="12" t="s">
        <v>265</v>
      </c>
      <c r="G325" s="33">
        <v>2</v>
      </c>
      <c r="H325" s="33">
        <v>9</v>
      </c>
      <c r="I325" s="12" t="s">
        <v>805</v>
      </c>
      <c r="J325" s="12" t="s">
        <v>120</v>
      </c>
      <c r="K325" s="73" t="s">
        <v>29</v>
      </c>
      <c r="L325" s="13">
        <v>2545639</v>
      </c>
      <c r="M325" s="13">
        <v>1156977</v>
      </c>
      <c r="N325" s="13">
        <v>140122</v>
      </c>
      <c r="O325" s="13">
        <v>2297964</v>
      </c>
      <c r="P325" s="13">
        <v>1961793</v>
      </c>
      <c r="Q325" s="13">
        <v>247675</v>
      </c>
      <c r="R325" s="13">
        <v>24925</v>
      </c>
      <c r="S325" s="13">
        <v>0</v>
      </c>
      <c r="T325" s="81">
        <v>39</v>
      </c>
    </row>
    <row r="326" spans="1:20" ht="15" customHeight="1" x14ac:dyDescent="0.2">
      <c r="A326" s="15" t="s">
        <v>806</v>
      </c>
      <c r="B326" s="60">
        <v>4463602</v>
      </c>
      <c r="C326" s="15"/>
      <c r="D326" s="15"/>
      <c r="E326" s="15"/>
      <c r="F326" s="15" t="s">
        <v>265</v>
      </c>
      <c r="G326" s="34">
        <v>2</v>
      </c>
      <c r="H326" s="34">
        <v>9</v>
      </c>
      <c r="I326" s="15" t="s">
        <v>807</v>
      </c>
      <c r="J326" s="15" t="s">
        <v>39</v>
      </c>
      <c r="K326" s="74" t="s">
        <v>29</v>
      </c>
      <c r="L326" s="16">
        <v>2532712</v>
      </c>
      <c r="M326" s="16">
        <v>1240905</v>
      </c>
      <c r="N326" s="16">
        <v>1052135</v>
      </c>
      <c r="O326" s="16">
        <v>2333190</v>
      </c>
      <c r="P326" s="16">
        <v>1879980</v>
      </c>
      <c r="Q326" s="16">
        <v>199521</v>
      </c>
      <c r="R326" s="16">
        <v>12411</v>
      </c>
      <c r="S326" s="16">
        <v>0</v>
      </c>
      <c r="T326" s="111">
        <v>27</v>
      </c>
    </row>
    <row r="327" spans="1:20" ht="15" customHeight="1" x14ac:dyDescent="0.2">
      <c r="A327" s="12" t="s">
        <v>808</v>
      </c>
      <c r="B327" s="56">
        <v>81115149</v>
      </c>
      <c r="C327" s="12"/>
      <c r="D327" s="12"/>
      <c r="E327" s="12"/>
      <c r="F327" s="12" t="s">
        <v>265</v>
      </c>
      <c r="G327" s="33">
        <v>2</v>
      </c>
      <c r="H327" s="33">
        <v>9</v>
      </c>
      <c r="I327" s="12" t="s">
        <v>809</v>
      </c>
      <c r="J327" s="12" t="s">
        <v>229</v>
      </c>
      <c r="K327" s="73" t="s">
        <v>29</v>
      </c>
      <c r="L327" s="13">
        <v>2527552</v>
      </c>
      <c r="M327" s="13">
        <v>1272254</v>
      </c>
      <c r="N327" s="13">
        <v>1018048</v>
      </c>
      <c r="O327" s="13">
        <v>2249685</v>
      </c>
      <c r="P327" s="13">
        <v>1607688</v>
      </c>
      <c r="Q327" s="13">
        <v>277867</v>
      </c>
      <c r="R327" s="13">
        <v>21764</v>
      </c>
      <c r="S327" s="13">
        <v>0</v>
      </c>
      <c r="T327" s="81">
        <v>32</v>
      </c>
    </row>
    <row r="328" spans="1:20" ht="15" customHeight="1" x14ac:dyDescent="0.2">
      <c r="A328" s="15" t="s">
        <v>810</v>
      </c>
      <c r="B328" s="60">
        <v>32223020</v>
      </c>
      <c r="C328" s="15" t="s">
        <v>811</v>
      </c>
      <c r="D328" s="15"/>
      <c r="E328" s="15" t="s">
        <v>812</v>
      </c>
      <c r="F328" s="15" t="s">
        <v>84</v>
      </c>
      <c r="G328" s="34">
        <v>2</v>
      </c>
      <c r="H328" s="34">
        <v>41</v>
      </c>
      <c r="I328" s="15" t="s">
        <v>38</v>
      </c>
      <c r="J328" s="15" t="s">
        <v>39</v>
      </c>
      <c r="K328" s="74" t="s">
        <v>29</v>
      </c>
      <c r="L328" s="16">
        <v>2526252</v>
      </c>
      <c r="M328" s="16">
        <v>42895</v>
      </c>
      <c r="N328" s="16">
        <v>795215</v>
      </c>
      <c r="O328" s="16">
        <v>2309334</v>
      </c>
      <c r="P328" s="16">
        <v>2057307</v>
      </c>
      <c r="Q328" s="16">
        <v>216918</v>
      </c>
      <c r="R328" s="16">
        <v>-10480</v>
      </c>
      <c r="S328" s="16">
        <v>1</v>
      </c>
      <c r="T328" s="111">
        <v>0</v>
      </c>
    </row>
    <row r="329" spans="1:20" ht="15" customHeight="1" x14ac:dyDescent="0.2">
      <c r="A329" s="12" t="s">
        <v>813</v>
      </c>
      <c r="B329" s="56">
        <v>36900256</v>
      </c>
      <c r="C329" s="12"/>
      <c r="D329" s="12"/>
      <c r="E329" s="12"/>
      <c r="F329" s="12" t="s">
        <v>265</v>
      </c>
      <c r="G329" s="33">
        <v>2</v>
      </c>
      <c r="H329" s="33">
        <v>9</v>
      </c>
      <c r="I329" s="12" t="s">
        <v>803</v>
      </c>
      <c r="J329" s="12" t="s">
        <v>329</v>
      </c>
      <c r="K329" s="73" t="s">
        <v>29</v>
      </c>
      <c r="L329" s="13">
        <v>2513608</v>
      </c>
      <c r="M329" s="13">
        <v>1473829</v>
      </c>
      <c r="N329" s="13">
        <v>48762</v>
      </c>
      <c r="O329" s="13">
        <v>2197581</v>
      </c>
      <c r="P329" s="13">
        <v>1956777</v>
      </c>
      <c r="Q329" s="13">
        <v>316027</v>
      </c>
      <c r="R329" s="13">
        <v>49074</v>
      </c>
      <c r="S329" s="13">
        <v>0</v>
      </c>
      <c r="T329" s="81">
        <v>17</v>
      </c>
    </row>
    <row r="330" spans="1:20" ht="15" customHeight="1" x14ac:dyDescent="0.2">
      <c r="A330" s="15" t="s">
        <v>814</v>
      </c>
      <c r="B330" s="60">
        <v>41697103</v>
      </c>
      <c r="C330" s="15"/>
      <c r="D330" s="15"/>
      <c r="E330" s="15"/>
      <c r="F330" s="15" t="s">
        <v>265</v>
      </c>
      <c r="G330" s="34">
        <v>2</v>
      </c>
      <c r="H330" s="34">
        <v>9</v>
      </c>
      <c r="I330" s="15" t="s">
        <v>815</v>
      </c>
      <c r="J330" s="15" t="s">
        <v>120</v>
      </c>
      <c r="K330" s="74" t="s">
        <v>29</v>
      </c>
      <c r="L330" s="16">
        <v>2504298</v>
      </c>
      <c r="M330" s="16">
        <v>1240718</v>
      </c>
      <c r="N330" s="16">
        <v>70894</v>
      </c>
      <c r="O330" s="16">
        <v>2048043</v>
      </c>
      <c r="P330" s="16">
        <v>1671013</v>
      </c>
      <c r="Q330" s="16">
        <v>456255</v>
      </c>
      <c r="R330" s="16">
        <v>62457</v>
      </c>
      <c r="S330" s="16">
        <v>0</v>
      </c>
      <c r="T330" s="111">
        <v>21</v>
      </c>
    </row>
    <row r="331" spans="1:20" ht="15" customHeight="1" x14ac:dyDescent="0.2">
      <c r="A331" s="12" t="s">
        <v>816</v>
      </c>
      <c r="B331" s="56">
        <v>4350225</v>
      </c>
      <c r="C331" s="12"/>
      <c r="D331" s="12"/>
      <c r="E331" s="12"/>
      <c r="F331" s="12" t="s">
        <v>265</v>
      </c>
      <c r="G331" s="33">
        <v>2</v>
      </c>
      <c r="H331" s="33">
        <v>9</v>
      </c>
      <c r="I331" s="12" t="s">
        <v>278</v>
      </c>
      <c r="J331" s="12" t="s">
        <v>229</v>
      </c>
      <c r="K331" s="73" t="s">
        <v>29</v>
      </c>
      <c r="L331" s="13">
        <v>2500478</v>
      </c>
      <c r="M331" s="13">
        <v>1874468</v>
      </c>
      <c r="N331" s="13">
        <v>31799</v>
      </c>
      <c r="O331" s="13">
        <v>2216045</v>
      </c>
      <c r="P331" s="13">
        <v>1465486</v>
      </c>
      <c r="Q331" s="13">
        <v>284432</v>
      </c>
      <c r="R331" s="13">
        <v>17762</v>
      </c>
      <c r="S331" s="13">
        <v>0</v>
      </c>
      <c r="T331" s="81">
        <v>31</v>
      </c>
    </row>
    <row r="332" spans="1:20" ht="15" customHeight="1" x14ac:dyDescent="0.2">
      <c r="A332" s="15" t="s">
        <v>817</v>
      </c>
      <c r="B332" s="60">
        <v>41180092</v>
      </c>
      <c r="C332" s="15"/>
      <c r="D332" s="15"/>
      <c r="E332" s="15"/>
      <c r="F332" s="15" t="s">
        <v>265</v>
      </c>
      <c r="G332" s="34">
        <v>2</v>
      </c>
      <c r="H332" s="34">
        <v>9</v>
      </c>
      <c r="I332" s="15" t="s">
        <v>818</v>
      </c>
      <c r="J332" s="15" t="s">
        <v>819</v>
      </c>
      <c r="K332" s="74" t="s">
        <v>29</v>
      </c>
      <c r="L332" s="16">
        <v>2470718</v>
      </c>
      <c r="M332" s="16">
        <v>1338222</v>
      </c>
      <c r="N332" s="16">
        <v>876931</v>
      </c>
      <c r="O332" s="16">
        <v>2086388</v>
      </c>
      <c r="P332" s="16">
        <v>1760768</v>
      </c>
      <c r="Q332" s="16">
        <v>384330</v>
      </c>
      <c r="R332" s="16">
        <v>25852</v>
      </c>
      <c r="S332" s="16">
        <v>0</v>
      </c>
      <c r="T332" s="111">
        <v>26</v>
      </c>
    </row>
    <row r="333" spans="1:20" ht="15" customHeight="1" x14ac:dyDescent="0.2">
      <c r="A333" s="12" t="s">
        <v>820</v>
      </c>
      <c r="B333" s="56">
        <v>70038237</v>
      </c>
      <c r="C333" s="12"/>
      <c r="D333" s="12"/>
      <c r="E333" s="12"/>
      <c r="F333" s="12" t="s">
        <v>265</v>
      </c>
      <c r="G333" s="33">
        <v>2</v>
      </c>
      <c r="H333" s="33">
        <v>9</v>
      </c>
      <c r="I333" s="12" t="s">
        <v>821</v>
      </c>
      <c r="J333" s="12" t="s">
        <v>822</v>
      </c>
      <c r="K333" s="73" t="s">
        <v>29</v>
      </c>
      <c r="L333" s="13">
        <v>2470180</v>
      </c>
      <c r="M333" s="13">
        <v>1244845</v>
      </c>
      <c r="N333" s="13">
        <v>978749</v>
      </c>
      <c r="O333" s="13">
        <v>2219218</v>
      </c>
      <c r="P333" s="13">
        <v>1925836</v>
      </c>
      <c r="Q333" s="13">
        <v>250962</v>
      </c>
      <c r="R333" s="13">
        <v>30536</v>
      </c>
      <c r="S333" s="13">
        <v>0</v>
      </c>
      <c r="T333" s="81">
        <v>13</v>
      </c>
    </row>
    <row r="334" spans="1:20" ht="15" customHeight="1" x14ac:dyDescent="0.2">
      <c r="A334" s="15" t="s">
        <v>823</v>
      </c>
      <c r="B334" s="60">
        <v>61033106</v>
      </c>
      <c r="C334" s="15" t="s">
        <v>441</v>
      </c>
      <c r="D334" s="15" t="s">
        <v>442</v>
      </c>
      <c r="E334" s="15" t="s">
        <v>443</v>
      </c>
      <c r="F334" s="15" t="s">
        <v>26</v>
      </c>
      <c r="G334" s="34">
        <v>2</v>
      </c>
      <c r="H334" s="34">
        <v>2</v>
      </c>
      <c r="I334" s="15" t="s">
        <v>38</v>
      </c>
      <c r="J334" s="15" t="s">
        <v>39</v>
      </c>
      <c r="K334" s="74" t="s">
        <v>29</v>
      </c>
      <c r="L334" s="16">
        <v>2445171</v>
      </c>
      <c r="M334" s="16">
        <v>1572888</v>
      </c>
      <c r="N334" s="16">
        <v>335855</v>
      </c>
      <c r="O334" s="16">
        <v>1997650</v>
      </c>
      <c r="P334" s="16">
        <v>1096067</v>
      </c>
      <c r="Q334" s="16">
        <v>447521</v>
      </c>
      <c r="R334" s="16">
        <v>40301</v>
      </c>
      <c r="S334" s="16">
        <v>2</v>
      </c>
      <c r="T334" s="111">
        <v>1194</v>
      </c>
    </row>
    <row r="335" spans="1:20" ht="15" customHeight="1" x14ac:dyDescent="0.2">
      <c r="A335" s="12" t="s">
        <v>824</v>
      </c>
      <c r="B335" s="56">
        <v>1039011</v>
      </c>
      <c r="C335" s="12"/>
      <c r="D335" s="12"/>
      <c r="E335" s="12"/>
      <c r="F335" s="12" t="s">
        <v>265</v>
      </c>
      <c r="G335" s="33">
        <v>2</v>
      </c>
      <c r="H335" s="33">
        <v>9</v>
      </c>
      <c r="I335" s="12" t="s">
        <v>369</v>
      </c>
      <c r="J335" s="12" t="s">
        <v>217</v>
      </c>
      <c r="K335" s="73" t="s">
        <v>29</v>
      </c>
      <c r="L335" s="13">
        <v>2400761</v>
      </c>
      <c r="M335" s="13">
        <v>1472935</v>
      </c>
      <c r="N335" s="13">
        <v>41200</v>
      </c>
      <c r="O335" s="13">
        <v>2151024</v>
      </c>
      <c r="P335" s="13">
        <v>1972144</v>
      </c>
      <c r="Q335" s="13">
        <v>249737</v>
      </c>
      <c r="R335" s="13">
        <v>5057</v>
      </c>
      <c r="S335" s="13">
        <v>0</v>
      </c>
      <c r="T335" s="81">
        <v>21</v>
      </c>
    </row>
    <row r="336" spans="1:20" ht="15" customHeight="1" x14ac:dyDescent="0.2">
      <c r="A336" s="15" t="s">
        <v>825</v>
      </c>
      <c r="B336" s="60">
        <v>81054686</v>
      </c>
      <c r="C336" s="15"/>
      <c r="D336" s="15"/>
      <c r="E336" s="15"/>
      <c r="F336" s="15" t="s">
        <v>265</v>
      </c>
      <c r="G336" s="34">
        <v>2</v>
      </c>
      <c r="H336" s="34">
        <v>9</v>
      </c>
      <c r="I336" s="15" t="s">
        <v>826</v>
      </c>
      <c r="J336" s="15" t="s">
        <v>229</v>
      </c>
      <c r="K336" s="74" t="s">
        <v>29</v>
      </c>
      <c r="L336" s="16">
        <v>2395591</v>
      </c>
      <c r="M336" s="16">
        <v>939204</v>
      </c>
      <c r="N336" s="16">
        <v>1363712</v>
      </c>
      <c r="O336" s="16">
        <v>2108049</v>
      </c>
      <c r="P336" s="16">
        <v>1581778</v>
      </c>
      <c r="Q336" s="16">
        <v>287542</v>
      </c>
      <c r="R336" s="16">
        <v>27251</v>
      </c>
      <c r="S336" s="16">
        <v>0</v>
      </c>
      <c r="T336" s="111">
        <v>29</v>
      </c>
    </row>
    <row r="337" spans="1:20" ht="15" customHeight="1" x14ac:dyDescent="0.2">
      <c r="A337" s="12" t="s">
        <v>827</v>
      </c>
      <c r="B337" s="56">
        <v>78825023</v>
      </c>
      <c r="C337" s="12"/>
      <c r="D337" s="12"/>
      <c r="E337" s="12"/>
      <c r="F337" s="12" t="s">
        <v>265</v>
      </c>
      <c r="G337" s="33">
        <v>2</v>
      </c>
      <c r="H337" s="33">
        <v>9</v>
      </c>
      <c r="I337" s="12" t="s">
        <v>828</v>
      </c>
      <c r="J337" s="12" t="s">
        <v>217</v>
      </c>
      <c r="K337" s="73" t="s">
        <v>29</v>
      </c>
      <c r="L337" s="13">
        <v>2386724</v>
      </c>
      <c r="M337" s="13">
        <v>1321009</v>
      </c>
      <c r="N337" s="13">
        <v>32932</v>
      </c>
      <c r="O337" s="13">
        <v>2115838</v>
      </c>
      <c r="P337" s="13">
        <v>1538494</v>
      </c>
      <c r="Q337" s="13">
        <v>270886</v>
      </c>
      <c r="R337" s="13">
        <v>18848</v>
      </c>
      <c r="S337" s="13">
        <v>0</v>
      </c>
      <c r="T337" s="81">
        <v>20</v>
      </c>
    </row>
    <row r="338" spans="1:20" ht="15" customHeight="1" x14ac:dyDescent="0.2">
      <c r="A338" s="15" t="s">
        <v>829</v>
      </c>
      <c r="B338" s="60">
        <v>10690848</v>
      </c>
      <c r="C338" s="15" t="s">
        <v>296</v>
      </c>
      <c r="D338" s="15" t="s">
        <v>297</v>
      </c>
      <c r="E338" s="15" t="s">
        <v>298</v>
      </c>
      <c r="F338" s="15" t="s">
        <v>26</v>
      </c>
      <c r="G338" s="34">
        <v>3</v>
      </c>
      <c r="H338" s="34">
        <v>8</v>
      </c>
      <c r="I338" s="15" t="s">
        <v>38</v>
      </c>
      <c r="J338" s="15" t="s">
        <v>39</v>
      </c>
      <c r="K338" s="74" t="s">
        <v>29</v>
      </c>
      <c r="L338" s="16">
        <v>2358918</v>
      </c>
      <c r="M338" s="16">
        <v>408061</v>
      </c>
      <c r="N338" s="16">
        <v>582693</v>
      </c>
      <c r="O338" s="16">
        <v>1717443</v>
      </c>
      <c r="P338" s="16">
        <v>1571511</v>
      </c>
      <c r="Q338" s="16">
        <v>641475</v>
      </c>
      <c r="R338" s="16">
        <v>27316</v>
      </c>
      <c r="S338" s="16">
        <v>2</v>
      </c>
      <c r="T338" s="111">
        <v>1</v>
      </c>
    </row>
    <row r="339" spans="1:20" ht="15" customHeight="1" x14ac:dyDescent="0.2">
      <c r="A339" s="12" t="s">
        <v>830</v>
      </c>
      <c r="B339" s="56">
        <v>5392810</v>
      </c>
      <c r="C339" s="12"/>
      <c r="D339" s="12"/>
      <c r="E339" s="12"/>
      <c r="F339" s="12" t="s">
        <v>265</v>
      </c>
      <c r="G339" s="33">
        <v>2</v>
      </c>
      <c r="H339" s="33">
        <v>9</v>
      </c>
      <c r="I339" s="12" t="s">
        <v>670</v>
      </c>
      <c r="J339" s="12" t="s">
        <v>229</v>
      </c>
      <c r="K339" s="73" t="s">
        <v>29</v>
      </c>
      <c r="L339" s="13">
        <v>2351386</v>
      </c>
      <c r="M339" s="13">
        <v>1390245</v>
      </c>
      <c r="N339" s="13">
        <v>35829</v>
      </c>
      <c r="O339" s="13">
        <v>2072730</v>
      </c>
      <c r="P339" s="13">
        <v>1819690</v>
      </c>
      <c r="Q339" s="13">
        <v>278656</v>
      </c>
      <c r="R339" s="13">
        <v>16574</v>
      </c>
      <c r="S339" s="13">
        <v>0</v>
      </c>
      <c r="T339" s="81">
        <v>33</v>
      </c>
    </row>
    <row r="340" spans="1:20" ht="15" customHeight="1" x14ac:dyDescent="0.2">
      <c r="A340" s="15" t="s">
        <v>831</v>
      </c>
      <c r="B340" s="60">
        <v>2232383</v>
      </c>
      <c r="C340" s="15"/>
      <c r="D340" s="15"/>
      <c r="E340" s="15"/>
      <c r="F340" s="15" t="s">
        <v>265</v>
      </c>
      <c r="G340" s="34">
        <v>2</v>
      </c>
      <c r="H340" s="34">
        <v>9</v>
      </c>
      <c r="I340" s="15" t="s">
        <v>832</v>
      </c>
      <c r="J340" s="15" t="s">
        <v>120</v>
      </c>
      <c r="K340" s="74" t="s">
        <v>29</v>
      </c>
      <c r="L340" s="16">
        <v>2341529</v>
      </c>
      <c r="M340" s="16">
        <v>1060266</v>
      </c>
      <c r="N340" s="16">
        <v>34400</v>
      </c>
      <c r="O340" s="16">
        <v>2027118</v>
      </c>
      <c r="P340" s="16">
        <v>1931440</v>
      </c>
      <c r="Q340" s="16">
        <v>314411</v>
      </c>
      <c r="R340" s="16">
        <v>28647</v>
      </c>
      <c r="S340" s="16">
        <v>0</v>
      </c>
      <c r="T340" s="111">
        <v>22</v>
      </c>
    </row>
    <row r="341" spans="1:20" ht="15" customHeight="1" x14ac:dyDescent="0.2">
      <c r="A341" s="12" t="s">
        <v>833</v>
      </c>
      <c r="B341" s="56">
        <v>81011686</v>
      </c>
      <c r="C341" s="12"/>
      <c r="D341" s="12"/>
      <c r="E341" s="12"/>
      <c r="F341" s="12" t="s">
        <v>265</v>
      </c>
      <c r="G341" s="33">
        <v>2</v>
      </c>
      <c r="H341" s="33">
        <v>9</v>
      </c>
      <c r="I341" s="12" t="s">
        <v>834</v>
      </c>
      <c r="J341" s="12" t="s">
        <v>217</v>
      </c>
      <c r="K341" s="73" t="s">
        <v>29</v>
      </c>
      <c r="L341" s="13">
        <v>2327551</v>
      </c>
      <c r="M341" s="13">
        <v>1092203</v>
      </c>
      <c r="N341" s="13">
        <v>82735</v>
      </c>
      <c r="O341" s="13">
        <v>2029272</v>
      </c>
      <c r="P341" s="13">
        <v>1641386</v>
      </c>
      <c r="Q341" s="13">
        <v>298279</v>
      </c>
      <c r="R341" s="13">
        <v>39255</v>
      </c>
      <c r="S341" s="13">
        <v>0</v>
      </c>
      <c r="T341" s="81">
        <v>17</v>
      </c>
    </row>
    <row r="342" spans="1:20" ht="15" customHeight="1" x14ac:dyDescent="0.2">
      <c r="A342" s="15" t="s">
        <v>835</v>
      </c>
      <c r="B342" s="60">
        <v>29650082</v>
      </c>
      <c r="C342" s="15" t="s">
        <v>56</v>
      </c>
      <c r="D342" s="15" t="s">
        <v>57</v>
      </c>
      <c r="E342" s="15" t="s">
        <v>58</v>
      </c>
      <c r="F342" s="15" t="s">
        <v>98</v>
      </c>
      <c r="G342" s="34">
        <v>2</v>
      </c>
      <c r="H342" s="34">
        <v>16</v>
      </c>
      <c r="I342" s="15" t="s">
        <v>53</v>
      </c>
      <c r="J342" s="15" t="s">
        <v>54</v>
      </c>
      <c r="K342" s="74" t="s">
        <v>29</v>
      </c>
      <c r="L342" s="16">
        <v>2319655</v>
      </c>
      <c r="M342" s="16">
        <v>0</v>
      </c>
      <c r="N342" s="16">
        <v>0</v>
      </c>
      <c r="O342" s="16">
        <v>1257436</v>
      </c>
      <c r="P342" s="16">
        <v>0</v>
      </c>
      <c r="Q342" s="16">
        <v>1062219</v>
      </c>
      <c r="R342" s="16">
        <v>276413</v>
      </c>
      <c r="S342" s="16">
        <v>18</v>
      </c>
      <c r="T342" s="111">
        <v>0</v>
      </c>
    </row>
    <row r="343" spans="1:20" ht="15" customHeight="1" x14ac:dyDescent="0.2">
      <c r="A343" s="12" t="s">
        <v>836</v>
      </c>
      <c r="B343" s="56">
        <v>81706616</v>
      </c>
      <c r="C343" s="12"/>
      <c r="D343" s="12"/>
      <c r="E343" s="12"/>
      <c r="F343" s="12" t="s">
        <v>265</v>
      </c>
      <c r="G343" s="33">
        <v>2</v>
      </c>
      <c r="H343" s="33">
        <v>9</v>
      </c>
      <c r="I343" s="12" t="s">
        <v>837</v>
      </c>
      <c r="J343" s="12" t="s">
        <v>229</v>
      </c>
      <c r="K343" s="73" t="s">
        <v>29</v>
      </c>
      <c r="L343" s="13">
        <v>2314818</v>
      </c>
      <c r="M343" s="13">
        <v>1483649</v>
      </c>
      <c r="N343" s="13">
        <v>521534</v>
      </c>
      <c r="O343" s="13">
        <v>2095905</v>
      </c>
      <c r="P343" s="13">
        <v>1174030</v>
      </c>
      <c r="Q343" s="13">
        <v>218913</v>
      </c>
      <c r="R343" s="13">
        <v>-11002</v>
      </c>
      <c r="S343" s="13">
        <v>0</v>
      </c>
      <c r="T343" s="81">
        <v>23</v>
      </c>
    </row>
    <row r="344" spans="1:20" ht="15" customHeight="1" x14ac:dyDescent="0.2">
      <c r="A344" s="15" t="s">
        <v>838</v>
      </c>
      <c r="B344" s="60">
        <v>2335109</v>
      </c>
      <c r="C344" s="15"/>
      <c r="D344" s="15"/>
      <c r="E344" s="15"/>
      <c r="F344" s="15" t="s">
        <v>265</v>
      </c>
      <c r="G344" s="34">
        <v>2</v>
      </c>
      <c r="H344" s="34">
        <v>9</v>
      </c>
      <c r="I344" s="15" t="s">
        <v>839</v>
      </c>
      <c r="J344" s="15" t="s">
        <v>120</v>
      </c>
      <c r="K344" s="74" t="s">
        <v>29</v>
      </c>
      <c r="L344" s="16">
        <v>2313137</v>
      </c>
      <c r="M344" s="16">
        <v>1320071</v>
      </c>
      <c r="N344" s="16">
        <v>38127</v>
      </c>
      <c r="O344" s="16">
        <v>1984668</v>
      </c>
      <c r="P344" s="16">
        <v>1870558</v>
      </c>
      <c r="Q344" s="16">
        <v>328469</v>
      </c>
      <c r="R344" s="16">
        <v>18195</v>
      </c>
      <c r="S344" s="16">
        <v>0</v>
      </c>
      <c r="T344" s="111">
        <v>32</v>
      </c>
    </row>
    <row r="345" spans="1:20" ht="15" customHeight="1" x14ac:dyDescent="0.2">
      <c r="A345" s="12" t="s">
        <v>840</v>
      </c>
      <c r="B345" s="56">
        <v>13884775</v>
      </c>
      <c r="C345" s="12" t="s">
        <v>841</v>
      </c>
      <c r="D345" s="12"/>
      <c r="E345" s="12" t="s">
        <v>842</v>
      </c>
      <c r="F345" s="12" t="s">
        <v>84</v>
      </c>
      <c r="G345" s="33">
        <v>2</v>
      </c>
      <c r="H345" s="33">
        <v>41</v>
      </c>
      <c r="I345" s="12" t="s">
        <v>107</v>
      </c>
      <c r="J345" s="12" t="s">
        <v>39</v>
      </c>
      <c r="K345" s="73" t="s">
        <v>29</v>
      </c>
      <c r="L345" s="13">
        <v>2308204</v>
      </c>
      <c r="M345" s="13">
        <v>325</v>
      </c>
      <c r="N345" s="13">
        <v>339013</v>
      </c>
      <c r="O345" s="13">
        <v>1802752</v>
      </c>
      <c r="P345" s="13">
        <v>166161</v>
      </c>
      <c r="Q345" s="13">
        <v>505452</v>
      </c>
      <c r="R345" s="13">
        <v>18736</v>
      </c>
      <c r="S345" s="13">
        <v>1</v>
      </c>
      <c r="T345" s="81">
        <v>0</v>
      </c>
    </row>
    <row r="346" spans="1:20" ht="15" customHeight="1" x14ac:dyDescent="0.2">
      <c r="A346" s="15" t="s">
        <v>843</v>
      </c>
      <c r="B346" s="60">
        <v>16779741</v>
      </c>
      <c r="C346" s="15"/>
      <c r="D346" s="15"/>
      <c r="E346" s="15"/>
      <c r="F346" s="15" t="s">
        <v>265</v>
      </c>
      <c r="G346" s="34">
        <v>2</v>
      </c>
      <c r="H346" s="34">
        <v>9</v>
      </c>
      <c r="I346" s="15" t="s">
        <v>844</v>
      </c>
      <c r="J346" s="15" t="s">
        <v>217</v>
      </c>
      <c r="K346" s="74" t="s">
        <v>29</v>
      </c>
      <c r="L346" s="16">
        <v>2289822</v>
      </c>
      <c r="M346" s="16">
        <v>1424209</v>
      </c>
      <c r="N346" s="16">
        <v>61725</v>
      </c>
      <c r="O346" s="16">
        <v>1975018</v>
      </c>
      <c r="P346" s="16">
        <v>1803113</v>
      </c>
      <c r="Q346" s="16">
        <v>314804</v>
      </c>
      <c r="R346" s="16">
        <v>26702</v>
      </c>
      <c r="S346" s="16">
        <v>0</v>
      </c>
      <c r="T346" s="111">
        <v>30</v>
      </c>
    </row>
    <row r="347" spans="1:20" ht="15" customHeight="1" x14ac:dyDescent="0.2">
      <c r="A347" s="12" t="s">
        <v>845</v>
      </c>
      <c r="B347" s="56">
        <v>2910987</v>
      </c>
      <c r="C347" s="12"/>
      <c r="D347" s="12"/>
      <c r="E347" s="12"/>
      <c r="F347" s="12" t="s">
        <v>265</v>
      </c>
      <c r="G347" s="33">
        <v>2</v>
      </c>
      <c r="H347" s="33">
        <v>9</v>
      </c>
      <c r="I347" s="12" t="s">
        <v>414</v>
      </c>
      <c r="J347" s="12" t="s">
        <v>74</v>
      </c>
      <c r="K347" s="73" t="s">
        <v>29</v>
      </c>
      <c r="L347" s="13">
        <v>2283067</v>
      </c>
      <c r="M347" s="13">
        <v>1608355</v>
      </c>
      <c r="N347" s="13">
        <v>30799</v>
      </c>
      <c r="O347" s="13">
        <v>1979853</v>
      </c>
      <c r="P347" s="13">
        <v>1393677</v>
      </c>
      <c r="Q347" s="13">
        <v>303215</v>
      </c>
      <c r="R347" s="13">
        <v>11248</v>
      </c>
      <c r="S347" s="13">
        <v>0</v>
      </c>
      <c r="T347" s="81">
        <v>33</v>
      </c>
    </row>
    <row r="348" spans="1:20" ht="15" customHeight="1" x14ac:dyDescent="0.2">
      <c r="A348" s="15" t="s">
        <v>846</v>
      </c>
      <c r="B348" s="60">
        <v>5231945</v>
      </c>
      <c r="C348" s="15"/>
      <c r="D348" s="15"/>
      <c r="E348" s="15"/>
      <c r="F348" s="15" t="s">
        <v>265</v>
      </c>
      <c r="G348" s="34">
        <v>2</v>
      </c>
      <c r="H348" s="34">
        <v>9</v>
      </c>
      <c r="I348" s="15" t="s">
        <v>847</v>
      </c>
      <c r="J348" s="15" t="s">
        <v>229</v>
      </c>
      <c r="K348" s="74" t="s">
        <v>29</v>
      </c>
      <c r="L348" s="16">
        <v>2280870</v>
      </c>
      <c r="M348" s="16">
        <v>1826565</v>
      </c>
      <c r="N348" s="16">
        <v>34231</v>
      </c>
      <c r="O348" s="16">
        <v>1979290</v>
      </c>
      <c r="P348" s="16">
        <v>1221507</v>
      </c>
      <c r="Q348" s="16">
        <v>301580</v>
      </c>
      <c r="R348" s="16">
        <v>37591</v>
      </c>
      <c r="S348" s="16">
        <v>0</v>
      </c>
      <c r="T348" s="111">
        <v>45</v>
      </c>
    </row>
    <row r="349" spans="1:20" ht="15" customHeight="1" x14ac:dyDescent="0.2">
      <c r="A349" s="12" t="s">
        <v>848</v>
      </c>
      <c r="B349" s="56">
        <v>62931522</v>
      </c>
      <c r="C349" s="12"/>
      <c r="D349" s="12"/>
      <c r="E349" s="12"/>
      <c r="F349" s="12" t="s">
        <v>199</v>
      </c>
      <c r="G349" s="33">
        <v>2</v>
      </c>
      <c r="H349" s="33">
        <v>9</v>
      </c>
      <c r="I349" s="12" t="s">
        <v>38</v>
      </c>
      <c r="J349" s="12" t="s">
        <v>39</v>
      </c>
      <c r="K349" s="73" t="s">
        <v>29</v>
      </c>
      <c r="L349" s="13">
        <v>2256755</v>
      </c>
      <c r="M349" s="13">
        <v>11504</v>
      </c>
      <c r="N349" s="13">
        <v>1499713</v>
      </c>
      <c r="O349" s="13">
        <v>1859368</v>
      </c>
      <c r="P349" s="13">
        <v>1685651</v>
      </c>
      <c r="Q349" s="13">
        <v>397387</v>
      </c>
      <c r="R349" s="13">
        <v>28518</v>
      </c>
      <c r="S349" s="13">
        <v>0</v>
      </c>
      <c r="T349" s="81">
        <v>0</v>
      </c>
    </row>
    <row r="350" spans="1:20" ht="15" customHeight="1" x14ac:dyDescent="0.2">
      <c r="A350" s="15" t="s">
        <v>849</v>
      </c>
      <c r="B350" s="60">
        <v>2663426</v>
      </c>
      <c r="C350" s="15"/>
      <c r="D350" s="15"/>
      <c r="E350" s="15"/>
      <c r="F350" s="15" t="s">
        <v>265</v>
      </c>
      <c r="G350" s="34">
        <v>2</v>
      </c>
      <c r="H350" s="34">
        <v>9</v>
      </c>
      <c r="I350" s="15" t="s">
        <v>850</v>
      </c>
      <c r="J350" s="15" t="s">
        <v>74</v>
      </c>
      <c r="K350" s="74" t="s">
        <v>29</v>
      </c>
      <c r="L350" s="16">
        <v>2231709</v>
      </c>
      <c r="M350" s="16">
        <v>1632367</v>
      </c>
      <c r="N350" s="16">
        <v>88927</v>
      </c>
      <c r="O350" s="16">
        <v>1917925</v>
      </c>
      <c r="P350" s="16">
        <v>1007012</v>
      </c>
      <c r="Q350" s="16">
        <v>313783</v>
      </c>
      <c r="R350" s="16">
        <v>17332</v>
      </c>
      <c r="S350" s="16">
        <v>0</v>
      </c>
      <c r="T350" s="111">
        <v>37</v>
      </c>
    </row>
    <row r="351" spans="1:20" ht="15" customHeight="1" x14ac:dyDescent="0.2">
      <c r="A351" s="12" t="s">
        <v>851</v>
      </c>
      <c r="B351" s="56">
        <v>54401286</v>
      </c>
      <c r="C351" s="12"/>
      <c r="D351" s="12"/>
      <c r="E351" s="12"/>
      <c r="F351" s="12" t="s">
        <v>265</v>
      </c>
      <c r="G351" s="33">
        <v>2</v>
      </c>
      <c r="H351" s="33">
        <v>9</v>
      </c>
      <c r="I351" s="12" t="s">
        <v>852</v>
      </c>
      <c r="J351" s="12" t="s">
        <v>39</v>
      </c>
      <c r="K351" s="73" t="s">
        <v>29</v>
      </c>
      <c r="L351" s="13">
        <v>2214149</v>
      </c>
      <c r="M351" s="13">
        <v>782752</v>
      </c>
      <c r="N351" s="13">
        <v>198782</v>
      </c>
      <c r="O351" s="13">
        <v>1956886</v>
      </c>
      <c r="P351" s="13">
        <v>1776842</v>
      </c>
      <c r="Q351" s="13">
        <v>257262</v>
      </c>
      <c r="R351" s="13">
        <v>19165</v>
      </c>
      <c r="S351" s="13">
        <v>0</v>
      </c>
      <c r="T351" s="81">
        <v>26</v>
      </c>
    </row>
    <row r="352" spans="1:20" ht="15" customHeight="1" x14ac:dyDescent="0.2">
      <c r="A352" s="15" t="s">
        <v>853</v>
      </c>
      <c r="B352" s="60">
        <v>28145829</v>
      </c>
      <c r="C352" s="15" t="s">
        <v>854</v>
      </c>
      <c r="D352" s="15"/>
      <c r="E352" s="15" t="s">
        <v>855</v>
      </c>
      <c r="F352" s="15" t="s">
        <v>52</v>
      </c>
      <c r="G352" s="34">
        <v>1</v>
      </c>
      <c r="H352" s="34">
        <v>5</v>
      </c>
      <c r="I352" s="15" t="s">
        <v>182</v>
      </c>
      <c r="J352" s="15" t="s">
        <v>183</v>
      </c>
      <c r="K352" s="74" t="s">
        <v>29</v>
      </c>
      <c r="L352" s="16">
        <v>2204638</v>
      </c>
      <c r="M352" s="16">
        <v>651323</v>
      </c>
      <c r="N352" s="16">
        <v>825977</v>
      </c>
      <c r="O352" s="16">
        <v>1601581</v>
      </c>
      <c r="P352" s="16">
        <v>748010</v>
      </c>
      <c r="Q352" s="16">
        <v>603057</v>
      </c>
      <c r="R352" s="16">
        <v>8425</v>
      </c>
      <c r="S352" s="16">
        <v>2</v>
      </c>
      <c r="T352" s="111">
        <v>0</v>
      </c>
    </row>
    <row r="353" spans="1:20" ht="15" customHeight="1" x14ac:dyDescent="0.2">
      <c r="A353" s="12" t="s">
        <v>856</v>
      </c>
      <c r="B353" s="56">
        <v>51014223</v>
      </c>
      <c r="C353" s="12" t="s">
        <v>46</v>
      </c>
      <c r="D353" s="12" t="s">
        <v>47</v>
      </c>
      <c r="E353" s="12" t="s">
        <v>48</v>
      </c>
      <c r="F353" s="12" t="s">
        <v>98</v>
      </c>
      <c r="G353" s="33">
        <v>3</v>
      </c>
      <c r="H353" s="33">
        <v>15</v>
      </c>
      <c r="I353" s="12" t="s">
        <v>38</v>
      </c>
      <c r="J353" s="12" t="s">
        <v>39</v>
      </c>
      <c r="K353" s="73" t="s">
        <v>29</v>
      </c>
      <c r="L353" s="13">
        <v>2192232</v>
      </c>
      <c r="M353" s="13">
        <v>0</v>
      </c>
      <c r="N353" s="13">
        <v>902283</v>
      </c>
      <c r="O353" s="13">
        <v>1021773</v>
      </c>
      <c r="P353" s="13">
        <v>0</v>
      </c>
      <c r="Q353" s="13">
        <v>1170459</v>
      </c>
      <c r="R353" s="13">
        <v>64891</v>
      </c>
      <c r="S353" s="13">
        <v>3</v>
      </c>
      <c r="T353" s="81">
        <v>0</v>
      </c>
    </row>
    <row r="354" spans="1:20" ht="15" customHeight="1" x14ac:dyDescent="0.2">
      <c r="A354" s="15" t="s">
        <v>857</v>
      </c>
      <c r="B354" s="60">
        <v>82937293</v>
      </c>
      <c r="C354" s="15" t="s">
        <v>858</v>
      </c>
      <c r="D354" s="15"/>
      <c r="E354" s="15" t="s">
        <v>859</v>
      </c>
      <c r="F354" s="15" t="s">
        <v>65</v>
      </c>
      <c r="G354" s="34">
        <v>1</v>
      </c>
      <c r="H354" s="34">
        <v>30</v>
      </c>
      <c r="I354" s="15" t="s">
        <v>216</v>
      </c>
      <c r="J354" s="15" t="s">
        <v>217</v>
      </c>
      <c r="K354" s="74" t="s">
        <v>29</v>
      </c>
      <c r="L354" s="16">
        <v>2183080</v>
      </c>
      <c r="M354" s="16">
        <v>1582014</v>
      </c>
      <c r="N354" s="16">
        <v>512239</v>
      </c>
      <c r="O354" s="16">
        <v>994503</v>
      </c>
      <c r="P354" s="16">
        <v>848911</v>
      </c>
      <c r="Q354" s="16">
        <v>1188577</v>
      </c>
      <c r="R354" s="16">
        <v>41517</v>
      </c>
      <c r="S354" s="16">
        <v>2</v>
      </c>
      <c r="T354" s="111">
        <v>0</v>
      </c>
    </row>
    <row r="355" spans="1:20" ht="15" customHeight="1" x14ac:dyDescent="0.2">
      <c r="A355" s="12" t="s">
        <v>860</v>
      </c>
      <c r="B355" s="56">
        <v>87780284</v>
      </c>
      <c r="C355" s="12"/>
      <c r="D355" s="12"/>
      <c r="E355" s="12"/>
      <c r="F355" s="12" t="s">
        <v>265</v>
      </c>
      <c r="G355" s="33">
        <v>2</v>
      </c>
      <c r="H355" s="33">
        <v>9</v>
      </c>
      <c r="I355" s="12" t="s">
        <v>861</v>
      </c>
      <c r="J355" s="12" t="s">
        <v>74</v>
      </c>
      <c r="K355" s="73" t="s">
        <v>29</v>
      </c>
      <c r="L355" s="13">
        <v>2176444</v>
      </c>
      <c r="M355" s="13">
        <v>1313914</v>
      </c>
      <c r="N355" s="13">
        <v>787211</v>
      </c>
      <c r="O355" s="13">
        <v>1726805</v>
      </c>
      <c r="P355" s="13">
        <v>1112519</v>
      </c>
      <c r="Q355" s="13">
        <v>449638</v>
      </c>
      <c r="R355" s="13">
        <v>31026</v>
      </c>
      <c r="S355" s="13">
        <v>0</v>
      </c>
      <c r="T355" s="81">
        <v>29</v>
      </c>
    </row>
    <row r="356" spans="1:20" ht="15" customHeight="1" x14ac:dyDescent="0.2">
      <c r="A356" s="15" t="s">
        <v>862</v>
      </c>
      <c r="B356" s="60">
        <v>61820817</v>
      </c>
      <c r="C356" s="15" t="s">
        <v>863</v>
      </c>
      <c r="D356" s="15"/>
      <c r="E356" s="15" t="s">
        <v>864</v>
      </c>
      <c r="F356" s="15" t="s">
        <v>26</v>
      </c>
      <c r="G356" s="34">
        <v>2</v>
      </c>
      <c r="H356" s="34">
        <v>8</v>
      </c>
      <c r="I356" s="15" t="s">
        <v>38</v>
      </c>
      <c r="J356" s="15" t="s">
        <v>39</v>
      </c>
      <c r="K356" s="74" t="s">
        <v>29</v>
      </c>
      <c r="L356" s="16">
        <v>2170003</v>
      </c>
      <c r="M356" s="16">
        <v>1045362</v>
      </c>
      <c r="N356" s="16">
        <v>545564</v>
      </c>
      <c r="O356" s="16">
        <v>2052908</v>
      </c>
      <c r="P356" s="16">
        <v>1839582</v>
      </c>
      <c r="Q356" s="16">
        <v>117095</v>
      </c>
      <c r="R356" s="16">
        <v>-27383</v>
      </c>
      <c r="S356" s="16">
        <v>2</v>
      </c>
      <c r="T356" s="111">
        <v>0</v>
      </c>
    </row>
    <row r="357" spans="1:20" ht="15" customHeight="1" x14ac:dyDescent="0.2">
      <c r="A357" s="12" t="s">
        <v>865</v>
      </c>
      <c r="B357" s="56">
        <v>21018182</v>
      </c>
      <c r="C357" s="12" t="s">
        <v>866</v>
      </c>
      <c r="D357" s="12"/>
      <c r="E357" s="12" t="s">
        <v>867</v>
      </c>
      <c r="F357" s="12" t="s">
        <v>84</v>
      </c>
      <c r="G357" s="33">
        <v>2</v>
      </c>
      <c r="H357" s="33">
        <v>41</v>
      </c>
      <c r="I357" s="12" t="s">
        <v>228</v>
      </c>
      <c r="J357" s="12" t="s">
        <v>229</v>
      </c>
      <c r="K357" s="73" t="s">
        <v>29</v>
      </c>
      <c r="L357" s="13">
        <v>2157397</v>
      </c>
      <c r="M357" s="13">
        <v>0</v>
      </c>
      <c r="N357" s="13">
        <v>0</v>
      </c>
      <c r="O357" s="13">
        <v>1996003</v>
      </c>
      <c r="P357" s="13">
        <v>1964375</v>
      </c>
      <c r="Q357" s="13">
        <v>161393</v>
      </c>
      <c r="R357" s="13">
        <v>59138</v>
      </c>
      <c r="S357" s="13">
        <v>1</v>
      </c>
      <c r="T357" s="81">
        <v>0</v>
      </c>
    </row>
    <row r="358" spans="1:20" ht="15" customHeight="1" x14ac:dyDescent="0.2">
      <c r="A358" s="15" t="s">
        <v>868</v>
      </c>
      <c r="B358" s="60">
        <v>80959612</v>
      </c>
      <c r="C358" s="15"/>
      <c r="D358" s="15"/>
      <c r="E358" s="15"/>
      <c r="F358" s="15" t="s">
        <v>265</v>
      </c>
      <c r="G358" s="34">
        <v>2</v>
      </c>
      <c r="H358" s="34">
        <v>9</v>
      </c>
      <c r="I358" s="15" t="s">
        <v>869</v>
      </c>
      <c r="J358" s="15" t="s">
        <v>217</v>
      </c>
      <c r="K358" s="74" t="s">
        <v>29</v>
      </c>
      <c r="L358" s="16">
        <v>2154951</v>
      </c>
      <c r="M358" s="16">
        <v>974601</v>
      </c>
      <c r="N358" s="16">
        <v>47390</v>
      </c>
      <c r="O358" s="16">
        <v>1892976</v>
      </c>
      <c r="P358" s="16">
        <v>1562785</v>
      </c>
      <c r="Q358" s="16">
        <v>261975</v>
      </c>
      <c r="R358" s="16">
        <v>28866</v>
      </c>
      <c r="S358" s="16">
        <v>0</v>
      </c>
      <c r="T358" s="111">
        <v>29</v>
      </c>
    </row>
    <row r="359" spans="1:20" ht="15" customHeight="1" x14ac:dyDescent="0.2">
      <c r="A359" s="12" t="s">
        <v>870</v>
      </c>
      <c r="B359" s="56">
        <v>9605581</v>
      </c>
      <c r="C359" s="12" t="s">
        <v>201</v>
      </c>
      <c r="D359" s="12" t="s">
        <v>202</v>
      </c>
      <c r="E359" s="12" t="s">
        <v>203</v>
      </c>
      <c r="F359" s="12" t="s">
        <v>98</v>
      </c>
      <c r="G359" s="33">
        <v>3</v>
      </c>
      <c r="H359" s="33">
        <v>15</v>
      </c>
      <c r="I359" s="12" t="s">
        <v>38</v>
      </c>
      <c r="J359" s="12" t="s">
        <v>39</v>
      </c>
      <c r="K359" s="73" t="s">
        <v>29</v>
      </c>
      <c r="L359" s="13">
        <v>2143538</v>
      </c>
      <c r="M359" s="13">
        <v>0</v>
      </c>
      <c r="N359" s="13">
        <v>44462</v>
      </c>
      <c r="O359" s="13">
        <v>788291</v>
      </c>
      <c r="P359" s="13">
        <v>16063</v>
      </c>
      <c r="Q359" s="13">
        <v>1355248</v>
      </c>
      <c r="R359" s="13">
        <v>223811</v>
      </c>
      <c r="S359" s="13">
        <v>2</v>
      </c>
      <c r="T359" s="81">
        <v>0</v>
      </c>
    </row>
    <row r="360" spans="1:20" ht="15" customHeight="1" x14ac:dyDescent="0.2">
      <c r="A360" s="15" t="s">
        <v>871</v>
      </c>
      <c r="B360" s="60">
        <v>966246</v>
      </c>
      <c r="C360" s="15"/>
      <c r="D360" s="15"/>
      <c r="E360" s="15"/>
      <c r="F360" s="15" t="s">
        <v>265</v>
      </c>
      <c r="G360" s="34">
        <v>2</v>
      </c>
      <c r="H360" s="34">
        <v>9</v>
      </c>
      <c r="I360" s="15" t="s">
        <v>872</v>
      </c>
      <c r="J360" s="15" t="s">
        <v>39</v>
      </c>
      <c r="K360" s="74" t="s">
        <v>29</v>
      </c>
      <c r="L360" s="16">
        <v>2125774</v>
      </c>
      <c r="M360" s="16">
        <v>904589</v>
      </c>
      <c r="N360" s="16">
        <v>71693</v>
      </c>
      <c r="O360" s="16">
        <v>1857684</v>
      </c>
      <c r="P360" s="16">
        <v>1745211</v>
      </c>
      <c r="Q360" s="16">
        <v>268090</v>
      </c>
      <c r="R360" s="16">
        <v>16434</v>
      </c>
      <c r="S360" s="16">
        <v>0</v>
      </c>
      <c r="T360" s="111">
        <v>33</v>
      </c>
    </row>
    <row r="361" spans="1:20" ht="15" customHeight="1" x14ac:dyDescent="0.2">
      <c r="A361" s="12" t="s">
        <v>873</v>
      </c>
      <c r="B361" s="56">
        <v>1635462</v>
      </c>
      <c r="C361" s="12"/>
      <c r="D361" s="12"/>
      <c r="E361" s="12"/>
      <c r="F361" s="12" t="s">
        <v>265</v>
      </c>
      <c r="G361" s="33">
        <v>2</v>
      </c>
      <c r="H361" s="33">
        <v>9</v>
      </c>
      <c r="I361" s="12" t="s">
        <v>535</v>
      </c>
      <c r="J361" s="12" t="s">
        <v>74</v>
      </c>
      <c r="K361" s="73" t="s">
        <v>29</v>
      </c>
      <c r="L361" s="13">
        <v>2124274</v>
      </c>
      <c r="M361" s="13">
        <v>1147812</v>
      </c>
      <c r="N361" s="13">
        <v>43818</v>
      </c>
      <c r="O361" s="13">
        <v>1882619</v>
      </c>
      <c r="P361" s="13">
        <v>1717917</v>
      </c>
      <c r="Q361" s="13">
        <v>241655</v>
      </c>
      <c r="R361" s="13">
        <v>4580</v>
      </c>
      <c r="S361" s="13">
        <v>0</v>
      </c>
      <c r="T361" s="81">
        <v>29</v>
      </c>
    </row>
    <row r="362" spans="1:20" ht="15" customHeight="1" x14ac:dyDescent="0.2">
      <c r="A362" s="15" t="s">
        <v>874</v>
      </c>
      <c r="B362" s="60">
        <v>71698674</v>
      </c>
      <c r="C362" s="15"/>
      <c r="D362" s="15"/>
      <c r="E362" s="15"/>
      <c r="F362" s="15" t="s">
        <v>265</v>
      </c>
      <c r="G362" s="34">
        <v>2</v>
      </c>
      <c r="H362" s="34">
        <v>9</v>
      </c>
      <c r="I362" s="15" t="s">
        <v>875</v>
      </c>
      <c r="J362" s="15" t="s">
        <v>39</v>
      </c>
      <c r="K362" s="74" t="s">
        <v>29</v>
      </c>
      <c r="L362" s="16">
        <v>2112327</v>
      </c>
      <c r="M362" s="16">
        <v>1324407</v>
      </c>
      <c r="N362" s="16">
        <v>46547</v>
      </c>
      <c r="O362" s="16">
        <v>1877460</v>
      </c>
      <c r="P362" s="16">
        <v>1800369</v>
      </c>
      <c r="Q362" s="16">
        <v>234867</v>
      </c>
      <c r="R362" s="16">
        <v>17951</v>
      </c>
      <c r="S362" s="16">
        <v>0</v>
      </c>
      <c r="T362" s="111">
        <v>34</v>
      </c>
    </row>
    <row r="363" spans="1:20" ht="15" customHeight="1" x14ac:dyDescent="0.2">
      <c r="A363" s="12" t="s">
        <v>876</v>
      </c>
      <c r="B363" s="56">
        <v>3816413</v>
      </c>
      <c r="C363" s="12" t="s">
        <v>877</v>
      </c>
      <c r="D363" s="12"/>
      <c r="E363" s="12" t="s">
        <v>878</v>
      </c>
      <c r="F363" s="12" t="s">
        <v>84</v>
      </c>
      <c r="G363" s="33">
        <v>3</v>
      </c>
      <c r="H363" s="33">
        <v>41</v>
      </c>
      <c r="I363" s="12" t="s">
        <v>281</v>
      </c>
      <c r="J363" s="12" t="s">
        <v>217</v>
      </c>
      <c r="K363" s="73" t="s">
        <v>29</v>
      </c>
      <c r="L363" s="13">
        <v>2109510</v>
      </c>
      <c r="M363" s="13">
        <v>0</v>
      </c>
      <c r="N363" s="13">
        <v>191164</v>
      </c>
      <c r="O363" s="13">
        <v>2045068</v>
      </c>
      <c r="P363" s="13">
        <v>124953</v>
      </c>
      <c r="Q363" s="13">
        <v>64442</v>
      </c>
      <c r="R363" s="13">
        <v>-35742</v>
      </c>
      <c r="S363" s="13">
        <v>1</v>
      </c>
      <c r="T363" s="81">
        <v>0</v>
      </c>
    </row>
    <row r="364" spans="1:20" ht="15" customHeight="1" x14ac:dyDescent="0.2">
      <c r="A364" s="15" t="s">
        <v>879</v>
      </c>
      <c r="B364" s="60">
        <v>80230774</v>
      </c>
      <c r="C364" s="15"/>
      <c r="D364" s="15"/>
      <c r="E364" s="15"/>
      <c r="F364" s="15" t="s">
        <v>199</v>
      </c>
      <c r="G364" s="34">
        <v>2</v>
      </c>
      <c r="H364" s="34">
        <v>9</v>
      </c>
      <c r="I364" s="15" t="s">
        <v>228</v>
      </c>
      <c r="J364" s="15" t="s">
        <v>229</v>
      </c>
      <c r="K364" s="74" t="s">
        <v>29</v>
      </c>
      <c r="L364" s="16">
        <v>2094137</v>
      </c>
      <c r="M364" s="16">
        <v>0</v>
      </c>
      <c r="N364" s="16">
        <v>794279</v>
      </c>
      <c r="O364" s="16">
        <v>169540</v>
      </c>
      <c r="P364" s="16">
        <v>16615</v>
      </c>
      <c r="Q364" s="16">
        <v>1924597</v>
      </c>
      <c r="R364" s="16">
        <v>0</v>
      </c>
      <c r="S364" s="16">
        <v>0</v>
      </c>
      <c r="T364" s="111">
        <v>0</v>
      </c>
    </row>
    <row r="365" spans="1:20" ht="15" customHeight="1" x14ac:dyDescent="0.2">
      <c r="A365" s="12" t="s">
        <v>880</v>
      </c>
      <c r="B365" s="56">
        <v>72257793</v>
      </c>
      <c r="C365" s="12"/>
      <c r="D365" s="12"/>
      <c r="E365" s="12"/>
      <c r="F365" s="12" t="s">
        <v>265</v>
      </c>
      <c r="G365" s="33">
        <v>2</v>
      </c>
      <c r="H365" s="33">
        <v>9</v>
      </c>
      <c r="I365" s="12" t="s">
        <v>132</v>
      </c>
      <c r="J365" s="12" t="s">
        <v>133</v>
      </c>
      <c r="K365" s="73" t="s">
        <v>29</v>
      </c>
      <c r="L365" s="13">
        <v>2090920</v>
      </c>
      <c r="M365" s="13">
        <v>698461</v>
      </c>
      <c r="N365" s="13">
        <v>1113732</v>
      </c>
      <c r="O365" s="13">
        <v>1815428</v>
      </c>
      <c r="P365" s="13">
        <v>1553714</v>
      </c>
      <c r="Q365" s="13">
        <v>275492</v>
      </c>
      <c r="R365" s="13">
        <v>32069</v>
      </c>
      <c r="S365" s="13">
        <v>0</v>
      </c>
      <c r="T365" s="81">
        <v>26</v>
      </c>
    </row>
    <row r="366" spans="1:20" ht="15" customHeight="1" x14ac:dyDescent="0.2">
      <c r="A366" s="15" t="s">
        <v>881</v>
      </c>
      <c r="B366" s="60">
        <v>34148882</v>
      </c>
      <c r="C366" s="15"/>
      <c r="D366" s="15"/>
      <c r="E366" s="15"/>
      <c r="F366" s="15" t="s">
        <v>199</v>
      </c>
      <c r="G366" s="34">
        <v>2</v>
      </c>
      <c r="H366" s="34">
        <v>9</v>
      </c>
      <c r="I366" s="15" t="s">
        <v>210</v>
      </c>
      <c r="J366" s="15" t="s">
        <v>211</v>
      </c>
      <c r="K366" s="74" t="s">
        <v>29</v>
      </c>
      <c r="L366" s="16">
        <v>2085622</v>
      </c>
      <c r="M366" s="16">
        <v>15897</v>
      </c>
      <c r="N366" s="16">
        <v>526181</v>
      </c>
      <c r="O366" s="16">
        <v>1902551</v>
      </c>
      <c r="P366" s="16">
        <v>115098</v>
      </c>
      <c r="Q366" s="16">
        <v>183070</v>
      </c>
      <c r="R366" s="16">
        <v>8344</v>
      </c>
      <c r="S366" s="16">
        <v>0</v>
      </c>
      <c r="T366" s="111">
        <v>0</v>
      </c>
    </row>
    <row r="367" spans="1:20" ht="15" customHeight="1" x14ac:dyDescent="0.2">
      <c r="A367" s="12" t="s">
        <v>882</v>
      </c>
      <c r="B367" s="56">
        <v>67960229</v>
      </c>
      <c r="C367" s="12"/>
      <c r="D367" s="12"/>
      <c r="E367" s="12"/>
      <c r="F367" s="12" t="s">
        <v>265</v>
      </c>
      <c r="G367" s="33">
        <v>2</v>
      </c>
      <c r="H367" s="33">
        <v>9</v>
      </c>
      <c r="I367" s="12" t="s">
        <v>883</v>
      </c>
      <c r="J367" s="12" t="s">
        <v>39</v>
      </c>
      <c r="K367" s="73" t="s">
        <v>29</v>
      </c>
      <c r="L367" s="13">
        <v>2084882</v>
      </c>
      <c r="M367" s="13">
        <v>800711</v>
      </c>
      <c r="N367" s="13">
        <v>48694</v>
      </c>
      <c r="O367" s="13">
        <v>1790686</v>
      </c>
      <c r="P367" s="13">
        <v>1747783</v>
      </c>
      <c r="Q367" s="13">
        <v>294196</v>
      </c>
      <c r="R367" s="13">
        <v>21287</v>
      </c>
      <c r="S367" s="13">
        <v>0</v>
      </c>
      <c r="T367" s="81">
        <v>36</v>
      </c>
    </row>
    <row r="368" spans="1:20" ht="15" customHeight="1" x14ac:dyDescent="0.2">
      <c r="A368" s="15" t="s">
        <v>884</v>
      </c>
      <c r="B368" s="60">
        <v>33851205</v>
      </c>
      <c r="C368" s="15" t="s">
        <v>109</v>
      </c>
      <c r="D368" s="15" t="s">
        <v>110</v>
      </c>
      <c r="E368" s="15" t="s">
        <v>111</v>
      </c>
      <c r="F368" s="15" t="s">
        <v>98</v>
      </c>
      <c r="G368" s="34">
        <v>3</v>
      </c>
      <c r="H368" s="34">
        <v>16</v>
      </c>
      <c r="I368" s="15" t="s">
        <v>38</v>
      </c>
      <c r="J368" s="15" t="s">
        <v>39</v>
      </c>
      <c r="K368" s="74" t="s">
        <v>29</v>
      </c>
      <c r="L368" s="16">
        <v>2074544</v>
      </c>
      <c r="M368" s="16">
        <v>0</v>
      </c>
      <c r="N368" s="16">
        <v>0</v>
      </c>
      <c r="O368" s="16">
        <v>1249318</v>
      </c>
      <c r="P368" s="16">
        <v>1161536</v>
      </c>
      <c r="Q368" s="16">
        <v>825226</v>
      </c>
      <c r="R368" s="16">
        <v>83778</v>
      </c>
      <c r="S368" s="16">
        <v>2</v>
      </c>
      <c r="T368" s="111">
        <v>0</v>
      </c>
    </row>
    <row r="369" spans="1:20" ht="15" customHeight="1" x14ac:dyDescent="0.2">
      <c r="A369" s="12" t="s">
        <v>885</v>
      </c>
      <c r="B369" s="56">
        <v>7679404</v>
      </c>
      <c r="C369" s="12" t="s">
        <v>886</v>
      </c>
      <c r="D369" s="12"/>
      <c r="E369" s="12" t="s">
        <v>887</v>
      </c>
      <c r="F369" s="12" t="s">
        <v>26</v>
      </c>
      <c r="G369" s="33">
        <v>3</v>
      </c>
      <c r="H369" s="33">
        <v>8</v>
      </c>
      <c r="I369" s="12" t="s">
        <v>73</v>
      </c>
      <c r="J369" s="12" t="s">
        <v>74</v>
      </c>
      <c r="K369" s="73" t="s">
        <v>29</v>
      </c>
      <c r="L369" s="13">
        <v>2041569</v>
      </c>
      <c r="M369" s="13">
        <v>99971</v>
      </c>
      <c r="N369" s="13">
        <v>569662</v>
      </c>
      <c r="O369" s="13">
        <v>1761464</v>
      </c>
      <c r="P369" s="13">
        <v>1582068</v>
      </c>
      <c r="Q369" s="13">
        <v>280104</v>
      </c>
      <c r="R369" s="13">
        <v>-4355</v>
      </c>
      <c r="S369" s="13">
        <v>2</v>
      </c>
      <c r="T369" s="81">
        <v>0</v>
      </c>
    </row>
    <row r="370" spans="1:20" ht="15" customHeight="1" x14ac:dyDescent="0.2">
      <c r="A370" s="15" t="s">
        <v>888</v>
      </c>
      <c r="B370" s="60">
        <v>556603</v>
      </c>
      <c r="C370" s="15" t="s">
        <v>889</v>
      </c>
      <c r="D370" s="15" t="s">
        <v>890</v>
      </c>
      <c r="E370" s="15" t="s">
        <v>891</v>
      </c>
      <c r="F370" s="15" t="s">
        <v>26</v>
      </c>
      <c r="G370" s="34">
        <v>2</v>
      </c>
      <c r="H370" s="34">
        <v>8</v>
      </c>
      <c r="I370" s="15" t="s">
        <v>228</v>
      </c>
      <c r="J370" s="15" t="s">
        <v>229</v>
      </c>
      <c r="K370" s="74" t="s">
        <v>29</v>
      </c>
      <c r="L370" s="16">
        <v>2033186</v>
      </c>
      <c r="M370" s="16">
        <v>1496873</v>
      </c>
      <c r="N370" s="16">
        <v>147054</v>
      </c>
      <c r="O370" s="16">
        <v>1813310</v>
      </c>
      <c r="P370" s="16">
        <v>1714540</v>
      </c>
      <c r="Q370" s="16">
        <v>219876</v>
      </c>
      <c r="R370" s="16">
        <v>29882</v>
      </c>
      <c r="S370" s="16">
        <v>2</v>
      </c>
      <c r="T370" s="111">
        <v>0</v>
      </c>
    </row>
    <row r="371" spans="1:20" ht="15" customHeight="1" x14ac:dyDescent="0.2">
      <c r="A371" s="12" t="s">
        <v>892</v>
      </c>
      <c r="B371" s="56">
        <v>26563270</v>
      </c>
      <c r="C371" s="12"/>
      <c r="D371" s="12"/>
      <c r="E371" s="12"/>
      <c r="F371" s="12" t="s">
        <v>265</v>
      </c>
      <c r="G371" s="33">
        <v>2</v>
      </c>
      <c r="H371" s="33">
        <v>9</v>
      </c>
      <c r="I371" s="12" t="s">
        <v>600</v>
      </c>
      <c r="J371" s="12" t="s">
        <v>329</v>
      </c>
      <c r="K371" s="73" t="s">
        <v>29</v>
      </c>
      <c r="L371" s="13">
        <v>2020337</v>
      </c>
      <c r="M371" s="13">
        <v>1277414</v>
      </c>
      <c r="N371" s="13">
        <v>43494</v>
      </c>
      <c r="O371" s="13">
        <v>1857732</v>
      </c>
      <c r="P371" s="13">
        <v>1687754</v>
      </c>
      <c r="Q371" s="13">
        <v>162605</v>
      </c>
      <c r="R371" s="13">
        <v>-48290</v>
      </c>
      <c r="S371" s="13">
        <v>0</v>
      </c>
      <c r="T371" s="81">
        <v>9</v>
      </c>
    </row>
    <row r="372" spans="1:20" ht="15" customHeight="1" x14ac:dyDescent="0.2">
      <c r="A372" s="15" t="s">
        <v>893</v>
      </c>
      <c r="B372" s="60">
        <v>32402502</v>
      </c>
      <c r="C372" s="15" t="s">
        <v>682</v>
      </c>
      <c r="D372" s="15" t="s">
        <v>683</v>
      </c>
      <c r="E372" s="15" t="s">
        <v>684</v>
      </c>
      <c r="F372" s="15" t="s">
        <v>65</v>
      </c>
      <c r="G372" s="34">
        <v>3</v>
      </c>
      <c r="H372" s="34">
        <v>43</v>
      </c>
      <c r="I372" s="15" t="s">
        <v>38</v>
      </c>
      <c r="J372" s="15" t="s">
        <v>39</v>
      </c>
      <c r="K372" s="74" t="s">
        <v>29</v>
      </c>
      <c r="L372" s="16">
        <v>2017517</v>
      </c>
      <c r="M372" s="16">
        <v>202040</v>
      </c>
      <c r="N372" s="16">
        <v>571614</v>
      </c>
      <c r="O372" s="16">
        <v>1611343</v>
      </c>
      <c r="P372" s="16">
        <v>1391186</v>
      </c>
      <c r="Q372" s="16">
        <v>406174</v>
      </c>
      <c r="R372" s="16">
        <v>136971</v>
      </c>
      <c r="S372" s="16">
        <v>2</v>
      </c>
      <c r="T372" s="111">
        <v>0</v>
      </c>
    </row>
    <row r="373" spans="1:20" ht="15" customHeight="1" x14ac:dyDescent="0.2">
      <c r="A373" s="12" t="s">
        <v>894</v>
      </c>
      <c r="B373" s="56">
        <v>33709114</v>
      </c>
      <c r="C373" s="12" t="s">
        <v>90</v>
      </c>
      <c r="D373" s="12" t="s">
        <v>91</v>
      </c>
      <c r="E373" s="12" t="s">
        <v>92</v>
      </c>
      <c r="F373" s="12" t="s">
        <v>98</v>
      </c>
      <c r="G373" s="33">
        <v>3</v>
      </c>
      <c r="H373" s="33">
        <v>15</v>
      </c>
      <c r="I373" s="12" t="s">
        <v>38</v>
      </c>
      <c r="J373" s="12" t="s">
        <v>39</v>
      </c>
      <c r="K373" s="73" t="s">
        <v>29</v>
      </c>
      <c r="L373" s="13">
        <v>2004570</v>
      </c>
      <c r="M373" s="13">
        <v>0</v>
      </c>
      <c r="N373" s="13">
        <v>63783</v>
      </c>
      <c r="O373" s="13">
        <v>1164629</v>
      </c>
      <c r="P373" s="13">
        <v>18019</v>
      </c>
      <c r="Q373" s="13">
        <v>839941</v>
      </c>
      <c r="R373" s="13">
        <v>57029</v>
      </c>
      <c r="S373" s="13">
        <v>2</v>
      </c>
      <c r="T373" s="81">
        <v>0</v>
      </c>
    </row>
    <row r="374" spans="1:20" ht="15" customHeight="1" x14ac:dyDescent="0.2">
      <c r="A374" s="15" t="s">
        <v>895</v>
      </c>
      <c r="B374" s="60">
        <v>97406706</v>
      </c>
      <c r="C374" s="15" t="s">
        <v>896</v>
      </c>
      <c r="D374" s="15"/>
      <c r="E374" s="15" t="s">
        <v>897</v>
      </c>
      <c r="F374" s="15" t="s">
        <v>65</v>
      </c>
      <c r="G374" s="34">
        <v>3</v>
      </c>
      <c r="H374" s="34">
        <v>19</v>
      </c>
      <c r="I374" s="15" t="s">
        <v>107</v>
      </c>
      <c r="J374" s="15" t="s">
        <v>39</v>
      </c>
      <c r="K374" s="74" t="s">
        <v>29</v>
      </c>
      <c r="L374" s="16">
        <v>1988447</v>
      </c>
      <c r="M374" s="16">
        <v>1820850</v>
      </c>
      <c r="N374" s="16">
        <v>0</v>
      </c>
      <c r="O374" s="16">
        <v>701935</v>
      </c>
      <c r="P374" s="16">
        <v>474956</v>
      </c>
      <c r="Q374" s="16">
        <v>1286512</v>
      </c>
      <c r="R374" s="16">
        <v>54470</v>
      </c>
      <c r="S374" s="16">
        <v>4</v>
      </c>
      <c r="T374" s="111">
        <v>0</v>
      </c>
    </row>
    <row r="375" spans="1:20" ht="15" customHeight="1" x14ac:dyDescent="0.2">
      <c r="A375" s="12" t="s">
        <v>898</v>
      </c>
      <c r="B375" s="56">
        <v>7599206</v>
      </c>
      <c r="C375" s="12"/>
      <c r="D375" s="12"/>
      <c r="E375" s="12"/>
      <c r="F375" s="12" t="s">
        <v>265</v>
      </c>
      <c r="G375" s="33">
        <v>2</v>
      </c>
      <c r="H375" s="33">
        <v>9</v>
      </c>
      <c r="I375" s="12" t="s">
        <v>388</v>
      </c>
      <c r="J375" s="12" t="s">
        <v>389</v>
      </c>
      <c r="K375" s="73" t="s">
        <v>29</v>
      </c>
      <c r="L375" s="13">
        <v>1987950</v>
      </c>
      <c r="M375" s="13">
        <v>1051520</v>
      </c>
      <c r="N375" s="13">
        <v>129461</v>
      </c>
      <c r="O375" s="13">
        <v>1513968</v>
      </c>
      <c r="P375" s="13">
        <v>1324346</v>
      </c>
      <c r="Q375" s="13">
        <v>473983</v>
      </c>
      <c r="R375" s="13">
        <v>-4291</v>
      </c>
      <c r="S375" s="13">
        <v>0</v>
      </c>
      <c r="T375" s="81">
        <v>12</v>
      </c>
    </row>
    <row r="376" spans="1:20" ht="15" customHeight="1" x14ac:dyDescent="0.2">
      <c r="A376" s="15" t="s">
        <v>899</v>
      </c>
      <c r="B376" s="60">
        <v>1389651</v>
      </c>
      <c r="C376" s="15"/>
      <c r="D376" s="15"/>
      <c r="E376" s="15"/>
      <c r="F376" s="15" t="s">
        <v>265</v>
      </c>
      <c r="G376" s="34">
        <v>2</v>
      </c>
      <c r="H376" s="34">
        <v>9</v>
      </c>
      <c r="I376" s="15" t="s">
        <v>900</v>
      </c>
      <c r="J376" s="15" t="s">
        <v>217</v>
      </c>
      <c r="K376" s="74" t="s">
        <v>29</v>
      </c>
      <c r="L376" s="16">
        <v>1983926</v>
      </c>
      <c r="M376" s="16">
        <v>1276631</v>
      </c>
      <c r="N376" s="16">
        <v>24275</v>
      </c>
      <c r="O376" s="16">
        <v>1748496</v>
      </c>
      <c r="P376" s="16">
        <v>1562308</v>
      </c>
      <c r="Q376" s="16">
        <v>235430</v>
      </c>
      <c r="R376" s="16">
        <v>16104</v>
      </c>
      <c r="S376" s="16">
        <v>0</v>
      </c>
      <c r="T376" s="111">
        <v>20</v>
      </c>
    </row>
    <row r="377" spans="1:20" ht="15" customHeight="1" x14ac:dyDescent="0.2">
      <c r="A377" s="12" t="s">
        <v>901</v>
      </c>
      <c r="B377" s="56">
        <v>1727929</v>
      </c>
      <c r="C377" s="12"/>
      <c r="D377" s="12"/>
      <c r="E377" s="12"/>
      <c r="F377" s="12" t="s">
        <v>265</v>
      </c>
      <c r="G377" s="33">
        <v>2</v>
      </c>
      <c r="H377" s="33">
        <v>9</v>
      </c>
      <c r="I377" s="12" t="s">
        <v>617</v>
      </c>
      <c r="J377" s="12" t="s">
        <v>120</v>
      </c>
      <c r="K377" s="73" t="s">
        <v>29</v>
      </c>
      <c r="L377" s="13">
        <v>1950115</v>
      </c>
      <c r="M377" s="13">
        <v>1050789</v>
      </c>
      <c r="N377" s="13">
        <v>27203</v>
      </c>
      <c r="O377" s="13">
        <v>1781924</v>
      </c>
      <c r="P377" s="13">
        <v>1582661</v>
      </c>
      <c r="Q377" s="13">
        <v>168191</v>
      </c>
      <c r="R377" s="13">
        <v>10364</v>
      </c>
      <c r="S377" s="13">
        <v>0</v>
      </c>
      <c r="T377" s="81">
        <v>32</v>
      </c>
    </row>
    <row r="378" spans="1:20" ht="15" customHeight="1" x14ac:dyDescent="0.2">
      <c r="A378" s="15" t="s">
        <v>902</v>
      </c>
      <c r="B378" s="60">
        <v>7026923</v>
      </c>
      <c r="C378" s="15"/>
      <c r="D378" s="15"/>
      <c r="E378" s="15"/>
      <c r="F378" s="15" t="s">
        <v>265</v>
      </c>
      <c r="G378" s="34">
        <v>2</v>
      </c>
      <c r="H378" s="34">
        <v>9</v>
      </c>
      <c r="I378" s="15" t="s">
        <v>903</v>
      </c>
      <c r="J378" s="15" t="s">
        <v>229</v>
      </c>
      <c r="K378" s="74" t="s">
        <v>29</v>
      </c>
      <c r="L378" s="16">
        <v>1931470</v>
      </c>
      <c r="M378" s="16">
        <v>976152</v>
      </c>
      <c r="N378" s="16">
        <v>22857</v>
      </c>
      <c r="O378" s="16">
        <v>1755857</v>
      </c>
      <c r="P378" s="16">
        <v>1438595</v>
      </c>
      <c r="Q378" s="16">
        <v>175613</v>
      </c>
      <c r="R378" s="16">
        <v>17017</v>
      </c>
      <c r="S378" s="16">
        <v>0</v>
      </c>
      <c r="T378" s="111">
        <v>38</v>
      </c>
    </row>
    <row r="379" spans="1:20" ht="15" customHeight="1" x14ac:dyDescent="0.2">
      <c r="A379" s="12" t="s">
        <v>904</v>
      </c>
      <c r="B379" s="56">
        <v>88530142</v>
      </c>
      <c r="C379" s="12"/>
      <c r="D379" s="12"/>
      <c r="E379" s="12"/>
      <c r="F379" s="12" t="s">
        <v>265</v>
      </c>
      <c r="G379" s="33">
        <v>2</v>
      </c>
      <c r="H379" s="33">
        <v>9</v>
      </c>
      <c r="I379" s="12" t="s">
        <v>905</v>
      </c>
      <c r="J379" s="12" t="s">
        <v>74</v>
      </c>
      <c r="K379" s="73" t="s">
        <v>29</v>
      </c>
      <c r="L379" s="13">
        <v>1920158</v>
      </c>
      <c r="M379" s="13">
        <v>1032279</v>
      </c>
      <c r="N379" s="13">
        <v>761400</v>
      </c>
      <c r="O379" s="13">
        <v>1567765</v>
      </c>
      <c r="P379" s="13">
        <v>1023463</v>
      </c>
      <c r="Q379" s="13">
        <v>352393</v>
      </c>
      <c r="R379" s="13">
        <v>27996</v>
      </c>
      <c r="S379" s="13">
        <v>0</v>
      </c>
      <c r="T379" s="81">
        <v>22</v>
      </c>
    </row>
    <row r="380" spans="1:20" ht="15" customHeight="1" x14ac:dyDescent="0.2">
      <c r="A380" s="15" t="s">
        <v>906</v>
      </c>
      <c r="B380" s="60">
        <v>11907520</v>
      </c>
      <c r="C380" s="15"/>
      <c r="D380" s="15"/>
      <c r="E380" s="15"/>
      <c r="F380" s="15" t="s">
        <v>265</v>
      </c>
      <c r="G380" s="34">
        <v>2</v>
      </c>
      <c r="H380" s="34">
        <v>9</v>
      </c>
      <c r="I380" s="15" t="s">
        <v>907</v>
      </c>
      <c r="J380" s="15" t="s">
        <v>578</v>
      </c>
      <c r="K380" s="74" t="s">
        <v>29</v>
      </c>
      <c r="L380" s="16">
        <v>1919248</v>
      </c>
      <c r="M380" s="16">
        <v>1101589</v>
      </c>
      <c r="N380" s="16">
        <v>65476</v>
      </c>
      <c r="O380" s="16">
        <v>1576509</v>
      </c>
      <c r="P380" s="16">
        <v>1507797</v>
      </c>
      <c r="Q380" s="16">
        <v>342739</v>
      </c>
      <c r="R380" s="16">
        <v>47236</v>
      </c>
      <c r="S380" s="16">
        <v>0</v>
      </c>
      <c r="T380" s="111">
        <v>12</v>
      </c>
    </row>
    <row r="381" spans="1:20" ht="15" customHeight="1" x14ac:dyDescent="0.2">
      <c r="A381" s="12" t="s">
        <v>908</v>
      </c>
      <c r="B381" s="56">
        <v>43818780</v>
      </c>
      <c r="C381" s="12" t="s">
        <v>122</v>
      </c>
      <c r="D381" s="12" t="s">
        <v>123</v>
      </c>
      <c r="E381" s="12" t="s">
        <v>124</v>
      </c>
      <c r="F381" s="12" t="s">
        <v>60</v>
      </c>
      <c r="G381" s="33">
        <v>2</v>
      </c>
      <c r="H381" s="33">
        <v>8</v>
      </c>
      <c r="I381" s="12" t="s">
        <v>38</v>
      </c>
      <c r="J381" s="12" t="s">
        <v>39</v>
      </c>
      <c r="K381" s="73" t="s">
        <v>29</v>
      </c>
      <c r="L381" s="13">
        <v>1910735</v>
      </c>
      <c r="M381" s="13">
        <v>920753</v>
      </c>
      <c r="N381" s="13">
        <v>142190</v>
      </c>
      <c r="O381" s="13">
        <v>430215</v>
      </c>
      <c r="P381" s="13">
        <v>162114</v>
      </c>
      <c r="Q381" s="13">
        <v>1480520</v>
      </c>
      <c r="R381" s="13">
        <v>84563</v>
      </c>
      <c r="S381" s="13">
        <v>2</v>
      </c>
      <c r="T381" s="81">
        <v>0</v>
      </c>
    </row>
    <row r="382" spans="1:20" ht="15" customHeight="1" x14ac:dyDescent="0.2">
      <c r="A382" s="15" t="s">
        <v>909</v>
      </c>
      <c r="B382" s="60">
        <v>5203605</v>
      </c>
      <c r="C382" s="15"/>
      <c r="D382" s="15"/>
      <c r="E382" s="15"/>
      <c r="F382" s="15" t="s">
        <v>265</v>
      </c>
      <c r="G382" s="34">
        <v>2</v>
      </c>
      <c r="H382" s="34">
        <v>9</v>
      </c>
      <c r="I382" s="15" t="s">
        <v>910</v>
      </c>
      <c r="J382" s="15" t="s">
        <v>432</v>
      </c>
      <c r="K382" s="74" t="s">
        <v>29</v>
      </c>
      <c r="L382" s="16">
        <v>1909871</v>
      </c>
      <c r="M382" s="16">
        <v>1323118</v>
      </c>
      <c r="N382" s="16">
        <v>45500</v>
      </c>
      <c r="O382" s="16">
        <v>1645453</v>
      </c>
      <c r="P382" s="16">
        <v>1348266</v>
      </c>
      <c r="Q382" s="16">
        <v>264418</v>
      </c>
      <c r="R382" s="16">
        <v>14542</v>
      </c>
      <c r="S382" s="16">
        <v>0</v>
      </c>
      <c r="T382" s="111">
        <v>28</v>
      </c>
    </row>
    <row r="383" spans="1:20" ht="15" customHeight="1" x14ac:dyDescent="0.2">
      <c r="A383" s="12" t="s">
        <v>911</v>
      </c>
      <c r="B383" s="56">
        <v>4836002</v>
      </c>
      <c r="C383" s="12" t="s">
        <v>912</v>
      </c>
      <c r="D383" s="12"/>
      <c r="E383" s="12" t="s">
        <v>913</v>
      </c>
      <c r="F383" s="12" t="s">
        <v>65</v>
      </c>
      <c r="G383" s="33">
        <v>3</v>
      </c>
      <c r="H383" s="33">
        <v>19</v>
      </c>
      <c r="I383" s="12" t="s">
        <v>38</v>
      </c>
      <c r="J383" s="12" t="s">
        <v>39</v>
      </c>
      <c r="K383" s="73" t="s">
        <v>29</v>
      </c>
      <c r="L383" s="13">
        <v>1884262</v>
      </c>
      <c r="M383" s="13">
        <v>0</v>
      </c>
      <c r="N383" s="13">
        <v>0</v>
      </c>
      <c r="O383" s="13">
        <v>1436895</v>
      </c>
      <c r="P383" s="13">
        <v>1099664</v>
      </c>
      <c r="Q383" s="13">
        <v>447366</v>
      </c>
      <c r="R383" s="13">
        <v>32457</v>
      </c>
      <c r="S383" s="13">
        <v>2</v>
      </c>
      <c r="T383" s="81">
        <v>0</v>
      </c>
    </row>
    <row r="384" spans="1:20" ht="15" customHeight="1" x14ac:dyDescent="0.2">
      <c r="A384" s="15" t="s">
        <v>914</v>
      </c>
      <c r="B384" s="60">
        <v>5503849</v>
      </c>
      <c r="C384" s="15" t="s">
        <v>239</v>
      </c>
      <c r="D384" s="15"/>
      <c r="E384" s="15" t="s">
        <v>240</v>
      </c>
      <c r="F384" s="15" t="s">
        <v>65</v>
      </c>
      <c r="G384" s="34">
        <v>2</v>
      </c>
      <c r="H384" s="34">
        <v>14</v>
      </c>
      <c r="I384" s="15" t="s">
        <v>38</v>
      </c>
      <c r="J384" s="15" t="s">
        <v>39</v>
      </c>
      <c r="K384" s="74" t="s">
        <v>29</v>
      </c>
      <c r="L384" s="16">
        <v>1880154</v>
      </c>
      <c r="M384" s="16">
        <v>939743</v>
      </c>
      <c r="N384" s="16">
        <v>0</v>
      </c>
      <c r="O384" s="16">
        <v>1716306</v>
      </c>
      <c r="P384" s="16">
        <v>1686875</v>
      </c>
      <c r="Q384" s="16">
        <v>163848</v>
      </c>
      <c r="R384" s="16">
        <v>72848</v>
      </c>
      <c r="S384" s="16">
        <v>1</v>
      </c>
      <c r="T384" s="111">
        <v>0</v>
      </c>
    </row>
    <row r="385" spans="1:20" ht="15" customHeight="1" x14ac:dyDescent="0.2">
      <c r="A385" s="12" t="s">
        <v>915</v>
      </c>
      <c r="B385" s="56">
        <v>60114865</v>
      </c>
      <c r="C385" s="12" t="s">
        <v>768</v>
      </c>
      <c r="D385" s="12"/>
      <c r="E385" s="12" t="s">
        <v>769</v>
      </c>
      <c r="F385" s="12" t="s">
        <v>84</v>
      </c>
      <c r="G385" s="33">
        <v>2</v>
      </c>
      <c r="H385" s="33">
        <v>41</v>
      </c>
      <c r="I385" s="12" t="s">
        <v>770</v>
      </c>
      <c r="J385" s="12" t="s">
        <v>39</v>
      </c>
      <c r="K385" s="73" t="s">
        <v>29</v>
      </c>
      <c r="L385" s="13">
        <v>1876614</v>
      </c>
      <c r="M385" s="13">
        <v>797733</v>
      </c>
      <c r="N385" s="13">
        <v>165008</v>
      </c>
      <c r="O385" s="13">
        <v>1738664</v>
      </c>
      <c r="P385" s="13">
        <v>19550</v>
      </c>
      <c r="Q385" s="13">
        <v>137950</v>
      </c>
      <c r="R385" s="13">
        <v>-5519</v>
      </c>
      <c r="S385" s="13">
        <v>1</v>
      </c>
      <c r="T385" s="81">
        <v>0</v>
      </c>
    </row>
    <row r="386" spans="1:20" ht="15" customHeight="1" x14ac:dyDescent="0.2">
      <c r="A386" s="15" t="s">
        <v>916</v>
      </c>
      <c r="B386" s="60">
        <v>33466988</v>
      </c>
      <c r="C386" s="15" t="s">
        <v>917</v>
      </c>
      <c r="D386" s="15" t="s">
        <v>918</v>
      </c>
      <c r="E386" s="15" t="s">
        <v>919</v>
      </c>
      <c r="F386" s="15" t="s">
        <v>26</v>
      </c>
      <c r="G386" s="34">
        <v>3</v>
      </c>
      <c r="H386" s="34">
        <v>8</v>
      </c>
      <c r="I386" s="15" t="s">
        <v>38</v>
      </c>
      <c r="J386" s="15" t="s">
        <v>39</v>
      </c>
      <c r="K386" s="74" t="s">
        <v>29</v>
      </c>
      <c r="L386" s="16">
        <v>1874590</v>
      </c>
      <c r="M386" s="16">
        <v>754120</v>
      </c>
      <c r="N386" s="16">
        <v>632120</v>
      </c>
      <c r="O386" s="16">
        <v>1583434</v>
      </c>
      <c r="P386" s="16">
        <v>1559122</v>
      </c>
      <c r="Q386" s="16">
        <v>291156</v>
      </c>
      <c r="R386" s="16">
        <v>-10819</v>
      </c>
      <c r="S386" s="16">
        <v>2</v>
      </c>
      <c r="T386" s="111">
        <v>0</v>
      </c>
    </row>
    <row r="387" spans="1:20" ht="15" customHeight="1" x14ac:dyDescent="0.2">
      <c r="A387" s="12" t="s">
        <v>920</v>
      </c>
      <c r="B387" s="56">
        <v>2446089</v>
      </c>
      <c r="C387" s="12"/>
      <c r="D387" s="12"/>
      <c r="E387" s="12"/>
      <c r="F387" s="12" t="s">
        <v>265</v>
      </c>
      <c r="G387" s="33">
        <v>2</v>
      </c>
      <c r="H387" s="33">
        <v>9</v>
      </c>
      <c r="I387" s="12" t="s">
        <v>921</v>
      </c>
      <c r="J387" s="12" t="s">
        <v>229</v>
      </c>
      <c r="K387" s="73" t="s">
        <v>29</v>
      </c>
      <c r="L387" s="13">
        <v>1858371</v>
      </c>
      <c r="M387" s="13">
        <v>1474932</v>
      </c>
      <c r="N387" s="13">
        <v>29646</v>
      </c>
      <c r="O387" s="13">
        <v>1632797</v>
      </c>
      <c r="P387" s="13">
        <v>959657</v>
      </c>
      <c r="Q387" s="13">
        <v>225575</v>
      </c>
      <c r="R387" s="13">
        <v>4150</v>
      </c>
      <c r="S387" s="13">
        <v>0</v>
      </c>
      <c r="T387" s="81">
        <v>21</v>
      </c>
    </row>
    <row r="388" spans="1:20" ht="15" customHeight="1" x14ac:dyDescent="0.2">
      <c r="A388" s="15" t="s">
        <v>922</v>
      </c>
      <c r="B388" s="60">
        <v>9274232</v>
      </c>
      <c r="C388" s="15" t="s">
        <v>923</v>
      </c>
      <c r="D388" s="15"/>
      <c r="E388" s="15" t="s">
        <v>924</v>
      </c>
      <c r="F388" s="15" t="s">
        <v>26</v>
      </c>
      <c r="G388" s="34">
        <v>3</v>
      </c>
      <c r="H388" s="34">
        <v>2</v>
      </c>
      <c r="I388" s="15" t="s">
        <v>38</v>
      </c>
      <c r="J388" s="15" t="s">
        <v>39</v>
      </c>
      <c r="K388" s="74" t="s">
        <v>29</v>
      </c>
      <c r="L388" s="16">
        <v>1856689</v>
      </c>
      <c r="M388" s="16">
        <v>0</v>
      </c>
      <c r="N388" s="16">
        <v>784562</v>
      </c>
      <c r="O388" s="16">
        <v>1129581</v>
      </c>
      <c r="P388" s="16">
        <v>1107638</v>
      </c>
      <c r="Q388" s="16">
        <v>727108</v>
      </c>
      <c r="R388" s="16">
        <v>6628</v>
      </c>
      <c r="S388" s="16">
        <v>2</v>
      </c>
      <c r="T388" s="111">
        <v>0</v>
      </c>
    </row>
    <row r="389" spans="1:20" ht="15" customHeight="1" x14ac:dyDescent="0.2">
      <c r="A389" s="12" t="s">
        <v>925</v>
      </c>
      <c r="B389" s="56">
        <v>71884498</v>
      </c>
      <c r="C389" s="12"/>
      <c r="D389" s="12"/>
      <c r="E389" s="12"/>
      <c r="F389" s="12" t="s">
        <v>265</v>
      </c>
      <c r="G389" s="33">
        <v>2</v>
      </c>
      <c r="H389" s="33">
        <v>9</v>
      </c>
      <c r="I389" s="12" t="s">
        <v>165</v>
      </c>
      <c r="J389" s="12" t="s">
        <v>39</v>
      </c>
      <c r="K389" s="73" t="s">
        <v>29</v>
      </c>
      <c r="L389" s="13">
        <v>1856652</v>
      </c>
      <c r="M389" s="13">
        <v>970657</v>
      </c>
      <c r="N389" s="13">
        <v>40498</v>
      </c>
      <c r="O389" s="13">
        <v>1599120</v>
      </c>
      <c r="P389" s="13">
        <v>1488444</v>
      </c>
      <c r="Q389" s="13">
        <v>257532</v>
      </c>
      <c r="R389" s="13">
        <v>14546</v>
      </c>
      <c r="S389" s="13">
        <v>0</v>
      </c>
      <c r="T389" s="81">
        <v>33</v>
      </c>
    </row>
    <row r="390" spans="1:20" ht="15" customHeight="1" x14ac:dyDescent="0.2">
      <c r="A390" s="15" t="s">
        <v>926</v>
      </c>
      <c r="B390" s="60">
        <v>73750424</v>
      </c>
      <c r="C390" s="15"/>
      <c r="D390" s="15"/>
      <c r="E390" s="15"/>
      <c r="F390" s="15" t="s">
        <v>265</v>
      </c>
      <c r="G390" s="34">
        <v>2</v>
      </c>
      <c r="H390" s="34">
        <v>9</v>
      </c>
      <c r="I390" s="15" t="s">
        <v>782</v>
      </c>
      <c r="J390" s="15" t="s">
        <v>74</v>
      </c>
      <c r="K390" s="74" t="s">
        <v>29</v>
      </c>
      <c r="L390" s="16">
        <v>1849777</v>
      </c>
      <c r="M390" s="16">
        <v>904650</v>
      </c>
      <c r="N390" s="16">
        <v>36306</v>
      </c>
      <c r="O390" s="16">
        <v>1697403</v>
      </c>
      <c r="P390" s="16">
        <v>1571797</v>
      </c>
      <c r="Q390" s="16">
        <v>152374</v>
      </c>
      <c r="R390" s="16">
        <v>-5225</v>
      </c>
      <c r="S390" s="16">
        <v>0</v>
      </c>
      <c r="T390" s="111">
        <v>21</v>
      </c>
    </row>
    <row r="391" spans="1:20" ht="15" customHeight="1" x14ac:dyDescent="0.2">
      <c r="A391" s="12" t="s">
        <v>927</v>
      </c>
      <c r="B391" s="56">
        <v>50585090</v>
      </c>
      <c r="C391" s="12" t="s">
        <v>167</v>
      </c>
      <c r="D391" s="12" t="s">
        <v>168</v>
      </c>
      <c r="E391" s="12" t="s">
        <v>169</v>
      </c>
      <c r="F391" s="12" t="s">
        <v>26</v>
      </c>
      <c r="G391" s="33">
        <v>2</v>
      </c>
      <c r="H391" s="33">
        <v>8</v>
      </c>
      <c r="I391" s="12" t="s">
        <v>38</v>
      </c>
      <c r="J391" s="12" t="s">
        <v>39</v>
      </c>
      <c r="K391" s="73" t="s">
        <v>29</v>
      </c>
      <c r="L391" s="13">
        <v>1843083</v>
      </c>
      <c r="M391" s="13">
        <v>172201</v>
      </c>
      <c r="N391" s="13">
        <v>916896</v>
      </c>
      <c r="O391" s="13">
        <v>165825</v>
      </c>
      <c r="P391" s="13">
        <v>0</v>
      </c>
      <c r="Q391" s="13">
        <v>1677259</v>
      </c>
      <c r="R391" s="13">
        <v>103565</v>
      </c>
      <c r="S391" s="13">
        <v>2</v>
      </c>
      <c r="T391" s="81">
        <v>0</v>
      </c>
    </row>
    <row r="392" spans="1:20" ht="15" customHeight="1" x14ac:dyDescent="0.2">
      <c r="A392" s="15" t="s">
        <v>928</v>
      </c>
      <c r="B392" s="60">
        <v>11275560</v>
      </c>
      <c r="C392" s="15" t="s">
        <v>929</v>
      </c>
      <c r="D392" s="15"/>
      <c r="E392" s="15" t="s">
        <v>930</v>
      </c>
      <c r="F392" s="15" t="s">
        <v>84</v>
      </c>
      <c r="G392" s="34">
        <v>3</v>
      </c>
      <c r="H392" s="34">
        <v>41</v>
      </c>
      <c r="I392" s="15" t="s">
        <v>38</v>
      </c>
      <c r="J392" s="15" t="s">
        <v>39</v>
      </c>
      <c r="K392" s="74" t="s">
        <v>29</v>
      </c>
      <c r="L392" s="16">
        <v>1835153</v>
      </c>
      <c r="M392" s="16">
        <v>134848</v>
      </c>
      <c r="N392" s="16">
        <v>858240</v>
      </c>
      <c r="O392" s="16">
        <v>1648017</v>
      </c>
      <c r="P392" s="16">
        <v>308638</v>
      </c>
      <c r="Q392" s="16">
        <v>187135</v>
      </c>
      <c r="R392" s="16">
        <v>12331</v>
      </c>
      <c r="S392" s="16">
        <v>1</v>
      </c>
      <c r="T392" s="111">
        <v>0</v>
      </c>
    </row>
    <row r="393" spans="1:20" ht="15" customHeight="1" x14ac:dyDescent="0.2">
      <c r="A393" s="12" t="s">
        <v>931</v>
      </c>
      <c r="B393" s="56">
        <v>66402207</v>
      </c>
      <c r="C393" s="12"/>
      <c r="D393" s="12"/>
      <c r="E393" s="12"/>
      <c r="F393" s="12" t="s">
        <v>265</v>
      </c>
      <c r="G393" s="33">
        <v>2</v>
      </c>
      <c r="H393" s="33">
        <v>9</v>
      </c>
      <c r="I393" s="12" t="s">
        <v>932</v>
      </c>
      <c r="J393" s="12" t="s">
        <v>120</v>
      </c>
      <c r="K393" s="73" t="s">
        <v>29</v>
      </c>
      <c r="L393" s="13">
        <v>1829415</v>
      </c>
      <c r="M393" s="13">
        <v>815624</v>
      </c>
      <c r="N393" s="13">
        <v>22089</v>
      </c>
      <c r="O393" s="13">
        <v>1631385</v>
      </c>
      <c r="P393" s="13">
        <v>1343043</v>
      </c>
      <c r="Q393" s="13">
        <v>198030</v>
      </c>
      <c r="R393" s="13">
        <v>6548</v>
      </c>
      <c r="S393" s="13">
        <v>0</v>
      </c>
      <c r="T393" s="81">
        <v>30</v>
      </c>
    </row>
    <row r="394" spans="1:20" ht="15" customHeight="1" x14ac:dyDescent="0.2">
      <c r="A394" s="15" t="s">
        <v>933</v>
      </c>
      <c r="B394" s="60">
        <v>67096909</v>
      </c>
      <c r="C394" s="15"/>
      <c r="D394" s="15"/>
      <c r="E394" s="15"/>
      <c r="F394" s="15" t="s">
        <v>265</v>
      </c>
      <c r="G394" s="34">
        <v>2</v>
      </c>
      <c r="H394" s="34">
        <v>9</v>
      </c>
      <c r="I394" s="15" t="s">
        <v>934</v>
      </c>
      <c r="J394" s="15" t="s">
        <v>39</v>
      </c>
      <c r="K394" s="74" t="s">
        <v>29</v>
      </c>
      <c r="L394" s="16">
        <v>1817948</v>
      </c>
      <c r="M394" s="16">
        <v>1006356</v>
      </c>
      <c r="N394" s="16">
        <v>62014</v>
      </c>
      <c r="O394" s="16">
        <v>1487168</v>
      </c>
      <c r="P394" s="16">
        <v>1222806</v>
      </c>
      <c r="Q394" s="16">
        <v>330780</v>
      </c>
      <c r="R394" s="16">
        <v>24708</v>
      </c>
      <c r="S394" s="16">
        <v>0</v>
      </c>
      <c r="T394" s="111">
        <v>10</v>
      </c>
    </row>
    <row r="395" spans="1:20" ht="15" customHeight="1" x14ac:dyDescent="0.2">
      <c r="A395" s="12" t="s">
        <v>935</v>
      </c>
      <c r="B395" s="56">
        <v>517645</v>
      </c>
      <c r="C395" s="12" t="s">
        <v>936</v>
      </c>
      <c r="D395" s="12"/>
      <c r="E395" s="12" t="s">
        <v>937</v>
      </c>
      <c r="F395" s="12" t="s">
        <v>26</v>
      </c>
      <c r="G395" s="33">
        <v>3</v>
      </c>
      <c r="H395" s="33">
        <v>8</v>
      </c>
      <c r="I395" s="12" t="s">
        <v>262</v>
      </c>
      <c r="J395" s="12" t="s">
        <v>39</v>
      </c>
      <c r="K395" s="73" t="s">
        <v>29</v>
      </c>
      <c r="L395" s="13">
        <v>1816104</v>
      </c>
      <c r="M395" s="13">
        <v>988469</v>
      </c>
      <c r="N395" s="13">
        <v>661894</v>
      </c>
      <c r="O395" s="13">
        <v>1581844</v>
      </c>
      <c r="P395" s="13">
        <v>1546101</v>
      </c>
      <c r="Q395" s="13">
        <v>234260</v>
      </c>
      <c r="R395" s="13">
        <v>17941</v>
      </c>
      <c r="S395" s="13">
        <v>2</v>
      </c>
      <c r="T395" s="81">
        <v>0</v>
      </c>
    </row>
    <row r="396" spans="1:20" ht="15" customHeight="1" x14ac:dyDescent="0.2">
      <c r="A396" s="15" t="s">
        <v>938</v>
      </c>
      <c r="B396" s="60">
        <v>8044854</v>
      </c>
      <c r="C396" s="15"/>
      <c r="D396" s="15"/>
      <c r="E396" s="15"/>
      <c r="F396" s="15" t="s">
        <v>265</v>
      </c>
      <c r="G396" s="34">
        <v>2</v>
      </c>
      <c r="H396" s="34">
        <v>9</v>
      </c>
      <c r="I396" s="15" t="s">
        <v>700</v>
      </c>
      <c r="J396" s="15" t="s">
        <v>432</v>
      </c>
      <c r="K396" s="74" t="s">
        <v>29</v>
      </c>
      <c r="L396" s="16">
        <v>1802269</v>
      </c>
      <c r="M396" s="16">
        <v>911911</v>
      </c>
      <c r="N396" s="16">
        <v>46008</v>
      </c>
      <c r="O396" s="16">
        <v>1534288</v>
      </c>
      <c r="P396" s="16">
        <v>1178232</v>
      </c>
      <c r="Q396" s="16">
        <v>267980</v>
      </c>
      <c r="R396" s="16">
        <v>22687</v>
      </c>
      <c r="S396" s="16">
        <v>0</v>
      </c>
      <c r="T396" s="111">
        <v>21</v>
      </c>
    </row>
    <row r="397" spans="1:20" ht="15" customHeight="1" x14ac:dyDescent="0.2">
      <c r="A397" s="12" t="s">
        <v>939</v>
      </c>
      <c r="B397" s="56">
        <v>73443863</v>
      </c>
      <c r="C397" s="12"/>
      <c r="D397" s="12"/>
      <c r="E397" s="12"/>
      <c r="F397" s="12" t="s">
        <v>265</v>
      </c>
      <c r="G397" s="33">
        <v>2</v>
      </c>
      <c r="H397" s="33">
        <v>9</v>
      </c>
      <c r="I397" s="12" t="s">
        <v>281</v>
      </c>
      <c r="J397" s="12" t="s">
        <v>217</v>
      </c>
      <c r="K397" s="73" t="s">
        <v>29</v>
      </c>
      <c r="L397" s="13">
        <v>1800537</v>
      </c>
      <c r="M397" s="13">
        <v>980067</v>
      </c>
      <c r="N397" s="13">
        <v>33604</v>
      </c>
      <c r="O397" s="13">
        <v>1658265</v>
      </c>
      <c r="P397" s="13">
        <v>1534833</v>
      </c>
      <c r="Q397" s="13">
        <v>142271</v>
      </c>
      <c r="R397" s="13">
        <v>-29252</v>
      </c>
      <c r="S397" s="13">
        <v>0</v>
      </c>
      <c r="T397" s="81">
        <v>18</v>
      </c>
    </row>
    <row r="398" spans="1:20" ht="15" customHeight="1" x14ac:dyDescent="0.2">
      <c r="A398" s="15" t="s">
        <v>940</v>
      </c>
      <c r="B398" s="60">
        <v>65229254</v>
      </c>
      <c r="C398" s="15"/>
      <c r="D398" s="15"/>
      <c r="E398" s="15"/>
      <c r="F398" s="15" t="s">
        <v>265</v>
      </c>
      <c r="G398" s="34">
        <v>2</v>
      </c>
      <c r="H398" s="34">
        <v>9</v>
      </c>
      <c r="I398" s="15" t="s">
        <v>941</v>
      </c>
      <c r="J398" s="15" t="s">
        <v>120</v>
      </c>
      <c r="K398" s="74" t="s">
        <v>29</v>
      </c>
      <c r="L398" s="16">
        <v>1798727</v>
      </c>
      <c r="M398" s="16">
        <v>1019635</v>
      </c>
      <c r="N398" s="16">
        <v>61070</v>
      </c>
      <c r="O398" s="16">
        <v>1478698</v>
      </c>
      <c r="P398" s="16">
        <v>1136674</v>
      </c>
      <c r="Q398" s="16">
        <v>320029</v>
      </c>
      <c r="R398" s="16">
        <v>22596</v>
      </c>
      <c r="S398" s="16">
        <v>0</v>
      </c>
      <c r="T398" s="111">
        <v>21</v>
      </c>
    </row>
    <row r="399" spans="1:20" ht="15" customHeight="1" x14ac:dyDescent="0.2">
      <c r="A399" s="12" t="s">
        <v>942</v>
      </c>
      <c r="B399" s="56">
        <v>7122321</v>
      </c>
      <c r="C399" s="12"/>
      <c r="D399" s="12"/>
      <c r="E399" s="12"/>
      <c r="F399" s="12" t="s">
        <v>265</v>
      </c>
      <c r="G399" s="33">
        <v>2</v>
      </c>
      <c r="H399" s="33">
        <v>9</v>
      </c>
      <c r="I399" s="12" t="s">
        <v>943</v>
      </c>
      <c r="J399" s="12" t="s">
        <v>229</v>
      </c>
      <c r="K399" s="73" t="s">
        <v>29</v>
      </c>
      <c r="L399" s="13">
        <v>1791827</v>
      </c>
      <c r="M399" s="13">
        <v>1006869</v>
      </c>
      <c r="N399" s="13">
        <v>20630</v>
      </c>
      <c r="O399" s="13">
        <v>1629656</v>
      </c>
      <c r="P399" s="13">
        <v>1443643</v>
      </c>
      <c r="Q399" s="13">
        <v>162171</v>
      </c>
      <c r="R399" s="13">
        <v>7176</v>
      </c>
      <c r="S399" s="13">
        <v>0</v>
      </c>
      <c r="T399" s="81">
        <v>44</v>
      </c>
    </row>
    <row r="400" spans="1:20" ht="15" customHeight="1" x14ac:dyDescent="0.2">
      <c r="A400" s="15" t="s">
        <v>944</v>
      </c>
      <c r="B400" s="60">
        <v>36583700</v>
      </c>
      <c r="C400" s="15" t="s">
        <v>945</v>
      </c>
      <c r="D400" s="15"/>
      <c r="E400" s="15" t="s">
        <v>946</v>
      </c>
      <c r="F400" s="15" t="s">
        <v>65</v>
      </c>
      <c r="G400" s="34">
        <v>2</v>
      </c>
      <c r="H400" s="34">
        <v>14</v>
      </c>
      <c r="I400" s="15" t="s">
        <v>38</v>
      </c>
      <c r="J400" s="15" t="s">
        <v>39</v>
      </c>
      <c r="K400" s="74" t="s">
        <v>29</v>
      </c>
      <c r="L400" s="16">
        <v>1786244</v>
      </c>
      <c r="M400" s="16">
        <v>447567</v>
      </c>
      <c r="N400" s="16">
        <v>1137341</v>
      </c>
      <c r="O400" s="16">
        <v>1467784</v>
      </c>
      <c r="P400" s="16">
        <v>1369833</v>
      </c>
      <c r="Q400" s="16">
        <v>318460</v>
      </c>
      <c r="R400" s="16">
        <v>-40407</v>
      </c>
      <c r="S400" s="16">
        <v>2</v>
      </c>
      <c r="T400" s="111">
        <v>0</v>
      </c>
    </row>
    <row r="401" spans="1:20" ht="15" customHeight="1" x14ac:dyDescent="0.2">
      <c r="A401" s="12" t="s">
        <v>947</v>
      </c>
      <c r="B401" s="56">
        <v>17453575</v>
      </c>
      <c r="C401" s="12" t="s">
        <v>948</v>
      </c>
      <c r="D401" s="12"/>
      <c r="E401" s="12" t="s">
        <v>949</v>
      </c>
      <c r="F401" s="12" t="s">
        <v>26</v>
      </c>
      <c r="G401" s="33">
        <v>3</v>
      </c>
      <c r="H401" s="33">
        <v>8</v>
      </c>
      <c r="I401" s="12" t="s">
        <v>38</v>
      </c>
      <c r="J401" s="12" t="s">
        <v>39</v>
      </c>
      <c r="K401" s="73" t="s">
        <v>29</v>
      </c>
      <c r="L401" s="13">
        <v>1762078</v>
      </c>
      <c r="M401" s="13">
        <v>186377</v>
      </c>
      <c r="N401" s="13">
        <v>1087542</v>
      </c>
      <c r="O401" s="13">
        <v>1615926</v>
      </c>
      <c r="P401" s="13">
        <v>1335545</v>
      </c>
      <c r="Q401" s="13">
        <v>146151</v>
      </c>
      <c r="R401" s="13">
        <v>-13525</v>
      </c>
      <c r="S401" s="13">
        <v>2</v>
      </c>
      <c r="T401" s="81">
        <v>0</v>
      </c>
    </row>
    <row r="402" spans="1:20" ht="15" customHeight="1" x14ac:dyDescent="0.2">
      <c r="A402" s="15" t="s">
        <v>950</v>
      </c>
      <c r="B402" s="60">
        <v>70116611</v>
      </c>
      <c r="C402" s="15"/>
      <c r="D402" s="15"/>
      <c r="E402" s="15"/>
      <c r="F402" s="15" t="s">
        <v>199</v>
      </c>
      <c r="G402" s="34">
        <v>2</v>
      </c>
      <c r="H402" s="34">
        <v>9</v>
      </c>
      <c r="I402" s="15" t="s">
        <v>577</v>
      </c>
      <c r="J402" s="15" t="s">
        <v>578</v>
      </c>
      <c r="K402" s="74" t="s">
        <v>29</v>
      </c>
      <c r="L402" s="16">
        <v>1761631</v>
      </c>
      <c r="M402" s="16">
        <v>31198</v>
      </c>
      <c r="N402" s="16">
        <v>554121</v>
      </c>
      <c r="O402" s="16">
        <v>1662150</v>
      </c>
      <c r="P402" s="16">
        <v>117336</v>
      </c>
      <c r="Q402" s="16">
        <v>99481</v>
      </c>
      <c r="R402" s="16">
        <v>6727</v>
      </c>
      <c r="S402" s="16">
        <v>0</v>
      </c>
      <c r="T402" s="111">
        <v>2</v>
      </c>
    </row>
    <row r="403" spans="1:20" ht="15" customHeight="1" x14ac:dyDescent="0.2">
      <c r="A403" s="12" t="s">
        <v>951</v>
      </c>
      <c r="B403" s="56">
        <v>7441209</v>
      </c>
      <c r="C403" s="12" t="s">
        <v>952</v>
      </c>
      <c r="D403" s="12"/>
      <c r="E403" s="12" t="s">
        <v>953</v>
      </c>
      <c r="F403" s="12" t="s">
        <v>60</v>
      </c>
      <c r="G403" s="33">
        <v>2</v>
      </c>
      <c r="H403" s="33">
        <v>8</v>
      </c>
      <c r="I403" s="12" t="s">
        <v>782</v>
      </c>
      <c r="J403" s="12" t="s">
        <v>74</v>
      </c>
      <c r="K403" s="73" t="s">
        <v>29</v>
      </c>
      <c r="L403" s="13">
        <v>1745748</v>
      </c>
      <c r="M403" s="13">
        <v>1678657</v>
      </c>
      <c r="N403" s="13">
        <v>1175</v>
      </c>
      <c r="O403" s="13">
        <v>1401751</v>
      </c>
      <c r="P403" s="13">
        <v>1369838</v>
      </c>
      <c r="Q403" s="13">
        <v>343997</v>
      </c>
      <c r="R403" s="13">
        <v>23573</v>
      </c>
      <c r="S403" s="13">
        <v>2</v>
      </c>
      <c r="T403" s="81">
        <v>0</v>
      </c>
    </row>
    <row r="404" spans="1:20" ht="15" customHeight="1" x14ac:dyDescent="0.2">
      <c r="A404" s="15" t="s">
        <v>954</v>
      </c>
      <c r="B404" s="60">
        <v>87779625</v>
      </c>
      <c r="C404" s="15"/>
      <c r="D404" s="15"/>
      <c r="E404" s="15"/>
      <c r="F404" s="15" t="s">
        <v>265</v>
      </c>
      <c r="G404" s="34">
        <v>2</v>
      </c>
      <c r="H404" s="34">
        <v>9</v>
      </c>
      <c r="I404" s="15" t="s">
        <v>955</v>
      </c>
      <c r="J404" s="15" t="s">
        <v>74</v>
      </c>
      <c r="K404" s="74" t="s">
        <v>29</v>
      </c>
      <c r="L404" s="16">
        <v>1745735</v>
      </c>
      <c r="M404" s="16">
        <v>978353</v>
      </c>
      <c r="N404" s="16">
        <v>691308</v>
      </c>
      <c r="O404" s="16">
        <v>1387668</v>
      </c>
      <c r="P404" s="16">
        <v>952643</v>
      </c>
      <c r="Q404" s="16">
        <v>358067</v>
      </c>
      <c r="R404" s="16">
        <v>28130</v>
      </c>
      <c r="S404" s="16">
        <v>0</v>
      </c>
      <c r="T404" s="111">
        <v>27</v>
      </c>
    </row>
    <row r="405" spans="1:20" ht="15" customHeight="1" x14ac:dyDescent="0.2">
      <c r="A405" s="12" t="s">
        <v>956</v>
      </c>
      <c r="B405" s="56">
        <v>95163002</v>
      </c>
      <c r="C405" s="12"/>
      <c r="D405" s="12"/>
      <c r="E405" s="12"/>
      <c r="F405" s="12" t="s">
        <v>265</v>
      </c>
      <c r="G405" s="33">
        <v>2</v>
      </c>
      <c r="H405" s="33">
        <v>9</v>
      </c>
      <c r="I405" s="12" t="s">
        <v>957</v>
      </c>
      <c r="J405" s="12" t="s">
        <v>74</v>
      </c>
      <c r="K405" s="73" t="s">
        <v>29</v>
      </c>
      <c r="L405" s="13">
        <v>1730664</v>
      </c>
      <c r="M405" s="13">
        <v>938416</v>
      </c>
      <c r="N405" s="13">
        <v>30624</v>
      </c>
      <c r="O405" s="13">
        <v>1578294</v>
      </c>
      <c r="P405" s="13">
        <v>1461230</v>
      </c>
      <c r="Q405" s="13">
        <v>152371</v>
      </c>
      <c r="R405" s="13">
        <v>85</v>
      </c>
      <c r="S405" s="13">
        <v>0</v>
      </c>
      <c r="T405" s="81">
        <v>18</v>
      </c>
    </row>
    <row r="406" spans="1:20" ht="15" customHeight="1" x14ac:dyDescent="0.2">
      <c r="A406" s="15" t="s">
        <v>958</v>
      </c>
      <c r="B406" s="60">
        <v>11581339</v>
      </c>
      <c r="C406" s="15" t="s">
        <v>959</v>
      </c>
      <c r="D406" s="15" t="s">
        <v>960</v>
      </c>
      <c r="E406" s="15" t="s">
        <v>961</v>
      </c>
      <c r="F406" s="15" t="s">
        <v>65</v>
      </c>
      <c r="G406" s="34">
        <v>2</v>
      </c>
      <c r="H406" s="34">
        <v>10</v>
      </c>
      <c r="I406" s="15" t="s">
        <v>38</v>
      </c>
      <c r="J406" s="15" t="s">
        <v>39</v>
      </c>
      <c r="K406" s="74" t="s">
        <v>29</v>
      </c>
      <c r="L406" s="16">
        <v>1730517</v>
      </c>
      <c r="M406" s="16">
        <v>54962</v>
      </c>
      <c r="N406" s="16">
        <v>0</v>
      </c>
      <c r="O406" s="16">
        <v>1673660</v>
      </c>
      <c r="P406" s="16">
        <v>1467454</v>
      </c>
      <c r="Q406" s="16">
        <v>56857</v>
      </c>
      <c r="R406" s="16">
        <v>-9420</v>
      </c>
      <c r="S406" s="16">
        <v>2</v>
      </c>
      <c r="T406" s="111">
        <v>0</v>
      </c>
    </row>
    <row r="407" spans="1:20" ht="15" customHeight="1" x14ac:dyDescent="0.2">
      <c r="A407" s="12" t="s">
        <v>962</v>
      </c>
      <c r="B407" s="56">
        <v>22656789</v>
      </c>
      <c r="C407" s="12"/>
      <c r="D407" s="12"/>
      <c r="E407" s="12"/>
      <c r="F407" s="12" t="s">
        <v>265</v>
      </c>
      <c r="G407" s="33">
        <v>2</v>
      </c>
      <c r="H407" s="33">
        <v>9</v>
      </c>
      <c r="I407" s="12" t="s">
        <v>963</v>
      </c>
      <c r="J407" s="12" t="s">
        <v>120</v>
      </c>
      <c r="K407" s="73" t="s">
        <v>29</v>
      </c>
      <c r="L407" s="13">
        <v>1721434</v>
      </c>
      <c r="M407" s="13">
        <v>757798</v>
      </c>
      <c r="N407" s="13">
        <v>53462</v>
      </c>
      <c r="O407" s="13">
        <v>1548808</v>
      </c>
      <c r="P407" s="13">
        <v>1165440</v>
      </c>
      <c r="Q407" s="13">
        <v>172626</v>
      </c>
      <c r="R407" s="13">
        <v>6809</v>
      </c>
      <c r="S407" s="13">
        <v>0</v>
      </c>
      <c r="T407" s="81">
        <v>26</v>
      </c>
    </row>
    <row r="408" spans="1:20" ht="15" customHeight="1" x14ac:dyDescent="0.2">
      <c r="A408" s="15" t="s">
        <v>964</v>
      </c>
      <c r="B408" s="60">
        <v>66463407</v>
      </c>
      <c r="C408" s="15"/>
      <c r="D408" s="15"/>
      <c r="E408" s="15"/>
      <c r="F408" s="15" t="s">
        <v>265</v>
      </c>
      <c r="G408" s="34">
        <v>2</v>
      </c>
      <c r="H408" s="34">
        <v>9</v>
      </c>
      <c r="I408" s="15" t="s">
        <v>965</v>
      </c>
      <c r="J408" s="15" t="s">
        <v>120</v>
      </c>
      <c r="K408" s="74" t="s">
        <v>29</v>
      </c>
      <c r="L408" s="16">
        <v>1702159</v>
      </c>
      <c r="M408" s="16">
        <v>821410</v>
      </c>
      <c r="N408" s="16">
        <v>26536</v>
      </c>
      <c r="O408" s="16">
        <v>1487011</v>
      </c>
      <c r="P408" s="16">
        <v>1450720</v>
      </c>
      <c r="Q408" s="16">
        <v>215148</v>
      </c>
      <c r="R408" s="16">
        <v>19097</v>
      </c>
      <c r="S408" s="16">
        <v>0</v>
      </c>
      <c r="T408" s="111">
        <v>9</v>
      </c>
    </row>
    <row r="409" spans="1:20" ht="15" customHeight="1" x14ac:dyDescent="0.2">
      <c r="A409" s="12" t="s">
        <v>966</v>
      </c>
      <c r="B409" s="56">
        <v>10520232</v>
      </c>
      <c r="C409" s="12"/>
      <c r="D409" s="12"/>
      <c r="E409" s="12"/>
      <c r="F409" s="12" t="s">
        <v>265</v>
      </c>
      <c r="G409" s="33">
        <v>2</v>
      </c>
      <c r="H409" s="33">
        <v>9</v>
      </c>
      <c r="I409" s="12" t="s">
        <v>700</v>
      </c>
      <c r="J409" s="12" t="s">
        <v>432</v>
      </c>
      <c r="K409" s="73" t="s">
        <v>29</v>
      </c>
      <c r="L409" s="13">
        <v>1693136</v>
      </c>
      <c r="M409" s="13">
        <v>1323243</v>
      </c>
      <c r="N409" s="13">
        <v>31823</v>
      </c>
      <c r="O409" s="13">
        <v>1476608</v>
      </c>
      <c r="P409" s="13">
        <v>641190</v>
      </c>
      <c r="Q409" s="13">
        <v>216528</v>
      </c>
      <c r="R409" s="13">
        <v>19737</v>
      </c>
      <c r="S409" s="13">
        <v>0</v>
      </c>
      <c r="T409" s="81">
        <v>22</v>
      </c>
    </row>
    <row r="410" spans="1:20" ht="15" customHeight="1" x14ac:dyDescent="0.2">
      <c r="A410" s="15" t="s">
        <v>967</v>
      </c>
      <c r="B410" s="60">
        <v>22724710</v>
      </c>
      <c r="C410" s="15"/>
      <c r="D410" s="15"/>
      <c r="E410" s="15"/>
      <c r="F410" s="15" t="s">
        <v>265</v>
      </c>
      <c r="G410" s="34">
        <v>2</v>
      </c>
      <c r="H410" s="34">
        <v>9</v>
      </c>
      <c r="I410" s="15" t="s">
        <v>968</v>
      </c>
      <c r="J410" s="15" t="s">
        <v>120</v>
      </c>
      <c r="K410" s="74" t="s">
        <v>29</v>
      </c>
      <c r="L410" s="16">
        <v>1681904</v>
      </c>
      <c r="M410" s="16">
        <v>628222</v>
      </c>
      <c r="N410" s="16">
        <v>26159</v>
      </c>
      <c r="O410" s="16">
        <v>1424090</v>
      </c>
      <c r="P410" s="16">
        <v>1368890</v>
      </c>
      <c r="Q410" s="16">
        <v>257814</v>
      </c>
      <c r="R410" s="16">
        <v>20705</v>
      </c>
      <c r="S410" s="16">
        <v>0</v>
      </c>
      <c r="T410" s="111">
        <v>22</v>
      </c>
    </row>
    <row r="411" spans="1:20" ht="15" customHeight="1" x14ac:dyDescent="0.2">
      <c r="A411" s="12" t="s">
        <v>969</v>
      </c>
      <c r="B411" s="56">
        <v>7268499</v>
      </c>
      <c r="C411" s="12"/>
      <c r="D411" s="12"/>
      <c r="E411" s="12"/>
      <c r="F411" s="12" t="s">
        <v>265</v>
      </c>
      <c r="G411" s="33">
        <v>2</v>
      </c>
      <c r="H411" s="33">
        <v>9</v>
      </c>
      <c r="I411" s="12" t="s">
        <v>670</v>
      </c>
      <c r="J411" s="12" t="s">
        <v>229</v>
      </c>
      <c r="K411" s="73" t="s">
        <v>29</v>
      </c>
      <c r="L411" s="13">
        <v>1672088</v>
      </c>
      <c r="M411" s="13">
        <v>1216772</v>
      </c>
      <c r="N411" s="13">
        <v>23228</v>
      </c>
      <c r="O411" s="13">
        <v>1454213</v>
      </c>
      <c r="P411" s="13">
        <v>874601</v>
      </c>
      <c r="Q411" s="13">
        <v>217875</v>
      </c>
      <c r="R411" s="13">
        <v>12298</v>
      </c>
      <c r="S411" s="13">
        <v>0</v>
      </c>
      <c r="T411" s="81">
        <v>31</v>
      </c>
    </row>
    <row r="412" spans="1:20" ht="15" customHeight="1" x14ac:dyDescent="0.2">
      <c r="A412" s="15" t="s">
        <v>970</v>
      </c>
      <c r="B412" s="60">
        <v>4529074</v>
      </c>
      <c r="C412" s="15"/>
      <c r="D412" s="15"/>
      <c r="E412" s="15"/>
      <c r="F412" s="15" t="s">
        <v>265</v>
      </c>
      <c r="G412" s="34">
        <v>2</v>
      </c>
      <c r="H412" s="34">
        <v>9</v>
      </c>
      <c r="I412" s="15" t="s">
        <v>971</v>
      </c>
      <c r="J412" s="15" t="s">
        <v>229</v>
      </c>
      <c r="K412" s="74" t="s">
        <v>29</v>
      </c>
      <c r="L412" s="16">
        <v>1670825</v>
      </c>
      <c r="M412" s="16">
        <v>983243</v>
      </c>
      <c r="N412" s="16">
        <v>36524</v>
      </c>
      <c r="O412" s="16">
        <v>1492294</v>
      </c>
      <c r="P412" s="16">
        <v>1222162</v>
      </c>
      <c r="Q412" s="16">
        <v>178532</v>
      </c>
      <c r="R412" s="16">
        <v>9144</v>
      </c>
      <c r="S412" s="16">
        <v>0</v>
      </c>
      <c r="T412" s="111">
        <v>25</v>
      </c>
    </row>
    <row r="413" spans="1:20" ht="15" customHeight="1" x14ac:dyDescent="0.2">
      <c r="A413" s="12" t="s">
        <v>972</v>
      </c>
      <c r="B413" s="56">
        <v>21866694</v>
      </c>
      <c r="C413" s="12"/>
      <c r="D413" s="12"/>
      <c r="E413" s="12"/>
      <c r="F413" s="12" t="s">
        <v>265</v>
      </c>
      <c r="G413" s="33">
        <v>2</v>
      </c>
      <c r="H413" s="33">
        <v>9</v>
      </c>
      <c r="I413" s="12" t="s">
        <v>973</v>
      </c>
      <c r="J413" s="12" t="s">
        <v>120</v>
      </c>
      <c r="K413" s="73" t="s">
        <v>29</v>
      </c>
      <c r="L413" s="13">
        <v>1669355</v>
      </c>
      <c r="M413" s="13">
        <v>731713</v>
      </c>
      <c r="N413" s="13">
        <v>31195</v>
      </c>
      <c r="O413" s="13">
        <v>1425370</v>
      </c>
      <c r="P413" s="13">
        <v>1289864</v>
      </c>
      <c r="Q413" s="13">
        <v>243985</v>
      </c>
      <c r="R413" s="13">
        <v>27873</v>
      </c>
      <c r="S413" s="13">
        <v>0</v>
      </c>
      <c r="T413" s="81">
        <v>33</v>
      </c>
    </row>
    <row r="414" spans="1:20" ht="15" customHeight="1" x14ac:dyDescent="0.2">
      <c r="A414" s="15" t="s">
        <v>974</v>
      </c>
      <c r="B414" s="60">
        <v>25395435</v>
      </c>
      <c r="C414" s="15"/>
      <c r="D414" s="15"/>
      <c r="E414" s="15"/>
      <c r="F414" s="15" t="s">
        <v>265</v>
      </c>
      <c r="G414" s="34">
        <v>2</v>
      </c>
      <c r="H414" s="34">
        <v>9</v>
      </c>
      <c r="I414" s="15" t="s">
        <v>975</v>
      </c>
      <c r="J414" s="15" t="s">
        <v>120</v>
      </c>
      <c r="K414" s="74" t="s">
        <v>29</v>
      </c>
      <c r="L414" s="16">
        <v>1657422</v>
      </c>
      <c r="M414" s="16">
        <v>817459</v>
      </c>
      <c r="N414" s="16">
        <v>77650</v>
      </c>
      <c r="O414" s="16">
        <v>1410423</v>
      </c>
      <c r="P414" s="16">
        <v>1058012</v>
      </c>
      <c r="Q414" s="16">
        <v>246999</v>
      </c>
      <c r="R414" s="16">
        <v>16881</v>
      </c>
      <c r="S414" s="16">
        <v>0</v>
      </c>
      <c r="T414" s="111">
        <v>20</v>
      </c>
    </row>
    <row r="415" spans="1:20" ht="15" customHeight="1" x14ac:dyDescent="0.2">
      <c r="A415" s="12" t="s">
        <v>976</v>
      </c>
      <c r="B415" s="56">
        <v>61809182</v>
      </c>
      <c r="C415" s="12" t="s">
        <v>352</v>
      </c>
      <c r="D415" s="12" t="s">
        <v>353</v>
      </c>
      <c r="E415" s="12" t="s">
        <v>354</v>
      </c>
      <c r="F415" s="12" t="s">
        <v>98</v>
      </c>
      <c r="G415" s="33">
        <v>3</v>
      </c>
      <c r="H415" s="33">
        <v>15</v>
      </c>
      <c r="I415" s="12" t="s">
        <v>38</v>
      </c>
      <c r="J415" s="12" t="s">
        <v>39</v>
      </c>
      <c r="K415" s="73" t="s">
        <v>29</v>
      </c>
      <c r="L415" s="13">
        <v>1630451</v>
      </c>
      <c r="M415" s="13">
        <v>0</v>
      </c>
      <c r="N415" s="13">
        <v>18470</v>
      </c>
      <c r="O415" s="13">
        <v>1545353</v>
      </c>
      <c r="P415" s="13">
        <v>53244</v>
      </c>
      <c r="Q415" s="13">
        <v>85097</v>
      </c>
      <c r="R415" s="13">
        <v>-181332</v>
      </c>
      <c r="S415" s="13">
        <v>3</v>
      </c>
      <c r="T415" s="81">
        <v>0</v>
      </c>
    </row>
    <row r="416" spans="1:20" ht="15" customHeight="1" x14ac:dyDescent="0.2">
      <c r="A416" s="15" t="s">
        <v>977</v>
      </c>
      <c r="B416" s="60">
        <v>694389</v>
      </c>
      <c r="C416" s="15"/>
      <c r="D416" s="15"/>
      <c r="E416" s="15"/>
      <c r="F416" s="15" t="s">
        <v>265</v>
      </c>
      <c r="G416" s="34">
        <v>2</v>
      </c>
      <c r="H416" s="34">
        <v>9</v>
      </c>
      <c r="I416" s="15" t="s">
        <v>978</v>
      </c>
      <c r="J416" s="15" t="s">
        <v>217</v>
      </c>
      <c r="K416" s="74" t="s">
        <v>29</v>
      </c>
      <c r="L416" s="16">
        <v>1624558</v>
      </c>
      <c r="M416" s="16">
        <v>1023198</v>
      </c>
      <c r="N416" s="16">
        <v>30484</v>
      </c>
      <c r="O416" s="16">
        <v>1342956</v>
      </c>
      <c r="P416" s="16">
        <v>884793</v>
      </c>
      <c r="Q416" s="16">
        <v>281602</v>
      </c>
      <c r="R416" s="16">
        <v>21808</v>
      </c>
      <c r="S416" s="16">
        <v>0</v>
      </c>
      <c r="T416" s="111">
        <v>16</v>
      </c>
    </row>
    <row r="417" spans="1:20" ht="15" customHeight="1" x14ac:dyDescent="0.2">
      <c r="A417" s="12" t="s">
        <v>979</v>
      </c>
      <c r="B417" s="56">
        <v>2670590</v>
      </c>
      <c r="C417" s="12" t="s">
        <v>188</v>
      </c>
      <c r="D417" s="12" t="s">
        <v>189</v>
      </c>
      <c r="E417" s="12" t="s">
        <v>190</v>
      </c>
      <c r="F417" s="12" t="s">
        <v>98</v>
      </c>
      <c r="G417" s="33">
        <v>3</v>
      </c>
      <c r="H417" s="33">
        <v>15</v>
      </c>
      <c r="I417" s="12" t="s">
        <v>38</v>
      </c>
      <c r="J417" s="12" t="s">
        <v>39</v>
      </c>
      <c r="K417" s="73" t="s">
        <v>29</v>
      </c>
      <c r="L417" s="13">
        <v>1621402</v>
      </c>
      <c r="M417" s="13">
        <v>0</v>
      </c>
      <c r="N417" s="13">
        <v>32408</v>
      </c>
      <c r="O417" s="13">
        <v>914655</v>
      </c>
      <c r="P417" s="13">
        <v>0</v>
      </c>
      <c r="Q417" s="13">
        <v>706747</v>
      </c>
      <c r="R417" s="13">
        <v>85660</v>
      </c>
      <c r="S417" s="13">
        <v>1</v>
      </c>
      <c r="T417" s="81">
        <v>0</v>
      </c>
    </row>
    <row r="418" spans="1:20" ht="15" customHeight="1" x14ac:dyDescent="0.2">
      <c r="A418" s="15" t="s">
        <v>980</v>
      </c>
      <c r="B418" s="60">
        <v>18539102</v>
      </c>
      <c r="C418" s="15" t="s">
        <v>981</v>
      </c>
      <c r="D418" s="15"/>
      <c r="E418" s="15" t="s">
        <v>982</v>
      </c>
      <c r="F418" s="15" t="s">
        <v>65</v>
      </c>
      <c r="G418" s="34">
        <v>3</v>
      </c>
      <c r="H418" s="34">
        <v>19</v>
      </c>
      <c r="I418" s="15" t="s">
        <v>107</v>
      </c>
      <c r="J418" s="15" t="s">
        <v>39</v>
      </c>
      <c r="K418" s="74" t="s">
        <v>29</v>
      </c>
      <c r="L418" s="16">
        <v>1608279</v>
      </c>
      <c r="M418" s="16">
        <v>242680</v>
      </c>
      <c r="N418" s="16">
        <v>0</v>
      </c>
      <c r="O418" s="16">
        <v>1419794</v>
      </c>
      <c r="P418" s="16">
        <v>1015276</v>
      </c>
      <c r="Q418" s="16">
        <v>188485</v>
      </c>
      <c r="R418" s="16">
        <v>8874</v>
      </c>
      <c r="S418" s="16">
        <v>2</v>
      </c>
      <c r="T418" s="111">
        <v>0</v>
      </c>
    </row>
    <row r="419" spans="1:20" ht="15" customHeight="1" x14ac:dyDescent="0.2">
      <c r="A419" s="12" t="s">
        <v>983</v>
      </c>
      <c r="B419" s="56">
        <v>17359351</v>
      </c>
      <c r="C419" s="12" t="s">
        <v>984</v>
      </c>
      <c r="D419" s="12"/>
      <c r="E419" s="12" t="s">
        <v>985</v>
      </c>
      <c r="F419" s="12" t="s">
        <v>65</v>
      </c>
      <c r="G419" s="33">
        <v>2</v>
      </c>
      <c r="H419" s="33">
        <v>14</v>
      </c>
      <c r="I419" s="12" t="s">
        <v>955</v>
      </c>
      <c r="J419" s="12" t="s">
        <v>74</v>
      </c>
      <c r="K419" s="73" t="s">
        <v>29</v>
      </c>
      <c r="L419" s="13">
        <v>1592151</v>
      </c>
      <c r="M419" s="13">
        <v>1371961</v>
      </c>
      <c r="N419" s="13">
        <v>190571</v>
      </c>
      <c r="O419" s="13">
        <v>1326848</v>
      </c>
      <c r="P419" s="13">
        <v>1309191</v>
      </c>
      <c r="Q419" s="13">
        <v>265302</v>
      </c>
      <c r="R419" s="13">
        <v>10434</v>
      </c>
      <c r="S419" s="13">
        <v>2</v>
      </c>
      <c r="T419" s="81">
        <v>0</v>
      </c>
    </row>
    <row r="420" spans="1:20" ht="15" customHeight="1" x14ac:dyDescent="0.2">
      <c r="A420" s="15" t="s">
        <v>986</v>
      </c>
      <c r="B420" s="60">
        <v>24048910</v>
      </c>
      <c r="C420" s="15"/>
      <c r="D420" s="15"/>
      <c r="E420" s="15"/>
      <c r="F420" s="15" t="s">
        <v>265</v>
      </c>
      <c r="G420" s="34">
        <v>2</v>
      </c>
      <c r="H420" s="34">
        <v>9</v>
      </c>
      <c r="I420" s="15" t="s">
        <v>987</v>
      </c>
      <c r="J420" s="15" t="s">
        <v>120</v>
      </c>
      <c r="K420" s="74" t="s">
        <v>29</v>
      </c>
      <c r="L420" s="16">
        <v>1589987</v>
      </c>
      <c r="M420" s="16">
        <v>901034</v>
      </c>
      <c r="N420" s="16">
        <v>43167</v>
      </c>
      <c r="O420" s="16">
        <v>1379821</v>
      </c>
      <c r="P420" s="16">
        <v>1189256</v>
      </c>
      <c r="Q420" s="16">
        <v>210166</v>
      </c>
      <c r="R420" s="16">
        <v>197</v>
      </c>
      <c r="S420" s="16">
        <v>0</v>
      </c>
      <c r="T420" s="111">
        <v>19</v>
      </c>
    </row>
    <row r="421" spans="1:20" ht="15" customHeight="1" x14ac:dyDescent="0.2">
      <c r="A421" s="12" t="s">
        <v>988</v>
      </c>
      <c r="B421" s="56">
        <v>3965737</v>
      </c>
      <c r="C421" s="12"/>
      <c r="D421" s="12"/>
      <c r="E421" s="12"/>
      <c r="F421" s="12" t="s">
        <v>265</v>
      </c>
      <c r="G421" s="33">
        <v>2</v>
      </c>
      <c r="H421" s="33">
        <v>9</v>
      </c>
      <c r="I421" s="12" t="s">
        <v>369</v>
      </c>
      <c r="J421" s="12" t="s">
        <v>217</v>
      </c>
      <c r="K421" s="73" t="s">
        <v>29</v>
      </c>
      <c r="L421" s="13">
        <v>1588362</v>
      </c>
      <c r="M421" s="13">
        <v>1234363</v>
      </c>
      <c r="N421" s="13">
        <v>24953</v>
      </c>
      <c r="O421" s="13">
        <v>1438507</v>
      </c>
      <c r="P421" s="13">
        <v>870431</v>
      </c>
      <c r="Q421" s="13">
        <v>149855</v>
      </c>
      <c r="R421" s="13">
        <v>4228</v>
      </c>
      <c r="S421" s="13">
        <v>0</v>
      </c>
      <c r="T421" s="81">
        <v>24</v>
      </c>
    </row>
    <row r="422" spans="1:20" ht="15" customHeight="1" x14ac:dyDescent="0.2">
      <c r="A422" s="15" t="s">
        <v>989</v>
      </c>
      <c r="B422" s="60">
        <v>23623636</v>
      </c>
      <c r="C422" s="15"/>
      <c r="D422" s="15"/>
      <c r="E422" s="15"/>
      <c r="F422" s="15" t="s">
        <v>265</v>
      </c>
      <c r="G422" s="34">
        <v>2</v>
      </c>
      <c r="H422" s="34">
        <v>9</v>
      </c>
      <c r="I422" s="15" t="s">
        <v>990</v>
      </c>
      <c r="J422" s="15" t="s">
        <v>329</v>
      </c>
      <c r="K422" s="74" t="s">
        <v>29</v>
      </c>
      <c r="L422" s="16">
        <v>1575452</v>
      </c>
      <c r="M422" s="16">
        <v>972364</v>
      </c>
      <c r="N422" s="16">
        <v>38784</v>
      </c>
      <c r="O422" s="16">
        <v>1389027</v>
      </c>
      <c r="P422" s="16">
        <v>1274923</v>
      </c>
      <c r="Q422" s="16">
        <v>186425</v>
      </c>
      <c r="R422" s="16">
        <v>25589</v>
      </c>
      <c r="S422" s="16">
        <v>0</v>
      </c>
      <c r="T422" s="111">
        <v>27</v>
      </c>
    </row>
    <row r="423" spans="1:20" ht="15" customHeight="1" x14ac:dyDescent="0.2">
      <c r="A423" s="12" t="s">
        <v>991</v>
      </c>
      <c r="B423" s="56">
        <v>25606237</v>
      </c>
      <c r="C423" s="12"/>
      <c r="D423" s="12"/>
      <c r="E423" s="12"/>
      <c r="F423" s="12" t="s">
        <v>265</v>
      </c>
      <c r="G423" s="33">
        <v>2</v>
      </c>
      <c r="H423" s="33">
        <v>9</v>
      </c>
      <c r="I423" s="12" t="s">
        <v>992</v>
      </c>
      <c r="J423" s="12" t="s">
        <v>120</v>
      </c>
      <c r="K423" s="73" t="s">
        <v>29</v>
      </c>
      <c r="L423" s="13">
        <v>1568007</v>
      </c>
      <c r="M423" s="13">
        <v>490907</v>
      </c>
      <c r="N423" s="13">
        <v>28509</v>
      </c>
      <c r="O423" s="13">
        <v>1377728</v>
      </c>
      <c r="P423" s="13">
        <v>1277536</v>
      </c>
      <c r="Q423" s="13">
        <v>190279</v>
      </c>
      <c r="R423" s="13">
        <v>19690</v>
      </c>
      <c r="S423" s="13">
        <v>0</v>
      </c>
      <c r="T423" s="81">
        <v>28</v>
      </c>
    </row>
    <row r="424" spans="1:20" ht="15" customHeight="1" x14ac:dyDescent="0.2">
      <c r="A424" s="15" t="s">
        <v>993</v>
      </c>
      <c r="B424" s="60">
        <v>3323840</v>
      </c>
      <c r="C424" s="15" t="s">
        <v>67</v>
      </c>
      <c r="D424" s="15" t="s">
        <v>68</v>
      </c>
      <c r="E424" s="15" t="s">
        <v>69</v>
      </c>
      <c r="F424" s="15" t="s">
        <v>26</v>
      </c>
      <c r="G424" s="34">
        <v>2</v>
      </c>
      <c r="H424" s="34">
        <v>2</v>
      </c>
      <c r="I424" s="15" t="s">
        <v>38</v>
      </c>
      <c r="J424" s="15" t="s">
        <v>39</v>
      </c>
      <c r="K424" s="74" t="s">
        <v>29</v>
      </c>
      <c r="L424" s="16">
        <v>1543754</v>
      </c>
      <c r="M424" s="16">
        <v>1039881</v>
      </c>
      <c r="N424" s="16">
        <v>42357</v>
      </c>
      <c r="O424" s="16">
        <v>1408029</v>
      </c>
      <c r="P424" s="16">
        <v>1373656</v>
      </c>
      <c r="Q424" s="16">
        <v>135725</v>
      </c>
      <c r="R424" s="16">
        <v>16574</v>
      </c>
      <c r="S424" s="16">
        <v>10</v>
      </c>
      <c r="T424" s="111">
        <v>0</v>
      </c>
    </row>
    <row r="425" spans="1:20" ht="15" customHeight="1" x14ac:dyDescent="0.2">
      <c r="A425" s="12" t="s">
        <v>994</v>
      </c>
      <c r="B425" s="56">
        <v>1638542</v>
      </c>
      <c r="C425" s="12" t="s">
        <v>67</v>
      </c>
      <c r="D425" s="12" t="s">
        <v>68</v>
      </c>
      <c r="E425" s="12" t="s">
        <v>69</v>
      </c>
      <c r="F425" s="12" t="s">
        <v>98</v>
      </c>
      <c r="G425" s="33">
        <v>2</v>
      </c>
      <c r="H425" s="33">
        <v>16</v>
      </c>
      <c r="I425" s="12" t="s">
        <v>38</v>
      </c>
      <c r="J425" s="12" t="s">
        <v>39</v>
      </c>
      <c r="K425" s="73" t="s">
        <v>29</v>
      </c>
      <c r="L425" s="13">
        <v>1535603</v>
      </c>
      <c r="M425" s="13">
        <v>0</v>
      </c>
      <c r="N425" s="13">
        <v>690742</v>
      </c>
      <c r="O425" s="13">
        <v>856808</v>
      </c>
      <c r="P425" s="13">
        <v>408</v>
      </c>
      <c r="Q425" s="13">
        <v>678795</v>
      </c>
      <c r="R425" s="13">
        <v>129143</v>
      </c>
      <c r="S425" s="13">
        <v>2</v>
      </c>
      <c r="T425" s="81">
        <v>0</v>
      </c>
    </row>
    <row r="426" spans="1:20" ht="15" customHeight="1" x14ac:dyDescent="0.2">
      <c r="A426" s="15" t="s">
        <v>995</v>
      </c>
      <c r="B426" s="60">
        <v>19449602</v>
      </c>
      <c r="C426" s="15"/>
      <c r="D426" s="15"/>
      <c r="E426" s="15"/>
      <c r="F426" s="15" t="s">
        <v>265</v>
      </c>
      <c r="G426" s="34">
        <v>2</v>
      </c>
      <c r="H426" s="34">
        <v>9</v>
      </c>
      <c r="I426" s="15" t="s">
        <v>996</v>
      </c>
      <c r="J426" s="15" t="s">
        <v>120</v>
      </c>
      <c r="K426" s="74" t="s">
        <v>29</v>
      </c>
      <c r="L426" s="16">
        <v>1524046</v>
      </c>
      <c r="M426" s="16">
        <v>670864</v>
      </c>
      <c r="N426" s="16">
        <v>45569</v>
      </c>
      <c r="O426" s="16">
        <v>1305880</v>
      </c>
      <c r="P426" s="16">
        <v>995237</v>
      </c>
      <c r="Q426" s="16">
        <v>218166</v>
      </c>
      <c r="R426" s="16">
        <v>15942</v>
      </c>
      <c r="S426" s="16">
        <v>0</v>
      </c>
      <c r="T426" s="111">
        <v>11</v>
      </c>
    </row>
    <row r="427" spans="1:20" ht="15" customHeight="1" x14ac:dyDescent="0.2">
      <c r="A427" s="12" t="s">
        <v>997</v>
      </c>
      <c r="B427" s="56">
        <v>40571694</v>
      </c>
      <c r="C427" s="12" t="s">
        <v>998</v>
      </c>
      <c r="D427" s="12"/>
      <c r="E427" s="12" t="s">
        <v>999</v>
      </c>
      <c r="F427" s="12" t="s">
        <v>84</v>
      </c>
      <c r="G427" s="33">
        <v>3</v>
      </c>
      <c r="H427" s="33">
        <v>41</v>
      </c>
      <c r="I427" s="12" t="s">
        <v>38</v>
      </c>
      <c r="J427" s="12" t="s">
        <v>39</v>
      </c>
      <c r="K427" s="73" t="s">
        <v>29</v>
      </c>
      <c r="L427" s="13">
        <v>1520686</v>
      </c>
      <c r="M427" s="13">
        <v>0</v>
      </c>
      <c r="N427" s="13">
        <v>4828</v>
      </c>
      <c r="O427" s="13">
        <v>1500625</v>
      </c>
      <c r="P427" s="13">
        <v>1048077</v>
      </c>
      <c r="Q427" s="13">
        <v>20062</v>
      </c>
      <c r="R427" s="13">
        <v>4018</v>
      </c>
      <c r="S427" s="13">
        <v>1</v>
      </c>
      <c r="T427" s="81">
        <v>0</v>
      </c>
    </row>
    <row r="428" spans="1:20" ht="15" customHeight="1" x14ac:dyDescent="0.2">
      <c r="A428" s="15" t="s">
        <v>1000</v>
      </c>
      <c r="B428" s="60">
        <v>23903068</v>
      </c>
      <c r="C428" s="15" t="s">
        <v>1001</v>
      </c>
      <c r="D428" s="15"/>
      <c r="E428" s="15" t="s">
        <v>1002</v>
      </c>
      <c r="F428" s="15" t="s">
        <v>60</v>
      </c>
      <c r="G428" s="34">
        <v>3</v>
      </c>
      <c r="H428" s="34">
        <v>8</v>
      </c>
      <c r="I428" s="15" t="s">
        <v>38</v>
      </c>
      <c r="J428" s="15" t="s">
        <v>39</v>
      </c>
      <c r="K428" s="74" t="s">
        <v>29</v>
      </c>
      <c r="L428" s="16">
        <v>1513067</v>
      </c>
      <c r="M428" s="16">
        <v>1238079</v>
      </c>
      <c r="N428" s="16">
        <v>205966</v>
      </c>
      <c r="O428" s="16">
        <v>1050087</v>
      </c>
      <c r="P428" s="16">
        <v>882157</v>
      </c>
      <c r="Q428" s="16">
        <v>462981</v>
      </c>
      <c r="R428" s="16">
        <v>19733</v>
      </c>
      <c r="S428" s="16">
        <v>2</v>
      </c>
      <c r="T428" s="111">
        <v>0</v>
      </c>
    </row>
    <row r="429" spans="1:20" ht="15" customHeight="1" x14ac:dyDescent="0.2">
      <c r="A429" s="12" t="s">
        <v>1003</v>
      </c>
      <c r="B429" s="56">
        <v>3065046</v>
      </c>
      <c r="C429" s="12"/>
      <c r="D429" s="12"/>
      <c r="E429" s="12"/>
      <c r="F429" s="12" t="s">
        <v>265</v>
      </c>
      <c r="G429" s="33">
        <v>2</v>
      </c>
      <c r="H429" s="33">
        <v>9</v>
      </c>
      <c r="I429" s="12" t="s">
        <v>1004</v>
      </c>
      <c r="J429" s="12" t="s">
        <v>39</v>
      </c>
      <c r="K429" s="73" t="s">
        <v>29</v>
      </c>
      <c r="L429" s="13">
        <v>1510770</v>
      </c>
      <c r="M429" s="13">
        <v>705477</v>
      </c>
      <c r="N429" s="13">
        <v>662007</v>
      </c>
      <c r="O429" s="13">
        <v>1362896</v>
      </c>
      <c r="P429" s="13">
        <v>1012348</v>
      </c>
      <c r="Q429" s="13">
        <v>147875</v>
      </c>
      <c r="R429" s="13">
        <v>19587</v>
      </c>
      <c r="S429" s="13">
        <v>0</v>
      </c>
      <c r="T429" s="81">
        <v>20</v>
      </c>
    </row>
    <row r="430" spans="1:20" ht="15" customHeight="1" x14ac:dyDescent="0.2">
      <c r="A430" s="15" t="s">
        <v>1005</v>
      </c>
      <c r="B430" s="60">
        <v>4876393</v>
      </c>
      <c r="C430" s="15"/>
      <c r="D430" s="15"/>
      <c r="E430" s="15"/>
      <c r="F430" s="15" t="s">
        <v>265</v>
      </c>
      <c r="G430" s="34">
        <v>2</v>
      </c>
      <c r="H430" s="34">
        <v>9</v>
      </c>
      <c r="I430" s="15" t="s">
        <v>1006</v>
      </c>
      <c r="J430" s="15" t="s">
        <v>229</v>
      </c>
      <c r="K430" s="74" t="s">
        <v>29</v>
      </c>
      <c r="L430" s="16">
        <v>1505398</v>
      </c>
      <c r="M430" s="16">
        <v>859572</v>
      </c>
      <c r="N430" s="16">
        <v>18515</v>
      </c>
      <c r="O430" s="16">
        <v>1353143</v>
      </c>
      <c r="P430" s="16">
        <v>1135535</v>
      </c>
      <c r="Q430" s="16">
        <v>152255</v>
      </c>
      <c r="R430" s="16">
        <v>12234</v>
      </c>
      <c r="S430" s="16">
        <v>0</v>
      </c>
      <c r="T430" s="111">
        <v>21</v>
      </c>
    </row>
    <row r="431" spans="1:20" ht="15" customHeight="1" x14ac:dyDescent="0.2">
      <c r="A431" s="12" t="s">
        <v>1007</v>
      </c>
      <c r="B431" s="56">
        <v>2318507</v>
      </c>
      <c r="C431" s="12" t="s">
        <v>1008</v>
      </c>
      <c r="D431" s="12"/>
      <c r="E431" s="12" t="s">
        <v>1009</v>
      </c>
      <c r="F431" s="12" t="s">
        <v>26</v>
      </c>
      <c r="G431" s="33">
        <v>3</v>
      </c>
      <c r="H431" s="33">
        <v>2</v>
      </c>
      <c r="I431" s="12" t="s">
        <v>38</v>
      </c>
      <c r="J431" s="12" t="s">
        <v>39</v>
      </c>
      <c r="K431" s="73" t="s">
        <v>29</v>
      </c>
      <c r="L431" s="13">
        <v>1505221</v>
      </c>
      <c r="M431" s="13">
        <v>172690</v>
      </c>
      <c r="N431" s="13">
        <v>330361</v>
      </c>
      <c r="O431" s="13">
        <v>1295003</v>
      </c>
      <c r="P431" s="13">
        <v>1267972</v>
      </c>
      <c r="Q431" s="13">
        <v>210219</v>
      </c>
      <c r="R431" s="13">
        <v>3040</v>
      </c>
      <c r="S431" s="13">
        <v>2</v>
      </c>
      <c r="T431" s="81">
        <v>0</v>
      </c>
    </row>
    <row r="432" spans="1:20" ht="15" customHeight="1" x14ac:dyDescent="0.2">
      <c r="A432" s="15" t="s">
        <v>1010</v>
      </c>
      <c r="B432" s="60">
        <v>78483310</v>
      </c>
      <c r="C432" s="15"/>
      <c r="D432" s="15"/>
      <c r="E432" s="15"/>
      <c r="F432" s="15" t="s">
        <v>265</v>
      </c>
      <c r="G432" s="34">
        <v>2</v>
      </c>
      <c r="H432" s="34">
        <v>9</v>
      </c>
      <c r="I432" s="15" t="s">
        <v>1011</v>
      </c>
      <c r="J432" s="15" t="s">
        <v>217</v>
      </c>
      <c r="K432" s="74" t="s">
        <v>29</v>
      </c>
      <c r="L432" s="16">
        <v>1501097</v>
      </c>
      <c r="M432" s="16">
        <v>847365</v>
      </c>
      <c r="N432" s="16">
        <v>21335</v>
      </c>
      <c r="O432" s="16">
        <v>1346821</v>
      </c>
      <c r="P432" s="16">
        <v>854731</v>
      </c>
      <c r="Q432" s="16">
        <v>154276</v>
      </c>
      <c r="R432" s="16">
        <v>9636</v>
      </c>
      <c r="S432" s="16">
        <v>0</v>
      </c>
      <c r="T432" s="111">
        <v>11</v>
      </c>
    </row>
    <row r="433" spans="1:20" ht="15" customHeight="1" x14ac:dyDescent="0.2">
      <c r="A433" s="12" t="s">
        <v>1012</v>
      </c>
      <c r="B433" s="56">
        <v>54403563</v>
      </c>
      <c r="C433" s="12" t="s">
        <v>1013</v>
      </c>
      <c r="D433" s="12"/>
      <c r="E433" s="12" t="s">
        <v>1014</v>
      </c>
      <c r="F433" s="12" t="s">
        <v>26</v>
      </c>
      <c r="G433" s="33">
        <v>2</v>
      </c>
      <c r="H433" s="33">
        <v>2</v>
      </c>
      <c r="I433" s="12" t="s">
        <v>53</v>
      </c>
      <c r="J433" s="12" t="s">
        <v>54</v>
      </c>
      <c r="K433" s="73" t="s">
        <v>29</v>
      </c>
      <c r="L433" s="13">
        <v>1500558</v>
      </c>
      <c r="M433" s="13">
        <v>450758</v>
      </c>
      <c r="N433" s="13">
        <v>200106</v>
      </c>
      <c r="O433" s="13">
        <v>1402059</v>
      </c>
      <c r="P433" s="13">
        <v>1360818</v>
      </c>
      <c r="Q433" s="13">
        <v>98499</v>
      </c>
      <c r="R433" s="13">
        <v>-6808</v>
      </c>
      <c r="S433" s="13">
        <v>5</v>
      </c>
      <c r="T433" s="81">
        <v>0</v>
      </c>
    </row>
    <row r="434" spans="1:20" ht="15" customHeight="1" x14ac:dyDescent="0.2">
      <c r="A434" s="15" t="s">
        <v>1015</v>
      </c>
      <c r="B434" s="60">
        <v>2090126</v>
      </c>
      <c r="C434" s="15"/>
      <c r="D434" s="15"/>
      <c r="E434" s="15"/>
      <c r="F434" s="15" t="s">
        <v>265</v>
      </c>
      <c r="G434" s="34">
        <v>2</v>
      </c>
      <c r="H434" s="34">
        <v>9</v>
      </c>
      <c r="I434" s="15" t="s">
        <v>1016</v>
      </c>
      <c r="J434" s="15" t="s">
        <v>217</v>
      </c>
      <c r="K434" s="74" t="s">
        <v>29</v>
      </c>
      <c r="L434" s="16">
        <v>1494354</v>
      </c>
      <c r="M434" s="16">
        <v>1010283</v>
      </c>
      <c r="N434" s="16">
        <v>22071</v>
      </c>
      <c r="O434" s="16">
        <v>1351516</v>
      </c>
      <c r="P434" s="16">
        <v>1098960</v>
      </c>
      <c r="Q434" s="16">
        <v>142838</v>
      </c>
      <c r="R434" s="16">
        <v>7338</v>
      </c>
      <c r="S434" s="16">
        <v>0</v>
      </c>
      <c r="T434" s="111">
        <v>19</v>
      </c>
    </row>
    <row r="435" spans="1:20" ht="15" customHeight="1" x14ac:dyDescent="0.2">
      <c r="A435" s="12" t="s">
        <v>1017</v>
      </c>
      <c r="B435" s="56">
        <v>22760839</v>
      </c>
      <c r="C435" s="12"/>
      <c r="D435" s="12"/>
      <c r="E435" s="12"/>
      <c r="F435" s="12" t="s">
        <v>265</v>
      </c>
      <c r="G435" s="33">
        <v>2</v>
      </c>
      <c r="H435" s="33">
        <v>9</v>
      </c>
      <c r="I435" s="12" t="s">
        <v>1018</v>
      </c>
      <c r="J435" s="12" t="s">
        <v>120</v>
      </c>
      <c r="K435" s="73" t="s">
        <v>29</v>
      </c>
      <c r="L435" s="13">
        <v>1478240</v>
      </c>
      <c r="M435" s="13">
        <v>755817</v>
      </c>
      <c r="N435" s="13">
        <v>27121</v>
      </c>
      <c r="O435" s="13">
        <v>1248432</v>
      </c>
      <c r="P435" s="13">
        <v>1107060</v>
      </c>
      <c r="Q435" s="13">
        <v>229808</v>
      </c>
      <c r="R435" s="13">
        <v>21931</v>
      </c>
      <c r="S435" s="13">
        <v>0</v>
      </c>
      <c r="T435" s="81">
        <v>11</v>
      </c>
    </row>
    <row r="436" spans="1:20" ht="15" customHeight="1" x14ac:dyDescent="0.2">
      <c r="A436" s="15" t="s">
        <v>1019</v>
      </c>
      <c r="B436" s="60">
        <v>43774196</v>
      </c>
      <c r="C436" s="15" t="s">
        <v>1020</v>
      </c>
      <c r="D436" s="15"/>
      <c r="E436" s="15" t="s">
        <v>1021</v>
      </c>
      <c r="F436" s="15" t="s">
        <v>65</v>
      </c>
      <c r="G436" s="34">
        <v>2</v>
      </c>
      <c r="H436" s="34">
        <v>14</v>
      </c>
      <c r="I436" s="15" t="s">
        <v>38</v>
      </c>
      <c r="J436" s="15" t="s">
        <v>39</v>
      </c>
      <c r="K436" s="74" t="s">
        <v>29</v>
      </c>
      <c r="L436" s="16">
        <v>1476596</v>
      </c>
      <c r="M436" s="16">
        <v>593370</v>
      </c>
      <c r="N436" s="16">
        <v>848230</v>
      </c>
      <c r="O436" s="16">
        <v>931262</v>
      </c>
      <c r="P436" s="16">
        <v>921250</v>
      </c>
      <c r="Q436" s="16">
        <v>545334</v>
      </c>
      <c r="R436" s="16">
        <v>43178</v>
      </c>
      <c r="S436" s="16">
        <v>2</v>
      </c>
      <c r="T436" s="111">
        <v>0</v>
      </c>
    </row>
    <row r="437" spans="1:20" ht="15" customHeight="1" x14ac:dyDescent="0.2">
      <c r="A437" s="12" t="s">
        <v>1022</v>
      </c>
      <c r="B437" s="56">
        <v>2641969</v>
      </c>
      <c r="C437" s="12"/>
      <c r="D437" s="12"/>
      <c r="E437" s="12"/>
      <c r="F437" s="12" t="s">
        <v>265</v>
      </c>
      <c r="G437" s="33">
        <v>2</v>
      </c>
      <c r="H437" s="33">
        <v>9</v>
      </c>
      <c r="I437" s="12" t="s">
        <v>1023</v>
      </c>
      <c r="J437" s="12" t="s">
        <v>217</v>
      </c>
      <c r="K437" s="73" t="s">
        <v>29</v>
      </c>
      <c r="L437" s="13">
        <v>1471954</v>
      </c>
      <c r="M437" s="13">
        <v>772601</v>
      </c>
      <c r="N437" s="13">
        <v>128847</v>
      </c>
      <c r="O437" s="13">
        <v>1208709</v>
      </c>
      <c r="P437" s="13">
        <v>1181969</v>
      </c>
      <c r="Q437" s="13">
        <v>263245</v>
      </c>
      <c r="R437" s="13">
        <v>31253</v>
      </c>
      <c r="S437" s="13">
        <v>0</v>
      </c>
      <c r="T437" s="81">
        <v>17</v>
      </c>
    </row>
    <row r="438" spans="1:20" ht="15" customHeight="1" x14ac:dyDescent="0.2">
      <c r="A438" s="15" t="s">
        <v>1024</v>
      </c>
      <c r="B438" s="60">
        <v>5863726</v>
      </c>
      <c r="C438" s="15"/>
      <c r="D438" s="15"/>
      <c r="E438" s="15"/>
      <c r="F438" s="15" t="s">
        <v>265</v>
      </c>
      <c r="G438" s="34">
        <v>2</v>
      </c>
      <c r="H438" s="34">
        <v>9</v>
      </c>
      <c r="I438" s="15" t="s">
        <v>1025</v>
      </c>
      <c r="J438" s="15" t="s">
        <v>74</v>
      </c>
      <c r="K438" s="74" t="s">
        <v>29</v>
      </c>
      <c r="L438" s="16">
        <v>1471806</v>
      </c>
      <c r="M438" s="16">
        <v>998896</v>
      </c>
      <c r="N438" s="16">
        <v>46101</v>
      </c>
      <c r="O438" s="16">
        <v>1309420</v>
      </c>
      <c r="P438" s="16">
        <v>844009</v>
      </c>
      <c r="Q438" s="16">
        <v>162386</v>
      </c>
      <c r="R438" s="16">
        <v>9516</v>
      </c>
      <c r="S438" s="16">
        <v>0</v>
      </c>
      <c r="T438" s="111">
        <v>29</v>
      </c>
    </row>
    <row r="439" spans="1:20" ht="15" customHeight="1" x14ac:dyDescent="0.2">
      <c r="A439" s="12" t="s">
        <v>1026</v>
      </c>
      <c r="B439" s="56">
        <v>997185</v>
      </c>
      <c r="C439" s="12" t="s">
        <v>1027</v>
      </c>
      <c r="D439" s="12"/>
      <c r="E439" s="12" t="s">
        <v>1028</v>
      </c>
      <c r="F439" s="12" t="s">
        <v>26</v>
      </c>
      <c r="G439" s="33">
        <v>2</v>
      </c>
      <c r="H439" s="33">
        <v>2</v>
      </c>
      <c r="I439" s="12" t="s">
        <v>38</v>
      </c>
      <c r="J439" s="12" t="s">
        <v>39</v>
      </c>
      <c r="K439" s="73" t="s">
        <v>29</v>
      </c>
      <c r="L439" s="13">
        <v>1459235</v>
      </c>
      <c r="M439" s="13">
        <v>0</v>
      </c>
      <c r="N439" s="13">
        <v>211097</v>
      </c>
      <c r="O439" s="13">
        <v>1256919</v>
      </c>
      <c r="P439" s="13">
        <v>1162782</v>
      </c>
      <c r="Q439" s="13">
        <v>202316</v>
      </c>
      <c r="R439" s="13">
        <v>38823</v>
      </c>
      <c r="S439" s="13">
        <v>2</v>
      </c>
      <c r="T439" s="81">
        <v>0</v>
      </c>
    </row>
    <row r="440" spans="1:20" ht="15" customHeight="1" x14ac:dyDescent="0.2">
      <c r="A440" s="15" t="s">
        <v>1029</v>
      </c>
      <c r="B440" s="60">
        <v>8560508</v>
      </c>
      <c r="C440" s="15"/>
      <c r="D440" s="15"/>
      <c r="E440" s="15"/>
      <c r="F440" s="15" t="s">
        <v>265</v>
      </c>
      <c r="G440" s="34">
        <v>2</v>
      </c>
      <c r="H440" s="34">
        <v>9</v>
      </c>
      <c r="I440" s="15" t="s">
        <v>1030</v>
      </c>
      <c r="J440" s="15" t="s">
        <v>229</v>
      </c>
      <c r="K440" s="74" t="s">
        <v>29</v>
      </c>
      <c r="L440" s="16">
        <v>1438349</v>
      </c>
      <c r="M440" s="16">
        <v>985857</v>
      </c>
      <c r="N440" s="16">
        <v>17526</v>
      </c>
      <c r="O440" s="16">
        <v>1292353</v>
      </c>
      <c r="P440" s="16">
        <v>945541</v>
      </c>
      <c r="Q440" s="16">
        <v>145995</v>
      </c>
      <c r="R440" s="16">
        <v>14508</v>
      </c>
      <c r="S440" s="16">
        <v>0</v>
      </c>
      <c r="T440" s="111">
        <v>15</v>
      </c>
    </row>
    <row r="441" spans="1:20" ht="15" customHeight="1" x14ac:dyDescent="0.2">
      <c r="A441" s="12" t="s">
        <v>1031</v>
      </c>
      <c r="B441" s="56">
        <v>64237530</v>
      </c>
      <c r="C441" s="12"/>
      <c r="D441" s="12"/>
      <c r="E441" s="12"/>
      <c r="F441" s="12" t="s">
        <v>265</v>
      </c>
      <c r="G441" s="33">
        <v>2</v>
      </c>
      <c r="H441" s="33">
        <v>9</v>
      </c>
      <c r="I441" s="12" t="s">
        <v>965</v>
      </c>
      <c r="J441" s="12" t="s">
        <v>120</v>
      </c>
      <c r="K441" s="73" t="s">
        <v>29</v>
      </c>
      <c r="L441" s="13">
        <v>1437606</v>
      </c>
      <c r="M441" s="13">
        <v>521657</v>
      </c>
      <c r="N441" s="13">
        <v>30173</v>
      </c>
      <c r="O441" s="13">
        <v>1186812</v>
      </c>
      <c r="P441" s="13">
        <v>1080592</v>
      </c>
      <c r="Q441" s="13">
        <v>250794</v>
      </c>
      <c r="R441" s="13">
        <v>33202</v>
      </c>
      <c r="S441" s="13">
        <v>0</v>
      </c>
      <c r="T441" s="81">
        <v>10</v>
      </c>
    </row>
    <row r="442" spans="1:20" ht="15" customHeight="1" x14ac:dyDescent="0.2">
      <c r="A442" s="15" t="s">
        <v>1032</v>
      </c>
      <c r="B442" s="60">
        <v>8624548</v>
      </c>
      <c r="C442" s="15"/>
      <c r="D442" s="15"/>
      <c r="E442" s="15"/>
      <c r="F442" s="15" t="s">
        <v>265</v>
      </c>
      <c r="G442" s="34">
        <v>2</v>
      </c>
      <c r="H442" s="34">
        <v>9</v>
      </c>
      <c r="I442" s="15" t="s">
        <v>963</v>
      </c>
      <c r="J442" s="15" t="s">
        <v>120</v>
      </c>
      <c r="K442" s="74" t="s">
        <v>29</v>
      </c>
      <c r="L442" s="16">
        <v>1437278</v>
      </c>
      <c r="M442" s="16">
        <v>1048192</v>
      </c>
      <c r="N442" s="16">
        <v>21830</v>
      </c>
      <c r="O442" s="16">
        <v>1279130</v>
      </c>
      <c r="P442" s="16">
        <v>869470</v>
      </c>
      <c r="Q442" s="16">
        <v>158148</v>
      </c>
      <c r="R442" s="16">
        <v>9894</v>
      </c>
      <c r="S442" s="16">
        <v>0</v>
      </c>
      <c r="T442" s="111">
        <v>31</v>
      </c>
    </row>
    <row r="443" spans="1:20" ht="15" customHeight="1" x14ac:dyDescent="0.2">
      <c r="A443" s="12" t="s">
        <v>1033</v>
      </c>
      <c r="B443" s="56">
        <v>33449007</v>
      </c>
      <c r="C443" s="12" t="s">
        <v>1034</v>
      </c>
      <c r="D443" s="12"/>
      <c r="E443" s="12" t="s">
        <v>1035</v>
      </c>
      <c r="F443" s="12" t="s">
        <v>84</v>
      </c>
      <c r="G443" s="33">
        <v>2</v>
      </c>
      <c r="H443" s="33">
        <v>41</v>
      </c>
      <c r="I443" s="12" t="s">
        <v>38</v>
      </c>
      <c r="J443" s="12" t="s">
        <v>39</v>
      </c>
      <c r="K443" s="73" t="s">
        <v>29</v>
      </c>
      <c r="L443" s="13">
        <v>1435335</v>
      </c>
      <c r="M443" s="13">
        <v>28962</v>
      </c>
      <c r="N443" s="13">
        <v>1317631</v>
      </c>
      <c r="O443" s="13">
        <v>1365667</v>
      </c>
      <c r="P443" s="13">
        <v>571257</v>
      </c>
      <c r="Q443" s="13">
        <v>69668</v>
      </c>
      <c r="R443" s="13">
        <v>-3190</v>
      </c>
      <c r="S443" s="13">
        <v>1</v>
      </c>
      <c r="T443" s="81">
        <v>0</v>
      </c>
    </row>
    <row r="444" spans="1:20" ht="15" customHeight="1" x14ac:dyDescent="0.2">
      <c r="A444" s="15" t="s">
        <v>1036</v>
      </c>
      <c r="B444" s="60">
        <v>49389307</v>
      </c>
      <c r="C444" s="15"/>
      <c r="D444" s="15"/>
      <c r="E444" s="15"/>
      <c r="F444" s="15" t="s">
        <v>265</v>
      </c>
      <c r="G444" s="34">
        <v>2</v>
      </c>
      <c r="H444" s="34">
        <v>9</v>
      </c>
      <c r="I444" s="15" t="s">
        <v>1037</v>
      </c>
      <c r="J444" s="15" t="s">
        <v>39</v>
      </c>
      <c r="K444" s="74" t="s">
        <v>29</v>
      </c>
      <c r="L444" s="16">
        <v>1434578</v>
      </c>
      <c r="M444" s="16">
        <v>666768</v>
      </c>
      <c r="N444" s="16">
        <v>49647</v>
      </c>
      <c r="O444" s="16">
        <v>1247973</v>
      </c>
      <c r="P444" s="16">
        <v>1128385</v>
      </c>
      <c r="Q444" s="16">
        <v>186605</v>
      </c>
      <c r="R444" s="16">
        <v>12781</v>
      </c>
      <c r="S444" s="16">
        <v>0</v>
      </c>
      <c r="T444" s="111">
        <v>21</v>
      </c>
    </row>
    <row r="445" spans="1:20" ht="15" customHeight="1" x14ac:dyDescent="0.2">
      <c r="A445" s="12" t="s">
        <v>1038</v>
      </c>
      <c r="B445" s="56">
        <v>2819125</v>
      </c>
      <c r="C445" s="12" t="s">
        <v>352</v>
      </c>
      <c r="D445" s="12" t="s">
        <v>353</v>
      </c>
      <c r="E445" s="12" t="s">
        <v>354</v>
      </c>
      <c r="F445" s="12" t="s">
        <v>98</v>
      </c>
      <c r="G445" s="33">
        <v>3</v>
      </c>
      <c r="H445" s="33">
        <v>15</v>
      </c>
      <c r="I445" s="12" t="s">
        <v>38</v>
      </c>
      <c r="J445" s="12" t="s">
        <v>39</v>
      </c>
      <c r="K445" s="73" t="s">
        <v>29</v>
      </c>
      <c r="L445" s="13">
        <v>1414240</v>
      </c>
      <c r="M445" s="13">
        <v>0</v>
      </c>
      <c r="N445" s="13">
        <v>589608</v>
      </c>
      <c r="O445" s="13">
        <v>786770</v>
      </c>
      <c r="P445" s="13">
        <v>352</v>
      </c>
      <c r="Q445" s="13">
        <v>627470</v>
      </c>
      <c r="R445" s="13">
        <v>13552</v>
      </c>
      <c r="S445" s="13">
        <v>3</v>
      </c>
      <c r="T445" s="81">
        <v>0</v>
      </c>
    </row>
    <row r="446" spans="1:20" ht="15" customHeight="1" x14ac:dyDescent="0.2">
      <c r="A446" s="15" t="s">
        <v>1039</v>
      </c>
      <c r="B446" s="60">
        <v>70937271</v>
      </c>
      <c r="C446" s="15"/>
      <c r="D446" s="15"/>
      <c r="E446" s="15"/>
      <c r="F446" s="15" t="s">
        <v>265</v>
      </c>
      <c r="G446" s="34">
        <v>2</v>
      </c>
      <c r="H446" s="34">
        <v>9</v>
      </c>
      <c r="I446" s="15" t="s">
        <v>564</v>
      </c>
      <c r="J446" s="15" t="s">
        <v>120</v>
      </c>
      <c r="K446" s="74" t="s">
        <v>29</v>
      </c>
      <c r="L446" s="16">
        <v>1406046</v>
      </c>
      <c r="M446" s="16">
        <v>813634</v>
      </c>
      <c r="N446" s="16">
        <v>24751</v>
      </c>
      <c r="O446" s="16">
        <v>1275825</v>
      </c>
      <c r="P446" s="16">
        <v>1147635</v>
      </c>
      <c r="Q446" s="16">
        <v>130221</v>
      </c>
      <c r="R446" s="16">
        <v>14696</v>
      </c>
      <c r="S446" s="16">
        <v>0</v>
      </c>
      <c r="T446" s="111">
        <v>27</v>
      </c>
    </row>
    <row r="447" spans="1:20" ht="15" customHeight="1" x14ac:dyDescent="0.2">
      <c r="A447" s="12" t="s">
        <v>1040</v>
      </c>
      <c r="B447" s="56">
        <v>33667205</v>
      </c>
      <c r="C447" s="12"/>
      <c r="D447" s="12"/>
      <c r="E447" s="12"/>
      <c r="F447" s="12" t="s">
        <v>199</v>
      </c>
      <c r="G447" s="33">
        <v>2</v>
      </c>
      <c r="H447" s="33">
        <v>9</v>
      </c>
      <c r="I447" s="12" t="s">
        <v>803</v>
      </c>
      <c r="J447" s="12" t="s">
        <v>329</v>
      </c>
      <c r="K447" s="73" t="s">
        <v>29</v>
      </c>
      <c r="L447" s="13">
        <v>1399122</v>
      </c>
      <c r="M447" s="13">
        <v>0</v>
      </c>
      <c r="N447" s="13">
        <v>471356</v>
      </c>
      <c r="O447" s="13">
        <v>129846</v>
      </c>
      <c r="P447" s="13">
        <v>0</v>
      </c>
      <c r="Q447" s="13">
        <v>1269276</v>
      </c>
      <c r="R447" s="13">
        <v>9699</v>
      </c>
      <c r="S447" s="13">
        <v>0</v>
      </c>
      <c r="T447" s="81">
        <v>0</v>
      </c>
    </row>
    <row r="448" spans="1:20" ht="15" customHeight="1" x14ac:dyDescent="0.2">
      <c r="A448" s="15" t="s">
        <v>1041</v>
      </c>
      <c r="B448" s="60">
        <v>22753982</v>
      </c>
      <c r="C448" s="15"/>
      <c r="D448" s="15"/>
      <c r="E448" s="15"/>
      <c r="F448" s="15" t="s">
        <v>265</v>
      </c>
      <c r="G448" s="34">
        <v>2</v>
      </c>
      <c r="H448" s="34">
        <v>9</v>
      </c>
      <c r="I448" s="15" t="s">
        <v>1042</v>
      </c>
      <c r="J448" s="15" t="s">
        <v>120</v>
      </c>
      <c r="K448" s="74" t="s">
        <v>29</v>
      </c>
      <c r="L448" s="16">
        <v>1368933</v>
      </c>
      <c r="M448" s="16">
        <v>459019</v>
      </c>
      <c r="N448" s="16">
        <v>23283</v>
      </c>
      <c r="O448" s="16">
        <v>1213771</v>
      </c>
      <c r="P448" s="16">
        <v>1172945</v>
      </c>
      <c r="Q448" s="16">
        <v>155162</v>
      </c>
      <c r="R448" s="16">
        <v>6529</v>
      </c>
      <c r="S448" s="16">
        <v>0</v>
      </c>
      <c r="T448" s="111">
        <v>15</v>
      </c>
    </row>
    <row r="449" spans="1:20" ht="15" customHeight="1" x14ac:dyDescent="0.2">
      <c r="A449" s="12" t="s">
        <v>1043</v>
      </c>
      <c r="B449" s="56">
        <v>6031727</v>
      </c>
      <c r="C449" s="12"/>
      <c r="D449" s="12"/>
      <c r="E449" s="12"/>
      <c r="F449" s="12" t="s">
        <v>265</v>
      </c>
      <c r="G449" s="33">
        <v>2</v>
      </c>
      <c r="H449" s="33">
        <v>9</v>
      </c>
      <c r="I449" s="12" t="s">
        <v>1044</v>
      </c>
      <c r="J449" s="12" t="s">
        <v>74</v>
      </c>
      <c r="K449" s="73" t="s">
        <v>29</v>
      </c>
      <c r="L449" s="13">
        <v>1363081</v>
      </c>
      <c r="M449" s="13">
        <v>914876</v>
      </c>
      <c r="N449" s="13">
        <v>25326</v>
      </c>
      <c r="O449" s="13">
        <v>1214076</v>
      </c>
      <c r="P449" s="13">
        <v>791302</v>
      </c>
      <c r="Q449" s="13">
        <v>149005</v>
      </c>
      <c r="R449" s="13">
        <v>5743</v>
      </c>
      <c r="S449" s="13">
        <v>0</v>
      </c>
      <c r="T449" s="81">
        <v>23</v>
      </c>
    </row>
    <row r="450" spans="1:20" ht="15" customHeight="1" x14ac:dyDescent="0.2">
      <c r="A450" s="15" t="s">
        <v>1045</v>
      </c>
      <c r="B450" s="60">
        <v>39519944</v>
      </c>
      <c r="C450" s="15" t="s">
        <v>1046</v>
      </c>
      <c r="D450" s="15"/>
      <c r="E450" s="15" t="s">
        <v>1047</v>
      </c>
      <c r="F450" s="15" t="s">
        <v>65</v>
      </c>
      <c r="G450" s="34">
        <v>3</v>
      </c>
      <c r="H450" s="34">
        <v>43</v>
      </c>
      <c r="I450" s="15" t="s">
        <v>38</v>
      </c>
      <c r="J450" s="15" t="s">
        <v>39</v>
      </c>
      <c r="K450" s="74" t="s">
        <v>29</v>
      </c>
      <c r="L450" s="16">
        <v>1332663</v>
      </c>
      <c r="M450" s="16">
        <v>0</v>
      </c>
      <c r="N450" s="16">
        <v>27491</v>
      </c>
      <c r="O450" s="16">
        <v>1306507</v>
      </c>
      <c r="P450" s="16">
        <v>1302541</v>
      </c>
      <c r="Q450" s="16">
        <v>26156</v>
      </c>
      <c r="R450" s="16">
        <v>866</v>
      </c>
      <c r="S450" s="16">
        <v>2</v>
      </c>
      <c r="T450" s="111">
        <v>0</v>
      </c>
    </row>
    <row r="451" spans="1:20" ht="15" customHeight="1" x14ac:dyDescent="0.2">
      <c r="A451" s="12" t="s">
        <v>1048</v>
      </c>
      <c r="B451" s="56">
        <v>10262276</v>
      </c>
      <c r="C451" s="12"/>
      <c r="D451" s="12"/>
      <c r="E451" s="12"/>
      <c r="F451" s="12" t="s">
        <v>265</v>
      </c>
      <c r="G451" s="33">
        <v>2</v>
      </c>
      <c r="H451" s="33">
        <v>9</v>
      </c>
      <c r="I451" s="12" t="s">
        <v>1049</v>
      </c>
      <c r="J451" s="12" t="s">
        <v>39</v>
      </c>
      <c r="K451" s="73" t="s">
        <v>29</v>
      </c>
      <c r="L451" s="13">
        <v>1332295</v>
      </c>
      <c r="M451" s="13">
        <v>852010</v>
      </c>
      <c r="N451" s="13">
        <v>28784</v>
      </c>
      <c r="O451" s="13">
        <v>1196336</v>
      </c>
      <c r="P451" s="13">
        <v>1106512</v>
      </c>
      <c r="Q451" s="13">
        <v>135959</v>
      </c>
      <c r="R451" s="13">
        <v>15686</v>
      </c>
      <c r="S451" s="13">
        <v>0</v>
      </c>
      <c r="T451" s="81">
        <v>22</v>
      </c>
    </row>
    <row r="452" spans="1:20" ht="15" customHeight="1" x14ac:dyDescent="0.2">
      <c r="A452" s="15" t="s">
        <v>1050</v>
      </c>
      <c r="B452" s="60">
        <v>9512539</v>
      </c>
      <c r="C452" s="15"/>
      <c r="D452" s="15"/>
      <c r="E452" s="15"/>
      <c r="F452" s="15" t="s">
        <v>265</v>
      </c>
      <c r="G452" s="34">
        <v>2</v>
      </c>
      <c r="H452" s="34">
        <v>9</v>
      </c>
      <c r="I452" s="15" t="s">
        <v>575</v>
      </c>
      <c r="J452" s="15" t="s">
        <v>217</v>
      </c>
      <c r="K452" s="74" t="s">
        <v>29</v>
      </c>
      <c r="L452" s="16">
        <v>1329147</v>
      </c>
      <c r="M452" s="16">
        <v>979796</v>
      </c>
      <c r="N452" s="16">
        <v>44629</v>
      </c>
      <c r="O452" s="16">
        <v>1103127</v>
      </c>
      <c r="P452" s="16">
        <v>930015</v>
      </c>
      <c r="Q452" s="16">
        <v>226019</v>
      </c>
      <c r="R452" s="16">
        <v>12224</v>
      </c>
      <c r="S452" s="16">
        <v>0</v>
      </c>
      <c r="T452" s="111">
        <v>26</v>
      </c>
    </row>
    <row r="453" spans="1:20" ht="15" customHeight="1" x14ac:dyDescent="0.2">
      <c r="A453" s="12" t="s">
        <v>1051</v>
      </c>
      <c r="B453" s="56">
        <v>11970623</v>
      </c>
      <c r="C453" s="12" t="s">
        <v>1052</v>
      </c>
      <c r="D453" s="12"/>
      <c r="E453" s="12" t="s">
        <v>1053</v>
      </c>
      <c r="F453" s="12" t="s">
        <v>26</v>
      </c>
      <c r="G453" s="33">
        <v>2</v>
      </c>
      <c r="H453" s="33">
        <v>8</v>
      </c>
      <c r="I453" s="12" t="s">
        <v>228</v>
      </c>
      <c r="J453" s="12" t="s">
        <v>229</v>
      </c>
      <c r="K453" s="73" t="s">
        <v>29</v>
      </c>
      <c r="L453" s="13">
        <v>1325349</v>
      </c>
      <c r="M453" s="13">
        <v>989412</v>
      </c>
      <c r="N453" s="13">
        <v>96641</v>
      </c>
      <c r="O453" s="13">
        <v>1167776</v>
      </c>
      <c r="P453" s="13">
        <v>1135374</v>
      </c>
      <c r="Q453" s="13">
        <v>157573</v>
      </c>
      <c r="R453" s="13">
        <v>12532</v>
      </c>
      <c r="S453" s="13">
        <v>2</v>
      </c>
      <c r="T453" s="81">
        <v>0</v>
      </c>
    </row>
    <row r="454" spans="1:20" ht="15" customHeight="1" x14ac:dyDescent="0.2">
      <c r="A454" s="15" t="s">
        <v>1054</v>
      </c>
      <c r="B454" s="60">
        <v>3751794</v>
      </c>
      <c r="C454" s="15" t="s">
        <v>1055</v>
      </c>
      <c r="D454" s="15" t="s">
        <v>1056</v>
      </c>
      <c r="E454" s="15" t="s">
        <v>1056</v>
      </c>
      <c r="F454" s="15" t="s">
        <v>98</v>
      </c>
      <c r="G454" s="34">
        <v>2</v>
      </c>
      <c r="H454" s="34">
        <v>16</v>
      </c>
      <c r="I454" s="15" t="s">
        <v>38</v>
      </c>
      <c r="J454" s="15" t="s">
        <v>39</v>
      </c>
      <c r="K454" s="74" t="s">
        <v>29</v>
      </c>
      <c r="L454" s="16">
        <v>1324724</v>
      </c>
      <c r="M454" s="16">
        <v>0</v>
      </c>
      <c r="N454" s="16">
        <v>163569</v>
      </c>
      <c r="O454" s="16">
        <v>1225021</v>
      </c>
      <c r="P454" s="16">
        <v>1137345</v>
      </c>
      <c r="Q454" s="16">
        <v>99704</v>
      </c>
      <c r="R454" s="16">
        <v>8106</v>
      </c>
      <c r="S454" s="16">
        <v>4</v>
      </c>
      <c r="T454" s="111">
        <v>0</v>
      </c>
    </row>
    <row r="455" spans="1:20" ht="15" customHeight="1" x14ac:dyDescent="0.2">
      <c r="A455" s="12" t="s">
        <v>1057</v>
      </c>
      <c r="B455" s="56">
        <v>31680151</v>
      </c>
      <c r="C455" s="12" t="s">
        <v>1058</v>
      </c>
      <c r="D455" s="12"/>
      <c r="E455" s="12" t="s">
        <v>1059</v>
      </c>
      <c r="F455" s="12" t="s">
        <v>84</v>
      </c>
      <c r="G455" s="33">
        <v>3</v>
      </c>
      <c r="H455" s="33">
        <v>41</v>
      </c>
      <c r="I455" s="12" t="s">
        <v>38</v>
      </c>
      <c r="J455" s="12" t="s">
        <v>39</v>
      </c>
      <c r="K455" s="73" t="s">
        <v>29</v>
      </c>
      <c r="L455" s="13">
        <v>1320401</v>
      </c>
      <c r="M455" s="13">
        <v>60742</v>
      </c>
      <c r="N455" s="13">
        <v>186971</v>
      </c>
      <c r="O455" s="13">
        <v>1213925</v>
      </c>
      <c r="P455" s="13">
        <v>650545</v>
      </c>
      <c r="Q455" s="13">
        <v>106477</v>
      </c>
      <c r="R455" s="13">
        <v>8395</v>
      </c>
      <c r="S455" s="13">
        <v>1</v>
      </c>
      <c r="T455" s="81">
        <v>0</v>
      </c>
    </row>
    <row r="456" spans="1:20" ht="15" customHeight="1" x14ac:dyDescent="0.2">
      <c r="A456" s="15" t="s">
        <v>1060</v>
      </c>
      <c r="B456" s="60">
        <v>73113243</v>
      </c>
      <c r="C456" s="15"/>
      <c r="D456" s="15"/>
      <c r="E456" s="15"/>
      <c r="F456" s="15" t="s">
        <v>265</v>
      </c>
      <c r="G456" s="34">
        <v>2</v>
      </c>
      <c r="H456" s="34">
        <v>9</v>
      </c>
      <c r="I456" s="15" t="s">
        <v>1061</v>
      </c>
      <c r="J456" s="15" t="s">
        <v>39</v>
      </c>
      <c r="K456" s="74" t="s">
        <v>29</v>
      </c>
      <c r="L456" s="16">
        <v>1315747</v>
      </c>
      <c r="M456" s="16">
        <v>713183</v>
      </c>
      <c r="N456" s="16">
        <v>525132</v>
      </c>
      <c r="O456" s="16">
        <v>1202027</v>
      </c>
      <c r="P456" s="16">
        <v>921306</v>
      </c>
      <c r="Q456" s="16">
        <v>113720</v>
      </c>
      <c r="R456" s="16">
        <v>7058</v>
      </c>
      <c r="S456" s="16">
        <v>0</v>
      </c>
      <c r="T456" s="111">
        <v>11</v>
      </c>
    </row>
    <row r="457" spans="1:20" ht="15" customHeight="1" x14ac:dyDescent="0.2">
      <c r="A457" s="12" t="s">
        <v>1062</v>
      </c>
      <c r="B457" s="56">
        <v>2309070</v>
      </c>
      <c r="C457" s="12"/>
      <c r="D457" s="12"/>
      <c r="E457" s="12"/>
      <c r="F457" s="12" t="s">
        <v>265</v>
      </c>
      <c r="G457" s="33">
        <v>2</v>
      </c>
      <c r="H457" s="33">
        <v>9</v>
      </c>
      <c r="I457" s="12" t="s">
        <v>700</v>
      </c>
      <c r="J457" s="12" t="s">
        <v>432</v>
      </c>
      <c r="K457" s="73" t="s">
        <v>29</v>
      </c>
      <c r="L457" s="13">
        <v>1311054</v>
      </c>
      <c r="M457" s="13">
        <v>706068</v>
      </c>
      <c r="N457" s="13">
        <v>42107</v>
      </c>
      <c r="O457" s="13">
        <v>1097271</v>
      </c>
      <c r="P457" s="13">
        <v>942525</v>
      </c>
      <c r="Q457" s="13">
        <v>213783</v>
      </c>
      <c r="R457" s="13">
        <v>14733</v>
      </c>
      <c r="S457" s="13">
        <v>0</v>
      </c>
      <c r="T457" s="81">
        <v>26</v>
      </c>
    </row>
    <row r="458" spans="1:20" ht="15" customHeight="1" x14ac:dyDescent="0.2">
      <c r="A458" s="15" t="s">
        <v>1063</v>
      </c>
      <c r="B458" s="60">
        <v>23949522</v>
      </c>
      <c r="C458" s="15"/>
      <c r="D458" s="15"/>
      <c r="E458" s="15"/>
      <c r="F458" s="15" t="s">
        <v>265</v>
      </c>
      <c r="G458" s="34">
        <v>2</v>
      </c>
      <c r="H458" s="34">
        <v>9</v>
      </c>
      <c r="I458" s="15" t="s">
        <v>1064</v>
      </c>
      <c r="J458" s="15" t="s">
        <v>120</v>
      </c>
      <c r="K458" s="74" t="s">
        <v>29</v>
      </c>
      <c r="L458" s="16">
        <v>1310490</v>
      </c>
      <c r="M458" s="16">
        <v>680818</v>
      </c>
      <c r="N458" s="16">
        <v>39289</v>
      </c>
      <c r="O458" s="16">
        <v>1079225</v>
      </c>
      <c r="P458" s="16">
        <v>802076</v>
      </c>
      <c r="Q458" s="16">
        <v>231264</v>
      </c>
      <c r="R458" s="16">
        <v>5665</v>
      </c>
      <c r="S458" s="16">
        <v>0</v>
      </c>
      <c r="T458" s="111">
        <v>5</v>
      </c>
    </row>
    <row r="459" spans="1:20" ht="15" customHeight="1" x14ac:dyDescent="0.2">
      <c r="A459" s="12" t="s">
        <v>1065</v>
      </c>
      <c r="B459" s="56">
        <v>4261151</v>
      </c>
      <c r="C459" s="12"/>
      <c r="D459" s="12"/>
      <c r="E459" s="12"/>
      <c r="F459" s="12" t="s">
        <v>265</v>
      </c>
      <c r="G459" s="33">
        <v>2</v>
      </c>
      <c r="H459" s="33">
        <v>9</v>
      </c>
      <c r="I459" s="12" t="s">
        <v>1066</v>
      </c>
      <c r="J459" s="12" t="s">
        <v>217</v>
      </c>
      <c r="K459" s="73" t="s">
        <v>29</v>
      </c>
      <c r="L459" s="13">
        <v>1296552</v>
      </c>
      <c r="M459" s="13">
        <v>892658</v>
      </c>
      <c r="N459" s="13">
        <v>21399</v>
      </c>
      <c r="O459" s="13">
        <v>1147954</v>
      </c>
      <c r="P459" s="13">
        <v>781016</v>
      </c>
      <c r="Q459" s="13">
        <v>148599</v>
      </c>
      <c r="R459" s="13">
        <v>1631</v>
      </c>
      <c r="S459" s="13">
        <v>0</v>
      </c>
      <c r="T459" s="81">
        <v>30</v>
      </c>
    </row>
    <row r="460" spans="1:20" ht="15" customHeight="1" x14ac:dyDescent="0.2">
      <c r="A460" s="15" t="s">
        <v>1067</v>
      </c>
      <c r="B460" s="60">
        <v>21670187</v>
      </c>
      <c r="C460" s="15"/>
      <c r="D460" s="15"/>
      <c r="E460" s="15"/>
      <c r="F460" s="15" t="s">
        <v>265</v>
      </c>
      <c r="G460" s="34">
        <v>2</v>
      </c>
      <c r="H460" s="34">
        <v>9</v>
      </c>
      <c r="I460" s="15" t="s">
        <v>1068</v>
      </c>
      <c r="J460" s="15" t="s">
        <v>120</v>
      </c>
      <c r="K460" s="74" t="s">
        <v>29</v>
      </c>
      <c r="L460" s="16">
        <v>1291374</v>
      </c>
      <c r="M460" s="16">
        <v>463429</v>
      </c>
      <c r="N460" s="16">
        <v>29633</v>
      </c>
      <c r="O460" s="16">
        <v>1102048</v>
      </c>
      <c r="P460" s="16">
        <v>1017855</v>
      </c>
      <c r="Q460" s="16">
        <v>189326</v>
      </c>
      <c r="R460" s="16">
        <v>20339</v>
      </c>
      <c r="S460" s="16">
        <v>0</v>
      </c>
      <c r="T460" s="111">
        <v>7</v>
      </c>
    </row>
    <row r="461" spans="1:20" ht="15" customHeight="1" x14ac:dyDescent="0.2">
      <c r="A461" s="12" t="s">
        <v>1069</v>
      </c>
      <c r="B461" s="56">
        <v>78865995</v>
      </c>
      <c r="C461" s="12"/>
      <c r="D461" s="12"/>
      <c r="E461" s="12"/>
      <c r="F461" s="12" t="s">
        <v>265</v>
      </c>
      <c r="G461" s="33">
        <v>2</v>
      </c>
      <c r="H461" s="33">
        <v>9</v>
      </c>
      <c r="I461" s="12" t="s">
        <v>1070</v>
      </c>
      <c r="J461" s="12" t="s">
        <v>217</v>
      </c>
      <c r="K461" s="73" t="s">
        <v>29</v>
      </c>
      <c r="L461" s="13">
        <v>1280529</v>
      </c>
      <c r="M461" s="13">
        <v>597926</v>
      </c>
      <c r="N461" s="13">
        <v>17868</v>
      </c>
      <c r="O461" s="13">
        <v>1165763</v>
      </c>
      <c r="P461" s="13">
        <v>981581</v>
      </c>
      <c r="Q461" s="13">
        <v>114766</v>
      </c>
      <c r="R461" s="13">
        <v>-1292</v>
      </c>
      <c r="S461" s="13">
        <v>0</v>
      </c>
      <c r="T461" s="81">
        <v>10</v>
      </c>
    </row>
    <row r="462" spans="1:20" ht="15" customHeight="1" x14ac:dyDescent="0.2">
      <c r="A462" s="15" t="s">
        <v>1071</v>
      </c>
      <c r="B462" s="60">
        <v>3222753</v>
      </c>
      <c r="C462" s="15"/>
      <c r="D462" s="15"/>
      <c r="E462" s="15"/>
      <c r="F462" s="15" t="s">
        <v>265</v>
      </c>
      <c r="G462" s="34">
        <v>2</v>
      </c>
      <c r="H462" s="34">
        <v>9</v>
      </c>
      <c r="I462" s="15" t="s">
        <v>1072</v>
      </c>
      <c r="J462" s="15" t="s">
        <v>432</v>
      </c>
      <c r="K462" s="74" t="s">
        <v>29</v>
      </c>
      <c r="L462" s="16">
        <v>1278284</v>
      </c>
      <c r="M462" s="16">
        <v>750136</v>
      </c>
      <c r="N462" s="16">
        <v>61828</v>
      </c>
      <c r="O462" s="16">
        <v>917890</v>
      </c>
      <c r="P462" s="16">
        <v>848366</v>
      </c>
      <c r="Q462" s="16">
        <v>360394</v>
      </c>
      <c r="R462" s="16">
        <v>10167</v>
      </c>
      <c r="S462" s="16">
        <v>0</v>
      </c>
      <c r="T462" s="111">
        <v>18</v>
      </c>
    </row>
    <row r="463" spans="1:20" ht="15" customHeight="1" x14ac:dyDescent="0.2">
      <c r="A463" s="12" t="s">
        <v>1073</v>
      </c>
      <c r="B463" s="56">
        <v>15111975</v>
      </c>
      <c r="C463" s="12" t="s">
        <v>1074</v>
      </c>
      <c r="D463" s="12"/>
      <c r="E463" s="12" t="s">
        <v>1075</v>
      </c>
      <c r="F463" s="12" t="s">
        <v>84</v>
      </c>
      <c r="G463" s="33">
        <v>2</v>
      </c>
      <c r="H463" s="33">
        <v>41</v>
      </c>
      <c r="I463" s="12" t="s">
        <v>38</v>
      </c>
      <c r="J463" s="12" t="s">
        <v>39</v>
      </c>
      <c r="K463" s="73" t="s">
        <v>29</v>
      </c>
      <c r="L463" s="13">
        <v>1273180</v>
      </c>
      <c r="M463" s="13">
        <v>0</v>
      </c>
      <c r="N463" s="13">
        <v>57555</v>
      </c>
      <c r="O463" s="13">
        <v>1223611</v>
      </c>
      <c r="P463" s="13">
        <v>420849</v>
      </c>
      <c r="Q463" s="13">
        <v>49569</v>
      </c>
      <c r="R463" s="13">
        <v>-9329</v>
      </c>
      <c r="S463" s="13">
        <v>1</v>
      </c>
      <c r="T463" s="81">
        <v>0</v>
      </c>
    </row>
    <row r="464" spans="1:20" ht="15" customHeight="1" x14ac:dyDescent="0.2">
      <c r="A464" s="15" t="s">
        <v>1076</v>
      </c>
      <c r="B464" s="60">
        <v>3732359</v>
      </c>
      <c r="C464" s="15"/>
      <c r="D464" s="15"/>
      <c r="E464" s="15"/>
      <c r="F464" s="15" t="s">
        <v>265</v>
      </c>
      <c r="G464" s="34">
        <v>2</v>
      </c>
      <c r="H464" s="34">
        <v>9</v>
      </c>
      <c r="I464" s="15" t="s">
        <v>1077</v>
      </c>
      <c r="J464" s="15" t="s">
        <v>1078</v>
      </c>
      <c r="K464" s="74" t="s">
        <v>29</v>
      </c>
      <c r="L464" s="16">
        <v>1270991</v>
      </c>
      <c r="M464" s="16">
        <v>910200</v>
      </c>
      <c r="N464" s="16">
        <v>42408</v>
      </c>
      <c r="O464" s="16">
        <v>1118569</v>
      </c>
      <c r="P464" s="16">
        <v>989949</v>
      </c>
      <c r="Q464" s="16">
        <v>152421</v>
      </c>
      <c r="R464" s="16">
        <v>16707</v>
      </c>
      <c r="S464" s="16">
        <v>0</v>
      </c>
      <c r="T464" s="111">
        <v>44</v>
      </c>
    </row>
    <row r="465" spans="1:20" ht="15" customHeight="1" x14ac:dyDescent="0.2">
      <c r="A465" s="12" t="s">
        <v>1079</v>
      </c>
      <c r="B465" s="56">
        <v>41931445</v>
      </c>
      <c r="C465" s="12"/>
      <c r="D465" s="12"/>
      <c r="E465" s="12"/>
      <c r="F465" s="12" t="s">
        <v>265</v>
      </c>
      <c r="G465" s="33">
        <v>2</v>
      </c>
      <c r="H465" s="33">
        <v>9</v>
      </c>
      <c r="I465" s="12" t="s">
        <v>1080</v>
      </c>
      <c r="J465" s="12" t="s">
        <v>120</v>
      </c>
      <c r="K465" s="73" t="s">
        <v>29</v>
      </c>
      <c r="L465" s="13">
        <v>1268291</v>
      </c>
      <c r="M465" s="13">
        <v>425273</v>
      </c>
      <c r="N465" s="13">
        <v>228234</v>
      </c>
      <c r="O465" s="13">
        <v>1155215</v>
      </c>
      <c r="P465" s="13">
        <v>1068279</v>
      </c>
      <c r="Q465" s="13">
        <v>113075</v>
      </c>
      <c r="R465" s="13">
        <v>6438</v>
      </c>
      <c r="S465" s="13">
        <v>0</v>
      </c>
      <c r="T465" s="81">
        <v>8</v>
      </c>
    </row>
    <row r="466" spans="1:20" ht="15" customHeight="1" x14ac:dyDescent="0.2">
      <c r="A466" s="15" t="s">
        <v>1081</v>
      </c>
      <c r="B466" s="60">
        <v>2448310</v>
      </c>
      <c r="C466" s="15"/>
      <c r="D466" s="15"/>
      <c r="E466" s="15"/>
      <c r="F466" s="15" t="s">
        <v>265</v>
      </c>
      <c r="G466" s="34">
        <v>2</v>
      </c>
      <c r="H466" s="34">
        <v>9</v>
      </c>
      <c r="I466" s="15" t="s">
        <v>971</v>
      </c>
      <c r="J466" s="15" t="s">
        <v>229</v>
      </c>
      <c r="K466" s="74" t="s">
        <v>29</v>
      </c>
      <c r="L466" s="16">
        <v>1261589</v>
      </c>
      <c r="M466" s="16">
        <v>988692</v>
      </c>
      <c r="N466" s="16">
        <v>16720</v>
      </c>
      <c r="O466" s="16">
        <v>1108259</v>
      </c>
      <c r="P466" s="16">
        <v>693066</v>
      </c>
      <c r="Q466" s="16">
        <v>153330</v>
      </c>
      <c r="R466" s="16">
        <v>7521</v>
      </c>
      <c r="S466" s="16">
        <v>0</v>
      </c>
      <c r="T466" s="111">
        <v>17</v>
      </c>
    </row>
    <row r="467" spans="1:20" ht="15" customHeight="1" x14ac:dyDescent="0.2">
      <c r="A467" s="12" t="s">
        <v>1082</v>
      </c>
      <c r="B467" s="56">
        <v>8742188</v>
      </c>
      <c r="C467" s="12"/>
      <c r="D467" s="12"/>
      <c r="E467" s="12"/>
      <c r="F467" s="12" t="s">
        <v>265</v>
      </c>
      <c r="G467" s="33">
        <v>2</v>
      </c>
      <c r="H467" s="33">
        <v>9</v>
      </c>
      <c r="I467" s="12" t="s">
        <v>803</v>
      </c>
      <c r="J467" s="12" t="s">
        <v>329</v>
      </c>
      <c r="K467" s="73" t="s">
        <v>29</v>
      </c>
      <c r="L467" s="13">
        <v>1258416</v>
      </c>
      <c r="M467" s="13">
        <v>793839</v>
      </c>
      <c r="N467" s="13">
        <v>21570</v>
      </c>
      <c r="O467" s="13">
        <v>1128225</v>
      </c>
      <c r="P467" s="13">
        <v>1027809</v>
      </c>
      <c r="Q467" s="13">
        <v>130191</v>
      </c>
      <c r="R467" s="13">
        <v>1457</v>
      </c>
      <c r="S467" s="13">
        <v>0</v>
      </c>
      <c r="T467" s="81">
        <v>25</v>
      </c>
    </row>
    <row r="468" spans="1:20" ht="15" customHeight="1" x14ac:dyDescent="0.2">
      <c r="A468" s="15" t="s">
        <v>1083</v>
      </c>
      <c r="B468" s="60">
        <v>62418140</v>
      </c>
      <c r="C468" s="15" t="s">
        <v>35</v>
      </c>
      <c r="D468" s="15" t="s">
        <v>36</v>
      </c>
      <c r="E468" s="15" t="s">
        <v>37</v>
      </c>
      <c r="F468" s="15" t="s">
        <v>98</v>
      </c>
      <c r="G468" s="34">
        <v>2</v>
      </c>
      <c r="H468" s="34">
        <v>16</v>
      </c>
      <c r="I468" s="15" t="s">
        <v>38</v>
      </c>
      <c r="J468" s="15" t="s">
        <v>39</v>
      </c>
      <c r="K468" s="74" t="s">
        <v>29</v>
      </c>
      <c r="L468" s="16">
        <v>1244951</v>
      </c>
      <c r="M468" s="16">
        <v>0</v>
      </c>
      <c r="N468" s="16">
        <v>0</v>
      </c>
      <c r="O468" s="16">
        <v>632289</v>
      </c>
      <c r="P468" s="16">
        <v>0</v>
      </c>
      <c r="Q468" s="16">
        <v>612661</v>
      </c>
      <c r="R468" s="16">
        <v>123778</v>
      </c>
      <c r="S468" s="16">
        <v>2</v>
      </c>
      <c r="T468" s="111">
        <v>0</v>
      </c>
    </row>
    <row r="469" spans="1:20" ht="15" customHeight="1" x14ac:dyDescent="0.2">
      <c r="A469" s="12" t="s">
        <v>1084</v>
      </c>
      <c r="B469" s="56">
        <v>3645752</v>
      </c>
      <c r="C469" s="12"/>
      <c r="D469" s="12"/>
      <c r="E469" s="12"/>
      <c r="F469" s="12" t="s">
        <v>265</v>
      </c>
      <c r="G469" s="33">
        <v>2</v>
      </c>
      <c r="H469" s="33">
        <v>9</v>
      </c>
      <c r="I469" s="12" t="s">
        <v>1085</v>
      </c>
      <c r="J469" s="12" t="s">
        <v>120</v>
      </c>
      <c r="K469" s="73" t="s">
        <v>29</v>
      </c>
      <c r="L469" s="13">
        <v>1239176</v>
      </c>
      <c r="M469" s="13">
        <v>695948</v>
      </c>
      <c r="N469" s="13">
        <v>44507</v>
      </c>
      <c r="O469" s="13">
        <v>1000901</v>
      </c>
      <c r="P469" s="13">
        <v>630409</v>
      </c>
      <c r="Q469" s="13">
        <v>238275</v>
      </c>
      <c r="R469" s="13">
        <v>5325</v>
      </c>
      <c r="S469" s="13">
        <v>0</v>
      </c>
      <c r="T469" s="81">
        <v>2</v>
      </c>
    </row>
    <row r="470" spans="1:20" ht="15" customHeight="1" x14ac:dyDescent="0.2">
      <c r="A470" s="15" t="s">
        <v>1086</v>
      </c>
      <c r="B470" s="60">
        <v>25387655</v>
      </c>
      <c r="C470" s="15"/>
      <c r="D470" s="15"/>
      <c r="E470" s="15"/>
      <c r="F470" s="15" t="s">
        <v>265</v>
      </c>
      <c r="G470" s="34">
        <v>2</v>
      </c>
      <c r="H470" s="34">
        <v>9</v>
      </c>
      <c r="I470" s="15" t="s">
        <v>1087</v>
      </c>
      <c r="J470" s="15" t="s">
        <v>120</v>
      </c>
      <c r="K470" s="74" t="s">
        <v>29</v>
      </c>
      <c r="L470" s="16">
        <v>1231700</v>
      </c>
      <c r="M470" s="16">
        <v>383346</v>
      </c>
      <c r="N470" s="16">
        <v>27483</v>
      </c>
      <c r="O470" s="16">
        <v>1055346</v>
      </c>
      <c r="P470" s="16">
        <v>958917</v>
      </c>
      <c r="Q470" s="16">
        <v>176354</v>
      </c>
      <c r="R470" s="16">
        <v>19046</v>
      </c>
      <c r="S470" s="16">
        <v>0</v>
      </c>
      <c r="T470" s="111">
        <v>28</v>
      </c>
    </row>
    <row r="471" spans="1:20" ht="15" customHeight="1" x14ac:dyDescent="0.2">
      <c r="A471" s="12" t="s">
        <v>1088</v>
      </c>
      <c r="B471" s="56">
        <v>62816426</v>
      </c>
      <c r="C471" s="12" t="s">
        <v>1089</v>
      </c>
      <c r="D471" s="12"/>
      <c r="E471" s="12" t="s">
        <v>1090</v>
      </c>
      <c r="F471" s="12" t="s">
        <v>65</v>
      </c>
      <c r="G471" s="33">
        <v>3</v>
      </c>
      <c r="H471" s="33">
        <v>19</v>
      </c>
      <c r="I471" s="12" t="s">
        <v>107</v>
      </c>
      <c r="J471" s="12" t="s">
        <v>39</v>
      </c>
      <c r="K471" s="73" t="s">
        <v>29</v>
      </c>
      <c r="L471" s="13">
        <v>1228780</v>
      </c>
      <c r="M471" s="13">
        <v>981109</v>
      </c>
      <c r="N471" s="13">
        <v>193485</v>
      </c>
      <c r="O471" s="13">
        <v>928467</v>
      </c>
      <c r="P471" s="13">
        <v>795774</v>
      </c>
      <c r="Q471" s="13">
        <v>300314</v>
      </c>
      <c r="R471" s="13">
        <v>-1005</v>
      </c>
      <c r="S471" s="13">
        <v>2</v>
      </c>
      <c r="T471" s="81">
        <v>0</v>
      </c>
    </row>
    <row r="472" spans="1:20" ht="15" customHeight="1" x14ac:dyDescent="0.2">
      <c r="A472" s="15" t="s">
        <v>1091</v>
      </c>
      <c r="B472" s="60">
        <v>20520298</v>
      </c>
      <c r="C472" s="15" t="s">
        <v>406</v>
      </c>
      <c r="D472" s="15"/>
      <c r="E472" s="15" t="s">
        <v>407</v>
      </c>
      <c r="F472" s="15" t="s">
        <v>84</v>
      </c>
      <c r="G472" s="34">
        <v>2</v>
      </c>
      <c r="H472" s="34">
        <v>41</v>
      </c>
      <c r="I472" s="15" t="s">
        <v>119</v>
      </c>
      <c r="J472" s="15" t="s">
        <v>120</v>
      </c>
      <c r="K472" s="74" t="s">
        <v>29</v>
      </c>
      <c r="L472" s="16">
        <v>1226884</v>
      </c>
      <c r="M472" s="16">
        <v>0</v>
      </c>
      <c r="N472" s="16">
        <v>88993</v>
      </c>
      <c r="O472" s="16">
        <v>833159</v>
      </c>
      <c r="P472" s="16">
        <v>59563</v>
      </c>
      <c r="Q472" s="16">
        <v>393725</v>
      </c>
      <c r="R472" s="16">
        <v>-2841</v>
      </c>
      <c r="S472" s="16">
        <v>1</v>
      </c>
      <c r="T472" s="111">
        <v>0</v>
      </c>
    </row>
    <row r="473" spans="1:20" ht="15" customHeight="1" x14ac:dyDescent="0.2">
      <c r="A473" s="12" t="s">
        <v>1092</v>
      </c>
      <c r="B473" s="56">
        <v>34270520</v>
      </c>
      <c r="C473" s="12" t="s">
        <v>1093</v>
      </c>
      <c r="D473" s="12"/>
      <c r="E473" s="12" t="s">
        <v>1094</v>
      </c>
      <c r="F473" s="12" t="s">
        <v>60</v>
      </c>
      <c r="G473" s="33">
        <v>2</v>
      </c>
      <c r="H473" s="33">
        <v>8</v>
      </c>
      <c r="I473" s="12" t="s">
        <v>53</v>
      </c>
      <c r="J473" s="12" t="s">
        <v>54</v>
      </c>
      <c r="K473" s="73" t="s">
        <v>29</v>
      </c>
      <c r="L473" s="13">
        <v>1225612</v>
      </c>
      <c r="M473" s="13">
        <v>577335</v>
      </c>
      <c r="N473" s="13">
        <v>0</v>
      </c>
      <c r="O473" s="13">
        <v>698625</v>
      </c>
      <c r="P473" s="13">
        <v>387309</v>
      </c>
      <c r="Q473" s="13">
        <v>526987</v>
      </c>
      <c r="R473" s="13">
        <v>11933</v>
      </c>
      <c r="S473" s="13">
        <v>2</v>
      </c>
      <c r="T473" s="81">
        <v>0</v>
      </c>
    </row>
    <row r="474" spans="1:20" ht="15" customHeight="1" x14ac:dyDescent="0.2">
      <c r="A474" s="15" t="s">
        <v>1095</v>
      </c>
      <c r="B474" s="60">
        <v>2923389</v>
      </c>
      <c r="C474" s="15"/>
      <c r="D474" s="15"/>
      <c r="E474" s="15"/>
      <c r="F474" s="15" t="s">
        <v>265</v>
      </c>
      <c r="G474" s="34">
        <v>2</v>
      </c>
      <c r="H474" s="34">
        <v>9</v>
      </c>
      <c r="I474" s="15" t="s">
        <v>346</v>
      </c>
      <c r="J474" s="15" t="s">
        <v>347</v>
      </c>
      <c r="K474" s="74" t="s">
        <v>29</v>
      </c>
      <c r="L474" s="16">
        <v>1215106</v>
      </c>
      <c r="M474" s="16">
        <v>420988</v>
      </c>
      <c r="N474" s="16">
        <v>647927</v>
      </c>
      <c r="O474" s="16">
        <v>1084696</v>
      </c>
      <c r="P474" s="16">
        <v>957034</v>
      </c>
      <c r="Q474" s="16">
        <v>130411</v>
      </c>
      <c r="R474" s="16">
        <v>9850</v>
      </c>
      <c r="S474" s="16">
        <v>0</v>
      </c>
      <c r="T474" s="111">
        <v>13</v>
      </c>
    </row>
    <row r="475" spans="1:20" ht="15" customHeight="1" x14ac:dyDescent="0.2">
      <c r="A475" s="12" t="s">
        <v>1096</v>
      </c>
      <c r="B475" s="56">
        <v>15163587</v>
      </c>
      <c r="C475" s="12" t="s">
        <v>1097</v>
      </c>
      <c r="D475" s="12"/>
      <c r="E475" s="12" t="s">
        <v>1098</v>
      </c>
      <c r="F475" s="12" t="s">
        <v>65</v>
      </c>
      <c r="G475" s="33">
        <v>1</v>
      </c>
      <c r="H475" s="33">
        <v>30</v>
      </c>
      <c r="I475" s="12" t="s">
        <v>210</v>
      </c>
      <c r="J475" s="12" t="s">
        <v>211</v>
      </c>
      <c r="K475" s="73" t="s">
        <v>29</v>
      </c>
      <c r="L475" s="13">
        <v>1197219</v>
      </c>
      <c r="M475" s="13">
        <v>624999</v>
      </c>
      <c r="N475" s="13">
        <v>432741</v>
      </c>
      <c r="O475" s="13">
        <v>330226</v>
      </c>
      <c r="P475" s="13">
        <v>217963</v>
      </c>
      <c r="Q475" s="13">
        <v>866993</v>
      </c>
      <c r="R475" s="13">
        <v>26004</v>
      </c>
      <c r="S475" s="13">
        <v>2</v>
      </c>
      <c r="T475" s="81">
        <v>0</v>
      </c>
    </row>
    <row r="476" spans="1:20" ht="15" customHeight="1" x14ac:dyDescent="0.2">
      <c r="A476" s="15" t="s">
        <v>1099</v>
      </c>
      <c r="B476" s="60">
        <v>4484490</v>
      </c>
      <c r="C476" s="15"/>
      <c r="D476" s="15"/>
      <c r="E476" s="15"/>
      <c r="F476" s="15" t="s">
        <v>265</v>
      </c>
      <c r="G476" s="34">
        <v>2</v>
      </c>
      <c r="H476" s="34">
        <v>9</v>
      </c>
      <c r="I476" s="15" t="s">
        <v>1100</v>
      </c>
      <c r="J476" s="15" t="s">
        <v>39</v>
      </c>
      <c r="K476" s="74" t="s">
        <v>29</v>
      </c>
      <c r="L476" s="16">
        <v>1187220</v>
      </c>
      <c r="M476" s="16">
        <v>587888</v>
      </c>
      <c r="N476" s="16">
        <v>501541</v>
      </c>
      <c r="O476" s="16">
        <v>1093652</v>
      </c>
      <c r="P476" s="16">
        <v>909812</v>
      </c>
      <c r="Q476" s="16">
        <v>93568</v>
      </c>
      <c r="R476" s="16">
        <v>-2348</v>
      </c>
      <c r="S476" s="16">
        <v>0</v>
      </c>
      <c r="T476" s="111">
        <v>13</v>
      </c>
    </row>
    <row r="477" spans="1:20" ht="15" customHeight="1" x14ac:dyDescent="0.2">
      <c r="A477" s="12" t="s">
        <v>1101</v>
      </c>
      <c r="B477" s="56">
        <v>59869560</v>
      </c>
      <c r="C477" s="12"/>
      <c r="D477" s="12"/>
      <c r="E477" s="12"/>
      <c r="F477" s="12" t="s">
        <v>265</v>
      </c>
      <c r="G477" s="33">
        <v>2</v>
      </c>
      <c r="H477" s="33">
        <v>9</v>
      </c>
      <c r="I477" s="12" t="s">
        <v>1102</v>
      </c>
      <c r="J477" s="12" t="s">
        <v>39</v>
      </c>
      <c r="K477" s="73" t="s">
        <v>29</v>
      </c>
      <c r="L477" s="13">
        <v>1179966</v>
      </c>
      <c r="M477" s="13">
        <v>431164</v>
      </c>
      <c r="N477" s="13">
        <v>37581</v>
      </c>
      <c r="O477" s="13">
        <v>1043208</v>
      </c>
      <c r="P477" s="13">
        <v>945011</v>
      </c>
      <c r="Q477" s="13">
        <v>136759</v>
      </c>
      <c r="R477" s="13">
        <v>5561</v>
      </c>
      <c r="S477" s="13">
        <v>0</v>
      </c>
      <c r="T477" s="81">
        <v>19</v>
      </c>
    </row>
    <row r="478" spans="1:20" ht="15" customHeight="1" x14ac:dyDescent="0.2">
      <c r="A478" s="15" t="s">
        <v>1103</v>
      </c>
      <c r="B478" s="60">
        <v>20018183</v>
      </c>
      <c r="C478" s="15" t="s">
        <v>1104</v>
      </c>
      <c r="D478" s="15"/>
      <c r="E478" s="15" t="s">
        <v>1105</v>
      </c>
      <c r="F478" s="15" t="s">
        <v>84</v>
      </c>
      <c r="G478" s="34">
        <v>2</v>
      </c>
      <c r="H478" s="34">
        <v>41</v>
      </c>
      <c r="I478" s="15" t="s">
        <v>38</v>
      </c>
      <c r="J478" s="15" t="s">
        <v>39</v>
      </c>
      <c r="K478" s="74" t="s">
        <v>29</v>
      </c>
      <c r="L478" s="16">
        <v>1176868</v>
      </c>
      <c r="M478" s="16">
        <v>42392</v>
      </c>
      <c r="N478" s="16">
        <v>36589</v>
      </c>
      <c r="O478" s="16">
        <v>1044753</v>
      </c>
      <c r="P478" s="16">
        <v>931490</v>
      </c>
      <c r="Q478" s="16">
        <v>132115</v>
      </c>
      <c r="R478" s="16">
        <v>-13961</v>
      </c>
      <c r="S478" s="16">
        <v>1</v>
      </c>
      <c r="T478" s="111">
        <v>0</v>
      </c>
    </row>
    <row r="479" spans="1:20" ht="15" customHeight="1" x14ac:dyDescent="0.2">
      <c r="A479" s="12" t="s">
        <v>1106</v>
      </c>
      <c r="B479" s="56">
        <v>7925729</v>
      </c>
      <c r="C479" s="12"/>
      <c r="D479" s="12"/>
      <c r="E479" s="12"/>
      <c r="F479" s="12" t="s">
        <v>265</v>
      </c>
      <c r="G479" s="33">
        <v>2</v>
      </c>
      <c r="H479" s="33">
        <v>9</v>
      </c>
      <c r="I479" s="12" t="s">
        <v>372</v>
      </c>
      <c r="J479" s="12" t="s">
        <v>229</v>
      </c>
      <c r="K479" s="73" t="s">
        <v>29</v>
      </c>
      <c r="L479" s="13">
        <v>1174152</v>
      </c>
      <c r="M479" s="13">
        <v>861470</v>
      </c>
      <c r="N479" s="13">
        <v>11890</v>
      </c>
      <c r="O479" s="13">
        <v>1035222</v>
      </c>
      <c r="P479" s="13">
        <v>783904</v>
      </c>
      <c r="Q479" s="13">
        <v>138930</v>
      </c>
      <c r="R479" s="13">
        <v>6145</v>
      </c>
      <c r="S479" s="13">
        <v>0</v>
      </c>
      <c r="T479" s="81">
        <v>20</v>
      </c>
    </row>
    <row r="480" spans="1:20" ht="15" customHeight="1" x14ac:dyDescent="0.2">
      <c r="A480" s="15" t="s">
        <v>1107</v>
      </c>
      <c r="B480" s="60">
        <v>1637949</v>
      </c>
      <c r="C480" s="15"/>
      <c r="D480" s="15"/>
      <c r="E480" s="15"/>
      <c r="F480" s="15" t="s">
        <v>265</v>
      </c>
      <c r="G480" s="34">
        <v>2</v>
      </c>
      <c r="H480" s="34">
        <v>9</v>
      </c>
      <c r="I480" s="15" t="s">
        <v>1049</v>
      </c>
      <c r="J480" s="15" t="s">
        <v>39</v>
      </c>
      <c r="K480" s="74" t="s">
        <v>29</v>
      </c>
      <c r="L480" s="16">
        <v>1158420</v>
      </c>
      <c r="M480" s="16">
        <v>332423</v>
      </c>
      <c r="N480" s="16">
        <v>63990</v>
      </c>
      <c r="O480" s="16">
        <v>989483</v>
      </c>
      <c r="P480" s="16">
        <v>906480</v>
      </c>
      <c r="Q480" s="16">
        <v>168937</v>
      </c>
      <c r="R480" s="16">
        <v>10043</v>
      </c>
      <c r="S480" s="16">
        <v>0</v>
      </c>
      <c r="T480" s="111">
        <v>15</v>
      </c>
    </row>
    <row r="481" spans="1:20" ht="15" customHeight="1" x14ac:dyDescent="0.2">
      <c r="A481" s="12" t="s">
        <v>1108</v>
      </c>
      <c r="B481" s="56">
        <v>10311218</v>
      </c>
      <c r="C481" s="12"/>
      <c r="D481" s="12"/>
      <c r="E481" s="12"/>
      <c r="F481" s="12" t="s">
        <v>265</v>
      </c>
      <c r="G481" s="33">
        <v>2</v>
      </c>
      <c r="H481" s="33">
        <v>9</v>
      </c>
      <c r="I481" s="12" t="s">
        <v>278</v>
      </c>
      <c r="J481" s="12" t="s">
        <v>229</v>
      </c>
      <c r="K481" s="73" t="s">
        <v>29</v>
      </c>
      <c r="L481" s="13">
        <v>1157884</v>
      </c>
      <c r="M481" s="13">
        <v>900280</v>
      </c>
      <c r="N481" s="13">
        <v>28837</v>
      </c>
      <c r="O481" s="13">
        <v>1015601</v>
      </c>
      <c r="P481" s="13">
        <v>673997</v>
      </c>
      <c r="Q481" s="13">
        <v>142283</v>
      </c>
      <c r="R481" s="13">
        <v>-4098</v>
      </c>
      <c r="S481" s="13">
        <v>0</v>
      </c>
      <c r="T481" s="81">
        <v>20</v>
      </c>
    </row>
    <row r="482" spans="1:20" ht="15" customHeight="1" x14ac:dyDescent="0.2">
      <c r="A482" s="15" t="s">
        <v>1109</v>
      </c>
      <c r="B482" s="60">
        <v>991143</v>
      </c>
      <c r="C482" s="15" t="s">
        <v>1110</v>
      </c>
      <c r="D482" s="15"/>
      <c r="E482" s="15" t="s">
        <v>1111</v>
      </c>
      <c r="F482" s="15" t="s">
        <v>84</v>
      </c>
      <c r="G482" s="34">
        <v>3</v>
      </c>
      <c r="H482" s="34">
        <v>41</v>
      </c>
      <c r="I482" s="15" t="s">
        <v>38</v>
      </c>
      <c r="J482" s="15" t="s">
        <v>39</v>
      </c>
      <c r="K482" s="74" t="s">
        <v>29</v>
      </c>
      <c r="L482" s="16">
        <v>1157797</v>
      </c>
      <c r="M482" s="16">
        <v>0</v>
      </c>
      <c r="N482" s="16">
        <v>94315</v>
      </c>
      <c r="O482" s="16">
        <v>830408</v>
      </c>
      <c r="P482" s="16">
        <v>0</v>
      </c>
      <c r="Q482" s="16">
        <v>327389</v>
      </c>
      <c r="R482" s="16">
        <v>27167</v>
      </c>
      <c r="S482" s="16">
        <v>1</v>
      </c>
      <c r="T482" s="111">
        <v>0</v>
      </c>
    </row>
    <row r="483" spans="1:20" ht="15" customHeight="1" x14ac:dyDescent="0.2">
      <c r="A483" s="12" t="s">
        <v>1112</v>
      </c>
      <c r="B483" s="56">
        <v>69346856</v>
      </c>
      <c r="C483" s="12"/>
      <c r="D483" s="12"/>
      <c r="E483" s="12"/>
      <c r="F483" s="12" t="s">
        <v>265</v>
      </c>
      <c r="G483" s="33">
        <v>2</v>
      </c>
      <c r="H483" s="33">
        <v>9</v>
      </c>
      <c r="I483" s="12" t="s">
        <v>934</v>
      </c>
      <c r="J483" s="12" t="s">
        <v>39</v>
      </c>
      <c r="K483" s="73" t="s">
        <v>29</v>
      </c>
      <c r="L483" s="13">
        <v>1155752</v>
      </c>
      <c r="M483" s="13">
        <v>805851</v>
      </c>
      <c r="N483" s="13">
        <v>245330</v>
      </c>
      <c r="O483" s="13">
        <v>1033047</v>
      </c>
      <c r="P483" s="13">
        <v>934036</v>
      </c>
      <c r="Q483" s="13">
        <v>122705</v>
      </c>
      <c r="R483" s="13">
        <v>-3005</v>
      </c>
      <c r="S483" s="13">
        <v>0</v>
      </c>
      <c r="T483" s="81">
        <v>9</v>
      </c>
    </row>
    <row r="484" spans="1:20" ht="15" customHeight="1" x14ac:dyDescent="0.2">
      <c r="A484" s="15" t="s">
        <v>1113</v>
      </c>
      <c r="B484" s="60">
        <v>9313766</v>
      </c>
      <c r="C484" s="15" t="s">
        <v>1114</v>
      </c>
      <c r="D484" s="15"/>
      <c r="E484" s="15" t="s">
        <v>1115</v>
      </c>
      <c r="F484" s="15" t="s">
        <v>65</v>
      </c>
      <c r="G484" s="34">
        <v>2</v>
      </c>
      <c r="H484" s="34">
        <v>14</v>
      </c>
      <c r="I484" s="15" t="s">
        <v>38</v>
      </c>
      <c r="J484" s="15" t="s">
        <v>39</v>
      </c>
      <c r="K484" s="74" t="s">
        <v>29</v>
      </c>
      <c r="L484" s="16">
        <v>1152355</v>
      </c>
      <c r="M484" s="16">
        <v>848535</v>
      </c>
      <c r="N484" s="16">
        <v>19582</v>
      </c>
      <c r="O484" s="16">
        <v>1017141</v>
      </c>
      <c r="P484" s="16">
        <v>1006711</v>
      </c>
      <c r="Q484" s="16">
        <v>135213</v>
      </c>
      <c r="R484" s="16">
        <v>6354</v>
      </c>
      <c r="S484" s="16">
        <v>2</v>
      </c>
      <c r="T484" s="111">
        <v>0</v>
      </c>
    </row>
    <row r="485" spans="1:20" ht="15" customHeight="1" x14ac:dyDescent="0.2">
      <c r="A485" s="12" t="s">
        <v>1116</v>
      </c>
      <c r="B485" s="56">
        <v>65697260</v>
      </c>
      <c r="C485" s="12" t="s">
        <v>1117</v>
      </c>
      <c r="D485" s="12"/>
      <c r="E485" s="12" t="s">
        <v>1118</v>
      </c>
      <c r="F485" s="12" t="s">
        <v>84</v>
      </c>
      <c r="G485" s="33">
        <v>3</v>
      </c>
      <c r="H485" s="33">
        <v>41</v>
      </c>
      <c r="I485" s="12" t="s">
        <v>107</v>
      </c>
      <c r="J485" s="12" t="s">
        <v>39</v>
      </c>
      <c r="K485" s="73" t="s">
        <v>29</v>
      </c>
      <c r="L485" s="13">
        <v>1151799</v>
      </c>
      <c r="M485" s="13">
        <v>693580</v>
      </c>
      <c r="N485" s="13">
        <v>6246</v>
      </c>
      <c r="O485" s="13">
        <v>1014838</v>
      </c>
      <c r="P485" s="13">
        <v>113836</v>
      </c>
      <c r="Q485" s="13">
        <v>136961</v>
      </c>
      <c r="R485" s="13">
        <v>4062</v>
      </c>
      <c r="S485" s="13">
        <v>1</v>
      </c>
      <c r="T485" s="81">
        <v>0</v>
      </c>
    </row>
    <row r="486" spans="1:20" ht="15" customHeight="1" x14ac:dyDescent="0.2">
      <c r="A486" s="15" t="s">
        <v>1119</v>
      </c>
      <c r="B486" s="60">
        <v>86564051</v>
      </c>
      <c r="C486" s="15"/>
      <c r="D486" s="15"/>
      <c r="E486" s="15"/>
      <c r="F486" s="15" t="s">
        <v>265</v>
      </c>
      <c r="G486" s="34">
        <v>2</v>
      </c>
      <c r="H486" s="34">
        <v>9</v>
      </c>
      <c r="I486" s="15" t="s">
        <v>1120</v>
      </c>
      <c r="J486" s="15" t="s">
        <v>120</v>
      </c>
      <c r="K486" s="74" t="s">
        <v>29</v>
      </c>
      <c r="L486" s="16">
        <v>1149220</v>
      </c>
      <c r="M486" s="16">
        <v>664273</v>
      </c>
      <c r="N486" s="16">
        <v>64458</v>
      </c>
      <c r="O486" s="16">
        <v>991732</v>
      </c>
      <c r="P486" s="16">
        <v>784342</v>
      </c>
      <c r="Q486" s="16">
        <v>157488</v>
      </c>
      <c r="R486" s="16">
        <v>15869</v>
      </c>
      <c r="S486" s="16">
        <v>0</v>
      </c>
      <c r="T486" s="111">
        <v>6</v>
      </c>
    </row>
    <row r="487" spans="1:20" ht="15" customHeight="1" x14ac:dyDescent="0.2">
      <c r="A487" s="12" t="s">
        <v>1121</v>
      </c>
      <c r="B487" s="56">
        <v>6126780</v>
      </c>
      <c r="C487" s="12"/>
      <c r="D487" s="12"/>
      <c r="E487" s="12"/>
      <c r="F487" s="12" t="s">
        <v>265</v>
      </c>
      <c r="G487" s="33">
        <v>2</v>
      </c>
      <c r="H487" s="33">
        <v>9</v>
      </c>
      <c r="I487" s="12" t="s">
        <v>720</v>
      </c>
      <c r="J487" s="12" t="s">
        <v>229</v>
      </c>
      <c r="K487" s="73" t="s">
        <v>29</v>
      </c>
      <c r="L487" s="13">
        <v>1145826</v>
      </c>
      <c r="M487" s="13">
        <v>853478</v>
      </c>
      <c r="N487" s="13">
        <v>15981</v>
      </c>
      <c r="O487" s="13">
        <v>1020288</v>
      </c>
      <c r="P487" s="13">
        <v>687189</v>
      </c>
      <c r="Q487" s="13">
        <v>125538</v>
      </c>
      <c r="R487" s="13">
        <v>5895</v>
      </c>
      <c r="S487" s="13">
        <v>0</v>
      </c>
      <c r="T487" s="81">
        <v>18</v>
      </c>
    </row>
    <row r="488" spans="1:20" ht="15" customHeight="1" x14ac:dyDescent="0.2">
      <c r="A488" s="15" t="s">
        <v>1122</v>
      </c>
      <c r="B488" s="60">
        <v>7789195</v>
      </c>
      <c r="C488" s="15"/>
      <c r="D488" s="15"/>
      <c r="E488" s="15"/>
      <c r="F488" s="15" t="s">
        <v>265</v>
      </c>
      <c r="G488" s="34">
        <v>2</v>
      </c>
      <c r="H488" s="34">
        <v>9</v>
      </c>
      <c r="I488" s="15" t="s">
        <v>255</v>
      </c>
      <c r="J488" s="15" t="s">
        <v>39</v>
      </c>
      <c r="K488" s="74" t="s">
        <v>29</v>
      </c>
      <c r="L488" s="16">
        <v>1145772</v>
      </c>
      <c r="M488" s="16">
        <v>658943</v>
      </c>
      <c r="N488" s="16">
        <v>475642</v>
      </c>
      <c r="O488" s="16">
        <v>939373</v>
      </c>
      <c r="P488" s="16">
        <v>924247</v>
      </c>
      <c r="Q488" s="16">
        <v>206398</v>
      </c>
      <c r="R488" s="16">
        <v>25614</v>
      </c>
      <c r="S488" s="16">
        <v>0</v>
      </c>
      <c r="T488" s="111">
        <v>2</v>
      </c>
    </row>
    <row r="489" spans="1:20" ht="15" customHeight="1" x14ac:dyDescent="0.2">
      <c r="A489" s="12" t="s">
        <v>1123</v>
      </c>
      <c r="B489" s="56">
        <v>62421979</v>
      </c>
      <c r="C489" s="12" t="s">
        <v>167</v>
      </c>
      <c r="D489" s="12" t="s">
        <v>168</v>
      </c>
      <c r="E489" s="12" t="s">
        <v>169</v>
      </c>
      <c r="F489" s="12" t="s">
        <v>26</v>
      </c>
      <c r="G489" s="33">
        <v>2</v>
      </c>
      <c r="H489" s="33">
        <v>8</v>
      </c>
      <c r="I489" s="12" t="s">
        <v>38</v>
      </c>
      <c r="J489" s="12" t="s">
        <v>39</v>
      </c>
      <c r="K489" s="73" t="s">
        <v>29</v>
      </c>
      <c r="L489" s="13">
        <v>1145202</v>
      </c>
      <c r="M489" s="13">
        <v>101907</v>
      </c>
      <c r="N489" s="13">
        <v>525400</v>
      </c>
      <c r="O489" s="13">
        <v>134524</v>
      </c>
      <c r="P489" s="13">
        <v>0</v>
      </c>
      <c r="Q489" s="13">
        <v>1010678</v>
      </c>
      <c r="R489" s="13">
        <v>62083</v>
      </c>
      <c r="S489" s="13">
        <v>2</v>
      </c>
      <c r="T489" s="81">
        <v>0</v>
      </c>
    </row>
    <row r="490" spans="1:20" ht="15" customHeight="1" x14ac:dyDescent="0.2">
      <c r="A490" s="15" t="s">
        <v>1124</v>
      </c>
      <c r="B490" s="60">
        <v>71419600</v>
      </c>
      <c r="C490" s="15"/>
      <c r="D490" s="15"/>
      <c r="E490" s="15"/>
      <c r="F490" s="15" t="s">
        <v>265</v>
      </c>
      <c r="G490" s="34">
        <v>2</v>
      </c>
      <c r="H490" s="34">
        <v>9</v>
      </c>
      <c r="I490" s="15" t="s">
        <v>1125</v>
      </c>
      <c r="J490" s="15" t="s">
        <v>120</v>
      </c>
      <c r="K490" s="74" t="s">
        <v>29</v>
      </c>
      <c r="L490" s="16">
        <v>1144431</v>
      </c>
      <c r="M490" s="16">
        <v>746640</v>
      </c>
      <c r="N490" s="16">
        <v>41707</v>
      </c>
      <c r="O490" s="16">
        <v>954224</v>
      </c>
      <c r="P490" s="16">
        <v>682872</v>
      </c>
      <c r="Q490" s="16">
        <v>190207</v>
      </c>
      <c r="R490" s="16">
        <v>14651</v>
      </c>
      <c r="S490" s="16">
        <v>0</v>
      </c>
      <c r="T490" s="111">
        <v>8</v>
      </c>
    </row>
    <row r="491" spans="1:20" ht="15" customHeight="1" x14ac:dyDescent="0.2">
      <c r="A491" s="12" t="s">
        <v>1126</v>
      </c>
      <c r="B491" s="56">
        <v>2173447</v>
      </c>
      <c r="C491" s="12"/>
      <c r="D491" s="12"/>
      <c r="E491" s="12"/>
      <c r="F491" s="12" t="s">
        <v>265</v>
      </c>
      <c r="G491" s="33">
        <v>2</v>
      </c>
      <c r="H491" s="33">
        <v>9</v>
      </c>
      <c r="I491" s="12" t="s">
        <v>1127</v>
      </c>
      <c r="J491" s="12" t="s">
        <v>120</v>
      </c>
      <c r="K491" s="73" t="s">
        <v>29</v>
      </c>
      <c r="L491" s="13">
        <v>1143250</v>
      </c>
      <c r="M491" s="13">
        <v>378598</v>
      </c>
      <c r="N491" s="13">
        <v>14238</v>
      </c>
      <c r="O491" s="13">
        <v>1005020</v>
      </c>
      <c r="P491" s="13">
        <v>977179</v>
      </c>
      <c r="Q491" s="13">
        <v>138230</v>
      </c>
      <c r="R491" s="13">
        <v>14844</v>
      </c>
      <c r="S491" s="13">
        <v>0</v>
      </c>
      <c r="T491" s="81">
        <v>25</v>
      </c>
    </row>
    <row r="492" spans="1:20" ht="15" customHeight="1" x14ac:dyDescent="0.2">
      <c r="A492" s="15" t="s">
        <v>1128</v>
      </c>
      <c r="B492" s="60">
        <v>45879000</v>
      </c>
      <c r="C492" s="15" t="s">
        <v>378</v>
      </c>
      <c r="D492" s="15"/>
      <c r="E492" s="15" t="s">
        <v>379</v>
      </c>
      <c r="F492" s="15" t="s">
        <v>65</v>
      </c>
      <c r="G492" s="34">
        <v>3</v>
      </c>
      <c r="H492" s="34">
        <v>43</v>
      </c>
      <c r="I492" s="15" t="s">
        <v>38</v>
      </c>
      <c r="J492" s="15" t="s">
        <v>39</v>
      </c>
      <c r="K492" s="74" t="s">
        <v>29</v>
      </c>
      <c r="L492" s="16">
        <v>1120777</v>
      </c>
      <c r="M492" s="16">
        <v>156003</v>
      </c>
      <c r="N492" s="16">
        <v>824700</v>
      </c>
      <c r="O492" s="16">
        <v>26080</v>
      </c>
      <c r="P492" s="16">
        <v>0</v>
      </c>
      <c r="Q492" s="16">
        <v>1094698</v>
      </c>
      <c r="R492" s="16">
        <v>4396</v>
      </c>
      <c r="S492" s="16">
        <v>2</v>
      </c>
      <c r="T492" s="111">
        <v>0</v>
      </c>
    </row>
    <row r="493" spans="1:20" ht="15" customHeight="1" x14ac:dyDescent="0.2">
      <c r="A493" s="12" t="s">
        <v>1129</v>
      </c>
      <c r="B493" s="56">
        <v>3847413</v>
      </c>
      <c r="C493" s="12" t="s">
        <v>344</v>
      </c>
      <c r="D493" s="12"/>
      <c r="E493" s="12" t="s">
        <v>345</v>
      </c>
      <c r="F493" s="12" t="s">
        <v>84</v>
      </c>
      <c r="G493" s="33">
        <v>1</v>
      </c>
      <c r="H493" s="33">
        <v>41</v>
      </c>
      <c r="I493" s="12" t="s">
        <v>346</v>
      </c>
      <c r="J493" s="12" t="s">
        <v>347</v>
      </c>
      <c r="K493" s="73" t="s">
        <v>29</v>
      </c>
      <c r="L493" s="13">
        <v>1115323</v>
      </c>
      <c r="M493" s="13">
        <v>590507</v>
      </c>
      <c r="N493" s="13">
        <v>52918</v>
      </c>
      <c r="O493" s="13">
        <v>1051267</v>
      </c>
      <c r="P493" s="13">
        <v>8642</v>
      </c>
      <c r="Q493" s="13">
        <v>64056</v>
      </c>
      <c r="R493" s="13">
        <v>-11436</v>
      </c>
      <c r="S493" s="13">
        <v>1</v>
      </c>
      <c r="T493" s="81">
        <v>0</v>
      </c>
    </row>
    <row r="494" spans="1:20" ht="15" customHeight="1" x14ac:dyDescent="0.2">
      <c r="A494" s="15" t="s">
        <v>1130</v>
      </c>
      <c r="B494" s="60">
        <v>5277312</v>
      </c>
      <c r="C494" s="15"/>
      <c r="D494" s="15"/>
      <c r="E494" s="15"/>
      <c r="F494" s="15" t="s">
        <v>265</v>
      </c>
      <c r="G494" s="34">
        <v>2</v>
      </c>
      <c r="H494" s="34">
        <v>9</v>
      </c>
      <c r="I494" s="15" t="s">
        <v>1131</v>
      </c>
      <c r="J494" s="15" t="s">
        <v>229</v>
      </c>
      <c r="K494" s="74" t="s">
        <v>29</v>
      </c>
      <c r="L494" s="16">
        <v>1111763</v>
      </c>
      <c r="M494" s="16">
        <v>801767</v>
      </c>
      <c r="N494" s="16">
        <v>12612</v>
      </c>
      <c r="O494" s="16">
        <v>969690</v>
      </c>
      <c r="P494" s="16">
        <v>688578</v>
      </c>
      <c r="Q494" s="16">
        <v>142072</v>
      </c>
      <c r="R494" s="16">
        <v>3882</v>
      </c>
      <c r="S494" s="16">
        <v>0</v>
      </c>
      <c r="T494" s="111">
        <v>23</v>
      </c>
    </row>
    <row r="495" spans="1:20" ht="15" customHeight="1" x14ac:dyDescent="0.2">
      <c r="A495" s="12" t="s">
        <v>1132</v>
      </c>
      <c r="B495" s="56">
        <v>70241658</v>
      </c>
      <c r="C495" s="12"/>
      <c r="D495" s="12"/>
      <c r="E495" s="12"/>
      <c r="F495" s="12" t="s">
        <v>265</v>
      </c>
      <c r="G495" s="33">
        <v>2</v>
      </c>
      <c r="H495" s="33">
        <v>9</v>
      </c>
      <c r="I495" s="12" t="s">
        <v>1133</v>
      </c>
      <c r="J495" s="12" t="s">
        <v>1078</v>
      </c>
      <c r="K495" s="73" t="s">
        <v>29</v>
      </c>
      <c r="L495" s="13">
        <v>1109120</v>
      </c>
      <c r="M495" s="13">
        <v>472544</v>
      </c>
      <c r="N495" s="13">
        <v>510415</v>
      </c>
      <c r="O495" s="13">
        <v>1003872</v>
      </c>
      <c r="P495" s="13">
        <v>817657</v>
      </c>
      <c r="Q495" s="13">
        <v>105247</v>
      </c>
      <c r="R495" s="13">
        <v>1606</v>
      </c>
      <c r="S495" s="13">
        <v>0</v>
      </c>
      <c r="T495" s="81">
        <v>6</v>
      </c>
    </row>
    <row r="496" spans="1:20" ht="15" customHeight="1" x14ac:dyDescent="0.2">
      <c r="A496" s="15" t="s">
        <v>1134</v>
      </c>
      <c r="B496" s="60">
        <v>2934201</v>
      </c>
      <c r="C496" s="15"/>
      <c r="D496" s="15"/>
      <c r="E496" s="15"/>
      <c r="F496" s="15" t="s">
        <v>265</v>
      </c>
      <c r="G496" s="34">
        <v>2</v>
      </c>
      <c r="H496" s="34">
        <v>9</v>
      </c>
      <c r="I496" s="15" t="s">
        <v>1135</v>
      </c>
      <c r="J496" s="15" t="s">
        <v>229</v>
      </c>
      <c r="K496" s="74" t="s">
        <v>29</v>
      </c>
      <c r="L496" s="16">
        <v>1106286</v>
      </c>
      <c r="M496" s="16">
        <v>828544</v>
      </c>
      <c r="N496" s="16">
        <v>20396</v>
      </c>
      <c r="O496" s="16">
        <v>935176</v>
      </c>
      <c r="P496" s="16">
        <v>522857</v>
      </c>
      <c r="Q496" s="16">
        <v>171110</v>
      </c>
      <c r="R496" s="16">
        <v>2309</v>
      </c>
      <c r="S496" s="16">
        <v>0</v>
      </c>
      <c r="T496" s="111">
        <v>19</v>
      </c>
    </row>
    <row r="497" spans="1:20" ht="15" customHeight="1" x14ac:dyDescent="0.2">
      <c r="A497" s="12" t="s">
        <v>1136</v>
      </c>
      <c r="B497" s="56">
        <v>795423</v>
      </c>
      <c r="C497" s="12" t="s">
        <v>1137</v>
      </c>
      <c r="D497" s="12"/>
      <c r="E497" s="12" t="s">
        <v>1138</v>
      </c>
      <c r="F497" s="12" t="s">
        <v>26</v>
      </c>
      <c r="G497" s="33">
        <v>2</v>
      </c>
      <c r="H497" s="33">
        <v>8</v>
      </c>
      <c r="I497" s="12" t="s">
        <v>119</v>
      </c>
      <c r="J497" s="12" t="s">
        <v>120</v>
      </c>
      <c r="K497" s="73" t="s">
        <v>29</v>
      </c>
      <c r="L497" s="13">
        <v>1105535</v>
      </c>
      <c r="M497" s="13">
        <v>621055</v>
      </c>
      <c r="N497" s="13">
        <v>105529</v>
      </c>
      <c r="O497" s="13">
        <v>996547</v>
      </c>
      <c r="P497" s="13">
        <v>961953</v>
      </c>
      <c r="Q497" s="13">
        <v>108988</v>
      </c>
      <c r="R497" s="13">
        <v>-1585</v>
      </c>
      <c r="S497" s="13">
        <v>2</v>
      </c>
      <c r="T497" s="81">
        <v>0</v>
      </c>
    </row>
    <row r="498" spans="1:20" ht="15" customHeight="1" x14ac:dyDescent="0.2">
      <c r="A498" s="15" t="s">
        <v>1139</v>
      </c>
      <c r="B498" s="60">
        <v>73647935</v>
      </c>
      <c r="C498" s="15"/>
      <c r="D498" s="15"/>
      <c r="E498" s="15"/>
      <c r="F498" s="15" t="s">
        <v>265</v>
      </c>
      <c r="G498" s="34">
        <v>2</v>
      </c>
      <c r="H498" s="34">
        <v>9</v>
      </c>
      <c r="I498" s="15" t="s">
        <v>404</v>
      </c>
      <c r="J498" s="15" t="s">
        <v>401</v>
      </c>
      <c r="K498" s="74" t="s">
        <v>29</v>
      </c>
      <c r="L498" s="16">
        <v>1104137</v>
      </c>
      <c r="M498" s="16">
        <v>696570</v>
      </c>
      <c r="N498" s="16">
        <v>12464</v>
      </c>
      <c r="O498" s="16">
        <v>937111</v>
      </c>
      <c r="P498" s="16">
        <v>887169</v>
      </c>
      <c r="Q498" s="16">
        <v>167026</v>
      </c>
      <c r="R498" s="16">
        <v>912</v>
      </c>
      <c r="S498" s="16">
        <v>0</v>
      </c>
      <c r="T498" s="111">
        <v>14</v>
      </c>
    </row>
    <row r="499" spans="1:20" ht="15" customHeight="1" x14ac:dyDescent="0.2">
      <c r="A499" s="12" t="s">
        <v>1140</v>
      </c>
      <c r="B499" s="56">
        <v>3461243</v>
      </c>
      <c r="C499" s="12"/>
      <c r="D499" s="12"/>
      <c r="E499" s="12"/>
      <c r="F499" s="12" t="s">
        <v>265</v>
      </c>
      <c r="G499" s="33">
        <v>2</v>
      </c>
      <c r="H499" s="33">
        <v>9</v>
      </c>
      <c r="I499" s="12" t="s">
        <v>528</v>
      </c>
      <c r="J499" s="12" t="s">
        <v>217</v>
      </c>
      <c r="K499" s="73" t="s">
        <v>29</v>
      </c>
      <c r="L499" s="13">
        <v>1091799</v>
      </c>
      <c r="M499" s="13">
        <v>846434</v>
      </c>
      <c r="N499" s="13">
        <v>27277</v>
      </c>
      <c r="O499" s="13">
        <v>972867</v>
      </c>
      <c r="P499" s="13">
        <v>819612</v>
      </c>
      <c r="Q499" s="13">
        <v>118932</v>
      </c>
      <c r="R499" s="13">
        <v>-13566</v>
      </c>
      <c r="S499" s="13">
        <v>0</v>
      </c>
      <c r="T499" s="81">
        <v>23</v>
      </c>
    </row>
    <row r="500" spans="1:20" ht="15" customHeight="1" x14ac:dyDescent="0.2">
      <c r="A500" s="15" t="s">
        <v>1141</v>
      </c>
      <c r="B500" s="60">
        <v>29162769</v>
      </c>
      <c r="C500" s="15" t="s">
        <v>46</v>
      </c>
      <c r="D500" s="15" t="s">
        <v>47</v>
      </c>
      <c r="E500" s="15" t="s">
        <v>48</v>
      </c>
      <c r="F500" s="15" t="s">
        <v>98</v>
      </c>
      <c r="G500" s="34">
        <v>3</v>
      </c>
      <c r="H500" s="34">
        <v>15</v>
      </c>
      <c r="I500" s="15" t="s">
        <v>38</v>
      </c>
      <c r="J500" s="15" t="s">
        <v>39</v>
      </c>
      <c r="K500" s="74" t="s">
        <v>29</v>
      </c>
      <c r="L500" s="16">
        <v>1088152</v>
      </c>
      <c r="M500" s="16">
        <v>0</v>
      </c>
      <c r="N500" s="16">
        <v>289029</v>
      </c>
      <c r="O500" s="16">
        <v>702492</v>
      </c>
      <c r="P500" s="16">
        <v>521308</v>
      </c>
      <c r="Q500" s="16">
        <v>385660</v>
      </c>
      <c r="R500" s="16">
        <v>7391</v>
      </c>
      <c r="S500" s="16">
        <v>2</v>
      </c>
      <c r="T500" s="111">
        <v>0</v>
      </c>
    </row>
    <row r="501" spans="1:20" ht="15" customHeight="1" x14ac:dyDescent="0.2">
      <c r="A501" s="12" t="s">
        <v>1142</v>
      </c>
      <c r="B501" s="56">
        <v>5979692</v>
      </c>
      <c r="C501" s="12"/>
      <c r="D501" s="12"/>
      <c r="E501" s="12"/>
      <c r="F501" s="12" t="s">
        <v>265</v>
      </c>
      <c r="G501" s="33">
        <v>2</v>
      </c>
      <c r="H501" s="33">
        <v>9</v>
      </c>
      <c r="I501" s="12" t="s">
        <v>216</v>
      </c>
      <c r="J501" s="12" t="s">
        <v>217</v>
      </c>
      <c r="K501" s="73" t="s">
        <v>29</v>
      </c>
      <c r="L501" s="13">
        <v>1086832</v>
      </c>
      <c r="M501" s="13">
        <v>580652</v>
      </c>
      <c r="N501" s="13">
        <v>30058</v>
      </c>
      <c r="O501" s="13">
        <v>936029</v>
      </c>
      <c r="P501" s="13">
        <v>877374</v>
      </c>
      <c r="Q501" s="13">
        <v>150803</v>
      </c>
      <c r="R501" s="13">
        <v>866</v>
      </c>
      <c r="S501" s="13">
        <v>0</v>
      </c>
      <c r="T501" s="81">
        <v>24</v>
      </c>
    </row>
    <row r="502" spans="1:20" ht="15" customHeight="1" x14ac:dyDescent="0.2">
      <c r="A502" s="15" t="s">
        <v>1143</v>
      </c>
      <c r="B502" s="60">
        <v>1739375</v>
      </c>
      <c r="C502" s="15"/>
      <c r="D502" s="15"/>
      <c r="E502" s="15"/>
      <c r="F502" s="15" t="s">
        <v>265</v>
      </c>
      <c r="G502" s="34">
        <v>2</v>
      </c>
      <c r="H502" s="34">
        <v>9</v>
      </c>
      <c r="I502" s="15" t="s">
        <v>1144</v>
      </c>
      <c r="J502" s="15" t="s">
        <v>120</v>
      </c>
      <c r="K502" s="74" t="s">
        <v>29</v>
      </c>
      <c r="L502" s="16">
        <v>1085260</v>
      </c>
      <c r="M502" s="16">
        <v>477658</v>
      </c>
      <c r="N502" s="16">
        <v>21038</v>
      </c>
      <c r="O502" s="16">
        <v>886306</v>
      </c>
      <c r="P502" s="16">
        <v>785713</v>
      </c>
      <c r="Q502" s="16">
        <v>198954</v>
      </c>
      <c r="R502" s="16">
        <v>19758</v>
      </c>
      <c r="S502" s="16">
        <v>0</v>
      </c>
      <c r="T502" s="111">
        <v>3</v>
      </c>
    </row>
    <row r="503" spans="1:20" ht="15" customHeight="1" x14ac:dyDescent="0.2">
      <c r="A503" s="12" t="s">
        <v>1145</v>
      </c>
      <c r="B503" s="56">
        <v>38588174</v>
      </c>
      <c r="C503" s="12"/>
      <c r="D503" s="12"/>
      <c r="E503" s="12"/>
      <c r="F503" s="12" t="s">
        <v>265</v>
      </c>
      <c r="G503" s="33">
        <v>2</v>
      </c>
      <c r="H503" s="33">
        <v>9</v>
      </c>
      <c r="I503" s="12" t="s">
        <v>1146</v>
      </c>
      <c r="J503" s="12" t="s">
        <v>120</v>
      </c>
      <c r="K503" s="73" t="s">
        <v>29</v>
      </c>
      <c r="L503" s="13">
        <v>1082237</v>
      </c>
      <c r="M503" s="13">
        <v>363187</v>
      </c>
      <c r="N503" s="13">
        <v>28355</v>
      </c>
      <c r="O503" s="13">
        <v>930177</v>
      </c>
      <c r="P503" s="13">
        <v>820108</v>
      </c>
      <c r="Q503" s="13">
        <v>152061</v>
      </c>
      <c r="R503" s="13">
        <v>14911</v>
      </c>
      <c r="S503" s="13">
        <v>0</v>
      </c>
      <c r="T503" s="81">
        <v>19</v>
      </c>
    </row>
    <row r="504" spans="1:20" ht="15" customHeight="1" x14ac:dyDescent="0.2">
      <c r="A504" s="15" t="s">
        <v>1147</v>
      </c>
      <c r="B504" s="60">
        <v>48805820</v>
      </c>
      <c r="C504" s="15" t="s">
        <v>1148</v>
      </c>
      <c r="D504" s="15"/>
      <c r="E504" s="15" t="s">
        <v>1149</v>
      </c>
      <c r="F504" s="15" t="s">
        <v>65</v>
      </c>
      <c r="G504" s="34">
        <v>2</v>
      </c>
      <c r="H504" s="34">
        <v>43</v>
      </c>
      <c r="I504" s="15" t="s">
        <v>38</v>
      </c>
      <c r="J504" s="15" t="s">
        <v>39</v>
      </c>
      <c r="K504" s="74" t="s">
        <v>29</v>
      </c>
      <c r="L504" s="16">
        <v>1078720</v>
      </c>
      <c r="M504" s="16">
        <v>740040</v>
      </c>
      <c r="N504" s="16">
        <v>215745</v>
      </c>
      <c r="O504" s="16">
        <v>455462</v>
      </c>
      <c r="P504" s="16">
        <v>0</v>
      </c>
      <c r="Q504" s="16">
        <v>623258</v>
      </c>
      <c r="R504" s="16">
        <v>18431</v>
      </c>
      <c r="S504" s="16">
        <v>2</v>
      </c>
      <c r="T504" s="111">
        <v>0</v>
      </c>
    </row>
    <row r="505" spans="1:20" ht="15" customHeight="1" x14ac:dyDescent="0.2">
      <c r="A505" s="12" t="s">
        <v>1150</v>
      </c>
      <c r="B505" s="56">
        <v>81292278</v>
      </c>
      <c r="C505" s="12"/>
      <c r="D505" s="12"/>
      <c r="E505" s="12"/>
      <c r="F505" s="12" t="s">
        <v>265</v>
      </c>
      <c r="G505" s="33">
        <v>2</v>
      </c>
      <c r="H505" s="33">
        <v>9</v>
      </c>
      <c r="I505" s="12" t="s">
        <v>1151</v>
      </c>
      <c r="J505" s="12" t="s">
        <v>217</v>
      </c>
      <c r="K505" s="73" t="s">
        <v>29</v>
      </c>
      <c r="L505" s="13">
        <v>1074172</v>
      </c>
      <c r="M505" s="13">
        <v>529828</v>
      </c>
      <c r="N505" s="13">
        <v>21896</v>
      </c>
      <c r="O505" s="13">
        <v>865845</v>
      </c>
      <c r="P505" s="13">
        <v>686844</v>
      </c>
      <c r="Q505" s="13">
        <v>208326</v>
      </c>
      <c r="R505" s="13">
        <v>17123</v>
      </c>
      <c r="S505" s="13">
        <v>0</v>
      </c>
      <c r="T505" s="81">
        <v>13</v>
      </c>
    </row>
    <row r="506" spans="1:20" ht="15" customHeight="1" x14ac:dyDescent="0.2">
      <c r="A506" s="15" t="s">
        <v>1152</v>
      </c>
      <c r="B506" s="60">
        <v>25387713</v>
      </c>
      <c r="C506" s="15"/>
      <c r="D506" s="15"/>
      <c r="E506" s="15"/>
      <c r="F506" s="15" t="s">
        <v>265</v>
      </c>
      <c r="G506" s="34">
        <v>2</v>
      </c>
      <c r="H506" s="34">
        <v>9</v>
      </c>
      <c r="I506" s="15" t="s">
        <v>1153</v>
      </c>
      <c r="J506" s="15" t="s">
        <v>120</v>
      </c>
      <c r="K506" s="74" t="s">
        <v>29</v>
      </c>
      <c r="L506" s="16">
        <v>1063913</v>
      </c>
      <c r="M506" s="16">
        <v>422888</v>
      </c>
      <c r="N506" s="16">
        <v>13521</v>
      </c>
      <c r="O506" s="16">
        <v>941846</v>
      </c>
      <c r="P506" s="16">
        <v>920327</v>
      </c>
      <c r="Q506" s="16">
        <v>122067</v>
      </c>
      <c r="R506" s="16">
        <v>15303</v>
      </c>
      <c r="S506" s="16">
        <v>0</v>
      </c>
      <c r="T506" s="111">
        <v>7</v>
      </c>
    </row>
    <row r="507" spans="1:20" ht="15" customHeight="1" x14ac:dyDescent="0.2">
      <c r="A507" s="12" t="s">
        <v>1154</v>
      </c>
      <c r="B507" s="56">
        <v>41669227</v>
      </c>
      <c r="C507" s="12"/>
      <c r="D507" s="12"/>
      <c r="E507" s="12"/>
      <c r="F507" s="12" t="s">
        <v>265</v>
      </c>
      <c r="G507" s="33">
        <v>2</v>
      </c>
      <c r="H507" s="33">
        <v>9</v>
      </c>
      <c r="I507" s="12" t="s">
        <v>564</v>
      </c>
      <c r="J507" s="12" t="s">
        <v>120</v>
      </c>
      <c r="K507" s="73" t="s">
        <v>29</v>
      </c>
      <c r="L507" s="13">
        <v>1060576</v>
      </c>
      <c r="M507" s="13">
        <v>270529</v>
      </c>
      <c r="N507" s="13">
        <v>61435</v>
      </c>
      <c r="O507" s="13">
        <v>863941</v>
      </c>
      <c r="P507" s="13">
        <v>845970</v>
      </c>
      <c r="Q507" s="13">
        <v>196635</v>
      </c>
      <c r="R507" s="13">
        <v>18113</v>
      </c>
      <c r="S507" s="13">
        <v>0</v>
      </c>
      <c r="T507" s="81">
        <v>9</v>
      </c>
    </row>
    <row r="508" spans="1:20" ht="15" customHeight="1" x14ac:dyDescent="0.2">
      <c r="A508" s="15" t="s">
        <v>1155</v>
      </c>
      <c r="B508" s="60">
        <v>44431743</v>
      </c>
      <c r="C508" s="15" t="s">
        <v>929</v>
      </c>
      <c r="D508" s="15"/>
      <c r="E508" s="15" t="s">
        <v>930</v>
      </c>
      <c r="F508" s="15" t="s">
        <v>65</v>
      </c>
      <c r="G508" s="34">
        <v>3</v>
      </c>
      <c r="H508" s="34">
        <v>14</v>
      </c>
      <c r="I508" s="15" t="s">
        <v>38</v>
      </c>
      <c r="J508" s="15" t="s">
        <v>39</v>
      </c>
      <c r="K508" s="74" t="s">
        <v>29</v>
      </c>
      <c r="L508" s="16">
        <v>1046795</v>
      </c>
      <c r="M508" s="16">
        <v>782055</v>
      </c>
      <c r="N508" s="16">
        <v>35652</v>
      </c>
      <c r="O508" s="16">
        <v>870345</v>
      </c>
      <c r="P508" s="16">
        <v>861272</v>
      </c>
      <c r="Q508" s="16">
        <v>176450</v>
      </c>
      <c r="R508" s="16">
        <v>10194</v>
      </c>
      <c r="S508" s="16">
        <v>2</v>
      </c>
      <c r="T508" s="111">
        <v>0</v>
      </c>
    </row>
    <row r="509" spans="1:20" ht="15" customHeight="1" x14ac:dyDescent="0.2">
      <c r="A509" s="12" t="s">
        <v>1156</v>
      </c>
      <c r="B509" s="56">
        <v>6139650</v>
      </c>
      <c r="C509" s="12"/>
      <c r="D509" s="12"/>
      <c r="E509" s="12"/>
      <c r="F509" s="12" t="s">
        <v>265</v>
      </c>
      <c r="G509" s="33">
        <v>2</v>
      </c>
      <c r="H509" s="33">
        <v>9</v>
      </c>
      <c r="I509" s="12" t="s">
        <v>1157</v>
      </c>
      <c r="J509" s="12" t="s">
        <v>74</v>
      </c>
      <c r="K509" s="73" t="s">
        <v>29</v>
      </c>
      <c r="L509" s="13">
        <v>1045667</v>
      </c>
      <c r="M509" s="13">
        <v>791425</v>
      </c>
      <c r="N509" s="13">
        <v>16542</v>
      </c>
      <c r="O509" s="13">
        <v>916279</v>
      </c>
      <c r="P509" s="13">
        <v>616008</v>
      </c>
      <c r="Q509" s="13">
        <v>129388</v>
      </c>
      <c r="R509" s="13">
        <v>4560</v>
      </c>
      <c r="S509" s="13">
        <v>0</v>
      </c>
      <c r="T509" s="81">
        <v>23</v>
      </c>
    </row>
    <row r="510" spans="1:20" ht="15" customHeight="1" x14ac:dyDescent="0.2">
      <c r="A510" s="15" t="s">
        <v>1158</v>
      </c>
      <c r="B510" s="60">
        <v>3047549</v>
      </c>
      <c r="C510" s="15"/>
      <c r="D510" s="15"/>
      <c r="E510" s="15"/>
      <c r="F510" s="15" t="s">
        <v>265</v>
      </c>
      <c r="G510" s="34">
        <v>2</v>
      </c>
      <c r="H510" s="34">
        <v>9</v>
      </c>
      <c r="I510" s="15" t="s">
        <v>524</v>
      </c>
      <c r="J510" s="15" t="s">
        <v>389</v>
      </c>
      <c r="K510" s="74" t="s">
        <v>29</v>
      </c>
      <c r="L510" s="16">
        <v>1042247</v>
      </c>
      <c r="M510" s="16">
        <v>569978</v>
      </c>
      <c r="N510" s="16">
        <v>11624</v>
      </c>
      <c r="O510" s="16">
        <v>884370</v>
      </c>
      <c r="P510" s="16">
        <v>699541</v>
      </c>
      <c r="Q510" s="16">
        <v>157876</v>
      </c>
      <c r="R510" s="16">
        <v>-8044</v>
      </c>
      <c r="S510" s="16">
        <v>0</v>
      </c>
      <c r="T510" s="111">
        <v>13</v>
      </c>
    </row>
    <row r="511" spans="1:20" ht="15" customHeight="1" x14ac:dyDescent="0.2">
      <c r="A511" s="12" t="s">
        <v>1159</v>
      </c>
      <c r="B511" s="56">
        <v>36113876</v>
      </c>
      <c r="C511" s="12" t="s">
        <v>1160</v>
      </c>
      <c r="D511" s="12"/>
      <c r="E511" s="12" t="s">
        <v>1161</v>
      </c>
      <c r="F511" s="12" t="s">
        <v>98</v>
      </c>
      <c r="G511" s="33">
        <v>2</v>
      </c>
      <c r="H511" s="33">
        <v>16</v>
      </c>
      <c r="I511" s="12" t="s">
        <v>53</v>
      </c>
      <c r="J511" s="12" t="s">
        <v>54</v>
      </c>
      <c r="K511" s="73" t="s">
        <v>29</v>
      </c>
      <c r="L511" s="13">
        <v>1026358</v>
      </c>
      <c r="M511" s="13">
        <v>0</v>
      </c>
      <c r="N511" s="13">
        <v>597689</v>
      </c>
      <c r="O511" s="13">
        <v>906929</v>
      </c>
      <c r="P511" s="13">
        <v>783607</v>
      </c>
      <c r="Q511" s="13">
        <v>119429</v>
      </c>
      <c r="R511" s="13">
        <v>51312</v>
      </c>
      <c r="S511" s="13">
        <v>3</v>
      </c>
      <c r="T511" s="81">
        <v>0</v>
      </c>
    </row>
    <row r="512" spans="1:20" ht="15" customHeight="1" x14ac:dyDescent="0.2">
      <c r="A512" s="15" t="s">
        <v>1162</v>
      </c>
      <c r="B512" s="60">
        <v>65913436</v>
      </c>
      <c r="C512" s="15" t="s">
        <v>67</v>
      </c>
      <c r="D512" s="15" t="s">
        <v>68</v>
      </c>
      <c r="E512" s="15" t="s">
        <v>69</v>
      </c>
      <c r="F512" s="15" t="s">
        <v>98</v>
      </c>
      <c r="G512" s="34">
        <v>2</v>
      </c>
      <c r="H512" s="34">
        <v>15</v>
      </c>
      <c r="I512" s="15" t="s">
        <v>38</v>
      </c>
      <c r="J512" s="15" t="s">
        <v>39</v>
      </c>
      <c r="K512" s="74" t="s">
        <v>29</v>
      </c>
      <c r="L512" s="16">
        <v>1013744</v>
      </c>
      <c r="M512" s="16">
        <v>0</v>
      </c>
      <c r="N512" s="16">
        <v>539515</v>
      </c>
      <c r="O512" s="16">
        <v>191510</v>
      </c>
      <c r="P512" s="16">
        <v>0</v>
      </c>
      <c r="Q512" s="16">
        <v>822234</v>
      </c>
      <c r="R512" s="16">
        <v>115644</v>
      </c>
      <c r="S512" s="16">
        <v>2</v>
      </c>
      <c r="T512" s="111">
        <v>0</v>
      </c>
    </row>
    <row r="513" spans="1:20" ht="15" customHeight="1" x14ac:dyDescent="0.2">
      <c r="A513" s="12" t="s">
        <v>1163</v>
      </c>
      <c r="B513" s="56">
        <v>24799033</v>
      </c>
      <c r="C513" s="12"/>
      <c r="D513" s="12"/>
      <c r="E513" s="12"/>
      <c r="F513" s="12" t="s">
        <v>265</v>
      </c>
      <c r="G513" s="33">
        <v>2</v>
      </c>
      <c r="H513" s="33">
        <v>9</v>
      </c>
      <c r="I513" s="12" t="s">
        <v>1164</v>
      </c>
      <c r="J513" s="12" t="s">
        <v>389</v>
      </c>
      <c r="K513" s="73" t="s">
        <v>29</v>
      </c>
      <c r="L513" s="13">
        <v>1012361</v>
      </c>
      <c r="M513" s="13">
        <v>591960</v>
      </c>
      <c r="N513" s="13">
        <v>84705</v>
      </c>
      <c r="O513" s="13">
        <v>749388</v>
      </c>
      <c r="P513" s="13">
        <v>617346</v>
      </c>
      <c r="Q513" s="13">
        <v>262973</v>
      </c>
      <c r="R513" s="13">
        <v>-3579</v>
      </c>
      <c r="S513" s="13">
        <v>0</v>
      </c>
      <c r="T513" s="81">
        <v>16</v>
      </c>
    </row>
    <row r="514" spans="1:20" ht="15" customHeight="1" x14ac:dyDescent="0.2">
      <c r="A514" s="15" t="s">
        <v>1165</v>
      </c>
      <c r="B514" s="60">
        <v>5220243</v>
      </c>
      <c r="C514" s="15"/>
      <c r="D514" s="15"/>
      <c r="E514" s="15"/>
      <c r="F514" s="15" t="s">
        <v>265</v>
      </c>
      <c r="G514" s="34">
        <v>2</v>
      </c>
      <c r="H514" s="34">
        <v>9</v>
      </c>
      <c r="I514" s="15" t="s">
        <v>555</v>
      </c>
      <c r="J514" s="15" t="s">
        <v>74</v>
      </c>
      <c r="K514" s="74" t="s">
        <v>29</v>
      </c>
      <c r="L514" s="16">
        <v>1005454</v>
      </c>
      <c r="M514" s="16">
        <v>782087</v>
      </c>
      <c r="N514" s="16">
        <v>13004</v>
      </c>
      <c r="O514" s="16">
        <v>896509</v>
      </c>
      <c r="P514" s="16">
        <v>645396</v>
      </c>
      <c r="Q514" s="16">
        <v>108945</v>
      </c>
      <c r="R514" s="16">
        <v>7340</v>
      </c>
      <c r="S514" s="16">
        <v>0</v>
      </c>
      <c r="T514" s="111">
        <v>18</v>
      </c>
    </row>
    <row r="515" spans="1:20" ht="15" customHeight="1" x14ac:dyDescent="0.2">
      <c r="A515" s="12" t="s">
        <v>1166</v>
      </c>
      <c r="B515" s="56">
        <v>259231</v>
      </c>
      <c r="C515" s="12"/>
      <c r="D515" s="12"/>
      <c r="E515" s="12"/>
      <c r="F515" s="12" t="s">
        <v>265</v>
      </c>
      <c r="G515" s="33">
        <v>2</v>
      </c>
      <c r="H515" s="33">
        <v>9</v>
      </c>
      <c r="I515" s="12" t="s">
        <v>1167</v>
      </c>
      <c r="J515" s="12" t="s">
        <v>39</v>
      </c>
      <c r="K515" s="73" t="s">
        <v>29</v>
      </c>
      <c r="L515" s="13">
        <v>1005391</v>
      </c>
      <c r="M515" s="13">
        <v>742911</v>
      </c>
      <c r="N515" s="13">
        <v>29853</v>
      </c>
      <c r="O515" s="13">
        <v>875300</v>
      </c>
      <c r="P515" s="13">
        <v>847127</v>
      </c>
      <c r="Q515" s="13">
        <v>130091</v>
      </c>
      <c r="R515" s="13">
        <v>6264</v>
      </c>
      <c r="S515" s="13">
        <v>0</v>
      </c>
      <c r="T515" s="81">
        <v>23</v>
      </c>
    </row>
    <row r="516" spans="1:20" ht="15" customHeight="1" x14ac:dyDescent="0.2">
      <c r="A516" s="15" t="s">
        <v>1168</v>
      </c>
      <c r="B516" s="60">
        <v>2935307</v>
      </c>
      <c r="C516" s="15"/>
      <c r="D516" s="15"/>
      <c r="E516" s="15"/>
      <c r="F516" s="15" t="s">
        <v>265</v>
      </c>
      <c r="G516" s="34">
        <v>2</v>
      </c>
      <c r="H516" s="34">
        <v>9</v>
      </c>
      <c r="I516" s="15" t="s">
        <v>388</v>
      </c>
      <c r="J516" s="15" t="s">
        <v>389</v>
      </c>
      <c r="K516" s="74" t="s">
        <v>29</v>
      </c>
      <c r="L516" s="16">
        <v>995199</v>
      </c>
      <c r="M516" s="16">
        <v>393219</v>
      </c>
      <c r="N516" s="16">
        <v>24309</v>
      </c>
      <c r="O516" s="16">
        <v>765554</v>
      </c>
      <c r="P516" s="16">
        <v>710123</v>
      </c>
      <c r="Q516" s="16">
        <v>229645</v>
      </c>
      <c r="R516" s="16">
        <v>-145</v>
      </c>
      <c r="S516" s="16">
        <v>0</v>
      </c>
      <c r="T516" s="111">
        <v>11</v>
      </c>
    </row>
    <row r="517" spans="1:20" ht="15" customHeight="1" x14ac:dyDescent="0.2">
      <c r="A517" s="12" t="s">
        <v>1169</v>
      </c>
      <c r="B517" s="56">
        <v>1667766</v>
      </c>
      <c r="C517" s="12"/>
      <c r="D517" s="12"/>
      <c r="E517" s="12"/>
      <c r="F517" s="12" t="s">
        <v>265</v>
      </c>
      <c r="G517" s="33">
        <v>2</v>
      </c>
      <c r="H517" s="33">
        <v>9</v>
      </c>
      <c r="I517" s="12" t="s">
        <v>1170</v>
      </c>
      <c r="J517" s="12" t="s">
        <v>120</v>
      </c>
      <c r="K517" s="73" t="s">
        <v>29</v>
      </c>
      <c r="L517" s="13">
        <v>983845</v>
      </c>
      <c r="M517" s="13">
        <v>360619</v>
      </c>
      <c r="N517" s="13">
        <v>15303</v>
      </c>
      <c r="O517" s="13">
        <v>844666</v>
      </c>
      <c r="P517" s="13">
        <v>766276</v>
      </c>
      <c r="Q517" s="13">
        <v>139179</v>
      </c>
      <c r="R517" s="13">
        <v>11059</v>
      </c>
      <c r="S517" s="13">
        <v>0</v>
      </c>
      <c r="T517" s="81">
        <v>9</v>
      </c>
    </row>
    <row r="518" spans="1:20" ht="15" customHeight="1" x14ac:dyDescent="0.2">
      <c r="A518" s="15" t="s">
        <v>1171</v>
      </c>
      <c r="B518" s="60">
        <v>5861932</v>
      </c>
      <c r="C518" s="15"/>
      <c r="D518" s="15"/>
      <c r="E518" s="15"/>
      <c r="F518" s="15" t="s">
        <v>265</v>
      </c>
      <c r="G518" s="34">
        <v>2</v>
      </c>
      <c r="H518" s="34">
        <v>9</v>
      </c>
      <c r="I518" s="15" t="s">
        <v>1172</v>
      </c>
      <c r="J518" s="15" t="s">
        <v>217</v>
      </c>
      <c r="K518" s="74" t="s">
        <v>29</v>
      </c>
      <c r="L518" s="16">
        <v>981826</v>
      </c>
      <c r="M518" s="16">
        <v>295790</v>
      </c>
      <c r="N518" s="16">
        <v>27832</v>
      </c>
      <c r="O518" s="16">
        <v>856615</v>
      </c>
      <c r="P518" s="16">
        <v>839094</v>
      </c>
      <c r="Q518" s="16">
        <v>125211</v>
      </c>
      <c r="R518" s="16">
        <v>10141</v>
      </c>
      <c r="S518" s="16">
        <v>0</v>
      </c>
      <c r="T518" s="111">
        <v>15</v>
      </c>
    </row>
    <row r="519" spans="1:20" ht="15" customHeight="1" x14ac:dyDescent="0.2">
      <c r="A519" s="12" t="s">
        <v>1173</v>
      </c>
      <c r="B519" s="56">
        <v>19869338</v>
      </c>
      <c r="C519" s="12"/>
      <c r="D519" s="12"/>
      <c r="E519" s="12"/>
      <c r="F519" s="12" t="s">
        <v>265</v>
      </c>
      <c r="G519" s="33">
        <v>2</v>
      </c>
      <c r="H519" s="33">
        <v>9</v>
      </c>
      <c r="I519" s="12" t="s">
        <v>1174</v>
      </c>
      <c r="J519" s="12" t="s">
        <v>120</v>
      </c>
      <c r="K519" s="73" t="s">
        <v>29</v>
      </c>
      <c r="L519" s="13">
        <v>981415</v>
      </c>
      <c r="M519" s="13">
        <v>326943</v>
      </c>
      <c r="N519" s="13">
        <v>29037</v>
      </c>
      <c r="O519" s="13">
        <v>841451</v>
      </c>
      <c r="P519" s="13">
        <v>809736</v>
      </c>
      <c r="Q519" s="13">
        <v>139964</v>
      </c>
      <c r="R519" s="13">
        <v>7141</v>
      </c>
      <c r="S519" s="13">
        <v>0</v>
      </c>
      <c r="T519" s="81">
        <v>24</v>
      </c>
    </row>
    <row r="520" spans="1:20" ht="15" customHeight="1" x14ac:dyDescent="0.2">
      <c r="A520" s="15" t="s">
        <v>1175</v>
      </c>
      <c r="B520" s="60">
        <v>66262643</v>
      </c>
      <c r="C520" s="15"/>
      <c r="D520" s="15"/>
      <c r="E520" s="15"/>
      <c r="F520" s="15" t="s">
        <v>265</v>
      </c>
      <c r="G520" s="34">
        <v>2</v>
      </c>
      <c r="H520" s="34">
        <v>9</v>
      </c>
      <c r="I520" s="15" t="s">
        <v>1176</v>
      </c>
      <c r="J520" s="15" t="s">
        <v>120</v>
      </c>
      <c r="K520" s="74" t="s">
        <v>29</v>
      </c>
      <c r="L520" s="16">
        <v>975165</v>
      </c>
      <c r="M520" s="16">
        <v>355070</v>
      </c>
      <c r="N520" s="16">
        <v>32206</v>
      </c>
      <c r="O520" s="16">
        <v>828440</v>
      </c>
      <c r="P520" s="16">
        <v>697658</v>
      </c>
      <c r="Q520" s="16">
        <v>146725</v>
      </c>
      <c r="R520" s="16">
        <v>17963</v>
      </c>
      <c r="S520" s="16">
        <v>0</v>
      </c>
      <c r="T520" s="111">
        <v>2</v>
      </c>
    </row>
    <row r="521" spans="1:20" ht="15" customHeight="1" x14ac:dyDescent="0.2">
      <c r="A521" s="12" t="s">
        <v>1177</v>
      </c>
      <c r="B521" s="56">
        <v>2447120</v>
      </c>
      <c r="C521" s="12"/>
      <c r="D521" s="12"/>
      <c r="E521" s="12"/>
      <c r="F521" s="12" t="s">
        <v>265</v>
      </c>
      <c r="G521" s="33">
        <v>2</v>
      </c>
      <c r="H521" s="33">
        <v>9</v>
      </c>
      <c r="I521" s="12" t="s">
        <v>1178</v>
      </c>
      <c r="J521" s="12" t="s">
        <v>211</v>
      </c>
      <c r="K521" s="73" t="s">
        <v>29</v>
      </c>
      <c r="L521" s="13">
        <v>973474</v>
      </c>
      <c r="M521" s="13">
        <v>348738</v>
      </c>
      <c r="N521" s="13">
        <v>147716</v>
      </c>
      <c r="O521" s="13">
        <v>751358</v>
      </c>
      <c r="P521" s="13">
        <v>668221</v>
      </c>
      <c r="Q521" s="13">
        <v>222116</v>
      </c>
      <c r="R521" s="13">
        <v>22671</v>
      </c>
      <c r="S521" s="13">
        <v>0</v>
      </c>
      <c r="T521" s="81">
        <v>11</v>
      </c>
    </row>
    <row r="522" spans="1:20" ht="15" customHeight="1" x14ac:dyDescent="0.2">
      <c r="A522" s="15" t="s">
        <v>1179</v>
      </c>
      <c r="B522" s="60">
        <v>1259518</v>
      </c>
      <c r="C522" s="15"/>
      <c r="D522" s="15"/>
      <c r="E522" s="15"/>
      <c r="F522" s="15" t="s">
        <v>265</v>
      </c>
      <c r="G522" s="34">
        <v>2</v>
      </c>
      <c r="H522" s="34">
        <v>9</v>
      </c>
      <c r="I522" s="15" t="s">
        <v>1180</v>
      </c>
      <c r="J522" s="15" t="s">
        <v>39</v>
      </c>
      <c r="K522" s="74" t="s">
        <v>29</v>
      </c>
      <c r="L522" s="16">
        <v>959998</v>
      </c>
      <c r="M522" s="16">
        <v>643694</v>
      </c>
      <c r="N522" s="16">
        <v>27761</v>
      </c>
      <c r="O522" s="16">
        <v>828369</v>
      </c>
      <c r="P522" s="16">
        <v>809469</v>
      </c>
      <c r="Q522" s="16">
        <v>131629</v>
      </c>
      <c r="R522" s="16">
        <v>7336</v>
      </c>
      <c r="S522" s="16">
        <v>0</v>
      </c>
      <c r="T522" s="111">
        <v>12</v>
      </c>
    </row>
    <row r="523" spans="1:20" ht="15" customHeight="1" x14ac:dyDescent="0.2">
      <c r="A523" s="12" t="s">
        <v>1181</v>
      </c>
      <c r="B523" s="56">
        <v>18945670</v>
      </c>
      <c r="C523" s="12" t="s">
        <v>116</v>
      </c>
      <c r="D523" s="12" t="s">
        <v>117</v>
      </c>
      <c r="E523" s="12" t="s">
        <v>118</v>
      </c>
      <c r="F523" s="12" t="s">
        <v>98</v>
      </c>
      <c r="G523" s="33">
        <v>2</v>
      </c>
      <c r="H523" s="33">
        <v>16</v>
      </c>
      <c r="I523" s="12" t="s">
        <v>119</v>
      </c>
      <c r="J523" s="12" t="s">
        <v>120</v>
      </c>
      <c r="K523" s="73" t="s">
        <v>29</v>
      </c>
      <c r="L523" s="13">
        <v>959927</v>
      </c>
      <c r="M523" s="13">
        <v>0</v>
      </c>
      <c r="N523" s="13">
        <v>309227</v>
      </c>
      <c r="O523" s="13">
        <v>498811</v>
      </c>
      <c r="P523" s="13">
        <v>179229</v>
      </c>
      <c r="Q523" s="13">
        <v>461116</v>
      </c>
      <c r="R523" s="13">
        <v>16927</v>
      </c>
      <c r="S523" s="13">
        <v>2</v>
      </c>
      <c r="T523" s="81">
        <v>0</v>
      </c>
    </row>
    <row r="524" spans="1:20" ht="15" customHeight="1" x14ac:dyDescent="0.2">
      <c r="A524" s="15" t="s">
        <v>1182</v>
      </c>
      <c r="B524" s="60">
        <v>5158093</v>
      </c>
      <c r="C524" s="15"/>
      <c r="D524" s="15"/>
      <c r="E524" s="15"/>
      <c r="F524" s="15" t="s">
        <v>265</v>
      </c>
      <c r="G524" s="34">
        <v>2</v>
      </c>
      <c r="H524" s="34">
        <v>9</v>
      </c>
      <c r="I524" s="15" t="s">
        <v>996</v>
      </c>
      <c r="J524" s="15" t="s">
        <v>120</v>
      </c>
      <c r="K524" s="74" t="s">
        <v>29</v>
      </c>
      <c r="L524" s="16">
        <v>956240</v>
      </c>
      <c r="M524" s="16">
        <v>612156</v>
      </c>
      <c r="N524" s="16">
        <v>16139</v>
      </c>
      <c r="O524" s="16">
        <v>810589</v>
      </c>
      <c r="P524" s="16">
        <v>747215</v>
      </c>
      <c r="Q524" s="16">
        <v>145651</v>
      </c>
      <c r="R524" s="16">
        <v>14315</v>
      </c>
      <c r="S524" s="16">
        <v>0</v>
      </c>
      <c r="T524" s="111">
        <v>5</v>
      </c>
    </row>
    <row r="525" spans="1:20" ht="15" customHeight="1" x14ac:dyDescent="0.2">
      <c r="A525" s="12" t="s">
        <v>1183</v>
      </c>
      <c r="B525" s="56">
        <v>1760242</v>
      </c>
      <c r="C525" s="12"/>
      <c r="D525" s="12"/>
      <c r="E525" s="12"/>
      <c r="F525" s="12" t="s">
        <v>265</v>
      </c>
      <c r="G525" s="33">
        <v>2</v>
      </c>
      <c r="H525" s="33">
        <v>9</v>
      </c>
      <c r="I525" s="12" t="s">
        <v>119</v>
      </c>
      <c r="J525" s="12" t="s">
        <v>120</v>
      </c>
      <c r="K525" s="73" t="s">
        <v>29</v>
      </c>
      <c r="L525" s="13">
        <v>953164</v>
      </c>
      <c r="M525" s="13">
        <v>564494</v>
      </c>
      <c r="N525" s="13">
        <v>18455</v>
      </c>
      <c r="O525" s="13">
        <v>845950</v>
      </c>
      <c r="P525" s="13">
        <v>818649</v>
      </c>
      <c r="Q525" s="13">
        <v>107213</v>
      </c>
      <c r="R525" s="13">
        <v>4102</v>
      </c>
      <c r="S525" s="13">
        <v>0</v>
      </c>
      <c r="T525" s="81">
        <v>32</v>
      </c>
    </row>
    <row r="526" spans="1:20" ht="15" customHeight="1" x14ac:dyDescent="0.2">
      <c r="A526" s="15" t="s">
        <v>1184</v>
      </c>
      <c r="B526" s="60">
        <v>46518205</v>
      </c>
      <c r="C526" s="15" t="s">
        <v>109</v>
      </c>
      <c r="D526" s="15" t="s">
        <v>110</v>
      </c>
      <c r="E526" s="15" t="s">
        <v>111</v>
      </c>
      <c r="F526" s="15" t="s">
        <v>26</v>
      </c>
      <c r="G526" s="34">
        <v>3</v>
      </c>
      <c r="H526" s="34">
        <v>28</v>
      </c>
      <c r="I526" s="15" t="s">
        <v>38</v>
      </c>
      <c r="J526" s="15" t="s">
        <v>39</v>
      </c>
      <c r="K526" s="74" t="s">
        <v>29</v>
      </c>
      <c r="L526" s="16">
        <v>949890</v>
      </c>
      <c r="M526" s="16">
        <v>0</v>
      </c>
      <c r="N526" s="16">
        <v>0</v>
      </c>
      <c r="O526" s="16">
        <v>364062</v>
      </c>
      <c r="P526" s="16">
        <v>5816</v>
      </c>
      <c r="Q526" s="16">
        <v>585828</v>
      </c>
      <c r="R526" s="16">
        <v>20011</v>
      </c>
      <c r="S526" s="16">
        <v>2</v>
      </c>
      <c r="T526" s="111">
        <v>0</v>
      </c>
    </row>
    <row r="527" spans="1:20" ht="15" customHeight="1" x14ac:dyDescent="0.2">
      <c r="A527" s="12" t="s">
        <v>1185</v>
      </c>
      <c r="B527" s="56">
        <v>46642294</v>
      </c>
      <c r="C527" s="12"/>
      <c r="D527" s="12"/>
      <c r="E527" s="12"/>
      <c r="F527" s="12" t="s">
        <v>265</v>
      </c>
      <c r="G527" s="33">
        <v>2</v>
      </c>
      <c r="H527" s="33">
        <v>9</v>
      </c>
      <c r="I527" s="12" t="s">
        <v>587</v>
      </c>
      <c r="J527" s="12" t="s">
        <v>39</v>
      </c>
      <c r="K527" s="73" t="s">
        <v>29</v>
      </c>
      <c r="L527" s="13">
        <v>947329</v>
      </c>
      <c r="M527" s="13">
        <v>537941</v>
      </c>
      <c r="N527" s="13">
        <v>377480</v>
      </c>
      <c r="O527" s="13">
        <v>482719</v>
      </c>
      <c r="P527" s="13">
        <v>443595</v>
      </c>
      <c r="Q527" s="13">
        <v>464609</v>
      </c>
      <c r="R527" s="13">
        <v>19955</v>
      </c>
      <c r="S527" s="13">
        <v>0</v>
      </c>
      <c r="T527" s="81">
        <v>27</v>
      </c>
    </row>
    <row r="528" spans="1:20" ht="15" customHeight="1" x14ac:dyDescent="0.2">
      <c r="A528" s="15" t="s">
        <v>1186</v>
      </c>
      <c r="B528" s="60">
        <v>25536764</v>
      </c>
      <c r="C528" s="15"/>
      <c r="D528" s="15"/>
      <c r="E528" s="15"/>
      <c r="F528" s="15" t="s">
        <v>265</v>
      </c>
      <c r="G528" s="34">
        <v>2</v>
      </c>
      <c r="H528" s="34">
        <v>9</v>
      </c>
      <c r="I528" s="15" t="s">
        <v>1187</v>
      </c>
      <c r="J528" s="15" t="s">
        <v>120</v>
      </c>
      <c r="K528" s="74" t="s">
        <v>29</v>
      </c>
      <c r="L528" s="16">
        <v>947321</v>
      </c>
      <c r="M528" s="16">
        <v>439753</v>
      </c>
      <c r="N528" s="16">
        <v>70798</v>
      </c>
      <c r="O528" s="16">
        <v>840408</v>
      </c>
      <c r="P528" s="16">
        <v>800061</v>
      </c>
      <c r="Q528" s="16">
        <v>106913</v>
      </c>
      <c r="R528" s="16">
        <v>9446</v>
      </c>
      <c r="S528" s="16">
        <v>0</v>
      </c>
      <c r="T528" s="111">
        <v>18</v>
      </c>
    </row>
    <row r="529" spans="1:20" ht="15" customHeight="1" x14ac:dyDescent="0.2">
      <c r="A529" s="12" t="s">
        <v>1188</v>
      </c>
      <c r="B529" s="56">
        <v>8422119</v>
      </c>
      <c r="C529" s="12" t="s">
        <v>1189</v>
      </c>
      <c r="D529" s="12"/>
      <c r="E529" s="12" t="s">
        <v>1190</v>
      </c>
      <c r="F529" s="12" t="s">
        <v>84</v>
      </c>
      <c r="G529" s="33">
        <v>2</v>
      </c>
      <c r="H529" s="33">
        <v>41</v>
      </c>
      <c r="I529" s="12" t="s">
        <v>38</v>
      </c>
      <c r="J529" s="12" t="s">
        <v>39</v>
      </c>
      <c r="K529" s="73" t="s">
        <v>29</v>
      </c>
      <c r="L529" s="13">
        <v>943218</v>
      </c>
      <c r="M529" s="13">
        <v>105732</v>
      </c>
      <c r="N529" s="13">
        <v>203601</v>
      </c>
      <c r="O529" s="13">
        <v>675581</v>
      </c>
      <c r="P529" s="13">
        <v>397008</v>
      </c>
      <c r="Q529" s="13">
        <v>267637</v>
      </c>
      <c r="R529" s="13">
        <v>51793</v>
      </c>
      <c r="S529" s="13">
        <v>1</v>
      </c>
      <c r="T529" s="81">
        <v>0</v>
      </c>
    </row>
    <row r="530" spans="1:20" ht="15" customHeight="1" x14ac:dyDescent="0.2">
      <c r="A530" s="15" t="s">
        <v>1191</v>
      </c>
      <c r="B530" s="60">
        <v>24830879</v>
      </c>
      <c r="C530" s="15"/>
      <c r="D530" s="15"/>
      <c r="E530" s="15"/>
      <c r="F530" s="15" t="s">
        <v>265</v>
      </c>
      <c r="G530" s="34">
        <v>2</v>
      </c>
      <c r="H530" s="34">
        <v>9</v>
      </c>
      <c r="I530" s="15" t="s">
        <v>1192</v>
      </c>
      <c r="J530" s="15" t="s">
        <v>389</v>
      </c>
      <c r="K530" s="74" t="s">
        <v>29</v>
      </c>
      <c r="L530" s="16">
        <v>941722</v>
      </c>
      <c r="M530" s="16">
        <v>402614</v>
      </c>
      <c r="N530" s="16">
        <v>20608</v>
      </c>
      <c r="O530" s="16">
        <v>576020</v>
      </c>
      <c r="P530" s="16">
        <v>542483</v>
      </c>
      <c r="Q530" s="16">
        <v>365703</v>
      </c>
      <c r="R530" s="16">
        <v>24960</v>
      </c>
      <c r="S530" s="16">
        <v>0</v>
      </c>
      <c r="T530" s="111">
        <v>4</v>
      </c>
    </row>
    <row r="531" spans="1:20" ht="15" customHeight="1" x14ac:dyDescent="0.2">
      <c r="A531" s="12" t="s">
        <v>1193</v>
      </c>
      <c r="B531" s="56">
        <v>26178111</v>
      </c>
      <c r="C531" s="12"/>
      <c r="D531" s="12"/>
      <c r="E531" s="12"/>
      <c r="F531" s="12" t="s">
        <v>265</v>
      </c>
      <c r="G531" s="33">
        <v>2</v>
      </c>
      <c r="H531" s="33">
        <v>9</v>
      </c>
      <c r="I531" s="12" t="s">
        <v>1144</v>
      </c>
      <c r="J531" s="12" t="s">
        <v>120</v>
      </c>
      <c r="K531" s="73" t="s">
        <v>29</v>
      </c>
      <c r="L531" s="13">
        <v>939792</v>
      </c>
      <c r="M531" s="13">
        <v>343944</v>
      </c>
      <c r="N531" s="13">
        <v>21854</v>
      </c>
      <c r="O531" s="13">
        <v>778978</v>
      </c>
      <c r="P531" s="13">
        <v>688254</v>
      </c>
      <c r="Q531" s="13">
        <v>160814</v>
      </c>
      <c r="R531" s="13">
        <v>8338</v>
      </c>
      <c r="S531" s="13">
        <v>0</v>
      </c>
      <c r="T531" s="81">
        <v>6</v>
      </c>
    </row>
    <row r="532" spans="1:20" ht="15" customHeight="1" x14ac:dyDescent="0.2">
      <c r="A532" s="15" t="s">
        <v>1194</v>
      </c>
      <c r="B532" s="60">
        <v>34265561</v>
      </c>
      <c r="C532" s="15" t="s">
        <v>167</v>
      </c>
      <c r="D532" s="15" t="s">
        <v>168</v>
      </c>
      <c r="E532" s="15" t="s">
        <v>169</v>
      </c>
      <c r="F532" s="15" t="s">
        <v>65</v>
      </c>
      <c r="G532" s="34">
        <v>2</v>
      </c>
      <c r="H532" s="34">
        <v>19</v>
      </c>
      <c r="I532" s="15" t="s">
        <v>38</v>
      </c>
      <c r="J532" s="15" t="s">
        <v>39</v>
      </c>
      <c r="K532" s="74" t="s">
        <v>29</v>
      </c>
      <c r="L532" s="16">
        <v>938679</v>
      </c>
      <c r="M532" s="16">
        <v>0</v>
      </c>
      <c r="N532" s="16">
        <v>763352</v>
      </c>
      <c r="O532" s="16">
        <v>166479</v>
      </c>
      <c r="P532" s="16">
        <v>0</v>
      </c>
      <c r="Q532" s="16">
        <v>772199</v>
      </c>
      <c r="R532" s="16">
        <v>47979</v>
      </c>
      <c r="S532" s="16">
        <v>2</v>
      </c>
      <c r="T532" s="111">
        <v>0</v>
      </c>
    </row>
    <row r="533" spans="1:20" ht="15" customHeight="1" x14ac:dyDescent="0.2">
      <c r="A533" s="12" t="s">
        <v>1195</v>
      </c>
      <c r="B533" s="56">
        <v>71238232</v>
      </c>
      <c r="C533" s="12"/>
      <c r="D533" s="12"/>
      <c r="E533" s="12"/>
      <c r="F533" s="12" t="s">
        <v>265</v>
      </c>
      <c r="G533" s="33">
        <v>2</v>
      </c>
      <c r="H533" s="33">
        <v>9</v>
      </c>
      <c r="I533" s="12" t="s">
        <v>1196</v>
      </c>
      <c r="J533" s="12" t="s">
        <v>120</v>
      </c>
      <c r="K533" s="73" t="s">
        <v>29</v>
      </c>
      <c r="L533" s="13">
        <v>937029</v>
      </c>
      <c r="M533" s="13">
        <v>387340</v>
      </c>
      <c r="N533" s="13">
        <v>120213</v>
      </c>
      <c r="O533" s="13">
        <v>774654</v>
      </c>
      <c r="P533" s="13">
        <v>684123</v>
      </c>
      <c r="Q533" s="13">
        <v>162375</v>
      </c>
      <c r="R533" s="13">
        <v>23053</v>
      </c>
      <c r="S533" s="13">
        <v>0</v>
      </c>
      <c r="T533" s="81">
        <v>14</v>
      </c>
    </row>
    <row r="534" spans="1:20" ht="15" customHeight="1" x14ac:dyDescent="0.2">
      <c r="A534" s="15" t="s">
        <v>1197</v>
      </c>
      <c r="B534" s="60">
        <v>5883884</v>
      </c>
      <c r="C534" s="15" t="s">
        <v>1198</v>
      </c>
      <c r="D534" s="15"/>
      <c r="E534" s="15" t="s">
        <v>1199</v>
      </c>
      <c r="F534" s="15" t="s">
        <v>65</v>
      </c>
      <c r="G534" s="34">
        <v>3</v>
      </c>
      <c r="H534" s="34">
        <v>19</v>
      </c>
      <c r="I534" s="15" t="s">
        <v>107</v>
      </c>
      <c r="J534" s="15" t="s">
        <v>39</v>
      </c>
      <c r="K534" s="74" t="s">
        <v>29</v>
      </c>
      <c r="L534" s="16">
        <v>936459</v>
      </c>
      <c r="M534" s="16">
        <v>513699</v>
      </c>
      <c r="N534" s="16">
        <v>130</v>
      </c>
      <c r="O534" s="16">
        <v>781251</v>
      </c>
      <c r="P534" s="16">
        <v>500877</v>
      </c>
      <c r="Q534" s="16">
        <v>155207</v>
      </c>
      <c r="R534" s="16">
        <v>25386</v>
      </c>
      <c r="S534" s="16">
        <v>2</v>
      </c>
      <c r="T534" s="111">
        <v>0</v>
      </c>
    </row>
    <row r="535" spans="1:20" ht="15" customHeight="1" x14ac:dyDescent="0.2">
      <c r="A535" s="12" t="s">
        <v>1200</v>
      </c>
      <c r="B535" s="56">
        <v>22121209</v>
      </c>
      <c r="C535" s="12" t="s">
        <v>1201</v>
      </c>
      <c r="D535" s="12"/>
      <c r="E535" s="12" t="s">
        <v>1202</v>
      </c>
      <c r="F535" s="12" t="s">
        <v>84</v>
      </c>
      <c r="G535" s="33">
        <v>3</v>
      </c>
      <c r="H535" s="33">
        <v>41</v>
      </c>
      <c r="I535" s="12" t="s">
        <v>38</v>
      </c>
      <c r="J535" s="12" t="s">
        <v>39</v>
      </c>
      <c r="K535" s="73" t="s">
        <v>29</v>
      </c>
      <c r="L535" s="13">
        <v>935604</v>
      </c>
      <c r="M535" s="13">
        <v>0</v>
      </c>
      <c r="N535" s="13">
        <v>71302</v>
      </c>
      <c r="O535" s="13">
        <v>856291</v>
      </c>
      <c r="P535" s="13">
        <v>0</v>
      </c>
      <c r="Q535" s="13">
        <v>79313</v>
      </c>
      <c r="R535" s="13">
        <v>4938</v>
      </c>
      <c r="S535" s="13">
        <v>1</v>
      </c>
      <c r="T535" s="81">
        <v>0</v>
      </c>
    </row>
    <row r="536" spans="1:20" ht="15" customHeight="1" x14ac:dyDescent="0.2">
      <c r="A536" s="15" t="s">
        <v>1203</v>
      </c>
      <c r="B536" s="60">
        <v>76461557</v>
      </c>
      <c r="C536" s="15"/>
      <c r="D536" s="15"/>
      <c r="E536" s="15"/>
      <c r="F536" s="15" t="s">
        <v>265</v>
      </c>
      <c r="G536" s="34">
        <v>2</v>
      </c>
      <c r="H536" s="34">
        <v>9</v>
      </c>
      <c r="I536" s="15" t="s">
        <v>971</v>
      </c>
      <c r="J536" s="15" t="s">
        <v>229</v>
      </c>
      <c r="K536" s="74" t="s">
        <v>29</v>
      </c>
      <c r="L536" s="16">
        <v>919995</v>
      </c>
      <c r="M536" s="16">
        <v>449858</v>
      </c>
      <c r="N536" s="16">
        <v>420136</v>
      </c>
      <c r="O536" s="16">
        <v>625255</v>
      </c>
      <c r="P536" s="16">
        <v>601883</v>
      </c>
      <c r="Q536" s="16">
        <v>294739</v>
      </c>
      <c r="R536" s="16">
        <v>21476</v>
      </c>
      <c r="S536" s="16">
        <v>0</v>
      </c>
      <c r="T536" s="111">
        <v>2</v>
      </c>
    </row>
    <row r="537" spans="1:20" ht="15" customHeight="1" x14ac:dyDescent="0.2">
      <c r="A537" s="12" t="s">
        <v>1204</v>
      </c>
      <c r="B537" s="56">
        <v>10218474</v>
      </c>
      <c r="C537" s="12"/>
      <c r="D537" s="12"/>
      <c r="E537" s="12"/>
      <c r="F537" s="12" t="s">
        <v>265</v>
      </c>
      <c r="G537" s="33">
        <v>2</v>
      </c>
      <c r="H537" s="33">
        <v>9</v>
      </c>
      <c r="I537" s="12" t="s">
        <v>1205</v>
      </c>
      <c r="J537" s="12" t="s">
        <v>217</v>
      </c>
      <c r="K537" s="73" t="s">
        <v>29</v>
      </c>
      <c r="L537" s="13">
        <v>919638</v>
      </c>
      <c r="M537" s="13">
        <v>675720</v>
      </c>
      <c r="N537" s="13">
        <v>23417</v>
      </c>
      <c r="O537" s="13">
        <v>803468</v>
      </c>
      <c r="P537" s="13">
        <v>677792</v>
      </c>
      <c r="Q537" s="13">
        <v>116170</v>
      </c>
      <c r="R537" s="13">
        <v>4470</v>
      </c>
      <c r="S537" s="13">
        <v>0</v>
      </c>
      <c r="T537" s="81">
        <v>20</v>
      </c>
    </row>
    <row r="538" spans="1:20" ht="15" customHeight="1" x14ac:dyDescent="0.2">
      <c r="A538" s="15" t="s">
        <v>1206</v>
      </c>
      <c r="B538" s="60">
        <v>11969853</v>
      </c>
      <c r="C538" s="15"/>
      <c r="D538" s="15"/>
      <c r="E538" s="15"/>
      <c r="F538" s="15" t="s">
        <v>265</v>
      </c>
      <c r="G538" s="34">
        <v>2</v>
      </c>
      <c r="H538" s="34">
        <v>9</v>
      </c>
      <c r="I538" s="15" t="s">
        <v>340</v>
      </c>
      <c r="J538" s="15" t="s">
        <v>229</v>
      </c>
      <c r="K538" s="74" t="s">
        <v>29</v>
      </c>
      <c r="L538" s="16">
        <v>918101</v>
      </c>
      <c r="M538" s="16">
        <v>683744</v>
      </c>
      <c r="N538" s="16">
        <v>13330</v>
      </c>
      <c r="O538" s="16">
        <v>812471</v>
      </c>
      <c r="P538" s="16">
        <v>504888</v>
      </c>
      <c r="Q538" s="16">
        <v>105630</v>
      </c>
      <c r="R538" s="16">
        <v>-1196</v>
      </c>
      <c r="S538" s="16">
        <v>0</v>
      </c>
      <c r="T538" s="111">
        <v>17</v>
      </c>
    </row>
    <row r="539" spans="1:20" ht="15" customHeight="1" x14ac:dyDescent="0.2">
      <c r="A539" s="12" t="s">
        <v>1207</v>
      </c>
      <c r="B539" s="56">
        <v>9403026</v>
      </c>
      <c r="C539" s="12"/>
      <c r="D539" s="12"/>
      <c r="E539" s="12"/>
      <c r="F539" s="12" t="s">
        <v>265</v>
      </c>
      <c r="G539" s="33">
        <v>2</v>
      </c>
      <c r="H539" s="33">
        <v>9</v>
      </c>
      <c r="I539" s="12" t="s">
        <v>1208</v>
      </c>
      <c r="J539" s="12" t="s">
        <v>1209</v>
      </c>
      <c r="K539" s="73" t="s">
        <v>29</v>
      </c>
      <c r="L539" s="13">
        <v>908447</v>
      </c>
      <c r="M539" s="13">
        <v>642823</v>
      </c>
      <c r="N539" s="13">
        <v>28657</v>
      </c>
      <c r="O539" s="13">
        <v>761271</v>
      </c>
      <c r="P539" s="13">
        <v>570821</v>
      </c>
      <c r="Q539" s="13">
        <v>147175</v>
      </c>
      <c r="R539" s="13">
        <v>-2595</v>
      </c>
      <c r="S539" s="13">
        <v>0</v>
      </c>
      <c r="T539" s="81">
        <v>26</v>
      </c>
    </row>
    <row r="540" spans="1:20" ht="15" customHeight="1" x14ac:dyDescent="0.2">
      <c r="A540" s="15" t="s">
        <v>1210</v>
      </c>
      <c r="B540" s="60">
        <v>86389236</v>
      </c>
      <c r="C540" s="15"/>
      <c r="D540" s="15"/>
      <c r="E540" s="15"/>
      <c r="F540" s="15" t="s">
        <v>265</v>
      </c>
      <c r="G540" s="34">
        <v>2</v>
      </c>
      <c r="H540" s="34">
        <v>9</v>
      </c>
      <c r="I540" s="15" t="s">
        <v>1211</v>
      </c>
      <c r="J540" s="15" t="s">
        <v>120</v>
      </c>
      <c r="K540" s="74" t="s">
        <v>29</v>
      </c>
      <c r="L540" s="16">
        <v>904147</v>
      </c>
      <c r="M540" s="16">
        <v>395074</v>
      </c>
      <c r="N540" s="16">
        <v>24782</v>
      </c>
      <c r="O540" s="16">
        <v>819220</v>
      </c>
      <c r="P540" s="16">
        <v>771304</v>
      </c>
      <c r="Q540" s="16">
        <v>84927</v>
      </c>
      <c r="R540" s="16">
        <v>-1573</v>
      </c>
      <c r="S540" s="16">
        <v>0</v>
      </c>
      <c r="T540" s="111">
        <v>31</v>
      </c>
    </row>
    <row r="541" spans="1:20" ht="15" customHeight="1" x14ac:dyDescent="0.2">
      <c r="A541" s="12" t="s">
        <v>1212</v>
      </c>
      <c r="B541" s="56">
        <v>26960328</v>
      </c>
      <c r="C541" s="12"/>
      <c r="D541" s="12"/>
      <c r="E541" s="12"/>
      <c r="F541" s="12" t="s">
        <v>265</v>
      </c>
      <c r="G541" s="33">
        <v>2</v>
      </c>
      <c r="H541" s="33">
        <v>9</v>
      </c>
      <c r="I541" s="12" t="s">
        <v>1213</v>
      </c>
      <c r="J541" s="12" t="s">
        <v>1214</v>
      </c>
      <c r="K541" s="73" t="s">
        <v>29</v>
      </c>
      <c r="L541" s="13">
        <v>903959</v>
      </c>
      <c r="M541" s="13">
        <v>439439</v>
      </c>
      <c r="N541" s="13">
        <v>25554</v>
      </c>
      <c r="O541" s="13">
        <v>771559</v>
      </c>
      <c r="P541" s="13">
        <v>688227</v>
      </c>
      <c r="Q541" s="13">
        <v>132400</v>
      </c>
      <c r="R541" s="13">
        <v>10991</v>
      </c>
      <c r="S541" s="13">
        <v>0</v>
      </c>
      <c r="T541" s="81">
        <v>17</v>
      </c>
    </row>
    <row r="542" spans="1:20" ht="15" customHeight="1" x14ac:dyDescent="0.2">
      <c r="A542" s="15" t="s">
        <v>1215</v>
      </c>
      <c r="B542" s="60">
        <v>36658769</v>
      </c>
      <c r="C542" s="15" t="s">
        <v>1216</v>
      </c>
      <c r="D542" s="15"/>
      <c r="E542" s="15" t="s">
        <v>1217</v>
      </c>
      <c r="F542" s="15" t="s">
        <v>60</v>
      </c>
      <c r="G542" s="34">
        <v>3</v>
      </c>
      <c r="H542" s="34">
        <v>8</v>
      </c>
      <c r="I542" s="15" t="s">
        <v>1218</v>
      </c>
      <c r="J542" s="15" t="s">
        <v>120</v>
      </c>
      <c r="K542" s="74" t="s">
        <v>29</v>
      </c>
      <c r="L542" s="16">
        <v>900852</v>
      </c>
      <c r="M542" s="16">
        <v>828395</v>
      </c>
      <c r="N542" s="16">
        <v>31617</v>
      </c>
      <c r="O542" s="16">
        <v>628163</v>
      </c>
      <c r="P542" s="16">
        <v>569682</v>
      </c>
      <c r="Q542" s="16">
        <v>272689</v>
      </c>
      <c r="R542" s="16">
        <v>8897</v>
      </c>
      <c r="S542" s="16">
        <v>2</v>
      </c>
      <c r="T542" s="111">
        <v>0</v>
      </c>
    </row>
    <row r="543" spans="1:20" ht="15" customHeight="1" x14ac:dyDescent="0.2">
      <c r="A543" s="12" t="s">
        <v>1219</v>
      </c>
      <c r="B543" s="56">
        <v>4013172</v>
      </c>
      <c r="C543" s="12"/>
      <c r="D543" s="12"/>
      <c r="E543" s="12"/>
      <c r="F543" s="12" t="s">
        <v>265</v>
      </c>
      <c r="G543" s="33">
        <v>2</v>
      </c>
      <c r="H543" s="33">
        <v>9</v>
      </c>
      <c r="I543" s="12" t="s">
        <v>934</v>
      </c>
      <c r="J543" s="12" t="s">
        <v>39</v>
      </c>
      <c r="K543" s="73" t="s">
        <v>29</v>
      </c>
      <c r="L543" s="13">
        <v>897475</v>
      </c>
      <c r="M543" s="13">
        <v>514939</v>
      </c>
      <c r="N543" s="13">
        <v>159765</v>
      </c>
      <c r="O543" s="13">
        <v>808472</v>
      </c>
      <c r="P543" s="13">
        <v>746847</v>
      </c>
      <c r="Q543" s="13">
        <v>89003</v>
      </c>
      <c r="R543" s="13">
        <v>-174</v>
      </c>
      <c r="S543" s="13">
        <v>0</v>
      </c>
      <c r="T543" s="81">
        <v>11</v>
      </c>
    </row>
    <row r="544" spans="1:20" ht="15" customHeight="1" x14ac:dyDescent="0.2">
      <c r="A544" s="15" t="s">
        <v>1220</v>
      </c>
      <c r="B544" s="60">
        <v>1559914</v>
      </c>
      <c r="C544" s="15"/>
      <c r="D544" s="15"/>
      <c r="E544" s="15"/>
      <c r="F544" s="15" t="s">
        <v>265</v>
      </c>
      <c r="G544" s="34">
        <v>2</v>
      </c>
      <c r="H544" s="34">
        <v>9</v>
      </c>
      <c r="I544" s="15" t="s">
        <v>992</v>
      </c>
      <c r="J544" s="15" t="s">
        <v>120</v>
      </c>
      <c r="K544" s="74" t="s">
        <v>29</v>
      </c>
      <c r="L544" s="16">
        <v>896171</v>
      </c>
      <c r="M544" s="16">
        <v>302241</v>
      </c>
      <c r="N544" s="16">
        <v>24535</v>
      </c>
      <c r="O544" s="16">
        <v>775065</v>
      </c>
      <c r="P544" s="16">
        <v>725714</v>
      </c>
      <c r="Q544" s="16">
        <v>121105</v>
      </c>
      <c r="R544" s="16">
        <v>16184</v>
      </c>
      <c r="S544" s="16">
        <v>0</v>
      </c>
      <c r="T544" s="111">
        <v>19</v>
      </c>
    </row>
    <row r="545" spans="1:20" ht="15" customHeight="1" x14ac:dyDescent="0.2">
      <c r="A545" s="12" t="s">
        <v>1221</v>
      </c>
      <c r="B545" s="56">
        <v>1286361</v>
      </c>
      <c r="C545" s="12"/>
      <c r="D545" s="12"/>
      <c r="E545" s="12"/>
      <c r="F545" s="12" t="s">
        <v>265</v>
      </c>
      <c r="G545" s="33">
        <v>2</v>
      </c>
      <c r="H545" s="33">
        <v>9</v>
      </c>
      <c r="I545" s="12" t="s">
        <v>670</v>
      </c>
      <c r="J545" s="12" t="s">
        <v>229</v>
      </c>
      <c r="K545" s="73" t="s">
        <v>29</v>
      </c>
      <c r="L545" s="13">
        <v>892378</v>
      </c>
      <c r="M545" s="13">
        <v>524002</v>
      </c>
      <c r="N545" s="13">
        <v>9398</v>
      </c>
      <c r="O545" s="13">
        <v>823567</v>
      </c>
      <c r="P545" s="13">
        <v>811224</v>
      </c>
      <c r="Q545" s="13">
        <v>68811</v>
      </c>
      <c r="R545" s="13">
        <v>-18798</v>
      </c>
      <c r="S545" s="13">
        <v>0</v>
      </c>
      <c r="T545" s="81">
        <v>18</v>
      </c>
    </row>
    <row r="546" spans="1:20" ht="15" customHeight="1" x14ac:dyDescent="0.2">
      <c r="A546" s="15" t="s">
        <v>1222</v>
      </c>
      <c r="B546" s="60">
        <v>53935029</v>
      </c>
      <c r="C546" s="15"/>
      <c r="D546" s="15"/>
      <c r="E546" s="15"/>
      <c r="F546" s="15" t="s">
        <v>265</v>
      </c>
      <c r="G546" s="34">
        <v>2</v>
      </c>
      <c r="H546" s="34">
        <v>9</v>
      </c>
      <c r="I546" s="15" t="s">
        <v>1223</v>
      </c>
      <c r="J546" s="15" t="s">
        <v>39</v>
      </c>
      <c r="K546" s="74" t="s">
        <v>29</v>
      </c>
      <c r="L546" s="16">
        <v>890785</v>
      </c>
      <c r="M546" s="16">
        <v>269069</v>
      </c>
      <c r="N546" s="16">
        <v>48726</v>
      </c>
      <c r="O546" s="16">
        <v>600783</v>
      </c>
      <c r="P546" s="16">
        <v>548688</v>
      </c>
      <c r="Q546" s="16">
        <v>290002</v>
      </c>
      <c r="R546" s="16">
        <v>16907</v>
      </c>
      <c r="S546" s="16">
        <v>0</v>
      </c>
      <c r="T546" s="111">
        <v>13</v>
      </c>
    </row>
    <row r="547" spans="1:20" ht="15" customHeight="1" x14ac:dyDescent="0.2">
      <c r="A547" s="12" t="s">
        <v>1224</v>
      </c>
      <c r="B547" s="56">
        <v>1152097</v>
      </c>
      <c r="C547" s="12"/>
      <c r="D547" s="12"/>
      <c r="E547" s="12"/>
      <c r="F547" s="12" t="s">
        <v>265</v>
      </c>
      <c r="G547" s="33">
        <v>2</v>
      </c>
      <c r="H547" s="33">
        <v>9</v>
      </c>
      <c r="I547" s="12" t="s">
        <v>1225</v>
      </c>
      <c r="J547" s="12" t="s">
        <v>120</v>
      </c>
      <c r="K547" s="73" t="s">
        <v>29</v>
      </c>
      <c r="L547" s="13">
        <v>890567</v>
      </c>
      <c r="M547" s="13">
        <v>354928</v>
      </c>
      <c r="N547" s="13">
        <v>20513</v>
      </c>
      <c r="O547" s="13">
        <v>768801</v>
      </c>
      <c r="P547" s="13">
        <v>677626</v>
      </c>
      <c r="Q547" s="13">
        <v>121766</v>
      </c>
      <c r="R547" s="13">
        <v>5299</v>
      </c>
      <c r="S547" s="13">
        <v>0</v>
      </c>
      <c r="T547" s="81">
        <v>19</v>
      </c>
    </row>
    <row r="548" spans="1:20" ht="15" customHeight="1" x14ac:dyDescent="0.2">
      <c r="A548" s="15" t="s">
        <v>1226</v>
      </c>
      <c r="B548" s="60">
        <v>71243034</v>
      </c>
      <c r="C548" s="15"/>
      <c r="D548" s="15"/>
      <c r="E548" s="15"/>
      <c r="F548" s="15" t="s">
        <v>265</v>
      </c>
      <c r="G548" s="34">
        <v>2</v>
      </c>
      <c r="H548" s="34">
        <v>9</v>
      </c>
      <c r="I548" s="15" t="s">
        <v>1227</v>
      </c>
      <c r="J548" s="15" t="s">
        <v>120</v>
      </c>
      <c r="K548" s="74" t="s">
        <v>29</v>
      </c>
      <c r="L548" s="16">
        <v>881780</v>
      </c>
      <c r="M548" s="16">
        <v>276402</v>
      </c>
      <c r="N548" s="16">
        <v>16382</v>
      </c>
      <c r="O548" s="16">
        <v>714246</v>
      </c>
      <c r="P548" s="16">
        <v>646955</v>
      </c>
      <c r="Q548" s="16">
        <v>167534</v>
      </c>
      <c r="R548" s="16">
        <v>14266</v>
      </c>
      <c r="S548" s="16">
        <v>0</v>
      </c>
      <c r="T548" s="111">
        <v>26</v>
      </c>
    </row>
    <row r="549" spans="1:20" ht="15" customHeight="1" x14ac:dyDescent="0.2">
      <c r="A549" s="12" t="s">
        <v>1228</v>
      </c>
      <c r="B549" s="56">
        <v>12392983</v>
      </c>
      <c r="C549" s="12" t="s">
        <v>1229</v>
      </c>
      <c r="D549" s="12"/>
      <c r="E549" s="12" t="s">
        <v>1230</v>
      </c>
      <c r="F549" s="12" t="s">
        <v>98</v>
      </c>
      <c r="G549" s="33">
        <v>3</v>
      </c>
      <c r="H549" s="33">
        <v>15</v>
      </c>
      <c r="I549" s="12" t="s">
        <v>38</v>
      </c>
      <c r="J549" s="12" t="s">
        <v>39</v>
      </c>
      <c r="K549" s="73" t="s">
        <v>29</v>
      </c>
      <c r="L549" s="13">
        <v>873478</v>
      </c>
      <c r="M549" s="13">
        <v>0</v>
      </c>
      <c r="N549" s="13">
        <v>392215</v>
      </c>
      <c r="O549" s="13">
        <v>472658</v>
      </c>
      <c r="P549" s="13">
        <v>174584</v>
      </c>
      <c r="Q549" s="13">
        <v>400820</v>
      </c>
      <c r="R549" s="13">
        <v>9853</v>
      </c>
      <c r="S549" s="13">
        <v>2</v>
      </c>
      <c r="T549" s="81">
        <v>0</v>
      </c>
    </row>
    <row r="550" spans="1:20" ht="15" customHeight="1" x14ac:dyDescent="0.2">
      <c r="A550" s="15" t="s">
        <v>1231</v>
      </c>
      <c r="B550" s="60">
        <v>46743943</v>
      </c>
      <c r="C550" s="15" t="s">
        <v>35</v>
      </c>
      <c r="D550" s="15" t="s">
        <v>36</v>
      </c>
      <c r="E550" s="15" t="s">
        <v>37</v>
      </c>
      <c r="F550" s="15" t="s">
        <v>65</v>
      </c>
      <c r="G550" s="34">
        <v>2</v>
      </c>
      <c r="H550" s="34">
        <v>43</v>
      </c>
      <c r="I550" s="15" t="s">
        <v>38</v>
      </c>
      <c r="J550" s="15" t="s">
        <v>39</v>
      </c>
      <c r="K550" s="74" t="s">
        <v>29</v>
      </c>
      <c r="L550" s="16">
        <v>871158</v>
      </c>
      <c r="M550" s="16">
        <v>0</v>
      </c>
      <c r="N550" s="16">
        <v>1</v>
      </c>
      <c r="O550" s="16">
        <v>34577</v>
      </c>
      <c r="P550" s="16">
        <v>0</v>
      </c>
      <c r="Q550" s="16">
        <v>836581</v>
      </c>
      <c r="R550" s="16">
        <v>83175</v>
      </c>
      <c r="S550" s="16">
        <v>2</v>
      </c>
      <c r="T550" s="111">
        <v>0</v>
      </c>
    </row>
    <row r="551" spans="1:20" ht="15" customHeight="1" x14ac:dyDescent="0.2">
      <c r="A551" s="12" t="s">
        <v>1232</v>
      </c>
      <c r="B551" s="56">
        <v>7469260</v>
      </c>
      <c r="C551" s="12"/>
      <c r="D551" s="12"/>
      <c r="E551" s="12"/>
      <c r="F551" s="12" t="s">
        <v>265</v>
      </c>
      <c r="G551" s="33">
        <v>2</v>
      </c>
      <c r="H551" s="33">
        <v>9</v>
      </c>
      <c r="I551" s="12" t="s">
        <v>119</v>
      </c>
      <c r="J551" s="12" t="s">
        <v>120</v>
      </c>
      <c r="K551" s="73" t="s">
        <v>29</v>
      </c>
      <c r="L551" s="13">
        <v>870252</v>
      </c>
      <c r="M551" s="13">
        <v>254668</v>
      </c>
      <c r="N551" s="13">
        <v>12702</v>
      </c>
      <c r="O551" s="13">
        <v>750063</v>
      </c>
      <c r="P551" s="13">
        <v>740631</v>
      </c>
      <c r="Q551" s="13">
        <v>120189</v>
      </c>
      <c r="R551" s="13">
        <v>10769</v>
      </c>
      <c r="S551" s="13">
        <v>0</v>
      </c>
      <c r="T551" s="81">
        <v>0</v>
      </c>
    </row>
    <row r="552" spans="1:20" ht="15" customHeight="1" x14ac:dyDescent="0.2">
      <c r="A552" s="15" t="s">
        <v>1233</v>
      </c>
      <c r="B552" s="60">
        <v>1009908</v>
      </c>
      <c r="C552" s="15"/>
      <c r="D552" s="15"/>
      <c r="E552" s="15"/>
      <c r="F552" s="15" t="s">
        <v>265</v>
      </c>
      <c r="G552" s="34">
        <v>2</v>
      </c>
      <c r="H552" s="34">
        <v>9</v>
      </c>
      <c r="I552" s="15" t="s">
        <v>1153</v>
      </c>
      <c r="J552" s="15" t="s">
        <v>120</v>
      </c>
      <c r="K552" s="74" t="s">
        <v>29</v>
      </c>
      <c r="L552" s="16">
        <v>864128</v>
      </c>
      <c r="M552" s="16">
        <v>254444</v>
      </c>
      <c r="N552" s="16">
        <v>11977</v>
      </c>
      <c r="O552" s="16">
        <v>772144</v>
      </c>
      <c r="P552" s="16">
        <v>750266</v>
      </c>
      <c r="Q552" s="16">
        <v>91984</v>
      </c>
      <c r="R552" s="16">
        <v>12534</v>
      </c>
      <c r="S552" s="16">
        <v>0</v>
      </c>
      <c r="T552" s="111">
        <v>4</v>
      </c>
    </row>
    <row r="553" spans="1:20" ht="15" customHeight="1" x14ac:dyDescent="0.2">
      <c r="A553" s="12" t="s">
        <v>1234</v>
      </c>
      <c r="B553" s="56">
        <v>3502968</v>
      </c>
      <c r="C553" s="12" t="s">
        <v>46</v>
      </c>
      <c r="D553" s="12" t="s">
        <v>47</v>
      </c>
      <c r="E553" s="12" t="s">
        <v>48</v>
      </c>
      <c r="F553" s="12" t="s">
        <v>98</v>
      </c>
      <c r="G553" s="33">
        <v>3</v>
      </c>
      <c r="H553" s="33">
        <v>16</v>
      </c>
      <c r="I553" s="12" t="s">
        <v>38</v>
      </c>
      <c r="J553" s="12" t="s">
        <v>39</v>
      </c>
      <c r="K553" s="73" t="s">
        <v>29</v>
      </c>
      <c r="L553" s="13">
        <v>863362</v>
      </c>
      <c r="M553" s="13">
        <v>0</v>
      </c>
      <c r="N553" s="13">
        <v>335807</v>
      </c>
      <c r="O553" s="13">
        <v>52988</v>
      </c>
      <c r="P553" s="13">
        <v>0</v>
      </c>
      <c r="Q553" s="13">
        <v>810374</v>
      </c>
      <c r="R553" s="13">
        <v>62557</v>
      </c>
      <c r="S553" s="13">
        <v>2</v>
      </c>
      <c r="T553" s="81">
        <v>0</v>
      </c>
    </row>
    <row r="554" spans="1:20" ht="15" customHeight="1" x14ac:dyDescent="0.2">
      <c r="A554" s="15" t="s">
        <v>1235</v>
      </c>
      <c r="B554" s="60">
        <v>8055016</v>
      </c>
      <c r="C554" s="15"/>
      <c r="D554" s="15"/>
      <c r="E554" s="15"/>
      <c r="F554" s="15" t="s">
        <v>265</v>
      </c>
      <c r="G554" s="34">
        <v>2</v>
      </c>
      <c r="H554" s="34">
        <v>9</v>
      </c>
      <c r="I554" s="15" t="s">
        <v>1236</v>
      </c>
      <c r="J554" s="15" t="s">
        <v>217</v>
      </c>
      <c r="K554" s="74" t="s">
        <v>29</v>
      </c>
      <c r="L554" s="16">
        <v>860468</v>
      </c>
      <c r="M554" s="16">
        <v>617651</v>
      </c>
      <c r="N554" s="16">
        <v>35207</v>
      </c>
      <c r="O554" s="16">
        <v>726360</v>
      </c>
      <c r="P554" s="16">
        <v>474788</v>
      </c>
      <c r="Q554" s="16">
        <v>134108</v>
      </c>
      <c r="R554" s="16">
        <v>8198</v>
      </c>
      <c r="S554" s="16">
        <v>0</v>
      </c>
      <c r="T554" s="111">
        <v>16</v>
      </c>
    </row>
    <row r="555" spans="1:20" ht="15" customHeight="1" x14ac:dyDescent="0.2">
      <c r="A555" s="12" t="s">
        <v>1237</v>
      </c>
      <c r="B555" s="56">
        <v>3877288</v>
      </c>
      <c r="C555" s="12" t="s">
        <v>1052</v>
      </c>
      <c r="D555" s="12"/>
      <c r="E555" s="12" t="s">
        <v>1053</v>
      </c>
      <c r="F555" s="12" t="s">
        <v>84</v>
      </c>
      <c r="G555" s="33">
        <v>2</v>
      </c>
      <c r="H555" s="33">
        <v>41</v>
      </c>
      <c r="I555" s="12" t="s">
        <v>228</v>
      </c>
      <c r="J555" s="12" t="s">
        <v>229</v>
      </c>
      <c r="K555" s="73" t="s">
        <v>29</v>
      </c>
      <c r="L555" s="13">
        <v>846527</v>
      </c>
      <c r="M555" s="13">
        <v>428653</v>
      </c>
      <c r="N555" s="13">
        <v>149714</v>
      </c>
      <c r="O555" s="13">
        <v>753892</v>
      </c>
      <c r="P555" s="13">
        <v>137651</v>
      </c>
      <c r="Q555" s="13">
        <v>92635</v>
      </c>
      <c r="R555" s="13">
        <v>3411</v>
      </c>
      <c r="S555" s="13">
        <v>1</v>
      </c>
      <c r="T555" s="81">
        <v>0</v>
      </c>
    </row>
    <row r="556" spans="1:20" ht="15" customHeight="1" x14ac:dyDescent="0.2">
      <c r="A556" s="15" t="s">
        <v>1238</v>
      </c>
      <c r="B556" s="60">
        <v>78862083</v>
      </c>
      <c r="C556" s="15"/>
      <c r="D556" s="15"/>
      <c r="E556" s="15"/>
      <c r="F556" s="15" t="s">
        <v>265</v>
      </c>
      <c r="G556" s="34">
        <v>2</v>
      </c>
      <c r="H556" s="34">
        <v>9</v>
      </c>
      <c r="I556" s="15" t="s">
        <v>1239</v>
      </c>
      <c r="J556" s="15" t="s">
        <v>217</v>
      </c>
      <c r="K556" s="74" t="s">
        <v>29</v>
      </c>
      <c r="L556" s="16">
        <v>837101</v>
      </c>
      <c r="M556" s="16">
        <v>537962</v>
      </c>
      <c r="N556" s="16">
        <v>23814</v>
      </c>
      <c r="O556" s="16">
        <v>724243</v>
      </c>
      <c r="P556" s="16">
        <v>578850</v>
      </c>
      <c r="Q556" s="16">
        <v>112858</v>
      </c>
      <c r="R556" s="16">
        <v>5870</v>
      </c>
      <c r="S556" s="16">
        <v>0</v>
      </c>
      <c r="T556" s="111">
        <v>13</v>
      </c>
    </row>
    <row r="557" spans="1:20" ht="15" customHeight="1" x14ac:dyDescent="0.2">
      <c r="A557" s="12" t="s">
        <v>1240</v>
      </c>
      <c r="B557" s="56">
        <v>3046391</v>
      </c>
      <c r="C557" s="12"/>
      <c r="D557" s="12"/>
      <c r="E557" s="12"/>
      <c r="F557" s="12" t="s">
        <v>199</v>
      </c>
      <c r="G557" s="33">
        <v>2</v>
      </c>
      <c r="H557" s="33">
        <v>9</v>
      </c>
      <c r="I557" s="12" t="s">
        <v>372</v>
      </c>
      <c r="J557" s="12" t="s">
        <v>229</v>
      </c>
      <c r="K557" s="73" t="s">
        <v>29</v>
      </c>
      <c r="L557" s="13">
        <v>829065</v>
      </c>
      <c r="M557" s="13">
        <v>0</v>
      </c>
      <c r="N557" s="13">
        <v>666217</v>
      </c>
      <c r="O557" s="13">
        <v>799689</v>
      </c>
      <c r="P557" s="13">
        <v>2068</v>
      </c>
      <c r="Q557" s="13">
        <v>29376</v>
      </c>
      <c r="R557" s="13">
        <v>-737</v>
      </c>
      <c r="S557" s="13">
        <v>0</v>
      </c>
      <c r="T557" s="81">
        <v>3</v>
      </c>
    </row>
    <row r="558" spans="1:20" ht="15" customHeight="1" x14ac:dyDescent="0.2">
      <c r="A558" s="15" t="s">
        <v>1241</v>
      </c>
      <c r="B558" s="60">
        <v>5940203</v>
      </c>
      <c r="C558" s="15" t="s">
        <v>1242</v>
      </c>
      <c r="D558" s="15"/>
      <c r="E558" s="15" t="s">
        <v>1243</v>
      </c>
      <c r="F558" s="15" t="s">
        <v>65</v>
      </c>
      <c r="G558" s="34">
        <v>1</v>
      </c>
      <c r="H558" s="34">
        <v>30</v>
      </c>
      <c r="I558" s="15" t="s">
        <v>53</v>
      </c>
      <c r="J558" s="15" t="s">
        <v>54</v>
      </c>
      <c r="K558" s="74" t="s">
        <v>29</v>
      </c>
      <c r="L558" s="16">
        <v>828891</v>
      </c>
      <c r="M558" s="16">
        <v>282939</v>
      </c>
      <c r="N558" s="16">
        <v>475746</v>
      </c>
      <c r="O558" s="16">
        <v>227641</v>
      </c>
      <c r="P558" s="16">
        <v>104153</v>
      </c>
      <c r="Q558" s="16">
        <v>601250</v>
      </c>
      <c r="R558" s="16">
        <v>6693</v>
      </c>
      <c r="S558" s="16">
        <v>1</v>
      </c>
      <c r="T558" s="111">
        <v>0</v>
      </c>
    </row>
    <row r="559" spans="1:20" ht="15" customHeight="1" x14ac:dyDescent="0.2">
      <c r="A559" s="12" t="s">
        <v>1244</v>
      </c>
      <c r="B559" s="56">
        <v>16581207</v>
      </c>
      <c r="C559" s="12" t="s">
        <v>584</v>
      </c>
      <c r="D559" s="12"/>
      <c r="E559" s="12" t="s">
        <v>586</v>
      </c>
      <c r="F559" s="12" t="s">
        <v>84</v>
      </c>
      <c r="G559" s="33">
        <v>2</v>
      </c>
      <c r="H559" s="33">
        <v>41</v>
      </c>
      <c r="I559" s="12" t="s">
        <v>587</v>
      </c>
      <c r="J559" s="12" t="s">
        <v>39</v>
      </c>
      <c r="K559" s="73" t="s">
        <v>29</v>
      </c>
      <c r="L559" s="13">
        <v>824327</v>
      </c>
      <c r="M559" s="13">
        <v>529943</v>
      </c>
      <c r="N559" s="13">
        <v>19419</v>
      </c>
      <c r="O559" s="13">
        <v>661419</v>
      </c>
      <c r="P559" s="13">
        <v>60000</v>
      </c>
      <c r="Q559" s="13">
        <v>162908</v>
      </c>
      <c r="R559" s="13">
        <v>-31519</v>
      </c>
      <c r="S559" s="13">
        <v>1</v>
      </c>
      <c r="T559" s="81">
        <v>0</v>
      </c>
    </row>
    <row r="560" spans="1:20" ht="15" customHeight="1" x14ac:dyDescent="0.2">
      <c r="A560" s="15" t="s">
        <v>1245</v>
      </c>
      <c r="B560" s="60">
        <v>34991938</v>
      </c>
      <c r="C560" s="15" t="s">
        <v>1246</v>
      </c>
      <c r="D560" s="15"/>
      <c r="E560" s="15" t="s">
        <v>1247</v>
      </c>
      <c r="F560" s="15" t="s">
        <v>65</v>
      </c>
      <c r="G560" s="34">
        <v>2</v>
      </c>
      <c r="H560" s="34">
        <v>14</v>
      </c>
      <c r="I560" s="15" t="s">
        <v>73</v>
      </c>
      <c r="J560" s="15" t="s">
        <v>74</v>
      </c>
      <c r="K560" s="74" t="s">
        <v>29</v>
      </c>
      <c r="L560" s="16">
        <v>817931</v>
      </c>
      <c r="M560" s="16">
        <v>272774</v>
      </c>
      <c r="N560" s="16">
        <v>113193</v>
      </c>
      <c r="O560" s="16">
        <v>717467</v>
      </c>
      <c r="P560" s="16">
        <v>682359</v>
      </c>
      <c r="Q560" s="16">
        <v>100463</v>
      </c>
      <c r="R560" s="16">
        <v>14318</v>
      </c>
      <c r="S560" s="16">
        <v>2</v>
      </c>
      <c r="T560" s="111">
        <v>0</v>
      </c>
    </row>
    <row r="561" spans="1:20" ht="15" customHeight="1" x14ac:dyDescent="0.2">
      <c r="A561" s="12" t="s">
        <v>1248</v>
      </c>
      <c r="B561" s="56">
        <v>66398496</v>
      </c>
      <c r="C561" s="12"/>
      <c r="D561" s="12"/>
      <c r="E561" s="12"/>
      <c r="F561" s="12" t="s">
        <v>265</v>
      </c>
      <c r="G561" s="33">
        <v>2</v>
      </c>
      <c r="H561" s="33">
        <v>9</v>
      </c>
      <c r="I561" s="12" t="s">
        <v>1249</v>
      </c>
      <c r="J561" s="12" t="s">
        <v>120</v>
      </c>
      <c r="K561" s="73" t="s">
        <v>29</v>
      </c>
      <c r="L561" s="13">
        <v>813718</v>
      </c>
      <c r="M561" s="13">
        <v>462050</v>
      </c>
      <c r="N561" s="13">
        <v>22332</v>
      </c>
      <c r="O561" s="13">
        <v>689228</v>
      </c>
      <c r="P561" s="13">
        <v>580009</v>
      </c>
      <c r="Q561" s="13">
        <v>124489</v>
      </c>
      <c r="R561" s="13">
        <v>-2781</v>
      </c>
      <c r="S561" s="13">
        <v>0</v>
      </c>
      <c r="T561" s="81">
        <v>10</v>
      </c>
    </row>
    <row r="562" spans="1:20" ht="15" customHeight="1" x14ac:dyDescent="0.2">
      <c r="A562" s="15" t="s">
        <v>1250</v>
      </c>
      <c r="B562" s="60">
        <v>6174009</v>
      </c>
      <c r="C562" s="15"/>
      <c r="D562" s="15"/>
      <c r="E562" s="15"/>
      <c r="F562" s="15" t="s">
        <v>265</v>
      </c>
      <c r="G562" s="34">
        <v>2</v>
      </c>
      <c r="H562" s="34">
        <v>9</v>
      </c>
      <c r="I562" s="15" t="s">
        <v>1251</v>
      </c>
      <c r="J562" s="15" t="s">
        <v>229</v>
      </c>
      <c r="K562" s="74" t="s">
        <v>29</v>
      </c>
      <c r="L562" s="16">
        <v>808400</v>
      </c>
      <c r="M562" s="16">
        <v>417611</v>
      </c>
      <c r="N562" s="16">
        <v>18765</v>
      </c>
      <c r="O562" s="16">
        <v>698532</v>
      </c>
      <c r="P562" s="16">
        <v>595398</v>
      </c>
      <c r="Q562" s="16">
        <v>109868</v>
      </c>
      <c r="R562" s="16">
        <v>4506</v>
      </c>
      <c r="S562" s="16">
        <v>0</v>
      </c>
      <c r="T562" s="111">
        <v>30</v>
      </c>
    </row>
    <row r="563" spans="1:20" ht="15" customHeight="1" x14ac:dyDescent="0.2">
      <c r="A563" s="12" t="s">
        <v>1252</v>
      </c>
      <c r="B563" s="56">
        <v>57839805</v>
      </c>
      <c r="C563" s="12" t="s">
        <v>1253</v>
      </c>
      <c r="D563" s="12"/>
      <c r="E563" s="12" t="s">
        <v>1254</v>
      </c>
      <c r="F563" s="12" t="s">
        <v>60</v>
      </c>
      <c r="G563" s="33">
        <v>2</v>
      </c>
      <c r="H563" s="33">
        <v>8</v>
      </c>
      <c r="I563" s="12" t="s">
        <v>38</v>
      </c>
      <c r="J563" s="12" t="s">
        <v>39</v>
      </c>
      <c r="K563" s="73" t="s">
        <v>29</v>
      </c>
      <c r="L563" s="13">
        <v>799788</v>
      </c>
      <c r="M563" s="13">
        <v>317010</v>
      </c>
      <c r="N563" s="13">
        <v>2509</v>
      </c>
      <c r="O563" s="13">
        <v>568917</v>
      </c>
      <c r="P563" s="13">
        <v>545552</v>
      </c>
      <c r="Q563" s="13">
        <v>230871</v>
      </c>
      <c r="R563" s="13">
        <v>18534</v>
      </c>
      <c r="S563" s="13">
        <v>2</v>
      </c>
      <c r="T563" s="81">
        <v>0</v>
      </c>
    </row>
    <row r="564" spans="1:20" ht="15" customHeight="1" x14ac:dyDescent="0.2">
      <c r="A564" s="15" t="s">
        <v>1255</v>
      </c>
      <c r="B564" s="60">
        <v>78626983</v>
      </c>
      <c r="C564" s="15" t="s">
        <v>1256</v>
      </c>
      <c r="D564" s="15" t="s">
        <v>1257</v>
      </c>
      <c r="E564" s="15" t="s">
        <v>1258</v>
      </c>
      <c r="F564" s="15" t="s">
        <v>26</v>
      </c>
      <c r="G564" s="34">
        <v>2</v>
      </c>
      <c r="H564" s="34">
        <v>8</v>
      </c>
      <c r="I564" s="15" t="s">
        <v>38</v>
      </c>
      <c r="J564" s="15" t="s">
        <v>39</v>
      </c>
      <c r="K564" s="74" t="s">
        <v>29</v>
      </c>
      <c r="L564" s="16">
        <v>791006</v>
      </c>
      <c r="M564" s="16">
        <v>77569</v>
      </c>
      <c r="N564" s="16">
        <v>0</v>
      </c>
      <c r="O564" s="16">
        <v>739752</v>
      </c>
      <c r="P564" s="16">
        <v>670454</v>
      </c>
      <c r="Q564" s="16">
        <v>51255</v>
      </c>
      <c r="R564" s="16">
        <v>4231</v>
      </c>
      <c r="S564" s="16">
        <v>2</v>
      </c>
      <c r="T564" s="111">
        <v>0</v>
      </c>
    </row>
    <row r="565" spans="1:20" ht="15" customHeight="1" x14ac:dyDescent="0.2">
      <c r="A565" s="12" t="s">
        <v>1259</v>
      </c>
      <c r="B565" s="56">
        <v>34590184</v>
      </c>
      <c r="C565" s="12" t="s">
        <v>127</v>
      </c>
      <c r="D565" s="12" t="s">
        <v>128</v>
      </c>
      <c r="E565" s="12" t="s">
        <v>128</v>
      </c>
      <c r="F565" s="12" t="s">
        <v>65</v>
      </c>
      <c r="G565" s="33">
        <v>3</v>
      </c>
      <c r="H565" s="33">
        <v>43</v>
      </c>
      <c r="I565" s="12" t="s">
        <v>38</v>
      </c>
      <c r="J565" s="12" t="s">
        <v>39</v>
      </c>
      <c r="K565" s="73" t="s">
        <v>29</v>
      </c>
      <c r="L565" s="13">
        <v>790884</v>
      </c>
      <c r="M565" s="13">
        <v>457984</v>
      </c>
      <c r="N565" s="13">
        <v>0</v>
      </c>
      <c r="O565" s="13">
        <v>33050</v>
      </c>
      <c r="P565" s="13">
        <v>0</v>
      </c>
      <c r="Q565" s="13">
        <v>757834</v>
      </c>
      <c r="R565" s="13">
        <v>15333</v>
      </c>
      <c r="S565" s="13">
        <v>2</v>
      </c>
      <c r="T565" s="81">
        <v>0</v>
      </c>
    </row>
    <row r="566" spans="1:20" ht="15" customHeight="1" x14ac:dyDescent="0.2">
      <c r="A566" s="15" t="s">
        <v>1260</v>
      </c>
      <c r="B566" s="60">
        <v>5983995</v>
      </c>
      <c r="C566" s="15"/>
      <c r="D566" s="15"/>
      <c r="E566" s="15"/>
      <c r="F566" s="15" t="s">
        <v>265</v>
      </c>
      <c r="G566" s="34">
        <v>2</v>
      </c>
      <c r="H566" s="34">
        <v>9</v>
      </c>
      <c r="I566" s="15" t="s">
        <v>1261</v>
      </c>
      <c r="J566" s="15" t="s">
        <v>74</v>
      </c>
      <c r="K566" s="74" t="s">
        <v>29</v>
      </c>
      <c r="L566" s="16">
        <v>788799</v>
      </c>
      <c r="M566" s="16">
        <v>565415</v>
      </c>
      <c r="N566" s="16">
        <v>11589</v>
      </c>
      <c r="O566" s="16">
        <v>711368</v>
      </c>
      <c r="P566" s="16">
        <v>482131</v>
      </c>
      <c r="Q566" s="16">
        <v>77430</v>
      </c>
      <c r="R566" s="16">
        <v>-343</v>
      </c>
      <c r="S566" s="16">
        <v>0</v>
      </c>
      <c r="T566" s="111">
        <v>23</v>
      </c>
    </row>
    <row r="567" spans="1:20" ht="15" customHeight="1" x14ac:dyDescent="0.2">
      <c r="A567" s="12" t="s">
        <v>1262</v>
      </c>
      <c r="B567" s="56">
        <v>7946451</v>
      </c>
      <c r="C567" s="12"/>
      <c r="D567" s="12"/>
      <c r="E567" s="12"/>
      <c r="F567" s="12" t="s">
        <v>265</v>
      </c>
      <c r="G567" s="33">
        <v>2</v>
      </c>
      <c r="H567" s="33">
        <v>9</v>
      </c>
      <c r="I567" s="12" t="s">
        <v>1263</v>
      </c>
      <c r="J567" s="12" t="s">
        <v>217</v>
      </c>
      <c r="K567" s="73" t="s">
        <v>29</v>
      </c>
      <c r="L567" s="13">
        <v>785443</v>
      </c>
      <c r="M567" s="13">
        <v>572789</v>
      </c>
      <c r="N567" s="13">
        <v>11654</v>
      </c>
      <c r="O567" s="13">
        <v>692982</v>
      </c>
      <c r="P567" s="13">
        <v>484937</v>
      </c>
      <c r="Q567" s="13">
        <v>92461</v>
      </c>
      <c r="R567" s="13">
        <v>944</v>
      </c>
      <c r="S567" s="13">
        <v>0</v>
      </c>
      <c r="T567" s="81">
        <v>23</v>
      </c>
    </row>
    <row r="568" spans="1:20" ht="15" customHeight="1" x14ac:dyDescent="0.2">
      <c r="A568" s="15" t="s">
        <v>1264</v>
      </c>
      <c r="B568" s="60">
        <v>7465539</v>
      </c>
      <c r="C568" s="15"/>
      <c r="D568" s="15"/>
      <c r="E568" s="15"/>
      <c r="F568" s="15" t="s">
        <v>265</v>
      </c>
      <c r="G568" s="34">
        <v>2</v>
      </c>
      <c r="H568" s="34">
        <v>9</v>
      </c>
      <c r="I568" s="15" t="s">
        <v>1265</v>
      </c>
      <c r="J568" s="15" t="s">
        <v>217</v>
      </c>
      <c r="K568" s="74" t="s">
        <v>29</v>
      </c>
      <c r="L568" s="16">
        <v>781195</v>
      </c>
      <c r="M568" s="16">
        <v>585615</v>
      </c>
      <c r="N568" s="16">
        <v>13695</v>
      </c>
      <c r="O568" s="16">
        <v>664648</v>
      </c>
      <c r="P568" s="16">
        <v>432960</v>
      </c>
      <c r="Q568" s="16">
        <v>116547</v>
      </c>
      <c r="R568" s="16">
        <v>2904</v>
      </c>
      <c r="S568" s="16">
        <v>0</v>
      </c>
      <c r="T568" s="111">
        <v>19</v>
      </c>
    </row>
    <row r="569" spans="1:20" ht="15" customHeight="1" x14ac:dyDescent="0.2">
      <c r="A569" s="12" t="s">
        <v>1266</v>
      </c>
      <c r="B569" s="56">
        <v>7502031</v>
      </c>
      <c r="C569" s="12"/>
      <c r="D569" s="12"/>
      <c r="E569" s="12"/>
      <c r="F569" s="12" t="s">
        <v>265</v>
      </c>
      <c r="G569" s="33">
        <v>2</v>
      </c>
      <c r="H569" s="33">
        <v>9</v>
      </c>
      <c r="I569" s="12" t="s">
        <v>1267</v>
      </c>
      <c r="J569" s="12" t="s">
        <v>389</v>
      </c>
      <c r="K569" s="73" t="s">
        <v>29</v>
      </c>
      <c r="L569" s="13">
        <v>780673</v>
      </c>
      <c r="M569" s="13">
        <v>531195</v>
      </c>
      <c r="N569" s="13">
        <v>31642</v>
      </c>
      <c r="O569" s="13">
        <v>601869</v>
      </c>
      <c r="P569" s="13">
        <v>522053</v>
      </c>
      <c r="Q569" s="13">
        <v>178804</v>
      </c>
      <c r="R569" s="13">
        <v>13546</v>
      </c>
      <c r="S569" s="13">
        <v>0</v>
      </c>
      <c r="T569" s="81">
        <v>11</v>
      </c>
    </row>
    <row r="570" spans="1:20" ht="15" customHeight="1" x14ac:dyDescent="0.2">
      <c r="A570" s="15" t="s">
        <v>1268</v>
      </c>
      <c r="B570" s="60">
        <v>73422792</v>
      </c>
      <c r="C570" s="15"/>
      <c r="D570" s="15"/>
      <c r="E570" s="15"/>
      <c r="F570" s="15" t="s">
        <v>265</v>
      </c>
      <c r="G570" s="34">
        <v>2</v>
      </c>
      <c r="H570" s="34">
        <v>9</v>
      </c>
      <c r="I570" s="15" t="s">
        <v>1269</v>
      </c>
      <c r="J570" s="15" t="s">
        <v>389</v>
      </c>
      <c r="K570" s="74" t="s">
        <v>29</v>
      </c>
      <c r="L570" s="16">
        <v>777341</v>
      </c>
      <c r="M570" s="16">
        <v>246647</v>
      </c>
      <c r="N570" s="16">
        <v>35398</v>
      </c>
      <c r="O570" s="16">
        <v>629294</v>
      </c>
      <c r="P570" s="16">
        <v>545054</v>
      </c>
      <c r="Q570" s="16">
        <v>148047</v>
      </c>
      <c r="R570" s="16">
        <v>10429</v>
      </c>
      <c r="S570" s="16">
        <v>0</v>
      </c>
      <c r="T570" s="111">
        <v>13</v>
      </c>
    </row>
    <row r="571" spans="1:20" ht="15" customHeight="1" x14ac:dyDescent="0.2">
      <c r="A571" s="12" t="s">
        <v>1270</v>
      </c>
      <c r="B571" s="56">
        <v>41707258</v>
      </c>
      <c r="C571" s="12"/>
      <c r="D571" s="12"/>
      <c r="E571" s="12"/>
      <c r="F571" s="12" t="s">
        <v>265</v>
      </c>
      <c r="G571" s="33">
        <v>2</v>
      </c>
      <c r="H571" s="33">
        <v>9</v>
      </c>
      <c r="I571" s="12" t="s">
        <v>1271</v>
      </c>
      <c r="J571" s="12" t="s">
        <v>120</v>
      </c>
      <c r="K571" s="73" t="s">
        <v>29</v>
      </c>
      <c r="L571" s="13">
        <v>775297</v>
      </c>
      <c r="M571" s="13">
        <v>467461</v>
      </c>
      <c r="N571" s="13">
        <v>18317</v>
      </c>
      <c r="O571" s="13">
        <v>686206</v>
      </c>
      <c r="P571" s="13">
        <v>586988</v>
      </c>
      <c r="Q571" s="13">
        <v>89091</v>
      </c>
      <c r="R571" s="13">
        <v>2798</v>
      </c>
      <c r="S571" s="13">
        <v>0</v>
      </c>
      <c r="T571" s="81">
        <v>8</v>
      </c>
    </row>
    <row r="572" spans="1:20" ht="15" customHeight="1" x14ac:dyDescent="0.2">
      <c r="A572" s="15" t="s">
        <v>1272</v>
      </c>
      <c r="B572" s="60">
        <v>9092759</v>
      </c>
      <c r="C572" s="15" t="s">
        <v>1273</v>
      </c>
      <c r="D572" s="15"/>
      <c r="E572" s="15" t="s">
        <v>1274</v>
      </c>
      <c r="F572" s="15" t="s">
        <v>84</v>
      </c>
      <c r="G572" s="34">
        <v>2</v>
      </c>
      <c r="H572" s="34">
        <v>41</v>
      </c>
      <c r="I572" s="15" t="s">
        <v>107</v>
      </c>
      <c r="J572" s="15" t="s">
        <v>39</v>
      </c>
      <c r="K572" s="74" t="s">
        <v>29</v>
      </c>
      <c r="L572" s="16">
        <v>773588</v>
      </c>
      <c r="M572" s="16">
        <v>48733</v>
      </c>
      <c r="N572" s="16">
        <v>98362</v>
      </c>
      <c r="O572" s="16">
        <v>515797</v>
      </c>
      <c r="P572" s="16">
        <v>499943</v>
      </c>
      <c r="Q572" s="16">
        <v>257791</v>
      </c>
      <c r="R572" s="16">
        <v>40468</v>
      </c>
      <c r="S572" s="16">
        <v>1</v>
      </c>
      <c r="T572" s="111">
        <v>0</v>
      </c>
    </row>
    <row r="573" spans="1:20" ht="15" customHeight="1" x14ac:dyDescent="0.2">
      <c r="A573" s="12" t="s">
        <v>1275</v>
      </c>
      <c r="B573" s="56">
        <v>18966739</v>
      </c>
      <c r="C573" s="12"/>
      <c r="D573" s="12"/>
      <c r="E573" s="12"/>
      <c r="F573" s="12" t="s">
        <v>265</v>
      </c>
      <c r="G573" s="33">
        <v>2</v>
      </c>
      <c r="H573" s="33">
        <v>9</v>
      </c>
      <c r="I573" s="12" t="s">
        <v>1276</v>
      </c>
      <c r="J573" s="12" t="s">
        <v>120</v>
      </c>
      <c r="K573" s="73" t="s">
        <v>29</v>
      </c>
      <c r="L573" s="13">
        <v>772439</v>
      </c>
      <c r="M573" s="13">
        <v>296127</v>
      </c>
      <c r="N573" s="13">
        <v>26147</v>
      </c>
      <c r="O573" s="13">
        <v>680410</v>
      </c>
      <c r="P573" s="13">
        <v>521654</v>
      </c>
      <c r="Q573" s="13">
        <v>92028</v>
      </c>
      <c r="R573" s="13">
        <v>7054</v>
      </c>
      <c r="S573" s="13">
        <v>0</v>
      </c>
      <c r="T573" s="81">
        <v>4</v>
      </c>
    </row>
    <row r="574" spans="1:20" ht="15" customHeight="1" x14ac:dyDescent="0.2">
      <c r="A574" s="15" t="s">
        <v>1277</v>
      </c>
      <c r="B574" s="60">
        <v>7318874</v>
      </c>
      <c r="C574" s="15"/>
      <c r="D574" s="15"/>
      <c r="E574" s="15"/>
      <c r="F574" s="15" t="s">
        <v>265</v>
      </c>
      <c r="G574" s="34">
        <v>2</v>
      </c>
      <c r="H574" s="34">
        <v>9</v>
      </c>
      <c r="I574" s="15" t="s">
        <v>1278</v>
      </c>
      <c r="J574" s="15" t="s">
        <v>229</v>
      </c>
      <c r="K574" s="74" t="s">
        <v>29</v>
      </c>
      <c r="L574" s="16">
        <v>768956</v>
      </c>
      <c r="M574" s="16">
        <v>454923</v>
      </c>
      <c r="N574" s="16">
        <v>13919</v>
      </c>
      <c r="O574" s="16">
        <v>662029</v>
      </c>
      <c r="P574" s="16">
        <v>553005</v>
      </c>
      <c r="Q574" s="16">
        <v>106927</v>
      </c>
      <c r="R574" s="16">
        <v>5978</v>
      </c>
      <c r="S574" s="16">
        <v>0</v>
      </c>
      <c r="T574" s="111">
        <v>10</v>
      </c>
    </row>
    <row r="575" spans="1:20" ht="15" customHeight="1" x14ac:dyDescent="0.2">
      <c r="A575" s="12" t="s">
        <v>1279</v>
      </c>
      <c r="B575" s="56">
        <v>13203354</v>
      </c>
      <c r="C575" s="12" t="s">
        <v>1280</v>
      </c>
      <c r="D575" s="12"/>
      <c r="E575" s="12" t="s">
        <v>1281</v>
      </c>
      <c r="F575" s="12" t="s">
        <v>84</v>
      </c>
      <c r="G575" s="33">
        <v>2</v>
      </c>
      <c r="H575" s="33">
        <v>41</v>
      </c>
      <c r="I575" s="12" t="s">
        <v>38</v>
      </c>
      <c r="J575" s="12" t="s">
        <v>39</v>
      </c>
      <c r="K575" s="73" t="s">
        <v>29</v>
      </c>
      <c r="L575" s="13">
        <v>768269</v>
      </c>
      <c r="M575" s="13">
        <v>0</v>
      </c>
      <c r="N575" s="13">
        <v>16986</v>
      </c>
      <c r="O575" s="13">
        <v>664692</v>
      </c>
      <c r="P575" s="13">
        <v>586811</v>
      </c>
      <c r="Q575" s="13">
        <v>103577</v>
      </c>
      <c r="R575" s="13">
        <v>8936</v>
      </c>
      <c r="S575" s="13">
        <v>1</v>
      </c>
      <c r="T575" s="81">
        <v>0</v>
      </c>
    </row>
    <row r="576" spans="1:20" ht="15" customHeight="1" x14ac:dyDescent="0.2">
      <c r="A576" s="15" t="s">
        <v>1282</v>
      </c>
      <c r="B576" s="60">
        <v>9089356</v>
      </c>
      <c r="C576" s="15" t="s">
        <v>1283</v>
      </c>
      <c r="D576" s="15"/>
      <c r="E576" s="15" t="s">
        <v>1284</v>
      </c>
      <c r="F576" s="15" t="s">
        <v>84</v>
      </c>
      <c r="G576" s="34">
        <v>2</v>
      </c>
      <c r="H576" s="34">
        <v>41</v>
      </c>
      <c r="I576" s="15" t="s">
        <v>1285</v>
      </c>
      <c r="J576" s="15" t="s">
        <v>120</v>
      </c>
      <c r="K576" s="74" t="s">
        <v>29</v>
      </c>
      <c r="L576" s="16">
        <v>765442</v>
      </c>
      <c r="M576" s="16">
        <v>30909</v>
      </c>
      <c r="N576" s="16">
        <v>96888</v>
      </c>
      <c r="O576" s="16">
        <v>695310</v>
      </c>
      <c r="P576" s="16">
        <v>617141</v>
      </c>
      <c r="Q576" s="16">
        <v>70132</v>
      </c>
      <c r="R576" s="16">
        <v>12749</v>
      </c>
      <c r="S576" s="16">
        <v>1</v>
      </c>
      <c r="T576" s="111">
        <v>0</v>
      </c>
    </row>
    <row r="577" spans="1:20" ht="15" customHeight="1" x14ac:dyDescent="0.2">
      <c r="A577" s="12" t="s">
        <v>1286</v>
      </c>
      <c r="B577" s="56">
        <v>15011719</v>
      </c>
      <c r="C577" s="12" t="s">
        <v>41</v>
      </c>
      <c r="D577" s="12"/>
      <c r="E577" s="12" t="s">
        <v>43</v>
      </c>
      <c r="F577" s="12" t="s">
        <v>84</v>
      </c>
      <c r="G577" s="33">
        <v>2</v>
      </c>
      <c r="H577" s="33">
        <v>41</v>
      </c>
      <c r="I577" s="12" t="s">
        <v>44</v>
      </c>
      <c r="J577" s="12" t="s">
        <v>39</v>
      </c>
      <c r="K577" s="73" t="s">
        <v>29</v>
      </c>
      <c r="L577" s="13">
        <v>764018</v>
      </c>
      <c r="M577" s="13">
        <v>0</v>
      </c>
      <c r="N577" s="13">
        <v>686791</v>
      </c>
      <c r="O577" s="13">
        <v>2056</v>
      </c>
      <c r="P577" s="13">
        <v>0</v>
      </c>
      <c r="Q577" s="13">
        <v>761962</v>
      </c>
      <c r="R577" s="13">
        <v>15911</v>
      </c>
      <c r="S577" s="13">
        <v>1</v>
      </c>
      <c r="T577" s="81">
        <v>0</v>
      </c>
    </row>
    <row r="578" spans="1:20" ht="15" customHeight="1" x14ac:dyDescent="0.2">
      <c r="A578" s="15" t="s">
        <v>1287</v>
      </c>
      <c r="B578" s="60">
        <v>25420696</v>
      </c>
      <c r="C578" s="15"/>
      <c r="D578" s="15"/>
      <c r="E578" s="15"/>
      <c r="F578" s="15" t="s">
        <v>265</v>
      </c>
      <c r="G578" s="34">
        <v>2</v>
      </c>
      <c r="H578" s="34">
        <v>9</v>
      </c>
      <c r="I578" s="15" t="s">
        <v>1288</v>
      </c>
      <c r="J578" s="15" t="s">
        <v>120</v>
      </c>
      <c r="K578" s="74" t="s">
        <v>29</v>
      </c>
      <c r="L578" s="16">
        <v>756343</v>
      </c>
      <c r="M578" s="16">
        <v>206075</v>
      </c>
      <c r="N578" s="16">
        <v>30373</v>
      </c>
      <c r="O578" s="16">
        <v>666355</v>
      </c>
      <c r="P578" s="16">
        <v>597495</v>
      </c>
      <c r="Q578" s="16">
        <v>89988</v>
      </c>
      <c r="R578" s="16">
        <v>1947</v>
      </c>
      <c r="S578" s="16">
        <v>0</v>
      </c>
      <c r="T578" s="111">
        <v>10</v>
      </c>
    </row>
    <row r="579" spans="1:20" ht="15" customHeight="1" x14ac:dyDescent="0.2">
      <c r="A579" s="12" t="s">
        <v>1289</v>
      </c>
      <c r="B579" s="56">
        <v>1722480</v>
      </c>
      <c r="C579" s="12" t="s">
        <v>1290</v>
      </c>
      <c r="D579" s="12"/>
      <c r="E579" s="12" t="s">
        <v>1291</v>
      </c>
      <c r="F579" s="12" t="s">
        <v>84</v>
      </c>
      <c r="G579" s="33">
        <v>2</v>
      </c>
      <c r="H579" s="33">
        <v>41</v>
      </c>
      <c r="I579" s="12" t="s">
        <v>1292</v>
      </c>
      <c r="J579" s="12" t="s">
        <v>74</v>
      </c>
      <c r="K579" s="73" t="s">
        <v>29</v>
      </c>
      <c r="L579" s="13">
        <v>747318</v>
      </c>
      <c r="M579" s="13">
        <v>345919</v>
      </c>
      <c r="N579" s="13">
        <v>25849</v>
      </c>
      <c r="O579" s="13">
        <v>618081</v>
      </c>
      <c r="P579" s="13">
        <v>18951</v>
      </c>
      <c r="Q579" s="13">
        <v>129237</v>
      </c>
      <c r="R579" s="13">
        <v>18479</v>
      </c>
      <c r="S579" s="13">
        <v>1</v>
      </c>
      <c r="T579" s="81">
        <v>0</v>
      </c>
    </row>
    <row r="580" spans="1:20" ht="15" customHeight="1" x14ac:dyDescent="0.2">
      <c r="A580" s="15" t="s">
        <v>1293</v>
      </c>
      <c r="B580" s="60">
        <v>10209619</v>
      </c>
      <c r="C580" s="15"/>
      <c r="D580" s="15"/>
      <c r="E580" s="15"/>
      <c r="F580" s="15" t="s">
        <v>265</v>
      </c>
      <c r="G580" s="34">
        <v>2</v>
      </c>
      <c r="H580" s="34">
        <v>9</v>
      </c>
      <c r="I580" s="15" t="s">
        <v>388</v>
      </c>
      <c r="J580" s="15" t="s">
        <v>389</v>
      </c>
      <c r="K580" s="74" t="s">
        <v>29</v>
      </c>
      <c r="L580" s="16">
        <v>745090</v>
      </c>
      <c r="M580" s="16">
        <v>436007</v>
      </c>
      <c r="N580" s="16">
        <v>46399</v>
      </c>
      <c r="O580" s="16">
        <v>598533</v>
      </c>
      <c r="P580" s="16">
        <v>556064</v>
      </c>
      <c r="Q580" s="16">
        <v>146557</v>
      </c>
      <c r="R580" s="16">
        <v>5702</v>
      </c>
      <c r="S580" s="16">
        <v>0</v>
      </c>
      <c r="T580" s="111">
        <v>6</v>
      </c>
    </row>
    <row r="581" spans="1:20" ht="15" customHeight="1" x14ac:dyDescent="0.2">
      <c r="A581" s="12" t="s">
        <v>1294</v>
      </c>
      <c r="B581" s="56">
        <v>42040639</v>
      </c>
      <c r="C581" s="12" t="s">
        <v>31</v>
      </c>
      <c r="D581" s="12" t="s">
        <v>32</v>
      </c>
      <c r="E581" s="12" t="s">
        <v>33</v>
      </c>
      <c r="F581" s="12" t="s">
        <v>98</v>
      </c>
      <c r="G581" s="33">
        <v>1</v>
      </c>
      <c r="H581" s="33">
        <v>16</v>
      </c>
      <c r="I581" s="12" t="s">
        <v>27</v>
      </c>
      <c r="J581" s="12" t="s">
        <v>28</v>
      </c>
      <c r="K581" s="73" t="s">
        <v>29</v>
      </c>
      <c r="L581" s="13">
        <v>743604</v>
      </c>
      <c r="M581" s="13">
        <v>0</v>
      </c>
      <c r="N581" s="13">
        <v>693938</v>
      </c>
      <c r="O581" s="13">
        <v>96359</v>
      </c>
      <c r="P581" s="13">
        <v>0</v>
      </c>
      <c r="Q581" s="13">
        <v>647244</v>
      </c>
      <c r="R581" s="13">
        <v>587237</v>
      </c>
      <c r="S581" s="13">
        <v>2</v>
      </c>
      <c r="T581" s="81">
        <v>0</v>
      </c>
    </row>
    <row r="582" spans="1:20" ht="15" customHeight="1" x14ac:dyDescent="0.2">
      <c r="A582" s="15" t="s">
        <v>1295</v>
      </c>
      <c r="B582" s="60">
        <v>3612764</v>
      </c>
      <c r="C582" s="15"/>
      <c r="D582" s="15"/>
      <c r="E582" s="15"/>
      <c r="F582" s="15" t="s">
        <v>265</v>
      </c>
      <c r="G582" s="34">
        <v>2</v>
      </c>
      <c r="H582" s="34">
        <v>9</v>
      </c>
      <c r="I582" s="15" t="s">
        <v>1296</v>
      </c>
      <c r="J582" s="15" t="s">
        <v>432</v>
      </c>
      <c r="K582" s="74" t="s">
        <v>29</v>
      </c>
      <c r="L582" s="16">
        <v>743068</v>
      </c>
      <c r="M582" s="16">
        <v>499379</v>
      </c>
      <c r="N582" s="16">
        <v>15663</v>
      </c>
      <c r="O582" s="16">
        <v>645620</v>
      </c>
      <c r="P582" s="16">
        <v>562491</v>
      </c>
      <c r="Q582" s="16">
        <v>97447</v>
      </c>
      <c r="R582" s="16">
        <v>6859</v>
      </c>
      <c r="S582" s="16">
        <v>0</v>
      </c>
      <c r="T582" s="111">
        <v>23</v>
      </c>
    </row>
    <row r="583" spans="1:20" ht="15" customHeight="1" x14ac:dyDescent="0.2">
      <c r="A583" s="12" t="s">
        <v>1297</v>
      </c>
      <c r="B583" s="56">
        <v>15357060</v>
      </c>
      <c r="C583" s="12" t="s">
        <v>1298</v>
      </c>
      <c r="D583" s="12"/>
      <c r="E583" s="12" t="s">
        <v>1299</v>
      </c>
      <c r="F583" s="12" t="s">
        <v>26</v>
      </c>
      <c r="G583" s="33">
        <v>3</v>
      </c>
      <c r="H583" s="33">
        <v>8</v>
      </c>
      <c r="I583" s="12" t="s">
        <v>38</v>
      </c>
      <c r="J583" s="12" t="s">
        <v>39</v>
      </c>
      <c r="K583" s="73" t="s">
        <v>29</v>
      </c>
      <c r="L583" s="13">
        <v>742907</v>
      </c>
      <c r="M583" s="13">
        <v>32400</v>
      </c>
      <c r="N583" s="13">
        <v>342924</v>
      </c>
      <c r="O583" s="13">
        <v>689790</v>
      </c>
      <c r="P583" s="13">
        <v>684432</v>
      </c>
      <c r="Q583" s="13">
        <v>53117</v>
      </c>
      <c r="R583" s="13">
        <v>-8463</v>
      </c>
      <c r="S583" s="13">
        <v>2</v>
      </c>
      <c r="T583" s="81">
        <v>0</v>
      </c>
    </row>
    <row r="584" spans="1:20" ht="15" customHeight="1" x14ac:dyDescent="0.2">
      <c r="A584" s="15" t="s">
        <v>1300</v>
      </c>
      <c r="B584" s="60">
        <v>33644196</v>
      </c>
      <c r="C584" s="15" t="s">
        <v>1301</v>
      </c>
      <c r="D584" s="15"/>
      <c r="E584" s="15" t="s">
        <v>1302</v>
      </c>
      <c r="F584" s="15" t="s">
        <v>26</v>
      </c>
      <c r="G584" s="34">
        <v>2</v>
      </c>
      <c r="H584" s="34">
        <v>8</v>
      </c>
      <c r="I584" s="15" t="s">
        <v>38</v>
      </c>
      <c r="J584" s="15" t="s">
        <v>39</v>
      </c>
      <c r="K584" s="74" t="s">
        <v>29</v>
      </c>
      <c r="L584" s="16">
        <v>742513</v>
      </c>
      <c r="M584" s="16">
        <v>1656</v>
      </c>
      <c r="N584" s="16">
        <v>638966</v>
      </c>
      <c r="O584" s="16">
        <v>532448</v>
      </c>
      <c r="P584" s="16">
        <v>509442</v>
      </c>
      <c r="Q584" s="16">
        <v>210065</v>
      </c>
      <c r="R584" s="16">
        <v>14860</v>
      </c>
      <c r="S584" s="16">
        <v>3</v>
      </c>
      <c r="T584" s="111">
        <v>0</v>
      </c>
    </row>
    <row r="585" spans="1:20" ht="15" customHeight="1" x14ac:dyDescent="0.2">
      <c r="A585" s="12" t="s">
        <v>1303</v>
      </c>
      <c r="B585" s="56">
        <v>33737818</v>
      </c>
      <c r="C585" s="12"/>
      <c r="D585" s="12"/>
      <c r="E585" s="12"/>
      <c r="F585" s="12" t="s">
        <v>199</v>
      </c>
      <c r="G585" s="33">
        <v>2</v>
      </c>
      <c r="H585" s="33">
        <v>9</v>
      </c>
      <c r="I585" s="12" t="s">
        <v>388</v>
      </c>
      <c r="J585" s="12" t="s">
        <v>389</v>
      </c>
      <c r="K585" s="73" t="s">
        <v>29</v>
      </c>
      <c r="L585" s="13">
        <v>741255</v>
      </c>
      <c r="M585" s="13">
        <v>0</v>
      </c>
      <c r="N585" s="13">
        <v>458468</v>
      </c>
      <c r="O585" s="13">
        <v>153035</v>
      </c>
      <c r="P585" s="13">
        <v>0</v>
      </c>
      <c r="Q585" s="13">
        <v>588220</v>
      </c>
      <c r="R585" s="13">
        <v>5354</v>
      </c>
      <c r="S585" s="13">
        <v>0</v>
      </c>
      <c r="T585" s="81">
        <v>0</v>
      </c>
    </row>
    <row r="586" spans="1:20" ht="15" customHeight="1" x14ac:dyDescent="0.2">
      <c r="A586" s="15" t="s">
        <v>1304</v>
      </c>
      <c r="B586" s="60">
        <v>68987</v>
      </c>
      <c r="C586" s="15"/>
      <c r="D586" s="15"/>
      <c r="E586" s="15"/>
      <c r="F586" s="15" t="s">
        <v>265</v>
      </c>
      <c r="G586" s="34">
        <v>2</v>
      </c>
      <c r="H586" s="34">
        <v>9</v>
      </c>
      <c r="I586" s="15" t="s">
        <v>475</v>
      </c>
      <c r="J586" s="15" t="s">
        <v>120</v>
      </c>
      <c r="K586" s="74" t="s">
        <v>29</v>
      </c>
      <c r="L586" s="16">
        <v>740377</v>
      </c>
      <c r="M586" s="16">
        <v>437384</v>
      </c>
      <c r="N586" s="16">
        <v>27158</v>
      </c>
      <c r="O586" s="16">
        <v>649557</v>
      </c>
      <c r="P586" s="16">
        <v>431097</v>
      </c>
      <c r="Q586" s="16">
        <v>90820</v>
      </c>
      <c r="R586" s="16">
        <v>-1253</v>
      </c>
      <c r="S586" s="16">
        <v>0</v>
      </c>
      <c r="T586" s="111">
        <v>13</v>
      </c>
    </row>
    <row r="587" spans="1:20" ht="15" customHeight="1" x14ac:dyDescent="0.2">
      <c r="A587" s="12" t="s">
        <v>1305</v>
      </c>
      <c r="B587" s="56">
        <v>9590601</v>
      </c>
      <c r="C587" s="12"/>
      <c r="D587" s="12"/>
      <c r="E587" s="12"/>
      <c r="F587" s="12" t="s">
        <v>265</v>
      </c>
      <c r="G587" s="33">
        <v>2</v>
      </c>
      <c r="H587" s="33">
        <v>9</v>
      </c>
      <c r="I587" s="12" t="s">
        <v>1306</v>
      </c>
      <c r="J587" s="12" t="s">
        <v>217</v>
      </c>
      <c r="K587" s="73" t="s">
        <v>29</v>
      </c>
      <c r="L587" s="13">
        <v>737920</v>
      </c>
      <c r="M587" s="13">
        <v>483758</v>
      </c>
      <c r="N587" s="13">
        <v>18209</v>
      </c>
      <c r="O587" s="13">
        <v>649044</v>
      </c>
      <c r="P587" s="13">
        <v>548315</v>
      </c>
      <c r="Q587" s="13">
        <v>88876</v>
      </c>
      <c r="R587" s="13">
        <v>817</v>
      </c>
      <c r="S587" s="13">
        <v>0</v>
      </c>
      <c r="T587" s="81">
        <v>12</v>
      </c>
    </row>
    <row r="588" spans="1:20" ht="15" customHeight="1" x14ac:dyDescent="0.2">
      <c r="A588" s="15" t="s">
        <v>1307</v>
      </c>
      <c r="B588" s="60">
        <v>61182408</v>
      </c>
      <c r="C588" s="15" t="s">
        <v>35</v>
      </c>
      <c r="D588" s="15" t="s">
        <v>36</v>
      </c>
      <c r="E588" s="15" t="s">
        <v>37</v>
      </c>
      <c r="F588" s="15" t="s">
        <v>26</v>
      </c>
      <c r="G588" s="34">
        <v>2</v>
      </c>
      <c r="H588" s="34">
        <v>2</v>
      </c>
      <c r="I588" s="15" t="s">
        <v>38</v>
      </c>
      <c r="J588" s="15" t="s">
        <v>39</v>
      </c>
      <c r="K588" s="74" t="s">
        <v>29</v>
      </c>
      <c r="L588" s="16">
        <v>733945</v>
      </c>
      <c r="M588" s="16">
        <v>601815</v>
      </c>
      <c r="N588" s="16">
        <v>0</v>
      </c>
      <c r="O588" s="16">
        <v>584068</v>
      </c>
      <c r="P588" s="16">
        <v>93934</v>
      </c>
      <c r="Q588" s="16">
        <v>149876</v>
      </c>
      <c r="R588" s="16">
        <v>16490</v>
      </c>
      <c r="S588" s="16">
        <v>2</v>
      </c>
      <c r="T588" s="111">
        <v>0</v>
      </c>
    </row>
    <row r="589" spans="1:20" ht="15" customHeight="1" x14ac:dyDescent="0.2">
      <c r="A589" s="12" t="s">
        <v>1308</v>
      </c>
      <c r="B589" s="56">
        <v>41538335</v>
      </c>
      <c r="C589" s="12" t="s">
        <v>1309</v>
      </c>
      <c r="D589" s="12"/>
      <c r="E589" s="12" t="s">
        <v>1310</v>
      </c>
      <c r="F589" s="12" t="s">
        <v>84</v>
      </c>
      <c r="G589" s="33">
        <v>3</v>
      </c>
      <c r="H589" s="33">
        <v>41</v>
      </c>
      <c r="I589" s="12" t="s">
        <v>38</v>
      </c>
      <c r="J589" s="12" t="s">
        <v>39</v>
      </c>
      <c r="K589" s="73" t="s">
        <v>29</v>
      </c>
      <c r="L589" s="13">
        <v>732622</v>
      </c>
      <c r="M589" s="13">
        <v>403266</v>
      </c>
      <c r="N589" s="13">
        <v>80630</v>
      </c>
      <c r="O589" s="13">
        <v>695420</v>
      </c>
      <c r="P589" s="13">
        <v>176589</v>
      </c>
      <c r="Q589" s="13">
        <v>37202</v>
      </c>
      <c r="R589" s="13">
        <v>5224</v>
      </c>
      <c r="S589" s="13">
        <v>1</v>
      </c>
      <c r="T589" s="81">
        <v>0</v>
      </c>
    </row>
    <row r="590" spans="1:20" ht="15" customHeight="1" x14ac:dyDescent="0.2">
      <c r="A590" s="15" t="s">
        <v>1311</v>
      </c>
      <c r="B590" s="60">
        <v>80959638</v>
      </c>
      <c r="C590" s="15"/>
      <c r="D590" s="15"/>
      <c r="E590" s="15"/>
      <c r="F590" s="15" t="s">
        <v>265</v>
      </c>
      <c r="G590" s="34">
        <v>2</v>
      </c>
      <c r="H590" s="34">
        <v>9</v>
      </c>
      <c r="I590" s="15" t="s">
        <v>1236</v>
      </c>
      <c r="J590" s="15" t="s">
        <v>217</v>
      </c>
      <c r="K590" s="74" t="s">
        <v>29</v>
      </c>
      <c r="L590" s="16">
        <v>731175</v>
      </c>
      <c r="M590" s="16">
        <v>278147</v>
      </c>
      <c r="N590" s="16">
        <v>147087</v>
      </c>
      <c r="O590" s="16">
        <v>614728</v>
      </c>
      <c r="P590" s="16">
        <v>576598</v>
      </c>
      <c r="Q590" s="16">
        <v>116448</v>
      </c>
      <c r="R590" s="16">
        <v>9212</v>
      </c>
      <c r="S590" s="16">
        <v>0</v>
      </c>
      <c r="T590" s="111">
        <v>4</v>
      </c>
    </row>
    <row r="591" spans="1:20" ht="15" customHeight="1" x14ac:dyDescent="0.2">
      <c r="A591" s="12" t="s">
        <v>1312</v>
      </c>
      <c r="B591" s="56">
        <v>4663561</v>
      </c>
      <c r="C591" s="12"/>
      <c r="D591" s="12"/>
      <c r="E591" s="12"/>
      <c r="F591" s="12" t="s">
        <v>265</v>
      </c>
      <c r="G591" s="33">
        <v>2</v>
      </c>
      <c r="H591" s="33">
        <v>9</v>
      </c>
      <c r="I591" s="12" t="s">
        <v>809</v>
      </c>
      <c r="J591" s="12" t="s">
        <v>229</v>
      </c>
      <c r="K591" s="73" t="s">
        <v>29</v>
      </c>
      <c r="L591" s="13">
        <v>730257</v>
      </c>
      <c r="M591" s="13">
        <v>568188</v>
      </c>
      <c r="N591" s="13">
        <v>11406</v>
      </c>
      <c r="O591" s="13">
        <v>596254</v>
      </c>
      <c r="P591" s="13">
        <v>328903</v>
      </c>
      <c r="Q591" s="13">
        <v>134003</v>
      </c>
      <c r="R591" s="13">
        <v>7859</v>
      </c>
      <c r="S591" s="13">
        <v>0</v>
      </c>
      <c r="T591" s="81">
        <v>17</v>
      </c>
    </row>
    <row r="592" spans="1:20" ht="15" customHeight="1" x14ac:dyDescent="0.2">
      <c r="A592" s="15" t="s">
        <v>1313</v>
      </c>
      <c r="B592" s="60">
        <v>25528753</v>
      </c>
      <c r="C592" s="15"/>
      <c r="D592" s="15"/>
      <c r="E592" s="15"/>
      <c r="F592" s="15" t="s">
        <v>265</v>
      </c>
      <c r="G592" s="34">
        <v>2</v>
      </c>
      <c r="H592" s="34">
        <v>9</v>
      </c>
      <c r="I592" s="15" t="s">
        <v>792</v>
      </c>
      <c r="J592" s="15" t="s">
        <v>120</v>
      </c>
      <c r="K592" s="74" t="s">
        <v>29</v>
      </c>
      <c r="L592" s="16">
        <v>723605</v>
      </c>
      <c r="M592" s="16">
        <v>280750</v>
      </c>
      <c r="N592" s="16">
        <v>10001</v>
      </c>
      <c r="O592" s="16">
        <v>600506</v>
      </c>
      <c r="P592" s="16">
        <v>565512</v>
      </c>
      <c r="Q592" s="16">
        <v>123100</v>
      </c>
      <c r="R592" s="16">
        <v>10948</v>
      </c>
      <c r="S592" s="16">
        <v>0</v>
      </c>
      <c r="T592" s="111">
        <v>15</v>
      </c>
    </row>
    <row r="593" spans="1:20" ht="15" customHeight="1" x14ac:dyDescent="0.2">
      <c r="A593" s="12" t="s">
        <v>1314</v>
      </c>
      <c r="B593" s="56">
        <v>21661202</v>
      </c>
      <c r="C593" s="12"/>
      <c r="D593" s="12"/>
      <c r="E593" s="12"/>
      <c r="F593" s="12" t="s">
        <v>265</v>
      </c>
      <c r="G593" s="33">
        <v>2</v>
      </c>
      <c r="H593" s="33">
        <v>9</v>
      </c>
      <c r="I593" s="12" t="s">
        <v>1315</v>
      </c>
      <c r="J593" s="12" t="s">
        <v>120</v>
      </c>
      <c r="K593" s="73" t="s">
        <v>29</v>
      </c>
      <c r="L593" s="13">
        <v>723230</v>
      </c>
      <c r="M593" s="13">
        <v>345402</v>
      </c>
      <c r="N593" s="13">
        <v>10151</v>
      </c>
      <c r="O593" s="13">
        <v>601915</v>
      </c>
      <c r="P593" s="13">
        <v>566795</v>
      </c>
      <c r="Q593" s="13">
        <v>121315</v>
      </c>
      <c r="R593" s="13">
        <v>7284</v>
      </c>
      <c r="S593" s="13">
        <v>0</v>
      </c>
      <c r="T593" s="81">
        <v>13</v>
      </c>
    </row>
    <row r="594" spans="1:20" ht="15" customHeight="1" x14ac:dyDescent="0.2">
      <c r="A594" s="15" t="s">
        <v>1316</v>
      </c>
      <c r="B594" s="60">
        <v>2844024</v>
      </c>
      <c r="C594" s="15"/>
      <c r="D594" s="15"/>
      <c r="E594" s="15"/>
      <c r="F594" s="15" t="s">
        <v>265</v>
      </c>
      <c r="G594" s="34">
        <v>2</v>
      </c>
      <c r="H594" s="34">
        <v>9</v>
      </c>
      <c r="I594" s="15" t="s">
        <v>1317</v>
      </c>
      <c r="J594" s="15" t="s">
        <v>217</v>
      </c>
      <c r="K594" s="74" t="s">
        <v>29</v>
      </c>
      <c r="L594" s="16">
        <v>722857</v>
      </c>
      <c r="M594" s="16">
        <v>514553</v>
      </c>
      <c r="N594" s="16">
        <v>25665</v>
      </c>
      <c r="O594" s="16">
        <v>640057</v>
      </c>
      <c r="P594" s="16">
        <v>403369</v>
      </c>
      <c r="Q594" s="16">
        <v>82800</v>
      </c>
      <c r="R594" s="16">
        <v>2670</v>
      </c>
      <c r="S594" s="16">
        <v>0</v>
      </c>
      <c r="T594" s="111">
        <v>15</v>
      </c>
    </row>
    <row r="595" spans="1:20" ht="15" customHeight="1" x14ac:dyDescent="0.2">
      <c r="A595" s="12" t="s">
        <v>1318</v>
      </c>
      <c r="B595" s="56">
        <v>58229246</v>
      </c>
      <c r="C595" s="12" t="s">
        <v>41</v>
      </c>
      <c r="D595" s="12" t="s">
        <v>42</v>
      </c>
      <c r="E595" s="12" t="s">
        <v>43</v>
      </c>
      <c r="F595" s="12" t="s">
        <v>98</v>
      </c>
      <c r="G595" s="33">
        <v>2</v>
      </c>
      <c r="H595" s="33">
        <v>21</v>
      </c>
      <c r="I595" s="12" t="s">
        <v>44</v>
      </c>
      <c r="J595" s="12" t="s">
        <v>39</v>
      </c>
      <c r="K595" s="73" t="s">
        <v>29</v>
      </c>
      <c r="L595" s="13">
        <v>705149</v>
      </c>
      <c r="M595" s="13">
        <v>0</v>
      </c>
      <c r="N595" s="13">
        <v>642886</v>
      </c>
      <c r="O595" s="13">
        <v>88128</v>
      </c>
      <c r="P595" s="13">
        <v>0</v>
      </c>
      <c r="Q595" s="13">
        <v>617021</v>
      </c>
      <c r="R595" s="13">
        <v>48182</v>
      </c>
      <c r="S595" s="13">
        <v>2</v>
      </c>
      <c r="T595" s="81">
        <v>0</v>
      </c>
    </row>
    <row r="596" spans="1:20" ht="15" customHeight="1" x14ac:dyDescent="0.2">
      <c r="A596" s="15" t="s">
        <v>1319</v>
      </c>
      <c r="B596" s="60">
        <v>26014175</v>
      </c>
      <c r="C596" s="15"/>
      <c r="D596" s="15"/>
      <c r="E596" s="15"/>
      <c r="F596" s="15" t="s">
        <v>265</v>
      </c>
      <c r="G596" s="34">
        <v>2</v>
      </c>
      <c r="H596" s="34">
        <v>9</v>
      </c>
      <c r="I596" s="15" t="s">
        <v>1320</v>
      </c>
      <c r="J596" s="15" t="s">
        <v>120</v>
      </c>
      <c r="K596" s="74" t="s">
        <v>29</v>
      </c>
      <c r="L596" s="16">
        <v>704413</v>
      </c>
      <c r="M596" s="16">
        <v>202135</v>
      </c>
      <c r="N596" s="16">
        <v>14506</v>
      </c>
      <c r="O596" s="16">
        <v>639894</v>
      </c>
      <c r="P596" s="16">
        <v>593898</v>
      </c>
      <c r="Q596" s="16">
        <v>64519</v>
      </c>
      <c r="R596" s="16">
        <v>5700</v>
      </c>
      <c r="S596" s="16">
        <v>0</v>
      </c>
      <c r="T596" s="111">
        <v>9</v>
      </c>
    </row>
    <row r="597" spans="1:20" ht="15" customHeight="1" x14ac:dyDescent="0.2">
      <c r="A597" s="12" t="s">
        <v>1321</v>
      </c>
      <c r="B597" s="56">
        <v>14511781</v>
      </c>
      <c r="C597" s="12" t="s">
        <v>889</v>
      </c>
      <c r="D597" s="12" t="s">
        <v>890</v>
      </c>
      <c r="E597" s="12" t="s">
        <v>891</v>
      </c>
      <c r="F597" s="12" t="s">
        <v>65</v>
      </c>
      <c r="G597" s="33">
        <v>2</v>
      </c>
      <c r="H597" s="33">
        <v>29</v>
      </c>
      <c r="I597" s="12" t="s">
        <v>228</v>
      </c>
      <c r="J597" s="12" t="s">
        <v>229</v>
      </c>
      <c r="K597" s="73" t="s">
        <v>29</v>
      </c>
      <c r="L597" s="13">
        <v>697688</v>
      </c>
      <c r="M597" s="13">
        <v>616764</v>
      </c>
      <c r="N597" s="13">
        <v>9645</v>
      </c>
      <c r="O597" s="13">
        <v>606280</v>
      </c>
      <c r="P597" s="13">
        <v>558046</v>
      </c>
      <c r="Q597" s="13">
        <v>91408</v>
      </c>
      <c r="R597" s="13">
        <v>10596</v>
      </c>
      <c r="S597" s="13">
        <v>2</v>
      </c>
      <c r="T597" s="81">
        <v>0</v>
      </c>
    </row>
    <row r="598" spans="1:20" ht="15" customHeight="1" x14ac:dyDescent="0.2">
      <c r="A598" s="15" t="s">
        <v>1322</v>
      </c>
      <c r="B598" s="60">
        <v>42272526</v>
      </c>
      <c r="C598" s="15" t="s">
        <v>1323</v>
      </c>
      <c r="D598" s="15" t="s">
        <v>1324</v>
      </c>
      <c r="E598" s="15" t="s">
        <v>1325</v>
      </c>
      <c r="F598" s="15" t="s">
        <v>26</v>
      </c>
      <c r="G598" s="34">
        <v>3</v>
      </c>
      <c r="H598" s="34">
        <v>2</v>
      </c>
      <c r="I598" s="15" t="s">
        <v>53</v>
      </c>
      <c r="J598" s="15" t="s">
        <v>54</v>
      </c>
      <c r="K598" s="74" t="s">
        <v>29</v>
      </c>
      <c r="L598" s="16">
        <v>696483</v>
      </c>
      <c r="M598" s="16">
        <v>0</v>
      </c>
      <c r="N598" s="16">
        <v>183837</v>
      </c>
      <c r="O598" s="16">
        <v>367456</v>
      </c>
      <c r="P598" s="16">
        <v>333399</v>
      </c>
      <c r="Q598" s="16">
        <v>329027</v>
      </c>
      <c r="R598" s="16">
        <v>15961</v>
      </c>
      <c r="S598" s="16">
        <v>3</v>
      </c>
      <c r="T598" s="111">
        <v>0</v>
      </c>
    </row>
    <row r="599" spans="1:20" ht="15" customHeight="1" x14ac:dyDescent="0.2">
      <c r="A599" s="12" t="s">
        <v>1326</v>
      </c>
      <c r="B599" s="56">
        <v>73398646</v>
      </c>
      <c r="C599" s="12"/>
      <c r="D599" s="12"/>
      <c r="E599" s="12"/>
      <c r="F599" s="12" t="s">
        <v>265</v>
      </c>
      <c r="G599" s="33">
        <v>2</v>
      </c>
      <c r="H599" s="33">
        <v>9</v>
      </c>
      <c r="I599" s="12" t="s">
        <v>1327</v>
      </c>
      <c r="J599" s="12" t="s">
        <v>211</v>
      </c>
      <c r="K599" s="73" t="s">
        <v>29</v>
      </c>
      <c r="L599" s="13">
        <v>694491</v>
      </c>
      <c r="M599" s="13">
        <v>250581</v>
      </c>
      <c r="N599" s="13">
        <v>55748</v>
      </c>
      <c r="O599" s="13">
        <v>565980</v>
      </c>
      <c r="P599" s="13">
        <v>522822</v>
      </c>
      <c r="Q599" s="13">
        <v>128511</v>
      </c>
      <c r="R599" s="13">
        <v>9152</v>
      </c>
      <c r="S599" s="13">
        <v>0</v>
      </c>
      <c r="T599" s="81">
        <v>23</v>
      </c>
    </row>
    <row r="600" spans="1:20" ht="15" customHeight="1" x14ac:dyDescent="0.2">
      <c r="A600" s="15" t="s">
        <v>1328</v>
      </c>
      <c r="B600" s="60">
        <v>11703662</v>
      </c>
      <c r="C600" s="15" t="s">
        <v>1329</v>
      </c>
      <c r="D600" s="15" t="s">
        <v>1330</v>
      </c>
      <c r="E600" s="15" t="s">
        <v>1331</v>
      </c>
      <c r="F600" s="15" t="s">
        <v>26</v>
      </c>
      <c r="G600" s="34">
        <v>3</v>
      </c>
      <c r="H600" s="34">
        <v>8</v>
      </c>
      <c r="I600" s="15" t="s">
        <v>38</v>
      </c>
      <c r="J600" s="15" t="s">
        <v>39</v>
      </c>
      <c r="K600" s="74" t="s">
        <v>29</v>
      </c>
      <c r="L600" s="16">
        <v>692745</v>
      </c>
      <c r="M600" s="16">
        <v>21649</v>
      </c>
      <c r="N600" s="16">
        <v>209979</v>
      </c>
      <c r="O600" s="16">
        <v>482750</v>
      </c>
      <c r="P600" s="16">
        <v>189148</v>
      </c>
      <c r="Q600" s="16">
        <v>209995</v>
      </c>
      <c r="R600" s="16">
        <v>2511</v>
      </c>
      <c r="S600" s="16">
        <v>2</v>
      </c>
      <c r="T600" s="111">
        <v>0</v>
      </c>
    </row>
    <row r="601" spans="1:20" ht="15" customHeight="1" x14ac:dyDescent="0.2">
      <c r="A601" s="12" t="s">
        <v>1332</v>
      </c>
      <c r="B601" s="56">
        <v>2057584</v>
      </c>
      <c r="C601" s="12"/>
      <c r="D601" s="12"/>
      <c r="E601" s="12"/>
      <c r="F601" s="12" t="s">
        <v>265</v>
      </c>
      <c r="G601" s="33">
        <v>2</v>
      </c>
      <c r="H601" s="33">
        <v>9</v>
      </c>
      <c r="I601" s="12" t="s">
        <v>1333</v>
      </c>
      <c r="J601" s="12" t="s">
        <v>211</v>
      </c>
      <c r="K601" s="73" t="s">
        <v>29</v>
      </c>
      <c r="L601" s="13">
        <v>692222</v>
      </c>
      <c r="M601" s="13">
        <v>392550</v>
      </c>
      <c r="N601" s="13">
        <v>55134</v>
      </c>
      <c r="O601" s="13">
        <v>572350</v>
      </c>
      <c r="P601" s="13">
        <v>521559</v>
      </c>
      <c r="Q601" s="13">
        <v>119873</v>
      </c>
      <c r="R601" s="13">
        <v>10791</v>
      </c>
      <c r="S601" s="13">
        <v>0</v>
      </c>
      <c r="T601" s="81">
        <v>23</v>
      </c>
    </row>
    <row r="602" spans="1:20" ht="15" customHeight="1" x14ac:dyDescent="0.2">
      <c r="A602" s="15" t="s">
        <v>1334</v>
      </c>
      <c r="B602" s="60">
        <v>23511655</v>
      </c>
      <c r="C602" s="15" t="s">
        <v>1335</v>
      </c>
      <c r="D602" s="15"/>
      <c r="E602" s="15" t="s">
        <v>1336</v>
      </c>
      <c r="F602" s="15" t="s">
        <v>60</v>
      </c>
      <c r="G602" s="34">
        <v>3</v>
      </c>
      <c r="H602" s="34">
        <v>8</v>
      </c>
      <c r="I602" s="15" t="s">
        <v>38</v>
      </c>
      <c r="J602" s="15" t="s">
        <v>39</v>
      </c>
      <c r="K602" s="74" t="s">
        <v>29</v>
      </c>
      <c r="L602" s="16">
        <v>683295</v>
      </c>
      <c r="M602" s="16">
        <v>612580</v>
      </c>
      <c r="N602" s="16">
        <v>0</v>
      </c>
      <c r="O602" s="16">
        <v>593170</v>
      </c>
      <c r="P602" s="16">
        <v>543996</v>
      </c>
      <c r="Q602" s="16">
        <v>90125</v>
      </c>
      <c r="R602" s="16">
        <v>-3452</v>
      </c>
      <c r="S602" s="16">
        <v>2</v>
      </c>
      <c r="T602" s="111">
        <v>0</v>
      </c>
    </row>
    <row r="603" spans="1:20" ht="15" customHeight="1" x14ac:dyDescent="0.2">
      <c r="A603" s="12" t="s">
        <v>1337</v>
      </c>
      <c r="B603" s="56">
        <v>2144899</v>
      </c>
      <c r="C603" s="12"/>
      <c r="D603" s="12"/>
      <c r="E603" s="12"/>
      <c r="F603" s="12" t="s">
        <v>265</v>
      </c>
      <c r="G603" s="33">
        <v>2</v>
      </c>
      <c r="H603" s="33">
        <v>9</v>
      </c>
      <c r="I603" s="12" t="s">
        <v>1338</v>
      </c>
      <c r="J603" s="12" t="s">
        <v>432</v>
      </c>
      <c r="K603" s="73" t="s">
        <v>29</v>
      </c>
      <c r="L603" s="13">
        <v>678495</v>
      </c>
      <c r="M603" s="13">
        <v>354262</v>
      </c>
      <c r="N603" s="13">
        <v>22853</v>
      </c>
      <c r="O603" s="13">
        <v>546578</v>
      </c>
      <c r="P603" s="13">
        <v>416384</v>
      </c>
      <c r="Q603" s="13">
        <v>131916</v>
      </c>
      <c r="R603" s="13">
        <v>11360</v>
      </c>
      <c r="S603" s="13">
        <v>0</v>
      </c>
      <c r="T603" s="81">
        <v>15</v>
      </c>
    </row>
    <row r="604" spans="1:20" ht="15" customHeight="1" x14ac:dyDescent="0.2">
      <c r="A604" s="15" t="s">
        <v>1339</v>
      </c>
      <c r="B604" s="60">
        <v>43599047</v>
      </c>
      <c r="C604" s="15" t="s">
        <v>1340</v>
      </c>
      <c r="D604" s="15"/>
      <c r="E604" s="15" t="s">
        <v>1341</v>
      </c>
      <c r="F604" s="15" t="s">
        <v>65</v>
      </c>
      <c r="G604" s="34">
        <v>2</v>
      </c>
      <c r="H604" s="34">
        <v>43</v>
      </c>
      <c r="I604" s="15" t="s">
        <v>107</v>
      </c>
      <c r="J604" s="15" t="s">
        <v>39</v>
      </c>
      <c r="K604" s="74" t="s">
        <v>29</v>
      </c>
      <c r="L604" s="16">
        <v>677268</v>
      </c>
      <c r="M604" s="16">
        <v>23210</v>
      </c>
      <c r="N604" s="16">
        <v>491935</v>
      </c>
      <c r="O604" s="16">
        <v>645282</v>
      </c>
      <c r="P604" s="16">
        <v>637791</v>
      </c>
      <c r="Q604" s="16">
        <v>31986</v>
      </c>
      <c r="R604" s="16">
        <v>10402</v>
      </c>
      <c r="S604" s="16">
        <v>2</v>
      </c>
      <c r="T604" s="111">
        <v>0</v>
      </c>
    </row>
    <row r="605" spans="1:20" ht="15" customHeight="1" x14ac:dyDescent="0.2">
      <c r="A605" s="12" t="s">
        <v>1342</v>
      </c>
      <c r="B605" s="56">
        <v>4490531</v>
      </c>
      <c r="C605" s="12"/>
      <c r="D605" s="12"/>
      <c r="E605" s="12"/>
      <c r="F605" s="12" t="s">
        <v>265</v>
      </c>
      <c r="G605" s="33">
        <v>2</v>
      </c>
      <c r="H605" s="33">
        <v>9</v>
      </c>
      <c r="I605" s="12" t="s">
        <v>1343</v>
      </c>
      <c r="J605" s="12" t="s">
        <v>389</v>
      </c>
      <c r="K605" s="73" t="s">
        <v>29</v>
      </c>
      <c r="L605" s="13">
        <v>666438</v>
      </c>
      <c r="M605" s="13">
        <v>455670</v>
      </c>
      <c r="N605" s="13">
        <v>8053</v>
      </c>
      <c r="O605" s="13">
        <v>556395</v>
      </c>
      <c r="P605" s="13">
        <v>371616</v>
      </c>
      <c r="Q605" s="13">
        <v>110043</v>
      </c>
      <c r="R605" s="13">
        <v>4223</v>
      </c>
      <c r="S605" s="13">
        <v>0</v>
      </c>
      <c r="T605" s="81">
        <v>15</v>
      </c>
    </row>
    <row r="606" spans="1:20" ht="15" customHeight="1" x14ac:dyDescent="0.2">
      <c r="A606" s="15" t="s">
        <v>1344</v>
      </c>
      <c r="B606" s="60">
        <v>7412987</v>
      </c>
      <c r="C606" s="15"/>
      <c r="D606" s="15"/>
      <c r="E606" s="15"/>
      <c r="F606" s="15" t="s">
        <v>265</v>
      </c>
      <c r="G606" s="34">
        <v>2</v>
      </c>
      <c r="H606" s="34">
        <v>9</v>
      </c>
      <c r="I606" s="15" t="s">
        <v>369</v>
      </c>
      <c r="J606" s="15" t="s">
        <v>217</v>
      </c>
      <c r="K606" s="74" t="s">
        <v>29</v>
      </c>
      <c r="L606" s="16">
        <v>660187</v>
      </c>
      <c r="M606" s="16">
        <v>456804</v>
      </c>
      <c r="N606" s="16">
        <v>22642</v>
      </c>
      <c r="O606" s="16">
        <v>582245</v>
      </c>
      <c r="P606" s="16">
        <v>416917</v>
      </c>
      <c r="Q606" s="16">
        <v>77942</v>
      </c>
      <c r="R606" s="16">
        <v>1507</v>
      </c>
      <c r="S606" s="16">
        <v>0</v>
      </c>
      <c r="T606" s="111">
        <v>17</v>
      </c>
    </row>
    <row r="607" spans="1:20" ht="15" customHeight="1" x14ac:dyDescent="0.2">
      <c r="A607" s="12" t="s">
        <v>1345</v>
      </c>
      <c r="B607" s="56">
        <v>968602</v>
      </c>
      <c r="C607" s="12"/>
      <c r="D607" s="12"/>
      <c r="E607" s="12"/>
      <c r="F607" s="12" t="s">
        <v>265</v>
      </c>
      <c r="G607" s="33">
        <v>2</v>
      </c>
      <c r="H607" s="33">
        <v>9</v>
      </c>
      <c r="I607" s="12" t="s">
        <v>1267</v>
      </c>
      <c r="J607" s="12" t="s">
        <v>389</v>
      </c>
      <c r="K607" s="73" t="s">
        <v>29</v>
      </c>
      <c r="L607" s="13">
        <v>654787</v>
      </c>
      <c r="M607" s="13">
        <v>387010</v>
      </c>
      <c r="N607" s="13">
        <v>31062</v>
      </c>
      <c r="O607" s="13">
        <v>503147</v>
      </c>
      <c r="P607" s="13">
        <v>432641</v>
      </c>
      <c r="Q607" s="13">
        <v>151640</v>
      </c>
      <c r="R607" s="13">
        <v>-1380</v>
      </c>
      <c r="S607" s="13">
        <v>0</v>
      </c>
      <c r="T607" s="81">
        <v>5</v>
      </c>
    </row>
    <row r="608" spans="1:20" ht="15" customHeight="1" x14ac:dyDescent="0.2">
      <c r="A608" s="15" t="s">
        <v>1346</v>
      </c>
      <c r="B608" s="60">
        <v>65654303</v>
      </c>
      <c r="C608" s="15" t="s">
        <v>35</v>
      </c>
      <c r="D608" s="15" t="s">
        <v>36</v>
      </c>
      <c r="E608" s="15" t="s">
        <v>37</v>
      </c>
      <c r="F608" s="15" t="s">
        <v>65</v>
      </c>
      <c r="G608" s="34">
        <v>2</v>
      </c>
      <c r="H608" s="34">
        <v>19</v>
      </c>
      <c r="I608" s="15" t="s">
        <v>38</v>
      </c>
      <c r="J608" s="15" t="s">
        <v>39</v>
      </c>
      <c r="K608" s="74" t="s">
        <v>29</v>
      </c>
      <c r="L608" s="16">
        <v>648446</v>
      </c>
      <c r="M608" s="16">
        <v>0</v>
      </c>
      <c r="N608" s="16">
        <v>9740</v>
      </c>
      <c r="O608" s="16">
        <v>19760</v>
      </c>
      <c r="P608" s="16">
        <v>1384</v>
      </c>
      <c r="Q608" s="16">
        <v>628686</v>
      </c>
      <c r="R608" s="16">
        <v>32392</v>
      </c>
      <c r="S608" s="16">
        <v>2</v>
      </c>
      <c r="T608" s="111">
        <v>0</v>
      </c>
    </row>
    <row r="609" spans="1:20" ht="15" customHeight="1" x14ac:dyDescent="0.2">
      <c r="A609" s="12" t="s">
        <v>1347</v>
      </c>
      <c r="B609" s="56">
        <v>1705236</v>
      </c>
      <c r="C609" s="12"/>
      <c r="D609" s="12"/>
      <c r="E609" s="12"/>
      <c r="F609" s="12" t="s">
        <v>265</v>
      </c>
      <c r="G609" s="33">
        <v>2</v>
      </c>
      <c r="H609" s="33">
        <v>9</v>
      </c>
      <c r="I609" s="12" t="s">
        <v>1348</v>
      </c>
      <c r="J609" s="12" t="s">
        <v>74</v>
      </c>
      <c r="K609" s="73" t="s">
        <v>29</v>
      </c>
      <c r="L609" s="13">
        <v>648409</v>
      </c>
      <c r="M609" s="13">
        <v>328163</v>
      </c>
      <c r="N609" s="13">
        <v>11930</v>
      </c>
      <c r="O609" s="13">
        <v>581993</v>
      </c>
      <c r="P609" s="13">
        <v>541448</v>
      </c>
      <c r="Q609" s="13">
        <v>66417</v>
      </c>
      <c r="R609" s="13">
        <v>8774</v>
      </c>
      <c r="S609" s="13">
        <v>0</v>
      </c>
      <c r="T609" s="81">
        <v>4</v>
      </c>
    </row>
    <row r="610" spans="1:20" ht="15" customHeight="1" x14ac:dyDescent="0.2">
      <c r="A610" s="15" t="s">
        <v>1349</v>
      </c>
      <c r="B610" s="60">
        <v>25683475</v>
      </c>
      <c r="C610" s="15"/>
      <c r="D610" s="15"/>
      <c r="E610" s="15"/>
      <c r="F610" s="15" t="s">
        <v>265</v>
      </c>
      <c r="G610" s="34">
        <v>2</v>
      </c>
      <c r="H610" s="34">
        <v>9</v>
      </c>
      <c r="I610" s="15" t="s">
        <v>1350</v>
      </c>
      <c r="J610" s="15" t="s">
        <v>120</v>
      </c>
      <c r="K610" s="74" t="s">
        <v>29</v>
      </c>
      <c r="L610" s="16">
        <v>647466</v>
      </c>
      <c r="M610" s="16">
        <v>408479</v>
      </c>
      <c r="N610" s="16">
        <v>13284</v>
      </c>
      <c r="O610" s="16">
        <v>555911</v>
      </c>
      <c r="P610" s="16">
        <v>478402</v>
      </c>
      <c r="Q610" s="16">
        <v>91555</v>
      </c>
      <c r="R610" s="16">
        <v>-1324</v>
      </c>
      <c r="S610" s="16">
        <v>0</v>
      </c>
      <c r="T610" s="111">
        <v>7</v>
      </c>
    </row>
    <row r="611" spans="1:20" ht="15" customHeight="1" x14ac:dyDescent="0.2">
      <c r="A611" s="12" t="s">
        <v>1351</v>
      </c>
      <c r="B611" s="56">
        <v>22749014</v>
      </c>
      <c r="C611" s="12"/>
      <c r="D611" s="12"/>
      <c r="E611" s="12"/>
      <c r="F611" s="12" t="s">
        <v>265</v>
      </c>
      <c r="G611" s="33">
        <v>2</v>
      </c>
      <c r="H611" s="33">
        <v>9</v>
      </c>
      <c r="I611" s="12" t="s">
        <v>1352</v>
      </c>
      <c r="J611" s="12" t="s">
        <v>120</v>
      </c>
      <c r="K611" s="73" t="s">
        <v>29</v>
      </c>
      <c r="L611" s="13">
        <v>643489</v>
      </c>
      <c r="M611" s="13">
        <v>171833</v>
      </c>
      <c r="N611" s="13">
        <v>14690</v>
      </c>
      <c r="O611" s="13">
        <v>524088</v>
      </c>
      <c r="P611" s="13">
        <v>476705</v>
      </c>
      <c r="Q611" s="13">
        <v>119400</v>
      </c>
      <c r="R611" s="13">
        <v>10854</v>
      </c>
      <c r="S611" s="13">
        <v>0</v>
      </c>
      <c r="T611" s="81">
        <v>11</v>
      </c>
    </row>
    <row r="612" spans="1:20" ht="15" customHeight="1" x14ac:dyDescent="0.2">
      <c r="A612" s="15" t="s">
        <v>1353</v>
      </c>
      <c r="B612" s="60">
        <v>1187961</v>
      </c>
      <c r="C612" s="15"/>
      <c r="D612" s="15"/>
      <c r="E612" s="15"/>
      <c r="F612" s="15" t="s">
        <v>265</v>
      </c>
      <c r="G612" s="34">
        <v>2</v>
      </c>
      <c r="H612" s="34">
        <v>9</v>
      </c>
      <c r="I612" s="15" t="s">
        <v>27</v>
      </c>
      <c r="J612" s="15" t="s">
        <v>28</v>
      </c>
      <c r="K612" s="74" t="s">
        <v>29</v>
      </c>
      <c r="L612" s="16">
        <v>642945</v>
      </c>
      <c r="M612" s="16">
        <v>374999</v>
      </c>
      <c r="N612" s="16">
        <v>34586</v>
      </c>
      <c r="O612" s="16">
        <v>540740</v>
      </c>
      <c r="P612" s="16">
        <v>484347</v>
      </c>
      <c r="Q612" s="16">
        <v>102206</v>
      </c>
      <c r="R612" s="16">
        <v>-1404</v>
      </c>
      <c r="S612" s="16">
        <v>0</v>
      </c>
      <c r="T612" s="111">
        <v>7</v>
      </c>
    </row>
    <row r="613" spans="1:20" ht="15" customHeight="1" x14ac:dyDescent="0.2">
      <c r="A613" s="12" t="s">
        <v>1354</v>
      </c>
      <c r="B613" s="56">
        <v>62895230</v>
      </c>
      <c r="C613" s="12" t="s">
        <v>1355</v>
      </c>
      <c r="D613" s="12"/>
      <c r="E613" s="12" t="s">
        <v>1356</v>
      </c>
      <c r="F613" s="12" t="s">
        <v>84</v>
      </c>
      <c r="G613" s="33">
        <v>2</v>
      </c>
      <c r="H613" s="33">
        <v>41</v>
      </c>
      <c r="I613" s="12" t="s">
        <v>1357</v>
      </c>
      <c r="J613" s="12" t="s">
        <v>1358</v>
      </c>
      <c r="K613" s="73" t="s">
        <v>29</v>
      </c>
      <c r="L613" s="13">
        <v>641185</v>
      </c>
      <c r="M613" s="13">
        <v>422341</v>
      </c>
      <c r="N613" s="13">
        <v>192133</v>
      </c>
      <c r="O613" s="13">
        <v>330811</v>
      </c>
      <c r="P613" s="13">
        <v>0</v>
      </c>
      <c r="Q613" s="13">
        <v>310374</v>
      </c>
      <c r="R613" s="13">
        <v>11539</v>
      </c>
      <c r="S613" s="13">
        <v>1</v>
      </c>
      <c r="T613" s="81">
        <v>0</v>
      </c>
    </row>
    <row r="614" spans="1:20" ht="15" customHeight="1" x14ac:dyDescent="0.2">
      <c r="A614" s="15" t="s">
        <v>1359</v>
      </c>
      <c r="B614" s="60">
        <v>41805003</v>
      </c>
      <c r="C614" s="15"/>
      <c r="D614" s="15"/>
      <c r="E614" s="15"/>
      <c r="F614" s="15" t="s">
        <v>265</v>
      </c>
      <c r="G614" s="34">
        <v>2</v>
      </c>
      <c r="H614" s="34">
        <v>9</v>
      </c>
      <c r="I614" s="15" t="s">
        <v>1360</v>
      </c>
      <c r="J614" s="15" t="s">
        <v>120</v>
      </c>
      <c r="K614" s="74" t="s">
        <v>29</v>
      </c>
      <c r="L614" s="16">
        <v>638704</v>
      </c>
      <c r="M614" s="16">
        <v>273121</v>
      </c>
      <c r="N614" s="16">
        <v>10324</v>
      </c>
      <c r="O614" s="16">
        <v>555469</v>
      </c>
      <c r="P614" s="16">
        <v>474640</v>
      </c>
      <c r="Q614" s="16">
        <v>83235</v>
      </c>
      <c r="R614" s="16">
        <v>2348</v>
      </c>
      <c r="S614" s="16">
        <v>0</v>
      </c>
      <c r="T614" s="111">
        <v>6</v>
      </c>
    </row>
    <row r="615" spans="1:20" ht="15" customHeight="1" x14ac:dyDescent="0.2">
      <c r="A615" s="12" t="s">
        <v>1361</v>
      </c>
      <c r="B615" s="56">
        <v>37079720</v>
      </c>
      <c r="C615" s="12"/>
      <c r="D615" s="12"/>
      <c r="E615" s="12"/>
      <c r="F615" s="12" t="s">
        <v>265</v>
      </c>
      <c r="G615" s="33">
        <v>2</v>
      </c>
      <c r="H615" s="33">
        <v>9</v>
      </c>
      <c r="I615" s="12" t="s">
        <v>27</v>
      </c>
      <c r="J615" s="12" t="s">
        <v>28</v>
      </c>
      <c r="K615" s="73" t="s">
        <v>29</v>
      </c>
      <c r="L615" s="13">
        <v>634338</v>
      </c>
      <c r="M615" s="13">
        <v>269084</v>
      </c>
      <c r="N615" s="13">
        <v>46242</v>
      </c>
      <c r="O615" s="13">
        <v>538455</v>
      </c>
      <c r="P615" s="13">
        <v>531099</v>
      </c>
      <c r="Q615" s="13">
        <v>95884</v>
      </c>
      <c r="R615" s="13">
        <v>6109</v>
      </c>
      <c r="S615" s="13">
        <v>0</v>
      </c>
      <c r="T615" s="81">
        <v>10</v>
      </c>
    </row>
    <row r="616" spans="1:20" ht="15" customHeight="1" x14ac:dyDescent="0.2">
      <c r="A616" s="15" t="s">
        <v>1362</v>
      </c>
      <c r="B616" s="60">
        <v>2766672</v>
      </c>
      <c r="C616" s="15"/>
      <c r="D616" s="15"/>
      <c r="E616" s="15"/>
      <c r="F616" s="15" t="s">
        <v>265</v>
      </c>
      <c r="G616" s="34">
        <v>2</v>
      </c>
      <c r="H616" s="34">
        <v>9</v>
      </c>
      <c r="I616" s="15" t="s">
        <v>1363</v>
      </c>
      <c r="J616" s="15" t="s">
        <v>217</v>
      </c>
      <c r="K616" s="74" t="s">
        <v>29</v>
      </c>
      <c r="L616" s="16">
        <v>630391</v>
      </c>
      <c r="M616" s="16">
        <v>470979</v>
      </c>
      <c r="N616" s="16">
        <v>17184</v>
      </c>
      <c r="O616" s="16">
        <v>546029</v>
      </c>
      <c r="P616" s="16">
        <v>371509</v>
      </c>
      <c r="Q616" s="16">
        <v>84361</v>
      </c>
      <c r="R616" s="16">
        <v>3788</v>
      </c>
      <c r="S616" s="16">
        <v>0</v>
      </c>
      <c r="T616" s="111">
        <v>15</v>
      </c>
    </row>
    <row r="617" spans="1:20" ht="15" customHeight="1" x14ac:dyDescent="0.2">
      <c r="A617" s="12" t="s">
        <v>1364</v>
      </c>
      <c r="B617" s="56">
        <v>5389174</v>
      </c>
      <c r="C617" s="12" t="s">
        <v>80</v>
      </c>
      <c r="D617" s="12" t="s">
        <v>81</v>
      </c>
      <c r="E617" s="12" t="s">
        <v>82</v>
      </c>
      <c r="F617" s="12" t="s">
        <v>98</v>
      </c>
      <c r="G617" s="33">
        <v>2</v>
      </c>
      <c r="H617" s="33">
        <v>16</v>
      </c>
      <c r="I617" s="12" t="s">
        <v>53</v>
      </c>
      <c r="J617" s="12" t="s">
        <v>54</v>
      </c>
      <c r="K617" s="73" t="s">
        <v>29</v>
      </c>
      <c r="L617" s="13">
        <v>626158</v>
      </c>
      <c r="M617" s="13">
        <v>0</v>
      </c>
      <c r="N617" s="13">
        <v>23245</v>
      </c>
      <c r="O617" s="13">
        <v>28815</v>
      </c>
      <c r="P617" s="13">
        <v>0</v>
      </c>
      <c r="Q617" s="13">
        <v>597343</v>
      </c>
      <c r="R617" s="13">
        <v>23057</v>
      </c>
      <c r="S617" s="13">
        <v>3</v>
      </c>
      <c r="T617" s="81">
        <v>0</v>
      </c>
    </row>
    <row r="618" spans="1:20" ht="15" customHeight="1" x14ac:dyDescent="0.2">
      <c r="A618" s="15" t="s">
        <v>1365</v>
      </c>
      <c r="B618" s="60">
        <v>33040601</v>
      </c>
      <c r="C618" s="15" t="s">
        <v>175</v>
      </c>
      <c r="D618" s="15" t="s">
        <v>176</v>
      </c>
      <c r="E618" s="15" t="s">
        <v>177</v>
      </c>
      <c r="F618" s="15" t="s">
        <v>65</v>
      </c>
      <c r="G618" s="34">
        <v>2</v>
      </c>
      <c r="H618" s="34">
        <v>14</v>
      </c>
      <c r="I618" s="15" t="s">
        <v>119</v>
      </c>
      <c r="J618" s="15" t="s">
        <v>120</v>
      </c>
      <c r="K618" s="74" t="s">
        <v>29</v>
      </c>
      <c r="L618" s="16">
        <v>621257</v>
      </c>
      <c r="M618" s="16">
        <v>393757</v>
      </c>
      <c r="N618" s="16">
        <v>114624</v>
      </c>
      <c r="O618" s="16">
        <v>36167</v>
      </c>
      <c r="P618" s="16">
        <v>0</v>
      </c>
      <c r="Q618" s="16">
        <v>585090</v>
      </c>
      <c r="R618" s="16">
        <v>21239</v>
      </c>
      <c r="S618" s="16">
        <v>2</v>
      </c>
      <c r="T618" s="111">
        <v>0</v>
      </c>
    </row>
    <row r="619" spans="1:20" ht="15" customHeight="1" x14ac:dyDescent="0.2">
      <c r="A619" s="12" t="s">
        <v>1366</v>
      </c>
      <c r="B619" s="56">
        <v>37255049</v>
      </c>
      <c r="C619" s="12"/>
      <c r="D619" s="12"/>
      <c r="E619" s="12"/>
      <c r="F619" s="12" t="s">
        <v>265</v>
      </c>
      <c r="G619" s="33">
        <v>2</v>
      </c>
      <c r="H619" s="33">
        <v>9</v>
      </c>
      <c r="I619" s="12" t="s">
        <v>388</v>
      </c>
      <c r="J619" s="12" t="s">
        <v>389</v>
      </c>
      <c r="K619" s="73" t="s">
        <v>29</v>
      </c>
      <c r="L619" s="13">
        <v>615985</v>
      </c>
      <c r="M619" s="13">
        <v>303065</v>
      </c>
      <c r="N619" s="13">
        <v>27309</v>
      </c>
      <c r="O619" s="13">
        <v>465063</v>
      </c>
      <c r="P619" s="13">
        <v>368154</v>
      </c>
      <c r="Q619" s="13">
        <v>150922</v>
      </c>
      <c r="R619" s="13">
        <v>15895</v>
      </c>
      <c r="S619" s="13">
        <v>0</v>
      </c>
      <c r="T619" s="81">
        <v>0</v>
      </c>
    </row>
    <row r="620" spans="1:20" ht="15" customHeight="1" x14ac:dyDescent="0.2">
      <c r="A620" s="15" t="s">
        <v>1367</v>
      </c>
      <c r="B620" s="60">
        <v>9033698</v>
      </c>
      <c r="C620" s="15"/>
      <c r="D620" s="15"/>
      <c r="E620" s="15"/>
      <c r="F620" s="15" t="s">
        <v>265</v>
      </c>
      <c r="G620" s="34">
        <v>2</v>
      </c>
      <c r="H620" s="34">
        <v>9</v>
      </c>
      <c r="I620" s="15" t="s">
        <v>524</v>
      </c>
      <c r="J620" s="15" t="s">
        <v>389</v>
      </c>
      <c r="K620" s="74" t="s">
        <v>29</v>
      </c>
      <c r="L620" s="16">
        <v>614388</v>
      </c>
      <c r="M620" s="16">
        <v>347716</v>
      </c>
      <c r="N620" s="16">
        <v>5315</v>
      </c>
      <c r="O620" s="16">
        <v>507346</v>
      </c>
      <c r="P620" s="16">
        <v>426995</v>
      </c>
      <c r="Q620" s="16">
        <v>107042</v>
      </c>
      <c r="R620" s="16">
        <v>-7585</v>
      </c>
      <c r="S620" s="16">
        <v>0</v>
      </c>
      <c r="T620" s="111">
        <v>3</v>
      </c>
    </row>
    <row r="621" spans="1:20" ht="15" customHeight="1" x14ac:dyDescent="0.2">
      <c r="A621" s="12" t="s">
        <v>1368</v>
      </c>
      <c r="B621" s="56">
        <v>14913919</v>
      </c>
      <c r="C621" s="12"/>
      <c r="D621" s="12"/>
      <c r="E621" s="12"/>
      <c r="F621" s="12" t="s">
        <v>265</v>
      </c>
      <c r="G621" s="33">
        <v>2</v>
      </c>
      <c r="H621" s="33">
        <v>9</v>
      </c>
      <c r="I621" s="12" t="s">
        <v>119</v>
      </c>
      <c r="J621" s="12" t="s">
        <v>120</v>
      </c>
      <c r="K621" s="73" t="s">
        <v>29</v>
      </c>
      <c r="L621" s="13">
        <v>608482</v>
      </c>
      <c r="M621" s="13">
        <v>132721</v>
      </c>
      <c r="N621" s="13">
        <v>9596</v>
      </c>
      <c r="O621" s="13">
        <v>518767</v>
      </c>
      <c r="P621" s="13">
        <v>504016</v>
      </c>
      <c r="Q621" s="13">
        <v>89715</v>
      </c>
      <c r="R621" s="13">
        <v>12374</v>
      </c>
      <c r="S621" s="13">
        <v>0</v>
      </c>
      <c r="T621" s="81">
        <v>4</v>
      </c>
    </row>
    <row r="622" spans="1:20" ht="15" customHeight="1" x14ac:dyDescent="0.2">
      <c r="A622" s="15" t="s">
        <v>1369</v>
      </c>
      <c r="B622" s="60">
        <v>71392047</v>
      </c>
      <c r="C622" s="15"/>
      <c r="D622" s="15"/>
      <c r="E622" s="15"/>
      <c r="F622" s="15" t="s">
        <v>265</v>
      </c>
      <c r="G622" s="34">
        <v>2</v>
      </c>
      <c r="H622" s="34">
        <v>9</v>
      </c>
      <c r="I622" s="15" t="s">
        <v>1370</v>
      </c>
      <c r="J622" s="15" t="s">
        <v>120</v>
      </c>
      <c r="K622" s="74" t="s">
        <v>29</v>
      </c>
      <c r="L622" s="16">
        <v>608205</v>
      </c>
      <c r="M622" s="16">
        <v>273388</v>
      </c>
      <c r="N622" s="16">
        <v>22665</v>
      </c>
      <c r="O622" s="16">
        <v>515538</v>
      </c>
      <c r="P622" s="16">
        <v>412811</v>
      </c>
      <c r="Q622" s="16">
        <v>92667</v>
      </c>
      <c r="R622" s="16">
        <v>3215</v>
      </c>
      <c r="S622" s="16">
        <v>0</v>
      </c>
      <c r="T622" s="111">
        <v>2</v>
      </c>
    </row>
    <row r="623" spans="1:20" ht="15" customHeight="1" x14ac:dyDescent="0.2">
      <c r="A623" s="12" t="s">
        <v>1371</v>
      </c>
      <c r="B623" s="56">
        <v>41753500</v>
      </c>
      <c r="C623" s="12"/>
      <c r="D623" s="12"/>
      <c r="E623" s="12"/>
      <c r="F623" s="12" t="s">
        <v>265</v>
      </c>
      <c r="G623" s="33">
        <v>2</v>
      </c>
      <c r="H623" s="33">
        <v>9</v>
      </c>
      <c r="I623" s="12" t="s">
        <v>1372</v>
      </c>
      <c r="J623" s="12" t="s">
        <v>120</v>
      </c>
      <c r="K623" s="73" t="s">
        <v>29</v>
      </c>
      <c r="L623" s="13">
        <v>607346</v>
      </c>
      <c r="M623" s="13">
        <v>266885</v>
      </c>
      <c r="N623" s="13">
        <v>14136</v>
      </c>
      <c r="O623" s="13">
        <v>470712</v>
      </c>
      <c r="P623" s="13">
        <v>390015</v>
      </c>
      <c r="Q623" s="13">
        <v>136635</v>
      </c>
      <c r="R623" s="13">
        <v>10430</v>
      </c>
      <c r="S623" s="13">
        <v>0</v>
      </c>
      <c r="T623" s="81">
        <v>8</v>
      </c>
    </row>
    <row r="624" spans="1:20" ht="15" customHeight="1" x14ac:dyDescent="0.2">
      <c r="A624" s="15" t="s">
        <v>1373</v>
      </c>
      <c r="B624" s="60">
        <v>34169557</v>
      </c>
      <c r="C624" s="15" t="s">
        <v>175</v>
      </c>
      <c r="D624" s="15" t="s">
        <v>176</v>
      </c>
      <c r="E624" s="15" t="s">
        <v>177</v>
      </c>
      <c r="F624" s="15" t="s">
        <v>60</v>
      </c>
      <c r="G624" s="34">
        <v>2</v>
      </c>
      <c r="H624" s="34">
        <v>13</v>
      </c>
      <c r="I624" s="15" t="s">
        <v>119</v>
      </c>
      <c r="J624" s="15" t="s">
        <v>120</v>
      </c>
      <c r="K624" s="74" t="s">
        <v>29</v>
      </c>
      <c r="L624" s="16">
        <v>604306</v>
      </c>
      <c r="M624" s="16">
        <v>180382</v>
      </c>
      <c r="N624" s="16">
        <v>133472</v>
      </c>
      <c r="O624" s="16">
        <v>454807</v>
      </c>
      <c r="P624" s="16">
        <v>435795</v>
      </c>
      <c r="Q624" s="16">
        <v>149499</v>
      </c>
      <c r="R624" s="16">
        <v>7323</v>
      </c>
      <c r="S624" s="16">
        <v>2</v>
      </c>
      <c r="T624" s="111">
        <v>0</v>
      </c>
    </row>
    <row r="625" spans="1:20" ht="15" customHeight="1" x14ac:dyDescent="0.2">
      <c r="A625" s="12" t="s">
        <v>1374</v>
      </c>
      <c r="B625" s="56">
        <v>5351887</v>
      </c>
      <c r="C625" s="12" t="s">
        <v>1375</v>
      </c>
      <c r="D625" s="12"/>
      <c r="E625" s="12" t="s">
        <v>1376</v>
      </c>
      <c r="F625" s="12" t="s">
        <v>65</v>
      </c>
      <c r="G625" s="33">
        <v>2</v>
      </c>
      <c r="H625" s="33">
        <v>14</v>
      </c>
      <c r="I625" s="12" t="s">
        <v>1249</v>
      </c>
      <c r="J625" s="12" t="s">
        <v>120</v>
      </c>
      <c r="K625" s="73" t="s">
        <v>29</v>
      </c>
      <c r="L625" s="13">
        <v>604090</v>
      </c>
      <c r="M625" s="13">
        <v>486820</v>
      </c>
      <c r="N625" s="13">
        <v>26261</v>
      </c>
      <c r="O625" s="13">
        <v>483561</v>
      </c>
      <c r="P625" s="13">
        <v>427438</v>
      </c>
      <c r="Q625" s="13">
        <v>120529</v>
      </c>
      <c r="R625" s="13">
        <v>9286</v>
      </c>
      <c r="S625" s="13">
        <v>2</v>
      </c>
      <c r="T625" s="81">
        <v>0</v>
      </c>
    </row>
    <row r="626" spans="1:20" ht="15" customHeight="1" x14ac:dyDescent="0.2">
      <c r="A626" s="15" t="s">
        <v>1377</v>
      </c>
      <c r="B626" s="60">
        <v>5247312</v>
      </c>
      <c r="C626" s="15"/>
      <c r="D626" s="15"/>
      <c r="E626" s="15"/>
      <c r="F626" s="15" t="s">
        <v>265</v>
      </c>
      <c r="G626" s="34">
        <v>2</v>
      </c>
      <c r="H626" s="34">
        <v>9</v>
      </c>
      <c r="I626" s="15" t="s">
        <v>686</v>
      </c>
      <c r="J626" s="15" t="s">
        <v>329</v>
      </c>
      <c r="K626" s="74" t="s">
        <v>29</v>
      </c>
      <c r="L626" s="16">
        <v>603673</v>
      </c>
      <c r="M626" s="16">
        <v>353393</v>
      </c>
      <c r="N626" s="16">
        <v>13557</v>
      </c>
      <c r="O626" s="16">
        <v>534574</v>
      </c>
      <c r="P626" s="16">
        <v>489905</v>
      </c>
      <c r="Q626" s="16">
        <v>69098</v>
      </c>
      <c r="R626" s="16">
        <v>4557</v>
      </c>
      <c r="S626" s="16">
        <v>0</v>
      </c>
      <c r="T626" s="111">
        <v>21</v>
      </c>
    </row>
    <row r="627" spans="1:20" ht="15" customHeight="1" x14ac:dyDescent="0.2">
      <c r="A627" s="12" t="s">
        <v>1378</v>
      </c>
      <c r="B627" s="56">
        <v>7252614</v>
      </c>
      <c r="C627" s="12"/>
      <c r="D627" s="12"/>
      <c r="E627" s="12"/>
      <c r="F627" s="12" t="s">
        <v>265</v>
      </c>
      <c r="G627" s="33">
        <v>2</v>
      </c>
      <c r="H627" s="33">
        <v>9</v>
      </c>
      <c r="I627" s="12" t="s">
        <v>1379</v>
      </c>
      <c r="J627" s="12" t="s">
        <v>74</v>
      </c>
      <c r="K627" s="73" t="s">
        <v>29</v>
      </c>
      <c r="L627" s="13">
        <v>601186</v>
      </c>
      <c r="M627" s="13">
        <v>417030</v>
      </c>
      <c r="N627" s="13">
        <v>18949</v>
      </c>
      <c r="O627" s="13">
        <v>526197</v>
      </c>
      <c r="P627" s="13">
        <v>299054</v>
      </c>
      <c r="Q627" s="13">
        <v>74989</v>
      </c>
      <c r="R627" s="13">
        <v>3409</v>
      </c>
      <c r="S627" s="13">
        <v>0</v>
      </c>
      <c r="T627" s="81">
        <v>16</v>
      </c>
    </row>
    <row r="628" spans="1:20" ht="15" customHeight="1" x14ac:dyDescent="0.2">
      <c r="A628" s="15" t="s">
        <v>1380</v>
      </c>
      <c r="B628" s="60">
        <v>4237413</v>
      </c>
      <c r="C628" s="15"/>
      <c r="D628" s="15"/>
      <c r="E628" s="15"/>
      <c r="F628" s="15" t="s">
        <v>265</v>
      </c>
      <c r="G628" s="34">
        <v>2</v>
      </c>
      <c r="H628" s="34">
        <v>9</v>
      </c>
      <c r="I628" s="15" t="s">
        <v>1381</v>
      </c>
      <c r="J628" s="15" t="s">
        <v>1078</v>
      </c>
      <c r="K628" s="74" t="s">
        <v>29</v>
      </c>
      <c r="L628" s="16">
        <v>601039</v>
      </c>
      <c r="M628" s="16">
        <v>256475</v>
      </c>
      <c r="N628" s="16">
        <v>277152</v>
      </c>
      <c r="O628" s="16">
        <v>534395</v>
      </c>
      <c r="P628" s="16">
        <v>434471</v>
      </c>
      <c r="Q628" s="16">
        <v>66644</v>
      </c>
      <c r="R628" s="16">
        <v>6068</v>
      </c>
      <c r="S628" s="16">
        <v>0</v>
      </c>
      <c r="T628" s="111">
        <v>6</v>
      </c>
    </row>
    <row r="629" spans="1:20" ht="15" customHeight="1" x14ac:dyDescent="0.2">
      <c r="A629" s="12" t="s">
        <v>1382</v>
      </c>
      <c r="B629" s="56">
        <v>33222241</v>
      </c>
      <c r="C629" s="12" t="s">
        <v>56</v>
      </c>
      <c r="D629" s="12" t="s">
        <v>57</v>
      </c>
      <c r="E629" s="12" t="s">
        <v>58</v>
      </c>
      <c r="F629" s="12" t="s">
        <v>60</v>
      </c>
      <c r="G629" s="33">
        <v>2</v>
      </c>
      <c r="H629" s="33">
        <v>13</v>
      </c>
      <c r="I629" s="12" t="s">
        <v>53</v>
      </c>
      <c r="J629" s="12" t="s">
        <v>54</v>
      </c>
      <c r="K629" s="73" t="s">
        <v>29</v>
      </c>
      <c r="L629" s="13">
        <v>599761</v>
      </c>
      <c r="M629" s="13">
        <v>362377</v>
      </c>
      <c r="N629" s="13">
        <v>0</v>
      </c>
      <c r="O629" s="13">
        <v>118379</v>
      </c>
      <c r="P629" s="13">
        <v>0</v>
      </c>
      <c r="Q629" s="13">
        <v>481381</v>
      </c>
      <c r="R629" s="13">
        <v>62807</v>
      </c>
      <c r="S629" s="13">
        <v>2</v>
      </c>
      <c r="T629" s="81">
        <v>0</v>
      </c>
    </row>
    <row r="630" spans="1:20" ht="15" customHeight="1" x14ac:dyDescent="0.2">
      <c r="A630" s="15" t="s">
        <v>1383</v>
      </c>
      <c r="B630" s="60">
        <v>2931668</v>
      </c>
      <c r="C630" s="15"/>
      <c r="D630" s="15"/>
      <c r="E630" s="15"/>
      <c r="F630" s="15" t="s">
        <v>265</v>
      </c>
      <c r="G630" s="34">
        <v>2</v>
      </c>
      <c r="H630" s="34">
        <v>9</v>
      </c>
      <c r="I630" s="15" t="s">
        <v>1384</v>
      </c>
      <c r="J630" s="15" t="s">
        <v>54</v>
      </c>
      <c r="K630" s="74" t="s">
        <v>29</v>
      </c>
      <c r="L630" s="16">
        <v>597044</v>
      </c>
      <c r="M630" s="16">
        <v>349471</v>
      </c>
      <c r="N630" s="16">
        <v>11515</v>
      </c>
      <c r="O630" s="16">
        <v>537356</v>
      </c>
      <c r="P630" s="16">
        <v>493031</v>
      </c>
      <c r="Q630" s="16">
        <v>59688</v>
      </c>
      <c r="R630" s="16">
        <v>-1026</v>
      </c>
      <c r="S630" s="16">
        <v>0</v>
      </c>
      <c r="T630" s="111">
        <v>19</v>
      </c>
    </row>
    <row r="631" spans="1:20" ht="15" customHeight="1" x14ac:dyDescent="0.2">
      <c r="A631" s="12" t="s">
        <v>1385</v>
      </c>
      <c r="B631" s="56">
        <v>25353939</v>
      </c>
      <c r="C631" s="12"/>
      <c r="D631" s="12"/>
      <c r="E631" s="12"/>
      <c r="F631" s="12" t="s">
        <v>265</v>
      </c>
      <c r="G631" s="33">
        <v>2</v>
      </c>
      <c r="H631" s="33">
        <v>9</v>
      </c>
      <c r="I631" s="12" t="s">
        <v>1386</v>
      </c>
      <c r="J631" s="12" t="s">
        <v>120</v>
      </c>
      <c r="K631" s="73" t="s">
        <v>29</v>
      </c>
      <c r="L631" s="13">
        <v>595220</v>
      </c>
      <c r="M631" s="13">
        <v>362072</v>
      </c>
      <c r="N631" s="13">
        <v>18290</v>
      </c>
      <c r="O631" s="13">
        <v>503661</v>
      </c>
      <c r="P631" s="13">
        <v>366172</v>
      </c>
      <c r="Q631" s="13">
        <v>91560</v>
      </c>
      <c r="R631" s="13">
        <v>10261</v>
      </c>
      <c r="S631" s="13">
        <v>0</v>
      </c>
      <c r="T631" s="81">
        <v>5</v>
      </c>
    </row>
    <row r="632" spans="1:20" ht="15" customHeight="1" x14ac:dyDescent="0.2">
      <c r="A632" s="15" t="s">
        <v>1387</v>
      </c>
      <c r="B632" s="60">
        <v>65239402</v>
      </c>
      <c r="C632" s="15"/>
      <c r="D632" s="15"/>
      <c r="E632" s="15"/>
      <c r="F632" s="15" t="s">
        <v>265</v>
      </c>
      <c r="G632" s="34">
        <v>2</v>
      </c>
      <c r="H632" s="34">
        <v>9</v>
      </c>
      <c r="I632" s="15" t="s">
        <v>1388</v>
      </c>
      <c r="J632" s="15" t="s">
        <v>120</v>
      </c>
      <c r="K632" s="74" t="s">
        <v>29</v>
      </c>
      <c r="L632" s="16">
        <v>593552</v>
      </c>
      <c r="M632" s="16">
        <v>177297</v>
      </c>
      <c r="N632" s="16">
        <v>12276</v>
      </c>
      <c r="O632" s="16">
        <v>502370</v>
      </c>
      <c r="P632" s="16">
        <v>454343</v>
      </c>
      <c r="Q632" s="16">
        <v>91182</v>
      </c>
      <c r="R632" s="16">
        <v>7734</v>
      </c>
      <c r="S632" s="16">
        <v>0</v>
      </c>
      <c r="T632" s="111">
        <v>5</v>
      </c>
    </row>
    <row r="633" spans="1:20" ht="15" customHeight="1" x14ac:dyDescent="0.2">
      <c r="A633" s="12" t="s">
        <v>1389</v>
      </c>
      <c r="B633" s="56">
        <v>2587492</v>
      </c>
      <c r="C633" s="12"/>
      <c r="D633" s="12"/>
      <c r="E633" s="12"/>
      <c r="F633" s="12" t="s">
        <v>265</v>
      </c>
      <c r="G633" s="33">
        <v>2</v>
      </c>
      <c r="H633" s="33">
        <v>9</v>
      </c>
      <c r="I633" s="12" t="s">
        <v>1390</v>
      </c>
      <c r="J633" s="12" t="s">
        <v>217</v>
      </c>
      <c r="K633" s="73" t="s">
        <v>29</v>
      </c>
      <c r="L633" s="13">
        <v>591623</v>
      </c>
      <c r="M633" s="13">
        <v>284476</v>
      </c>
      <c r="N633" s="13">
        <v>9403</v>
      </c>
      <c r="O633" s="13">
        <v>511174</v>
      </c>
      <c r="P633" s="13">
        <v>441127</v>
      </c>
      <c r="Q633" s="13">
        <v>80449</v>
      </c>
      <c r="R633" s="13">
        <v>5637</v>
      </c>
      <c r="S633" s="13">
        <v>0</v>
      </c>
      <c r="T633" s="81">
        <v>13</v>
      </c>
    </row>
    <row r="634" spans="1:20" ht="15" customHeight="1" x14ac:dyDescent="0.2">
      <c r="A634" s="15" t="s">
        <v>1391</v>
      </c>
      <c r="B634" s="60">
        <v>869687</v>
      </c>
      <c r="C634" s="15"/>
      <c r="D634" s="15"/>
      <c r="E634" s="15"/>
      <c r="F634" s="15" t="s">
        <v>265</v>
      </c>
      <c r="G634" s="34">
        <v>2</v>
      </c>
      <c r="H634" s="34">
        <v>9</v>
      </c>
      <c r="I634" s="15" t="s">
        <v>1392</v>
      </c>
      <c r="J634" s="15" t="s">
        <v>120</v>
      </c>
      <c r="K634" s="74" t="s">
        <v>29</v>
      </c>
      <c r="L634" s="16">
        <v>589223</v>
      </c>
      <c r="M634" s="16">
        <v>215806</v>
      </c>
      <c r="N634" s="16">
        <v>17433</v>
      </c>
      <c r="O634" s="16">
        <v>500797</v>
      </c>
      <c r="P634" s="16">
        <v>419880</v>
      </c>
      <c r="Q634" s="16">
        <v>88426</v>
      </c>
      <c r="R634" s="16">
        <v>7168</v>
      </c>
      <c r="S634" s="16">
        <v>0</v>
      </c>
      <c r="T634" s="111">
        <v>1</v>
      </c>
    </row>
    <row r="635" spans="1:20" ht="15" customHeight="1" x14ac:dyDescent="0.2">
      <c r="A635" s="12" t="s">
        <v>1393</v>
      </c>
      <c r="B635" s="56">
        <v>2197569</v>
      </c>
      <c r="C635" s="12"/>
      <c r="D635" s="12"/>
      <c r="E635" s="12"/>
      <c r="F635" s="12" t="s">
        <v>265</v>
      </c>
      <c r="G635" s="33">
        <v>2</v>
      </c>
      <c r="H635" s="33">
        <v>9</v>
      </c>
      <c r="I635" s="12" t="s">
        <v>587</v>
      </c>
      <c r="J635" s="12" t="s">
        <v>39</v>
      </c>
      <c r="K635" s="73" t="s">
        <v>29</v>
      </c>
      <c r="L635" s="13">
        <v>589133</v>
      </c>
      <c r="M635" s="13">
        <v>293781</v>
      </c>
      <c r="N635" s="13">
        <v>158361</v>
      </c>
      <c r="O635" s="13">
        <v>549228</v>
      </c>
      <c r="P635" s="13">
        <v>535172</v>
      </c>
      <c r="Q635" s="13">
        <v>39905</v>
      </c>
      <c r="R635" s="13">
        <v>-72</v>
      </c>
      <c r="S635" s="13">
        <v>0</v>
      </c>
      <c r="T635" s="81">
        <v>15</v>
      </c>
    </row>
    <row r="636" spans="1:20" ht="15" customHeight="1" x14ac:dyDescent="0.2">
      <c r="A636" s="15" t="s">
        <v>1394</v>
      </c>
      <c r="B636" s="60">
        <v>33579731</v>
      </c>
      <c r="C636" s="15"/>
      <c r="D636" s="15"/>
      <c r="E636" s="15"/>
      <c r="F636" s="15" t="s">
        <v>265</v>
      </c>
      <c r="G636" s="34">
        <v>2</v>
      </c>
      <c r="H636" s="34">
        <v>9</v>
      </c>
      <c r="I636" s="15" t="s">
        <v>1395</v>
      </c>
      <c r="J636" s="15" t="s">
        <v>389</v>
      </c>
      <c r="K636" s="74" t="s">
        <v>29</v>
      </c>
      <c r="L636" s="16">
        <v>576441</v>
      </c>
      <c r="M636" s="16">
        <v>314185</v>
      </c>
      <c r="N636" s="16">
        <v>25278</v>
      </c>
      <c r="O636" s="16">
        <v>491532</v>
      </c>
      <c r="P636" s="16">
        <v>443958</v>
      </c>
      <c r="Q636" s="16">
        <v>84909</v>
      </c>
      <c r="R636" s="16">
        <v>-9234</v>
      </c>
      <c r="S636" s="16">
        <v>0</v>
      </c>
      <c r="T636" s="111">
        <v>12</v>
      </c>
    </row>
    <row r="637" spans="1:20" ht="15" customHeight="1" x14ac:dyDescent="0.2">
      <c r="A637" s="12" t="s">
        <v>1396</v>
      </c>
      <c r="B637" s="56">
        <v>18587586</v>
      </c>
      <c r="C637" s="12" t="s">
        <v>1117</v>
      </c>
      <c r="D637" s="12"/>
      <c r="E637" s="12" t="s">
        <v>1118</v>
      </c>
      <c r="F637" s="12" t="s">
        <v>84</v>
      </c>
      <c r="G637" s="33">
        <v>3</v>
      </c>
      <c r="H637" s="33">
        <v>41</v>
      </c>
      <c r="I637" s="12" t="s">
        <v>107</v>
      </c>
      <c r="J637" s="12" t="s">
        <v>39</v>
      </c>
      <c r="K637" s="73" t="s">
        <v>29</v>
      </c>
      <c r="L637" s="13">
        <v>570983</v>
      </c>
      <c r="M637" s="13">
        <v>104687</v>
      </c>
      <c r="N637" s="13">
        <v>24007</v>
      </c>
      <c r="O637" s="13">
        <v>209550</v>
      </c>
      <c r="P637" s="13">
        <v>11398</v>
      </c>
      <c r="Q637" s="13">
        <v>361433</v>
      </c>
      <c r="R637" s="13">
        <v>62183</v>
      </c>
      <c r="S637" s="13">
        <v>1</v>
      </c>
      <c r="T637" s="81">
        <v>0</v>
      </c>
    </row>
    <row r="638" spans="1:20" ht="15" customHeight="1" x14ac:dyDescent="0.2">
      <c r="A638" s="15" t="s">
        <v>1397</v>
      </c>
      <c r="B638" s="60">
        <v>10506341</v>
      </c>
      <c r="C638" s="15" t="s">
        <v>1398</v>
      </c>
      <c r="D638" s="15"/>
      <c r="E638" s="15" t="s">
        <v>1399</v>
      </c>
      <c r="F638" s="15" t="s">
        <v>84</v>
      </c>
      <c r="G638" s="34">
        <v>2</v>
      </c>
      <c r="H638" s="34">
        <v>41</v>
      </c>
      <c r="I638" s="15" t="s">
        <v>53</v>
      </c>
      <c r="J638" s="15" t="s">
        <v>54</v>
      </c>
      <c r="K638" s="74" t="s">
        <v>29</v>
      </c>
      <c r="L638" s="16">
        <v>569598</v>
      </c>
      <c r="M638" s="16">
        <v>0</v>
      </c>
      <c r="N638" s="16">
        <v>65506</v>
      </c>
      <c r="O638" s="16">
        <v>534398</v>
      </c>
      <c r="P638" s="16">
        <v>64700</v>
      </c>
      <c r="Q638" s="16">
        <v>35200</v>
      </c>
      <c r="R638" s="16">
        <v>523</v>
      </c>
      <c r="S638" s="16">
        <v>1</v>
      </c>
      <c r="T638" s="111">
        <v>0</v>
      </c>
    </row>
    <row r="639" spans="1:20" ht="15" customHeight="1" x14ac:dyDescent="0.2">
      <c r="A639" s="12" t="s">
        <v>1400</v>
      </c>
      <c r="B639" s="56">
        <v>8795285</v>
      </c>
      <c r="C639" s="12"/>
      <c r="D639" s="12"/>
      <c r="E639" s="12"/>
      <c r="F639" s="12" t="s">
        <v>265</v>
      </c>
      <c r="G639" s="33">
        <v>2</v>
      </c>
      <c r="H639" s="33">
        <v>9</v>
      </c>
      <c r="I639" s="12" t="s">
        <v>1401</v>
      </c>
      <c r="J639" s="12" t="s">
        <v>39</v>
      </c>
      <c r="K639" s="73" t="s">
        <v>29</v>
      </c>
      <c r="L639" s="13">
        <v>565073</v>
      </c>
      <c r="M639" s="13">
        <v>287921</v>
      </c>
      <c r="N639" s="13">
        <v>14594</v>
      </c>
      <c r="O639" s="13">
        <v>490423</v>
      </c>
      <c r="P639" s="13">
        <v>472929</v>
      </c>
      <c r="Q639" s="13">
        <v>74650</v>
      </c>
      <c r="R639" s="13">
        <v>6836</v>
      </c>
      <c r="S639" s="13">
        <v>0</v>
      </c>
      <c r="T639" s="81">
        <v>5</v>
      </c>
    </row>
    <row r="640" spans="1:20" ht="15" customHeight="1" x14ac:dyDescent="0.2">
      <c r="A640" s="15" t="s">
        <v>1402</v>
      </c>
      <c r="B640" s="60">
        <v>13140088</v>
      </c>
      <c r="C640" s="15" t="s">
        <v>94</v>
      </c>
      <c r="D640" s="15"/>
      <c r="E640" s="15" t="s">
        <v>96</v>
      </c>
      <c r="F640" s="15" t="s">
        <v>84</v>
      </c>
      <c r="G640" s="34">
        <v>2</v>
      </c>
      <c r="H640" s="34">
        <v>41</v>
      </c>
      <c r="I640" s="15" t="s">
        <v>38</v>
      </c>
      <c r="J640" s="15" t="s">
        <v>39</v>
      </c>
      <c r="K640" s="74" t="s">
        <v>29</v>
      </c>
      <c r="L640" s="16">
        <v>561215</v>
      </c>
      <c r="M640" s="16">
        <v>150682</v>
      </c>
      <c r="N640" s="16">
        <v>0</v>
      </c>
      <c r="O640" s="16">
        <v>551549</v>
      </c>
      <c r="P640" s="16">
        <v>307850</v>
      </c>
      <c r="Q640" s="16">
        <v>9666</v>
      </c>
      <c r="R640" s="16">
        <v>-14549</v>
      </c>
      <c r="S640" s="16">
        <v>1</v>
      </c>
      <c r="T640" s="111">
        <v>0</v>
      </c>
    </row>
    <row r="641" spans="1:20" ht="15" customHeight="1" x14ac:dyDescent="0.2">
      <c r="A641" s="12" t="s">
        <v>1403</v>
      </c>
      <c r="B641" s="56">
        <v>3412878</v>
      </c>
      <c r="C641" s="12"/>
      <c r="D641" s="12"/>
      <c r="E641" s="12"/>
      <c r="F641" s="12" t="s">
        <v>265</v>
      </c>
      <c r="G641" s="33">
        <v>2</v>
      </c>
      <c r="H641" s="33">
        <v>9</v>
      </c>
      <c r="I641" s="12" t="s">
        <v>1404</v>
      </c>
      <c r="J641" s="12" t="s">
        <v>120</v>
      </c>
      <c r="K641" s="73" t="s">
        <v>29</v>
      </c>
      <c r="L641" s="13">
        <v>556342</v>
      </c>
      <c r="M641" s="13">
        <v>398391</v>
      </c>
      <c r="N641" s="13">
        <v>14637</v>
      </c>
      <c r="O641" s="13">
        <v>422783</v>
      </c>
      <c r="P641" s="13">
        <v>332793</v>
      </c>
      <c r="Q641" s="13">
        <v>133559</v>
      </c>
      <c r="R641" s="13">
        <v>9188</v>
      </c>
      <c r="S641" s="13">
        <v>0</v>
      </c>
      <c r="T641" s="81">
        <v>6</v>
      </c>
    </row>
    <row r="642" spans="1:20" ht="15" customHeight="1" x14ac:dyDescent="0.2">
      <c r="A642" s="15" t="s">
        <v>1405</v>
      </c>
      <c r="B642" s="60">
        <v>1608685</v>
      </c>
      <c r="C642" s="15"/>
      <c r="D642" s="15"/>
      <c r="E642" s="15"/>
      <c r="F642" s="15" t="s">
        <v>265</v>
      </c>
      <c r="G642" s="34">
        <v>2</v>
      </c>
      <c r="H642" s="34">
        <v>9</v>
      </c>
      <c r="I642" s="15" t="s">
        <v>1406</v>
      </c>
      <c r="J642" s="15" t="s">
        <v>1407</v>
      </c>
      <c r="K642" s="74" t="s">
        <v>29</v>
      </c>
      <c r="L642" s="16">
        <v>554878</v>
      </c>
      <c r="M642" s="16">
        <v>332847</v>
      </c>
      <c r="N642" s="16">
        <v>6217</v>
      </c>
      <c r="O642" s="16">
        <v>479002</v>
      </c>
      <c r="P642" s="16">
        <v>378861</v>
      </c>
      <c r="Q642" s="16">
        <v>75876</v>
      </c>
      <c r="R642" s="16">
        <v>8362</v>
      </c>
      <c r="S642" s="16">
        <v>0</v>
      </c>
      <c r="T642" s="111">
        <v>2</v>
      </c>
    </row>
    <row r="643" spans="1:20" ht="15" customHeight="1" x14ac:dyDescent="0.2">
      <c r="A643" s="12" t="s">
        <v>1408</v>
      </c>
      <c r="B643" s="56">
        <v>17361536</v>
      </c>
      <c r="C643" s="12"/>
      <c r="D643" s="12"/>
      <c r="E643" s="12"/>
      <c r="F643" s="12" t="s">
        <v>265</v>
      </c>
      <c r="G643" s="33">
        <v>2</v>
      </c>
      <c r="H643" s="33">
        <v>9</v>
      </c>
      <c r="I643" s="12" t="s">
        <v>1174</v>
      </c>
      <c r="J643" s="12" t="s">
        <v>120</v>
      </c>
      <c r="K643" s="73" t="s">
        <v>29</v>
      </c>
      <c r="L643" s="13">
        <v>554708</v>
      </c>
      <c r="M643" s="13">
        <v>267081</v>
      </c>
      <c r="N643" s="13">
        <v>16246</v>
      </c>
      <c r="O643" s="13">
        <v>436213</v>
      </c>
      <c r="P643" s="13">
        <v>417492</v>
      </c>
      <c r="Q643" s="13">
        <v>118495</v>
      </c>
      <c r="R643" s="13">
        <v>4449</v>
      </c>
      <c r="S643" s="13">
        <v>0</v>
      </c>
      <c r="T643" s="81">
        <v>21</v>
      </c>
    </row>
    <row r="644" spans="1:20" ht="15" customHeight="1" x14ac:dyDescent="0.2">
      <c r="A644" s="15" t="s">
        <v>1409</v>
      </c>
      <c r="B644" s="60">
        <v>71237184</v>
      </c>
      <c r="C644" s="15"/>
      <c r="D644" s="15"/>
      <c r="E644" s="15"/>
      <c r="F644" s="15" t="s">
        <v>265</v>
      </c>
      <c r="G644" s="34">
        <v>2</v>
      </c>
      <c r="H644" s="34">
        <v>9</v>
      </c>
      <c r="I644" s="15" t="s">
        <v>1410</v>
      </c>
      <c r="J644" s="15" t="s">
        <v>120</v>
      </c>
      <c r="K644" s="74" t="s">
        <v>29</v>
      </c>
      <c r="L644" s="16">
        <v>554644</v>
      </c>
      <c r="M644" s="16">
        <v>201789</v>
      </c>
      <c r="N644" s="16">
        <v>128398</v>
      </c>
      <c r="O644" s="16">
        <v>490258</v>
      </c>
      <c r="P644" s="16">
        <v>404216</v>
      </c>
      <c r="Q644" s="16">
        <v>64386</v>
      </c>
      <c r="R644" s="16">
        <v>5940</v>
      </c>
      <c r="S644" s="16">
        <v>0</v>
      </c>
      <c r="T644" s="111">
        <v>7</v>
      </c>
    </row>
    <row r="645" spans="1:20" ht="15" customHeight="1" x14ac:dyDescent="0.2">
      <c r="A645" s="12" t="s">
        <v>1411</v>
      </c>
      <c r="B645" s="56">
        <v>53720128</v>
      </c>
      <c r="C645" s="12" t="s">
        <v>1412</v>
      </c>
      <c r="D645" s="12"/>
      <c r="E645" s="12" t="s">
        <v>1413</v>
      </c>
      <c r="F645" s="12" t="s">
        <v>65</v>
      </c>
      <c r="G645" s="33">
        <v>3</v>
      </c>
      <c r="H645" s="33">
        <v>43</v>
      </c>
      <c r="I645" s="12" t="s">
        <v>38</v>
      </c>
      <c r="J645" s="12" t="s">
        <v>39</v>
      </c>
      <c r="K645" s="73" t="s">
        <v>29</v>
      </c>
      <c r="L645" s="13">
        <v>549909</v>
      </c>
      <c r="M645" s="13">
        <v>358228</v>
      </c>
      <c r="N645" s="13">
        <v>80656</v>
      </c>
      <c r="O645" s="13">
        <v>456287</v>
      </c>
      <c r="P645" s="13">
        <v>0</v>
      </c>
      <c r="Q645" s="13">
        <v>93623</v>
      </c>
      <c r="R645" s="13">
        <v>1390</v>
      </c>
      <c r="S645" s="13">
        <v>2</v>
      </c>
      <c r="T645" s="81">
        <v>0</v>
      </c>
    </row>
    <row r="646" spans="1:20" ht="15" customHeight="1" x14ac:dyDescent="0.2">
      <c r="A646" s="15" t="s">
        <v>1414</v>
      </c>
      <c r="B646" s="60">
        <v>8488377</v>
      </c>
      <c r="C646" s="15"/>
      <c r="D646" s="15"/>
      <c r="E646" s="15"/>
      <c r="F646" s="15" t="s">
        <v>265</v>
      </c>
      <c r="G646" s="34">
        <v>2</v>
      </c>
      <c r="H646" s="34">
        <v>9</v>
      </c>
      <c r="I646" s="15" t="s">
        <v>1415</v>
      </c>
      <c r="J646" s="15" t="s">
        <v>74</v>
      </c>
      <c r="K646" s="74" t="s">
        <v>29</v>
      </c>
      <c r="L646" s="16">
        <v>542679</v>
      </c>
      <c r="M646" s="16">
        <v>418284</v>
      </c>
      <c r="N646" s="16">
        <v>9436</v>
      </c>
      <c r="O646" s="16">
        <v>476719</v>
      </c>
      <c r="P646" s="16">
        <v>329289</v>
      </c>
      <c r="Q646" s="16">
        <v>65960</v>
      </c>
      <c r="R646" s="16">
        <v>3404</v>
      </c>
      <c r="S646" s="16">
        <v>0</v>
      </c>
      <c r="T646" s="111">
        <v>14</v>
      </c>
    </row>
    <row r="647" spans="1:20" ht="15" customHeight="1" x14ac:dyDescent="0.2">
      <c r="A647" s="12" t="s">
        <v>1416</v>
      </c>
      <c r="B647" s="56">
        <v>9473806</v>
      </c>
      <c r="C647" s="12" t="s">
        <v>1417</v>
      </c>
      <c r="D647" s="12"/>
      <c r="E647" s="12" t="s">
        <v>1418</v>
      </c>
      <c r="F647" s="12" t="s">
        <v>65</v>
      </c>
      <c r="G647" s="33">
        <v>2</v>
      </c>
      <c r="H647" s="33">
        <v>14</v>
      </c>
      <c r="I647" s="12" t="s">
        <v>1157</v>
      </c>
      <c r="J647" s="12" t="s">
        <v>74</v>
      </c>
      <c r="K647" s="73" t="s">
        <v>29</v>
      </c>
      <c r="L647" s="13">
        <v>536983</v>
      </c>
      <c r="M647" s="13">
        <v>508714</v>
      </c>
      <c r="N647" s="13">
        <v>21865</v>
      </c>
      <c r="O647" s="13">
        <v>441561</v>
      </c>
      <c r="P647" s="13">
        <v>435371</v>
      </c>
      <c r="Q647" s="13">
        <v>95422</v>
      </c>
      <c r="R647" s="13">
        <v>8826</v>
      </c>
      <c r="S647" s="13">
        <v>2</v>
      </c>
      <c r="T647" s="81">
        <v>0</v>
      </c>
    </row>
    <row r="648" spans="1:20" ht="15" customHeight="1" x14ac:dyDescent="0.2">
      <c r="A648" s="15" t="s">
        <v>1419</v>
      </c>
      <c r="B648" s="60">
        <v>4445917</v>
      </c>
      <c r="C648" s="15"/>
      <c r="D648" s="15"/>
      <c r="E648" s="15"/>
      <c r="F648" s="15" t="s">
        <v>265</v>
      </c>
      <c r="G648" s="34">
        <v>2</v>
      </c>
      <c r="H648" s="34">
        <v>9</v>
      </c>
      <c r="I648" s="15" t="s">
        <v>1384</v>
      </c>
      <c r="J648" s="15" t="s">
        <v>54</v>
      </c>
      <c r="K648" s="74" t="s">
        <v>29</v>
      </c>
      <c r="L648" s="16">
        <v>533623</v>
      </c>
      <c r="M648" s="16">
        <v>289577</v>
      </c>
      <c r="N648" s="16">
        <v>10678</v>
      </c>
      <c r="O648" s="16">
        <v>457485</v>
      </c>
      <c r="P648" s="16">
        <v>405931</v>
      </c>
      <c r="Q648" s="16">
        <v>76138</v>
      </c>
      <c r="R648" s="16">
        <v>6309</v>
      </c>
      <c r="S648" s="16">
        <v>0</v>
      </c>
      <c r="T648" s="111">
        <v>13</v>
      </c>
    </row>
    <row r="649" spans="1:20" ht="15" customHeight="1" x14ac:dyDescent="0.2">
      <c r="A649" s="12" t="s">
        <v>1420</v>
      </c>
      <c r="B649" s="56">
        <v>64276058</v>
      </c>
      <c r="C649" s="12"/>
      <c r="D649" s="12"/>
      <c r="E649" s="12"/>
      <c r="F649" s="12" t="s">
        <v>265</v>
      </c>
      <c r="G649" s="33">
        <v>2</v>
      </c>
      <c r="H649" s="33">
        <v>9</v>
      </c>
      <c r="I649" s="12" t="s">
        <v>1421</v>
      </c>
      <c r="J649" s="12" t="s">
        <v>120</v>
      </c>
      <c r="K649" s="73" t="s">
        <v>29</v>
      </c>
      <c r="L649" s="13">
        <v>528753</v>
      </c>
      <c r="M649" s="13">
        <v>307314</v>
      </c>
      <c r="N649" s="13">
        <v>9416</v>
      </c>
      <c r="O649" s="13">
        <v>386663</v>
      </c>
      <c r="P649" s="13">
        <v>331286</v>
      </c>
      <c r="Q649" s="13">
        <v>142090</v>
      </c>
      <c r="R649" s="13">
        <v>14044</v>
      </c>
      <c r="S649" s="13">
        <v>0</v>
      </c>
      <c r="T649" s="81">
        <v>7</v>
      </c>
    </row>
    <row r="650" spans="1:20" ht="15" customHeight="1" x14ac:dyDescent="0.2">
      <c r="A650" s="15" t="s">
        <v>1422</v>
      </c>
      <c r="B650" s="60">
        <v>5192316</v>
      </c>
      <c r="C650" s="15" t="s">
        <v>1423</v>
      </c>
      <c r="D650" s="15"/>
      <c r="E650" s="15" t="s">
        <v>1424</v>
      </c>
      <c r="F650" s="15" t="s">
        <v>65</v>
      </c>
      <c r="G650" s="34">
        <v>2</v>
      </c>
      <c r="H650" s="34">
        <v>14</v>
      </c>
      <c r="I650" s="15" t="s">
        <v>1044</v>
      </c>
      <c r="J650" s="15" t="s">
        <v>74</v>
      </c>
      <c r="K650" s="74" t="s">
        <v>29</v>
      </c>
      <c r="L650" s="16">
        <v>525275</v>
      </c>
      <c r="M650" s="16">
        <v>368552</v>
      </c>
      <c r="N650" s="16">
        <v>101476</v>
      </c>
      <c r="O650" s="16">
        <v>476341</v>
      </c>
      <c r="P650" s="16">
        <v>421520</v>
      </c>
      <c r="Q650" s="16">
        <v>48934</v>
      </c>
      <c r="R650" s="16">
        <v>6784</v>
      </c>
      <c r="S650" s="16">
        <v>2</v>
      </c>
      <c r="T650" s="111">
        <v>0</v>
      </c>
    </row>
    <row r="651" spans="1:20" ht="15" customHeight="1" x14ac:dyDescent="0.2">
      <c r="A651" s="12" t="s">
        <v>1425</v>
      </c>
      <c r="B651" s="56">
        <v>1205736</v>
      </c>
      <c r="C651" s="12"/>
      <c r="D651" s="12"/>
      <c r="E651" s="12"/>
      <c r="F651" s="12" t="s">
        <v>265</v>
      </c>
      <c r="G651" s="33">
        <v>2</v>
      </c>
      <c r="H651" s="33">
        <v>9</v>
      </c>
      <c r="I651" s="12" t="s">
        <v>1426</v>
      </c>
      <c r="J651" s="12" t="s">
        <v>211</v>
      </c>
      <c r="K651" s="73" t="s">
        <v>29</v>
      </c>
      <c r="L651" s="13">
        <v>521124</v>
      </c>
      <c r="M651" s="13">
        <v>290350</v>
      </c>
      <c r="N651" s="13">
        <v>27309</v>
      </c>
      <c r="O651" s="13">
        <v>446073</v>
      </c>
      <c r="P651" s="13">
        <v>381744</v>
      </c>
      <c r="Q651" s="13">
        <v>75051</v>
      </c>
      <c r="R651" s="13">
        <v>8796</v>
      </c>
      <c r="S651" s="13">
        <v>0</v>
      </c>
      <c r="T651" s="81">
        <v>11</v>
      </c>
    </row>
    <row r="652" spans="1:20" ht="15" customHeight="1" x14ac:dyDescent="0.2">
      <c r="A652" s="15" t="s">
        <v>1427</v>
      </c>
      <c r="B652" s="60">
        <v>33370115</v>
      </c>
      <c r="C652" s="15"/>
      <c r="D652" s="15"/>
      <c r="E652" s="15"/>
      <c r="F652" s="15" t="s">
        <v>265</v>
      </c>
      <c r="G652" s="34">
        <v>2</v>
      </c>
      <c r="H652" s="34">
        <v>9</v>
      </c>
      <c r="I652" s="15" t="s">
        <v>53</v>
      </c>
      <c r="J652" s="15" t="s">
        <v>54</v>
      </c>
      <c r="K652" s="74" t="s">
        <v>29</v>
      </c>
      <c r="L652" s="16">
        <v>519527</v>
      </c>
      <c r="M652" s="16">
        <v>140564</v>
      </c>
      <c r="N652" s="16">
        <v>128263</v>
      </c>
      <c r="O652" s="16">
        <v>478492</v>
      </c>
      <c r="P652" s="16">
        <v>471816</v>
      </c>
      <c r="Q652" s="16">
        <v>41035</v>
      </c>
      <c r="R652" s="16">
        <v>-1154</v>
      </c>
      <c r="S652" s="16">
        <v>0</v>
      </c>
      <c r="T652" s="111">
        <v>14</v>
      </c>
    </row>
    <row r="653" spans="1:20" ht="15" customHeight="1" x14ac:dyDescent="0.2">
      <c r="A653" s="12" t="s">
        <v>1428</v>
      </c>
      <c r="B653" s="56">
        <v>61021673</v>
      </c>
      <c r="C653" s="12" t="s">
        <v>841</v>
      </c>
      <c r="D653" s="12"/>
      <c r="E653" s="12" t="s">
        <v>842</v>
      </c>
      <c r="F653" s="12" t="s">
        <v>65</v>
      </c>
      <c r="G653" s="33">
        <v>2</v>
      </c>
      <c r="H653" s="33">
        <v>14</v>
      </c>
      <c r="I653" s="12" t="s">
        <v>107</v>
      </c>
      <c r="J653" s="12" t="s">
        <v>39</v>
      </c>
      <c r="K653" s="73" t="s">
        <v>29</v>
      </c>
      <c r="L653" s="13">
        <v>519320</v>
      </c>
      <c r="M653" s="13">
        <v>428859</v>
      </c>
      <c r="N653" s="13">
        <v>0</v>
      </c>
      <c r="O653" s="13">
        <v>297356</v>
      </c>
      <c r="P653" s="13">
        <v>257264</v>
      </c>
      <c r="Q653" s="13">
        <v>221964</v>
      </c>
      <c r="R653" s="13">
        <v>21343</v>
      </c>
      <c r="S653" s="13">
        <v>2</v>
      </c>
      <c r="T653" s="81">
        <v>0</v>
      </c>
    </row>
    <row r="654" spans="1:20" ht="15" customHeight="1" x14ac:dyDescent="0.2">
      <c r="A654" s="15" t="s">
        <v>1429</v>
      </c>
      <c r="B654" s="60">
        <v>3419786</v>
      </c>
      <c r="C654" s="15"/>
      <c r="D654" s="15"/>
      <c r="E654" s="15"/>
      <c r="F654" s="15" t="s">
        <v>265</v>
      </c>
      <c r="G654" s="34">
        <v>2</v>
      </c>
      <c r="H654" s="34">
        <v>9</v>
      </c>
      <c r="I654" s="15" t="s">
        <v>216</v>
      </c>
      <c r="J654" s="15" t="s">
        <v>217</v>
      </c>
      <c r="K654" s="74" t="s">
        <v>29</v>
      </c>
      <c r="L654" s="16">
        <v>517785</v>
      </c>
      <c r="M654" s="16">
        <v>252684</v>
      </c>
      <c r="N654" s="16">
        <v>6096</v>
      </c>
      <c r="O654" s="16">
        <v>471639</v>
      </c>
      <c r="P654" s="16">
        <v>460593</v>
      </c>
      <c r="Q654" s="16">
        <v>46146</v>
      </c>
      <c r="R654" s="16">
        <v>1295</v>
      </c>
      <c r="S654" s="16">
        <v>0</v>
      </c>
      <c r="T654" s="111">
        <v>9</v>
      </c>
    </row>
    <row r="655" spans="1:20" ht="15" customHeight="1" x14ac:dyDescent="0.2">
      <c r="A655" s="12" t="s">
        <v>1430</v>
      </c>
      <c r="B655" s="56">
        <v>1572667</v>
      </c>
      <c r="C655" s="12"/>
      <c r="D655" s="12"/>
      <c r="E655" s="12"/>
      <c r="F655" s="12" t="s">
        <v>265</v>
      </c>
      <c r="G655" s="33">
        <v>2</v>
      </c>
      <c r="H655" s="33">
        <v>9</v>
      </c>
      <c r="I655" s="12" t="s">
        <v>414</v>
      </c>
      <c r="J655" s="12" t="s">
        <v>74</v>
      </c>
      <c r="K655" s="73" t="s">
        <v>29</v>
      </c>
      <c r="L655" s="13">
        <v>516595</v>
      </c>
      <c r="M655" s="13">
        <v>328777</v>
      </c>
      <c r="N655" s="13">
        <v>5088</v>
      </c>
      <c r="O655" s="13">
        <v>467166</v>
      </c>
      <c r="P655" s="13">
        <v>460908</v>
      </c>
      <c r="Q655" s="13">
        <v>49430</v>
      </c>
      <c r="R655" s="13">
        <v>3213</v>
      </c>
      <c r="S655" s="13">
        <v>0</v>
      </c>
      <c r="T655" s="81">
        <v>7</v>
      </c>
    </row>
    <row r="656" spans="1:20" ht="15" customHeight="1" x14ac:dyDescent="0.2">
      <c r="A656" s="15" t="s">
        <v>1431</v>
      </c>
      <c r="B656" s="60">
        <v>97259253</v>
      </c>
      <c r="C656" s="15"/>
      <c r="D656" s="15"/>
      <c r="E656" s="15"/>
      <c r="F656" s="15" t="s">
        <v>265</v>
      </c>
      <c r="G656" s="34">
        <v>2</v>
      </c>
      <c r="H656" s="34">
        <v>9</v>
      </c>
      <c r="I656" s="15" t="s">
        <v>453</v>
      </c>
      <c r="J656" s="15" t="s">
        <v>74</v>
      </c>
      <c r="K656" s="74" t="s">
        <v>29</v>
      </c>
      <c r="L656" s="16">
        <v>516005</v>
      </c>
      <c r="M656" s="16">
        <v>94716</v>
      </c>
      <c r="N656" s="16">
        <v>13781</v>
      </c>
      <c r="O656" s="16">
        <v>473377</v>
      </c>
      <c r="P656" s="16">
        <v>466007</v>
      </c>
      <c r="Q656" s="16">
        <v>42628</v>
      </c>
      <c r="R656" s="16">
        <v>5160</v>
      </c>
      <c r="S656" s="16">
        <v>0</v>
      </c>
      <c r="T656" s="111">
        <v>4</v>
      </c>
    </row>
    <row r="657" spans="1:20" ht="15" customHeight="1" x14ac:dyDescent="0.2">
      <c r="A657" s="12" t="s">
        <v>1432</v>
      </c>
      <c r="B657" s="56">
        <v>429890</v>
      </c>
      <c r="C657" s="12"/>
      <c r="D657" s="12"/>
      <c r="E657" s="12"/>
      <c r="F657" s="12" t="s">
        <v>265</v>
      </c>
      <c r="G657" s="33">
        <v>2</v>
      </c>
      <c r="H657" s="33">
        <v>9</v>
      </c>
      <c r="I657" s="12" t="s">
        <v>1433</v>
      </c>
      <c r="J657" s="12" t="s">
        <v>120</v>
      </c>
      <c r="K657" s="73" t="s">
        <v>29</v>
      </c>
      <c r="L657" s="13">
        <v>515900</v>
      </c>
      <c r="M657" s="13">
        <v>322202</v>
      </c>
      <c r="N657" s="13">
        <v>25686</v>
      </c>
      <c r="O657" s="13">
        <v>446663</v>
      </c>
      <c r="P657" s="13">
        <v>266681</v>
      </c>
      <c r="Q657" s="13">
        <v>69237</v>
      </c>
      <c r="R657" s="13">
        <v>-1819</v>
      </c>
      <c r="S657" s="13">
        <v>0</v>
      </c>
      <c r="T657" s="81">
        <v>4</v>
      </c>
    </row>
    <row r="658" spans="1:20" ht="15" customHeight="1" x14ac:dyDescent="0.2">
      <c r="A658" s="15" t="s">
        <v>1434</v>
      </c>
      <c r="B658" s="60">
        <v>33615055</v>
      </c>
      <c r="C658" s="15"/>
      <c r="D658" s="15"/>
      <c r="E658" s="15"/>
      <c r="F658" s="15" t="s">
        <v>265</v>
      </c>
      <c r="G658" s="34">
        <v>2</v>
      </c>
      <c r="H658" s="34">
        <v>9</v>
      </c>
      <c r="I658" s="15" t="s">
        <v>545</v>
      </c>
      <c r="J658" s="15" t="s">
        <v>389</v>
      </c>
      <c r="K658" s="74" t="s">
        <v>29</v>
      </c>
      <c r="L658" s="16">
        <v>513987</v>
      </c>
      <c r="M658" s="16">
        <v>300934</v>
      </c>
      <c r="N658" s="16">
        <v>19556</v>
      </c>
      <c r="O658" s="16">
        <v>395332</v>
      </c>
      <c r="P658" s="16">
        <v>369666</v>
      </c>
      <c r="Q658" s="16">
        <v>118654</v>
      </c>
      <c r="R658" s="16">
        <v>12277</v>
      </c>
      <c r="S658" s="16">
        <v>0</v>
      </c>
      <c r="T658" s="111">
        <v>8</v>
      </c>
    </row>
    <row r="659" spans="1:20" ht="15" customHeight="1" x14ac:dyDescent="0.2">
      <c r="A659" s="12" t="s">
        <v>1435</v>
      </c>
      <c r="B659" s="56">
        <v>27214112</v>
      </c>
      <c r="C659" s="12" t="s">
        <v>1436</v>
      </c>
      <c r="D659" s="12"/>
      <c r="E659" s="12" t="s">
        <v>1437</v>
      </c>
      <c r="F659" s="12" t="s">
        <v>65</v>
      </c>
      <c r="G659" s="33">
        <v>2</v>
      </c>
      <c r="H659" s="33">
        <v>14</v>
      </c>
      <c r="I659" s="12" t="s">
        <v>803</v>
      </c>
      <c r="J659" s="12" t="s">
        <v>329</v>
      </c>
      <c r="K659" s="73" t="s">
        <v>29</v>
      </c>
      <c r="L659" s="13">
        <v>511369</v>
      </c>
      <c r="M659" s="13">
        <v>357563</v>
      </c>
      <c r="N659" s="13">
        <v>0</v>
      </c>
      <c r="O659" s="13">
        <v>436385</v>
      </c>
      <c r="P659" s="13">
        <v>427119</v>
      </c>
      <c r="Q659" s="13">
        <v>74984</v>
      </c>
      <c r="R659" s="13">
        <v>-1540</v>
      </c>
      <c r="S659" s="13">
        <v>2</v>
      </c>
      <c r="T659" s="81">
        <v>0</v>
      </c>
    </row>
    <row r="660" spans="1:20" ht="15" customHeight="1" x14ac:dyDescent="0.2">
      <c r="A660" s="15" t="s">
        <v>1438</v>
      </c>
      <c r="B660" s="60">
        <v>30723871</v>
      </c>
      <c r="C660" s="15" t="s">
        <v>1439</v>
      </c>
      <c r="D660" s="15"/>
      <c r="E660" s="15" t="s">
        <v>1440</v>
      </c>
      <c r="F660" s="15" t="s">
        <v>84</v>
      </c>
      <c r="G660" s="34">
        <v>2</v>
      </c>
      <c r="H660" s="34">
        <v>41</v>
      </c>
      <c r="I660" s="15" t="s">
        <v>38</v>
      </c>
      <c r="J660" s="15" t="s">
        <v>39</v>
      </c>
      <c r="K660" s="74" t="s">
        <v>29</v>
      </c>
      <c r="L660" s="16">
        <v>510822</v>
      </c>
      <c r="M660" s="16">
        <v>0</v>
      </c>
      <c r="N660" s="16">
        <v>197337</v>
      </c>
      <c r="O660" s="16">
        <v>104531</v>
      </c>
      <c r="P660" s="16">
        <v>41055</v>
      </c>
      <c r="Q660" s="16">
        <v>406292</v>
      </c>
      <c r="R660" s="16">
        <v>27777</v>
      </c>
      <c r="S660" s="16">
        <v>1</v>
      </c>
      <c r="T660" s="111">
        <v>0</v>
      </c>
    </row>
    <row r="661" spans="1:20" ht="15" customHeight="1" x14ac:dyDescent="0.2">
      <c r="A661" s="12" t="s">
        <v>1441</v>
      </c>
      <c r="B661" s="56">
        <v>1703620</v>
      </c>
      <c r="C661" s="12"/>
      <c r="D661" s="12"/>
      <c r="E661" s="12"/>
      <c r="F661" s="12" t="s">
        <v>265</v>
      </c>
      <c r="G661" s="33">
        <v>2</v>
      </c>
      <c r="H661" s="33">
        <v>9</v>
      </c>
      <c r="I661" s="12" t="s">
        <v>1068</v>
      </c>
      <c r="J661" s="12" t="s">
        <v>120</v>
      </c>
      <c r="K661" s="73" t="s">
        <v>29</v>
      </c>
      <c r="L661" s="13">
        <v>507626</v>
      </c>
      <c r="M661" s="13">
        <v>196592</v>
      </c>
      <c r="N661" s="13">
        <v>9788</v>
      </c>
      <c r="O661" s="13">
        <v>436533</v>
      </c>
      <c r="P661" s="13">
        <v>419777</v>
      </c>
      <c r="Q661" s="13">
        <v>71093</v>
      </c>
      <c r="R661" s="13">
        <v>2523</v>
      </c>
      <c r="S661" s="13">
        <v>0</v>
      </c>
      <c r="T661" s="81">
        <v>5</v>
      </c>
    </row>
    <row r="662" spans="1:20" ht="15" customHeight="1" x14ac:dyDescent="0.2">
      <c r="A662" s="15" t="s">
        <v>1442</v>
      </c>
      <c r="B662" s="60">
        <v>5494591</v>
      </c>
      <c r="C662" s="15"/>
      <c r="D662" s="15"/>
      <c r="E662" s="15"/>
      <c r="F662" s="15" t="s">
        <v>265</v>
      </c>
      <c r="G662" s="34">
        <v>2</v>
      </c>
      <c r="H662" s="34">
        <v>9</v>
      </c>
      <c r="I662" s="15" t="s">
        <v>1443</v>
      </c>
      <c r="J662" s="15" t="s">
        <v>217</v>
      </c>
      <c r="K662" s="74" t="s">
        <v>29</v>
      </c>
      <c r="L662" s="16">
        <v>505038</v>
      </c>
      <c r="M662" s="16">
        <v>371023</v>
      </c>
      <c r="N662" s="16">
        <v>12439</v>
      </c>
      <c r="O662" s="16">
        <v>439098</v>
      </c>
      <c r="P662" s="16">
        <v>247859</v>
      </c>
      <c r="Q662" s="16">
        <v>65940</v>
      </c>
      <c r="R662" s="16">
        <v>1109</v>
      </c>
      <c r="S662" s="16">
        <v>0</v>
      </c>
      <c r="T662" s="111">
        <v>9</v>
      </c>
    </row>
    <row r="663" spans="1:20" ht="15" customHeight="1" x14ac:dyDescent="0.2">
      <c r="A663" s="12" t="s">
        <v>1444</v>
      </c>
      <c r="B663" s="56">
        <v>3269540</v>
      </c>
      <c r="C663" s="12"/>
      <c r="D663" s="12"/>
      <c r="E663" s="12"/>
      <c r="F663" s="12" t="s">
        <v>265</v>
      </c>
      <c r="G663" s="33">
        <v>2</v>
      </c>
      <c r="H663" s="33">
        <v>9</v>
      </c>
      <c r="I663" s="12" t="s">
        <v>119</v>
      </c>
      <c r="J663" s="12" t="s">
        <v>120</v>
      </c>
      <c r="K663" s="73" t="s">
        <v>29</v>
      </c>
      <c r="L663" s="13">
        <v>503587</v>
      </c>
      <c r="M663" s="13">
        <v>251924</v>
      </c>
      <c r="N663" s="13">
        <v>12504</v>
      </c>
      <c r="O663" s="13">
        <v>418852</v>
      </c>
      <c r="P663" s="13">
        <v>409240</v>
      </c>
      <c r="Q663" s="13">
        <v>84735</v>
      </c>
      <c r="R663" s="13">
        <v>4928</v>
      </c>
      <c r="S663" s="13">
        <v>0</v>
      </c>
      <c r="T663" s="81">
        <v>0</v>
      </c>
    </row>
    <row r="664" spans="1:20" ht="15" customHeight="1" x14ac:dyDescent="0.2">
      <c r="A664" s="15" t="s">
        <v>1445</v>
      </c>
      <c r="B664" s="60">
        <v>4181542</v>
      </c>
      <c r="C664" s="15"/>
      <c r="D664" s="15"/>
      <c r="E664" s="15"/>
      <c r="F664" s="15" t="s">
        <v>265</v>
      </c>
      <c r="G664" s="34">
        <v>2</v>
      </c>
      <c r="H664" s="34">
        <v>9</v>
      </c>
      <c r="I664" s="15" t="s">
        <v>1446</v>
      </c>
      <c r="J664" s="15" t="s">
        <v>120</v>
      </c>
      <c r="K664" s="74" t="s">
        <v>29</v>
      </c>
      <c r="L664" s="16">
        <v>495545</v>
      </c>
      <c r="M664" s="16">
        <v>252491</v>
      </c>
      <c r="N664" s="16">
        <v>9579</v>
      </c>
      <c r="O664" s="16">
        <v>426582</v>
      </c>
      <c r="P664" s="16">
        <v>402025</v>
      </c>
      <c r="Q664" s="16">
        <v>68963</v>
      </c>
      <c r="R664" s="16">
        <v>473</v>
      </c>
      <c r="S664" s="16">
        <v>0</v>
      </c>
      <c r="T664" s="111">
        <v>7</v>
      </c>
    </row>
    <row r="665" spans="1:20" ht="15" customHeight="1" x14ac:dyDescent="0.2">
      <c r="A665" s="12" t="s">
        <v>1447</v>
      </c>
      <c r="B665" s="56">
        <v>3033469</v>
      </c>
      <c r="C665" s="12"/>
      <c r="D665" s="12"/>
      <c r="E665" s="12"/>
      <c r="F665" s="12" t="s">
        <v>265</v>
      </c>
      <c r="G665" s="33">
        <v>2</v>
      </c>
      <c r="H665" s="33">
        <v>9</v>
      </c>
      <c r="I665" s="12" t="s">
        <v>1306</v>
      </c>
      <c r="J665" s="12" t="s">
        <v>217</v>
      </c>
      <c r="K665" s="73" t="s">
        <v>29</v>
      </c>
      <c r="L665" s="13">
        <v>492618</v>
      </c>
      <c r="M665" s="13">
        <v>301124</v>
      </c>
      <c r="N665" s="13">
        <v>5845</v>
      </c>
      <c r="O665" s="13">
        <v>445418</v>
      </c>
      <c r="P665" s="13">
        <v>377133</v>
      </c>
      <c r="Q665" s="13">
        <v>47200</v>
      </c>
      <c r="R665" s="13">
        <v>936</v>
      </c>
      <c r="S665" s="13">
        <v>0</v>
      </c>
      <c r="T665" s="81">
        <v>8</v>
      </c>
    </row>
    <row r="666" spans="1:20" ht="15" customHeight="1" x14ac:dyDescent="0.2">
      <c r="A666" s="15" t="s">
        <v>1448</v>
      </c>
      <c r="B666" s="60">
        <v>2480577</v>
      </c>
      <c r="C666" s="15"/>
      <c r="D666" s="15"/>
      <c r="E666" s="15"/>
      <c r="F666" s="15" t="s">
        <v>265</v>
      </c>
      <c r="G666" s="34">
        <v>2</v>
      </c>
      <c r="H666" s="34">
        <v>9</v>
      </c>
      <c r="I666" s="15" t="s">
        <v>388</v>
      </c>
      <c r="J666" s="15" t="s">
        <v>389</v>
      </c>
      <c r="K666" s="74" t="s">
        <v>29</v>
      </c>
      <c r="L666" s="16">
        <v>491912</v>
      </c>
      <c r="M666" s="16">
        <v>210120</v>
      </c>
      <c r="N666" s="16">
        <v>27516</v>
      </c>
      <c r="O666" s="16">
        <v>401645</v>
      </c>
      <c r="P666" s="16">
        <v>388952</v>
      </c>
      <c r="Q666" s="16">
        <v>90267</v>
      </c>
      <c r="R666" s="16">
        <v>1976</v>
      </c>
      <c r="S666" s="16">
        <v>0</v>
      </c>
      <c r="T666" s="111">
        <v>3</v>
      </c>
    </row>
    <row r="667" spans="1:20" ht="15" customHeight="1" x14ac:dyDescent="0.2">
      <c r="A667" s="12" t="s">
        <v>1449</v>
      </c>
      <c r="B667" s="56">
        <v>71418784</v>
      </c>
      <c r="C667" s="12"/>
      <c r="D667" s="12"/>
      <c r="E667" s="12"/>
      <c r="F667" s="12" t="s">
        <v>265</v>
      </c>
      <c r="G667" s="33">
        <v>2</v>
      </c>
      <c r="H667" s="33">
        <v>9</v>
      </c>
      <c r="I667" s="12" t="s">
        <v>665</v>
      </c>
      <c r="J667" s="12" t="s">
        <v>120</v>
      </c>
      <c r="K667" s="73" t="s">
        <v>29</v>
      </c>
      <c r="L667" s="13">
        <v>490198</v>
      </c>
      <c r="M667" s="13">
        <v>143523</v>
      </c>
      <c r="N667" s="13">
        <v>10174</v>
      </c>
      <c r="O667" s="13">
        <v>432190</v>
      </c>
      <c r="P667" s="13">
        <v>394663</v>
      </c>
      <c r="Q667" s="13">
        <v>58008</v>
      </c>
      <c r="R667" s="13">
        <v>4224</v>
      </c>
      <c r="S667" s="13">
        <v>0</v>
      </c>
      <c r="T667" s="81">
        <v>11</v>
      </c>
    </row>
    <row r="668" spans="1:20" ht="15" customHeight="1" x14ac:dyDescent="0.2">
      <c r="A668" s="15" t="s">
        <v>1450</v>
      </c>
      <c r="B668" s="60">
        <v>41931221</v>
      </c>
      <c r="C668" s="15"/>
      <c r="D668" s="15"/>
      <c r="E668" s="15"/>
      <c r="F668" s="15" t="s">
        <v>265</v>
      </c>
      <c r="G668" s="34">
        <v>2</v>
      </c>
      <c r="H668" s="34">
        <v>9</v>
      </c>
      <c r="I668" s="15" t="s">
        <v>1446</v>
      </c>
      <c r="J668" s="15" t="s">
        <v>120</v>
      </c>
      <c r="K668" s="74" t="s">
        <v>29</v>
      </c>
      <c r="L668" s="16">
        <v>490050</v>
      </c>
      <c r="M668" s="16">
        <v>206935</v>
      </c>
      <c r="N668" s="16">
        <v>12220</v>
      </c>
      <c r="O668" s="16">
        <v>417552</v>
      </c>
      <c r="P668" s="16">
        <v>382649</v>
      </c>
      <c r="Q668" s="16">
        <v>72497</v>
      </c>
      <c r="R668" s="16">
        <v>7538</v>
      </c>
      <c r="S668" s="16">
        <v>0</v>
      </c>
      <c r="T668" s="111">
        <v>3</v>
      </c>
    </row>
    <row r="669" spans="1:20" ht="15" customHeight="1" x14ac:dyDescent="0.2">
      <c r="A669" s="12" t="s">
        <v>1451</v>
      </c>
      <c r="B669" s="56">
        <v>3881423</v>
      </c>
      <c r="C669" s="12" t="s">
        <v>1452</v>
      </c>
      <c r="D669" s="12"/>
      <c r="E669" s="12" t="s">
        <v>1453</v>
      </c>
      <c r="F669" s="12" t="s">
        <v>65</v>
      </c>
      <c r="G669" s="33">
        <v>2</v>
      </c>
      <c r="H669" s="33">
        <v>14</v>
      </c>
      <c r="I669" s="12" t="s">
        <v>1454</v>
      </c>
      <c r="J669" s="12" t="s">
        <v>54</v>
      </c>
      <c r="K669" s="73" t="s">
        <v>29</v>
      </c>
      <c r="L669" s="13">
        <v>488416</v>
      </c>
      <c r="M669" s="13">
        <v>417861</v>
      </c>
      <c r="N669" s="13">
        <v>10834</v>
      </c>
      <c r="O669" s="13">
        <v>415199</v>
      </c>
      <c r="P669" s="13">
        <v>409176</v>
      </c>
      <c r="Q669" s="13">
        <v>73217</v>
      </c>
      <c r="R669" s="13">
        <v>1787</v>
      </c>
      <c r="S669" s="13">
        <v>2</v>
      </c>
      <c r="T669" s="81">
        <v>0</v>
      </c>
    </row>
    <row r="670" spans="1:20" ht="15" customHeight="1" x14ac:dyDescent="0.2">
      <c r="A670" s="15" t="s">
        <v>1455</v>
      </c>
      <c r="B670" s="60">
        <v>1692448</v>
      </c>
      <c r="C670" s="15"/>
      <c r="D670" s="15"/>
      <c r="E670" s="15"/>
      <c r="F670" s="15" t="s">
        <v>265</v>
      </c>
      <c r="G670" s="34">
        <v>2</v>
      </c>
      <c r="H670" s="34">
        <v>9</v>
      </c>
      <c r="I670" s="15" t="s">
        <v>1456</v>
      </c>
      <c r="J670" s="15" t="s">
        <v>217</v>
      </c>
      <c r="K670" s="74" t="s">
        <v>29</v>
      </c>
      <c r="L670" s="16">
        <v>484119</v>
      </c>
      <c r="M670" s="16">
        <v>382100</v>
      </c>
      <c r="N670" s="16">
        <v>13621</v>
      </c>
      <c r="O670" s="16">
        <v>407096</v>
      </c>
      <c r="P670" s="16">
        <v>268837</v>
      </c>
      <c r="Q670" s="16">
        <v>77023</v>
      </c>
      <c r="R670" s="16">
        <v>5582</v>
      </c>
      <c r="S670" s="16">
        <v>0</v>
      </c>
      <c r="T670" s="111">
        <v>4</v>
      </c>
    </row>
    <row r="671" spans="1:20" ht="15" customHeight="1" x14ac:dyDescent="0.2">
      <c r="A671" s="12" t="s">
        <v>1457</v>
      </c>
      <c r="B671" s="56">
        <v>3519240</v>
      </c>
      <c r="C671" s="12"/>
      <c r="D671" s="12"/>
      <c r="E671" s="12"/>
      <c r="F671" s="12" t="s">
        <v>265</v>
      </c>
      <c r="G671" s="33">
        <v>2</v>
      </c>
      <c r="H671" s="33">
        <v>9</v>
      </c>
      <c r="I671" s="12" t="s">
        <v>119</v>
      </c>
      <c r="J671" s="12" t="s">
        <v>120</v>
      </c>
      <c r="K671" s="73" t="s">
        <v>29</v>
      </c>
      <c r="L671" s="13">
        <v>479183</v>
      </c>
      <c r="M671" s="13">
        <v>216591</v>
      </c>
      <c r="N671" s="13">
        <v>13444</v>
      </c>
      <c r="O671" s="13">
        <v>406122</v>
      </c>
      <c r="P671" s="13">
        <v>400192</v>
      </c>
      <c r="Q671" s="13">
        <v>73061</v>
      </c>
      <c r="R671" s="13">
        <v>3686</v>
      </c>
      <c r="S671" s="13">
        <v>0</v>
      </c>
      <c r="T671" s="81">
        <v>5</v>
      </c>
    </row>
    <row r="672" spans="1:20" ht="15" customHeight="1" x14ac:dyDescent="0.2">
      <c r="A672" s="15" t="s">
        <v>1458</v>
      </c>
      <c r="B672" s="60">
        <v>41498340</v>
      </c>
      <c r="C672" s="15" t="s">
        <v>1459</v>
      </c>
      <c r="D672" s="15"/>
      <c r="E672" s="15" t="s">
        <v>1460</v>
      </c>
      <c r="F672" s="15" t="s">
        <v>65</v>
      </c>
      <c r="G672" s="34">
        <v>2</v>
      </c>
      <c r="H672" s="34">
        <v>14</v>
      </c>
      <c r="I672" s="15" t="s">
        <v>645</v>
      </c>
      <c r="J672" s="15" t="s">
        <v>74</v>
      </c>
      <c r="K672" s="74" t="s">
        <v>29</v>
      </c>
      <c r="L672" s="16">
        <v>477965</v>
      </c>
      <c r="M672" s="16">
        <v>408416</v>
      </c>
      <c r="N672" s="16">
        <v>43379</v>
      </c>
      <c r="O672" s="16">
        <v>391773</v>
      </c>
      <c r="P672" s="16">
        <v>366822</v>
      </c>
      <c r="Q672" s="16">
        <v>86192</v>
      </c>
      <c r="R672" s="16">
        <v>4370</v>
      </c>
      <c r="S672" s="16">
        <v>2</v>
      </c>
      <c r="T672" s="111">
        <v>0</v>
      </c>
    </row>
    <row r="673" spans="1:20" ht="15" customHeight="1" x14ac:dyDescent="0.2">
      <c r="A673" s="12" t="s">
        <v>1461</v>
      </c>
      <c r="B673" s="56">
        <v>71163315</v>
      </c>
      <c r="C673" s="12"/>
      <c r="D673" s="12"/>
      <c r="E673" s="12"/>
      <c r="F673" s="12" t="s">
        <v>265</v>
      </c>
      <c r="G673" s="33">
        <v>2</v>
      </c>
      <c r="H673" s="33">
        <v>9</v>
      </c>
      <c r="I673" s="12" t="s">
        <v>1042</v>
      </c>
      <c r="J673" s="12" t="s">
        <v>120</v>
      </c>
      <c r="K673" s="73" t="s">
        <v>29</v>
      </c>
      <c r="L673" s="13">
        <v>468226</v>
      </c>
      <c r="M673" s="13">
        <v>277246</v>
      </c>
      <c r="N673" s="13">
        <v>13678</v>
      </c>
      <c r="O673" s="13">
        <v>394891</v>
      </c>
      <c r="P673" s="13">
        <v>343759</v>
      </c>
      <c r="Q673" s="13">
        <v>73335</v>
      </c>
      <c r="R673" s="13">
        <v>3563</v>
      </c>
      <c r="S673" s="13">
        <v>0</v>
      </c>
      <c r="T673" s="81">
        <v>6</v>
      </c>
    </row>
    <row r="674" spans="1:20" ht="15" customHeight="1" x14ac:dyDescent="0.2">
      <c r="A674" s="15" t="s">
        <v>1462</v>
      </c>
      <c r="B674" s="60">
        <v>3485130</v>
      </c>
      <c r="C674" s="15"/>
      <c r="D674" s="15"/>
      <c r="E674" s="15"/>
      <c r="F674" s="15" t="s">
        <v>265</v>
      </c>
      <c r="G674" s="34">
        <v>2</v>
      </c>
      <c r="H674" s="34">
        <v>9</v>
      </c>
      <c r="I674" s="15" t="s">
        <v>1463</v>
      </c>
      <c r="J674" s="15" t="s">
        <v>217</v>
      </c>
      <c r="K674" s="74" t="s">
        <v>29</v>
      </c>
      <c r="L674" s="16">
        <v>465106</v>
      </c>
      <c r="M674" s="16">
        <v>315134</v>
      </c>
      <c r="N674" s="16">
        <v>11088</v>
      </c>
      <c r="O674" s="16">
        <v>416985</v>
      </c>
      <c r="P674" s="16">
        <v>309633</v>
      </c>
      <c r="Q674" s="16">
        <v>48121</v>
      </c>
      <c r="R674" s="16">
        <v>3168</v>
      </c>
      <c r="S674" s="16">
        <v>0</v>
      </c>
      <c r="T674" s="111">
        <v>13</v>
      </c>
    </row>
    <row r="675" spans="1:20" ht="15" customHeight="1" x14ac:dyDescent="0.2">
      <c r="A675" s="12" t="s">
        <v>1464</v>
      </c>
      <c r="B675" s="56">
        <v>53842122</v>
      </c>
      <c r="C675" s="12" t="s">
        <v>1465</v>
      </c>
      <c r="D675" s="12"/>
      <c r="E675" s="12" t="s">
        <v>1466</v>
      </c>
      <c r="F675" s="12" t="s">
        <v>65</v>
      </c>
      <c r="G675" s="33">
        <v>2</v>
      </c>
      <c r="H675" s="33">
        <v>14</v>
      </c>
      <c r="I675" s="12" t="s">
        <v>107</v>
      </c>
      <c r="J675" s="12" t="s">
        <v>39</v>
      </c>
      <c r="K675" s="73" t="s">
        <v>29</v>
      </c>
      <c r="L675" s="13">
        <v>462957</v>
      </c>
      <c r="M675" s="13">
        <v>0</v>
      </c>
      <c r="N675" s="13">
        <v>22217</v>
      </c>
      <c r="O675" s="13">
        <v>437900</v>
      </c>
      <c r="P675" s="13">
        <v>431404</v>
      </c>
      <c r="Q675" s="13">
        <v>25057</v>
      </c>
      <c r="R675" s="13">
        <v>4831</v>
      </c>
      <c r="S675" s="13">
        <v>2</v>
      </c>
      <c r="T675" s="81">
        <v>0</v>
      </c>
    </row>
    <row r="676" spans="1:20" ht="15" customHeight="1" x14ac:dyDescent="0.2">
      <c r="A676" s="15" t="s">
        <v>1467</v>
      </c>
      <c r="B676" s="60">
        <v>27652684</v>
      </c>
      <c r="C676" s="15" t="s">
        <v>519</v>
      </c>
      <c r="D676" s="15" t="s">
        <v>520</v>
      </c>
      <c r="E676" s="15" t="s">
        <v>521</v>
      </c>
      <c r="F676" s="15" t="s">
        <v>98</v>
      </c>
      <c r="G676" s="34">
        <v>2</v>
      </c>
      <c r="H676" s="34">
        <v>15</v>
      </c>
      <c r="I676" s="15" t="s">
        <v>53</v>
      </c>
      <c r="J676" s="15" t="s">
        <v>54</v>
      </c>
      <c r="K676" s="74" t="s">
        <v>29</v>
      </c>
      <c r="L676" s="16">
        <v>460848</v>
      </c>
      <c r="M676" s="16">
        <v>0</v>
      </c>
      <c r="N676" s="16">
        <v>50277</v>
      </c>
      <c r="O676" s="16">
        <v>198476</v>
      </c>
      <c r="P676" s="16">
        <v>3381</v>
      </c>
      <c r="Q676" s="16">
        <v>262372</v>
      </c>
      <c r="R676" s="16">
        <v>-19765</v>
      </c>
      <c r="S676" s="16">
        <v>4</v>
      </c>
      <c r="T676" s="111">
        <v>0</v>
      </c>
    </row>
    <row r="677" spans="1:20" ht="15" customHeight="1" x14ac:dyDescent="0.2">
      <c r="A677" s="12" t="s">
        <v>1468</v>
      </c>
      <c r="B677" s="56">
        <v>2883398</v>
      </c>
      <c r="C677" s="12"/>
      <c r="D677" s="12"/>
      <c r="E677" s="12"/>
      <c r="F677" s="12" t="s">
        <v>265</v>
      </c>
      <c r="G677" s="33">
        <v>2</v>
      </c>
      <c r="H677" s="33">
        <v>9</v>
      </c>
      <c r="I677" s="12" t="s">
        <v>281</v>
      </c>
      <c r="J677" s="12" t="s">
        <v>217</v>
      </c>
      <c r="K677" s="73" t="s">
        <v>29</v>
      </c>
      <c r="L677" s="13">
        <v>458826</v>
      </c>
      <c r="M677" s="13">
        <v>277555</v>
      </c>
      <c r="N677" s="13">
        <v>98091</v>
      </c>
      <c r="O677" s="13">
        <v>376193</v>
      </c>
      <c r="P677" s="13">
        <v>364218</v>
      </c>
      <c r="Q677" s="13">
        <v>82634</v>
      </c>
      <c r="R677" s="13">
        <v>3775</v>
      </c>
      <c r="S677" s="13">
        <v>0</v>
      </c>
      <c r="T677" s="81">
        <v>10</v>
      </c>
    </row>
    <row r="678" spans="1:20" ht="15" customHeight="1" x14ac:dyDescent="0.2">
      <c r="A678" s="15" t="s">
        <v>1469</v>
      </c>
      <c r="B678" s="60">
        <v>71154256</v>
      </c>
      <c r="C678" s="15"/>
      <c r="D678" s="15"/>
      <c r="E678" s="15"/>
      <c r="F678" s="15" t="s">
        <v>265</v>
      </c>
      <c r="G678" s="34">
        <v>2</v>
      </c>
      <c r="H678" s="34">
        <v>9</v>
      </c>
      <c r="I678" s="15" t="s">
        <v>1470</v>
      </c>
      <c r="J678" s="15" t="s">
        <v>120</v>
      </c>
      <c r="K678" s="74" t="s">
        <v>29</v>
      </c>
      <c r="L678" s="16">
        <v>458659</v>
      </c>
      <c r="M678" s="16">
        <v>290423</v>
      </c>
      <c r="N678" s="16">
        <v>15649</v>
      </c>
      <c r="O678" s="16">
        <v>395916</v>
      </c>
      <c r="P678" s="16">
        <v>309367</v>
      </c>
      <c r="Q678" s="16">
        <v>62743</v>
      </c>
      <c r="R678" s="16">
        <v>2064</v>
      </c>
      <c r="S678" s="16">
        <v>0</v>
      </c>
      <c r="T678" s="111">
        <v>3</v>
      </c>
    </row>
    <row r="679" spans="1:20" ht="15" customHeight="1" x14ac:dyDescent="0.2">
      <c r="A679" s="12" t="s">
        <v>1471</v>
      </c>
      <c r="B679" s="56">
        <v>72128440</v>
      </c>
      <c r="C679" s="12"/>
      <c r="D679" s="12"/>
      <c r="E679" s="12"/>
      <c r="F679" s="12" t="s">
        <v>265</v>
      </c>
      <c r="G679" s="33">
        <v>2</v>
      </c>
      <c r="H679" s="33">
        <v>9</v>
      </c>
      <c r="I679" s="12" t="s">
        <v>53</v>
      </c>
      <c r="J679" s="12" t="s">
        <v>54</v>
      </c>
      <c r="K679" s="73" t="s">
        <v>29</v>
      </c>
      <c r="L679" s="13">
        <v>457818</v>
      </c>
      <c r="M679" s="13">
        <v>188113</v>
      </c>
      <c r="N679" s="13">
        <v>167916</v>
      </c>
      <c r="O679" s="13">
        <v>411107</v>
      </c>
      <c r="P679" s="13">
        <v>387106</v>
      </c>
      <c r="Q679" s="13">
        <v>46711</v>
      </c>
      <c r="R679" s="13">
        <v>-867</v>
      </c>
      <c r="S679" s="13">
        <v>0</v>
      </c>
      <c r="T679" s="81">
        <v>12</v>
      </c>
    </row>
    <row r="680" spans="1:20" ht="15" customHeight="1" x14ac:dyDescent="0.2">
      <c r="A680" s="15" t="s">
        <v>1472</v>
      </c>
      <c r="B680" s="60">
        <v>4694278</v>
      </c>
      <c r="C680" s="15"/>
      <c r="D680" s="15"/>
      <c r="E680" s="15"/>
      <c r="F680" s="15" t="s">
        <v>265</v>
      </c>
      <c r="G680" s="34">
        <v>2</v>
      </c>
      <c r="H680" s="34">
        <v>9</v>
      </c>
      <c r="I680" s="15" t="s">
        <v>53</v>
      </c>
      <c r="J680" s="15" t="s">
        <v>54</v>
      </c>
      <c r="K680" s="74" t="s">
        <v>29</v>
      </c>
      <c r="L680" s="16">
        <v>457478</v>
      </c>
      <c r="M680" s="16">
        <v>123118</v>
      </c>
      <c r="N680" s="16">
        <v>159715</v>
      </c>
      <c r="O680" s="16">
        <v>428846</v>
      </c>
      <c r="P680" s="16">
        <v>423392</v>
      </c>
      <c r="Q680" s="16">
        <v>28632</v>
      </c>
      <c r="R680" s="16">
        <v>-11291</v>
      </c>
      <c r="S680" s="16">
        <v>0</v>
      </c>
      <c r="T680" s="111">
        <v>5</v>
      </c>
    </row>
    <row r="681" spans="1:20" ht="15" customHeight="1" x14ac:dyDescent="0.2">
      <c r="A681" s="12" t="s">
        <v>1473</v>
      </c>
      <c r="B681" s="56">
        <v>2000895</v>
      </c>
      <c r="C681" s="12"/>
      <c r="D681" s="12"/>
      <c r="E681" s="12"/>
      <c r="F681" s="12" t="s">
        <v>265</v>
      </c>
      <c r="G681" s="33">
        <v>2</v>
      </c>
      <c r="H681" s="33">
        <v>9</v>
      </c>
      <c r="I681" s="12" t="s">
        <v>53</v>
      </c>
      <c r="J681" s="12" t="s">
        <v>54</v>
      </c>
      <c r="K681" s="73" t="s">
        <v>29</v>
      </c>
      <c r="L681" s="13">
        <v>457291</v>
      </c>
      <c r="M681" s="13">
        <v>283000</v>
      </c>
      <c r="N681" s="13">
        <v>19258</v>
      </c>
      <c r="O681" s="13">
        <v>352669</v>
      </c>
      <c r="P681" s="13">
        <v>332456</v>
      </c>
      <c r="Q681" s="13">
        <v>104622</v>
      </c>
      <c r="R681" s="13">
        <v>7150</v>
      </c>
      <c r="S681" s="13">
        <v>0</v>
      </c>
      <c r="T681" s="81">
        <v>9</v>
      </c>
    </row>
    <row r="682" spans="1:20" ht="15" customHeight="1" x14ac:dyDescent="0.2">
      <c r="A682" s="15" t="s">
        <v>1474</v>
      </c>
      <c r="B682" s="60">
        <v>82096447</v>
      </c>
      <c r="C682" s="15"/>
      <c r="D682" s="15"/>
      <c r="E682" s="15"/>
      <c r="F682" s="15" t="s">
        <v>265</v>
      </c>
      <c r="G682" s="34">
        <v>2</v>
      </c>
      <c r="H682" s="34">
        <v>9</v>
      </c>
      <c r="I682" s="15" t="s">
        <v>228</v>
      </c>
      <c r="J682" s="15" t="s">
        <v>229</v>
      </c>
      <c r="K682" s="74" t="s">
        <v>29</v>
      </c>
      <c r="L682" s="16">
        <v>454673</v>
      </c>
      <c r="M682" s="16">
        <v>143146</v>
      </c>
      <c r="N682" s="16">
        <v>218698</v>
      </c>
      <c r="O682" s="16">
        <v>292869</v>
      </c>
      <c r="P682" s="16">
        <v>276087</v>
      </c>
      <c r="Q682" s="16">
        <v>161804</v>
      </c>
      <c r="R682" s="16">
        <v>7107</v>
      </c>
      <c r="S682" s="16">
        <v>0</v>
      </c>
      <c r="T682" s="111">
        <v>17</v>
      </c>
    </row>
    <row r="683" spans="1:20" ht="15" customHeight="1" x14ac:dyDescent="0.2">
      <c r="A683" s="12" t="s">
        <v>1475</v>
      </c>
      <c r="B683" s="56">
        <v>39343350</v>
      </c>
      <c r="C683" s="12"/>
      <c r="D683" s="12"/>
      <c r="E683" s="12"/>
      <c r="F683" s="12" t="s">
        <v>265</v>
      </c>
      <c r="G683" s="33">
        <v>2</v>
      </c>
      <c r="H683" s="33">
        <v>9</v>
      </c>
      <c r="I683" s="12" t="s">
        <v>340</v>
      </c>
      <c r="J683" s="12" t="s">
        <v>229</v>
      </c>
      <c r="K683" s="73" t="s">
        <v>29</v>
      </c>
      <c r="L683" s="13">
        <v>454576</v>
      </c>
      <c r="M683" s="13">
        <v>179410</v>
      </c>
      <c r="N683" s="13">
        <v>269355</v>
      </c>
      <c r="O683" s="13">
        <v>373131</v>
      </c>
      <c r="P683" s="13">
        <v>364456</v>
      </c>
      <c r="Q683" s="13">
        <v>81445</v>
      </c>
      <c r="R683" s="13">
        <v>7883</v>
      </c>
      <c r="S683" s="13">
        <v>0</v>
      </c>
      <c r="T683" s="81">
        <v>35</v>
      </c>
    </row>
    <row r="684" spans="1:20" ht="15" customHeight="1" x14ac:dyDescent="0.2">
      <c r="A684" s="15" t="s">
        <v>1476</v>
      </c>
      <c r="B684" s="60">
        <v>5676026</v>
      </c>
      <c r="C684" s="15" t="s">
        <v>1477</v>
      </c>
      <c r="D684" s="15"/>
      <c r="E684" s="15" t="s">
        <v>1478</v>
      </c>
      <c r="F684" s="15" t="s">
        <v>65</v>
      </c>
      <c r="G684" s="34">
        <v>2</v>
      </c>
      <c r="H684" s="34">
        <v>14</v>
      </c>
      <c r="I684" s="15" t="s">
        <v>1479</v>
      </c>
      <c r="J684" s="15" t="s">
        <v>74</v>
      </c>
      <c r="K684" s="74" t="s">
        <v>29</v>
      </c>
      <c r="L684" s="16">
        <v>453768</v>
      </c>
      <c r="M684" s="16">
        <v>297423</v>
      </c>
      <c r="N684" s="16">
        <v>12414</v>
      </c>
      <c r="O684" s="16">
        <v>371908</v>
      </c>
      <c r="P684" s="16">
        <v>348992</v>
      </c>
      <c r="Q684" s="16">
        <v>81860</v>
      </c>
      <c r="R684" s="16">
        <v>-2084</v>
      </c>
      <c r="S684" s="16">
        <v>2</v>
      </c>
      <c r="T684" s="111">
        <v>0</v>
      </c>
    </row>
    <row r="685" spans="1:20" ht="15" customHeight="1" x14ac:dyDescent="0.2">
      <c r="A685" s="12" t="s">
        <v>1480</v>
      </c>
      <c r="B685" s="56">
        <v>36588217</v>
      </c>
      <c r="C685" s="12" t="s">
        <v>998</v>
      </c>
      <c r="D685" s="12"/>
      <c r="E685" s="12" t="s">
        <v>999</v>
      </c>
      <c r="F685" s="12" t="s">
        <v>98</v>
      </c>
      <c r="G685" s="33">
        <v>3</v>
      </c>
      <c r="H685" s="33">
        <v>21</v>
      </c>
      <c r="I685" s="12" t="s">
        <v>38</v>
      </c>
      <c r="J685" s="12" t="s">
        <v>39</v>
      </c>
      <c r="K685" s="73" t="s">
        <v>29</v>
      </c>
      <c r="L685" s="13">
        <v>451395</v>
      </c>
      <c r="M685" s="13">
        <v>0</v>
      </c>
      <c r="N685" s="13">
        <v>0</v>
      </c>
      <c r="O685" s="13">
        <v>287168</v>
      </c>
      <c r="P685" s="13">
        <v>112580</v>
      </c>
      <c r="Q685" s="13">
        <v>164227</v>
      </c>
      <c r="R685" s="13">
        <v>11687</v>
      </c>
      <c r="S685" s="13">
        <v>2</v>
      </c>
      <c r="T685" s="81">
        <v>0</v>
      </c>
    </row>
    <row r="686" spans="1:20" ht="15" customHeight="1" x14ac:dyDescent="0.2">
      <c r="A686" s="15" t="s">
        <v>1481</v>
      </c>
      <c r="B686" s="60">
        <v>4355489</v>
      </c>
      <c r="C686" s="15"/>
      <c r="D686" s="15"/>
      <c r="E686" s="15"/>
      <c r="F686" s="15" t="s">
        <v>265</v>
      </c>
      <c r="G686" s="34">
        <v>2</v>
      </c>
      <c r="H686" s="34">
        <v>9</v>
      </c>
      <c r="I686" s="15" t="s">
        <v>216</v>
      </c>
      <c r="J686" s="15" t="s">
        <v>217</v>
      </c>
      <c r="K686" s="74" t="s">
        <v>29</v>
      </c>
      <c r="L686" s="16">
        <v>451314</v>
      </c>
      <c r="M686" s="16">
        <v>257422</v>
      </c>
      <c r="N686" s="16">
        <v>9833</v>
      </c>
      <c r="O686" s="16">
        <v>410044</v>
      </c>
      <c r="P686" s="16">
        <v>388441</v>
      </c>
      <c r="Q686" s="16">
        <v>41270</v>
      </c>
      <c r="R686" s="16">
        <v>63</v>
      </c>
      <c r="S686" s="16">
        <v>0</v>
      </c>
      <c r="T686" s="111">
        <v>2</v>
      </c>
    </row>
    <row r="687" spans="1:20" ht="15" customHeight="1" x14ac:dyDescent="0.2">
      <c r="A687" s="12" t="s">
        <v>1482</v>
      </c>
      <c r="B687" s="56">
        <v>2904125</v>
      </c>
      <c r="C687" s="12"/>
      <c r="D687" s="12"/>
      <c r="E687" s="12"/>
      <c r="F687" s="12" t="s">
        <v>265</v>
      </c>
      <c r="G687" s="33">
        <v>2</v>
      </c>
      <c r="H687" s="33">
        <v>9</v>
      </c>
      <c r="I687" s="12" t="s">
        <v>1483</v>
      </c>
      <c r="J687" s="12" t="s">
        <v>74</v>
      </c>
      <c r="K687" s="73" t="s">
        <v>29</v>
      </c>
      <c r="L687" s="13">
        <v>450461</v>
      </c>
      <c r="M687" s="13">
        <v>307130</v>
      </c>
      <c r="N687" s="13">
        <v>19039</v>
      </c>
      <c r="O687" s="13">
        <v>393702</v>
      </c>
      <c r="P687" s="13">
        <v>242996</v>
      </c>
      <c r="Q687" s="13">
        <v>56759</v>
      </c>
      <c r="R687" s="13">
        <v>834</v>
      </c>
      <c r="S687" s="13">
        <v>0</v>
      </c>
      <c r="T687" s="81">
        <v>16</v>
      </c>
    </row>
    <row r="688" spans="1:20" ht="15" customHeight="1" x14ac:dyDescent="0.2">
      <c r="A688" s="15" t="s">
        <v>1484</v>
      </c>
      <c r="B688" s="60">
        <v>66788142</v>
      </c>
      <c r="C688" s="15"/>
      <c r="D688" s="15"/>
      <c r="E688" s="15"/>
      <c r="F688" s="15" t="s">
        <v>265</v>
      </c>
      <c r="G688" s="34">
        <v>2</v>
      </c>
      <c r="H688" s="34">
        <v>9</v>
      </c>
      <c r="I688" s="15" t="s">
        <v>1485</v>
      </c>
      <c r="J688" s="15" t="s">
        <v>39</v>
      </c>
      <c r="K688" s="74" t="s">
        <v>29</v>
      </c>
      <c r="L688" s="16">
        <v>447995</v>
      </c>
      <c r="M688" s="16">
        <v>249478</v>
      </c>
      <c r="N688" s="16">
        <v>25031</v>
      </c>
      <c r="O688" s="16">
        <v>410325</v>
      </c>
      <c r="P688" s="16">
        <v>375195</v>
      </c>
      <c r="Q688" s="16">
        <v>37669</v>
      </c>
      <c r="R688" s="16">
        <v>-4745</v>
      </c>
      <c r="S688" s="16">
        <v>0</v>
      </c>
      <c r="T688" s="111">
        <v>16</v>
      </c>
    </row>
    <row r="689" spans="1:20" ht="15" customHeight="1" x14ac:dyDescent="0.2">
      <c r="A689" s="12" t="s">
        <v>1486</v>
      </c>
      <c r="B689" s="56">
        <v>5222094</v>
      </c>
      <c r="C689" s="12"/>
      <c r="D689" s="12"/>
      <c r="E689" s="12"/>
      <c r="F689" s="12" t="s">
        <v>265</v>
      </c>
      <c r="G689" s="33">
        <v>2</v>
      </c>
      <c r="H689" s="33">
        <v>9</v>
      </c>
      <c r="I689" s="12" t="s">
        <v>1487</v>
      </c>
      <c r="J689" s="12" t="s">
        <v>389</v>
      </c>
      <c r="K689" s="73" t="s">
        <v>29</v>
      </c>
      <c r="L689" s="13">
        <v>444694</v>
      </c>
      <c r="M689" s="13">
        <v>294449</v>
      </c>
      <c r="N689" s="13">
        <v>11046</v>
      </c>
      <c r="O689" s="13">
        <v>397128</v>
      </c>
      <c r="P689" s="13">
        <v>329151</v>
      </c>
      <c r="Q689" s="13">
        <v>47566</v>
      </c>
      <c r="R689" s="13">
        <v>-8841</v>
      </c>
      <c r="S689" s="13">
        <v>0</v>
      </c>
      <c r="T689" s="81">
        <v>3</v>
      </c>
    </row>
    <row r="690" spans="1:20" ht="15" customHeight="1" x14ac:dyDescent="0.2">
      <c r="A690" s="15" t="s">
        <v>1488</v>
      </c>
      <c r="B690" s="60">
        <v>6040559</v>
      </c>
      <c r="C690" s="15" t="s">
        <v>1489</v>
      </c>
      <c r="D690" s="15"/>
      <c r="E690" s="15" t="s">
        <v>1490</v>
      </c>
      <c r="F690" s="15" t="s">
        <v>65</v>
      </c>
      <c r="G690" s="34">
        <v>2</v>
      </c>
      <c r="H690" s="34">
        <v>14</v>
      </c>
      <c r="I690" s="15" t="s">
        <v>1491</v>
      </c>
      <c r="J690" s="15" t="s">
        <v>217</v>
      </c>
      <c r="K690" s="74" t="s">
        <v>29</v>
      </c>
      <c r="L690" s="16">
        <v>443580</v>
      </c>
      <c r="M690" s="16">
        <v>416480</v>
      </c>
      <c r="N690" s="16">
        <v>0</v>
      </c>
      <c r="O690" s="16">
        <v>228903</v>
      </c>
      <c r="P690" s="16">
        <v>160564</v>
      </c>
      <c r="Q690" s="16">
        <v>214677</v>
      </c>
      <c r="R690" s="16">
        <v>11943</v>
      </c>
      <c r="S690" s="16">
        <v>2</v>
      </c>
      <c r="T690" s="111">
        <v>0</v>
      </c>
    </row>
    <row r="691" spans="1:20" ht="15" customHeight="1" x14ac:dyDescent="0.2">
      <c r="A691" s="12" t="s">
        <v>1492</v>
      </c>
      <c r="B691" s="56">
        <v>82133182</v>
      </c>
      <c r="C691" s="12"/>
      <c r="D691" s="12"/>
      <c r="E691" s="12"/>
      <c r="F691" s="12" t="s">
        <v>265</v>
      </c>
      <c r="G691" s="33">
        <v>2</v>
      </c>
      <c r="H691" s="33">
        <v>9</v>
      </c>
      <c r="I691" s="12" t="s">
        <v>1493</v>
      </c>
      <c r="J691" s="12" t="s">
        <v>217</v>
      </c>
      <c r="K691" s="73" t="s">
        <v>29</v>
      </c>
      <c r="L691" s="13">
        <v>442589</v>
      </c>
      <c r="M691" s="13">
        <v>295631</v>
      </c>
      <c r="N691" s="13">
        <v>12292</v>
      </c>
      <c r="O691" s="13">
        <v>388705</v>
      </c>
      <c r="P691" s="13">
        <v>366773</v>
      </c>
      <c r="Q691" s="13">
        <v>53884</v>
      </c>
      <c r="R691" s="13">
        <v>611</v>
      </c>
      <c r="S691" s="13">
        <v>0</v>
      </c>
      <c r="T691" s="81">
        <v>14</v>
      </c>
    </row>
    <row r="692" spans="1:20" ht="15" customHeight="1" x14ac:dyDescent="0.2">
      <c r="A692" s="15" t="s">
        <v>1494</v>
      </c>
      <c r="B692" s="60">
        <v>18282093</v>
      </c>
      <c r="C692" s="15" t="s">
        <v>1495</v>
      </c>
      <c r="D692" s="15" t="s">
        <v>1496</v>
      </c>
      <c r="E692" s="15" t="s">
        <v>1496</v>
      </c>
      <c r="F692" s="15" t="s">
        <v>65</v>
      </c>
      <c r="G692" s="34">
        <v>2</v>
      </c>
      <c r="H692" s="34">
        <v>29</v>
      </c>
      <c r="I692" s="15" t="s">
        <v>73</v>
      </c>
      <c r="J692" s="15" t="s">
        <v>74</v>
      </c>
      <c r="K692" s="74" t="s">
        <v>29</v>
      </c>
      <c r="L692" s="16">
        <v>437611</v>
      </c>
      <c r="M692" s="16">
        <v>319198</v>
      </c>
      <c r="N692" s="16">
        <v>4545</v>
      </c>
      <c r="O692" s="16">
        <v>385672</v>
      </c>
      <c r="P692" s="16">
        <v>281695</v>
      </c>
      <c r="Q692" s="16">
        <v>51939</v>
      </c>
      <c r="R692" s="16">
        <v>4673</v>
      </c>
      <c r="S692" s="16">
        <v>2</v>
      </c>
      <c r="T692" s="111">
        <v>0</v>
      </c>
    </row>
    <row r="693" spans="1:20" ht="15" customHeight="1" x14ac:dyDescent="0.2">
      <c r="A693" s="12" t="s">
        <v>1497</v>
      </c>
      <c r="B693" s="56">
        <v>34337707</v>
      </c>
      <c r="C693" s="12" t="s">
        <v>959</v>
      </c>
      <c r="D693" s="12" t="s">
        <v>960</v>
      </c>
      <c r="E693" s="12" t="s">
        <v>961</v>
      </c>
      <c r="F693" s="12" t="s">
        <v>65</v>
      </c>
      <c r="G693" s="33">
        <v>2</v>
      </c>
      <c r="H693" s="33">
        <v>43</v>
      </c>
      <c r="I693" s="12" t="s">
        <v>38</v>
      </c>
      <c r="J693" s="12" t="s">
        <v>39</v>
      </c>
      <c r="K693" s="73" t="s">
        <v>29</v>
      </c>
      <c r="L693" s="13">
        <v>437284</v>
      </c>
      <c r="M693" s="13">
        <v>92760</v>
      </c>
      <c r="N693" s="13">
        <v>0</v>
      </c>
      <c r="O693" s="13">
        <v>240858</v>
      </c>
      <c r="P693" s="13">
        <v>18686</v>
      </c>
      <c r="Q693" s="13">
        <v>196426</v>
      </c>
      <c r="R693" s="13">
        <v>30486</v>
      </c>
      <c r="S693" s="13">
        <v>2</v>
      </c>
      <c r="T693" s="81">
        <v>0</v>
      </c>
    </row>
    <row r="694" spans="1:20" ht="15" customHeight="1" x14ac:dyDescent="0.2">
      <c r="A694" s="15" t="s">
        <v>1498</v>
      </c>
      <c r="B694" s="60">
        <v>1155801</v>
      </c>
      <c r="C694" s="15"/>
      <c r="D694" s="15"/>
      <c r="E694" s="15"/>
      <c r="F694" s="15" t="s">
        <v>265</v>
      </c>
      <c r="G694" s="34">
        <v>2</v>
      </c>
      <c r="H694" s="34">
        <v>9</v>
      </c>
      <c r="I694" s="15" t="s">
        <v>1499</v>
      </c>
      <c r="J694" s="15" t="s">
        <v>217</v>
      </c>
      <c r="K694" s="74" t="s">
        <v>29</v>
      </c>
      <c r="L694" s="16">
        <v>434545</v>
      </c>
      <c r="M694" s="16">
        <v>322133</v>
      </c>
      <c r="N694" s="16">
        <v>9702</v>
      </c>
      <c r="O694" s="16">
        <v>372518</v>
      </c>
      <c r="P694" s="16">
        <v>231109</v>
      </c>
      <c r="Q694" s="16">
        <v>62028</v>
      </c>
      <c r="R694" s="16">
        <v>-199</v>
      </c>
      <c r="S694" s="16">
        <v>0</v>
      </c>
      <c r="T694" s="111">
        <v>13</v>
      </c>
    </row>
    <row r="695" spans="1:20" ht="15" customHeight="1" x14ac:dyDescent="0.2">
      <c r="A695" s="12" t="s">
        <v>1500</v>
      </c>
      <c r="B695" s="56">
        <v>71441406</v>
      </c>
      <c r="C695" s="12"/>
      <c r="D695" s="12"/>
      <c r="E695" s="12"/>
      <c r="F695" s="12" t="s">
        <v>265</v>
      </c>
      <c r="G695" s="33">
        <v>2</v>
      </c>
      <c r="H695" s="33">
        <v>9</v>
      </c>
      <c r="I695" s="12" t="s">
        <v>1501</v>
      </c>
      <c r="J695" s="12" t="s">
        <v>120</v>
      </c>
      <c r="K695" s="73" t="s">
        <v>29</v>
      </c>
      <c r="L695" s="13">
        <v>429968</v>
      </c>
      <c r="M695" s="13">
        <v>156400</v>
      </c>
      <c r="N695" s="13">
        <v>8398</v>
      </c>
      <c r="O695" s="13">
        <v>368877</v>
      </c>
      <c r="P695" s="13">
        <v>338157</v>
      </c>
      <c r="Q695" s="13">
        <v>61091</v>
      </c>
      <c r="R695" s="13">
        <v>4876</v>
      </c>
      <c r="S695" s="13">
        <v>0</v>
      </c>
      <c r="T695" s="81">
        <v>10</v>
      </c>
    </row>
    <row r="696" spans="1:20" ht="15" customHeight="1" x14ac:dyDescent="0.2">
      <c r="A696" s="15" t="s">
        <v>1502</v>
      </c>
      <c r="B696" s="60">
        <v>37241230</v>
      </c>
      <c r="C696" s="15" t="s">
        <v>757</v>
      </c>
      <c r="D696" s="15"/>
      <c r="E696" s="15" t="s">
        <v>758</v>
      </c>
      <c r="F696" s="15" t="s">
        <v>65</v>
      </c>
      <c r="G696" s="34">
        <v>3</v>
      </c>
      <c r="H696" s="34">
        <v>43</v>
      </c>
      <c r="I696" s="15" t="s">
        <v>38</v>
      </c>
      <c r="J696" s="15" t="s">
        <v>39</v>
      </c>
      <c r="K696" s="74" t="s">
        <v>29</v>
      </c>
      <c r="L696" s="16">
        <v>428648</v>
      </c>
      <c r="M696" s="16">
        <v>33491</v>
      </c>
      <c r="N696" s="16">
        <v>0</v>
      </c>
      <c r="O696" s="16">
        <v>349977</v>
      </c>
      <c r="P696" s="16">
        <v>335206</v>
      </c>
      <c r="Q696" s="16">
        <v>78671</v>
      </c>
      <c r="R696" s="16">
        <v>-26981</v>
      </c>
      <c r="S696" s="16">
        <v>2</v>
      </c>
      <c r="T696" s="111">
        <v>0</v>
      </c>
    </row>
    <row r="697" spans="1:20" ht="15" customHeight="1" x14ac:dyDescent="0.2">
      <c r="A697" s="12" t="s">
        <v>1503</v>
      </c>
      <c r="B697" s="56">
        <v>2493000</v>
      </c>
      <c r="C697" s="12"/>
      <c r="D697" s="12"/>
      <c r="E697" s="12"/>
      <c r="F697" s="12" t="s">
        <v>265</v>
      </c>
      <c r="G697" s="33">
        <v>2</v>
      </c>
      <c r="H697" s="33">
        <v>9</v>
      </c>
      <c r="I697" s="12" t="s">
        <v>818</v>
      </c>
      <c r="J697" s="12" t="s">
        <v>819</v>
      </c>
      <c r="K697" s="73" t="s">
        <v>29</v>
      </c>
      <c r="L697" s="13">
        <v>423442</v>
      </c>
      <c r="M697" s="13">
        <v>257158</v>
      </c>
      <c r="N697" s="13">
        <v>17705</v>
      </c>
      <c r="O697" s="13">
        <v>354367</v>
      </c>
      <c r="P697" s="13">
        <v>330252</v>
      </c>
      <c r="Q697" s="13">
        <v>69075</v>
      </c>
      <c r="R697" s="13">
        <v>-6092</v>
      </c>
      <c r="S697" s="13">
        <v>0</v>
      </c>
      <c r="T697" s="81">
        <v>8</v>
      </c>
    </row>
    <row r="698" spans="1:20" ht="15" customHeight="1" x14ac:dyDescent="0.2">
      <c r="A698" s="15" t="s">
        <v>1504</v>
      </c>
      <c r="B698" s="60">
        <v>46570800</v>
      </c>
      <c r="C698" s="15" t="s">
        <v>67</v>
      </c>
      <c r="D698" s="15" t="s">
        <v>68</v>
      </c>
      <c r="E698" s="15" t="s">
        <v>69</v>
      </c>
      <c r="F698" s="15" t="s">
        <v>65</v>
      </c>
      <c r="G698" s="34">
        <v>2</v>
      </c>
      <c r="H698" s="34">
        <v>19</v>
      </c>
      <c r="I698" s="15" t="s">
        <v>38</v>
      </c>
      <c r="J698" s="15" t="s">
        <v>39</v>
      </c>
      <c r="K698" s="74" t="s">
        <v>29</v>
      </c>
      <c r="L698" s="16">
        <v>422312</v>
      </c>
      <c r="M698" s="16">
        <v>116123</v>
      </c>
      <c r="N698" s="16">
        <v>96288</v>
      </c>
      <c r="O698" s="16">
        <v>193600</v>
      </c>
      <c r="P698" s="16">
        <v>76707</v>
      </c>
      <c r="Q698" s="16">
        <v>228712</v>
      </c>
      <c r="R698" s="16">
        <v>17031</v>
      </c>
      <c r="S698" s="16">
        <v>2</v>
      </c>
      <c r="T698" s="111">
        <v>0</v>
      </c>
    </row>
    <row r="699" spans="1:20" ht="15" customHeight="1" x14ac:dyDescent="0.2">
      <c r="A699" s="12" t="s">
        <v>1505</v>
      </c>
      <c r="B699" s="56">
        <v>13776742</v>
      </c>
      <c r="C699" s="12" t="s">
        <v>569</v>
      </c>
      <c r="D699" s="12"/>
      <c r="E699" s="12" t="s">
        <v>571</v>
      </c>
      <c r="F699" s="12" t="s">
        <v>84</v>
      </c>
      <c r="G699" s="33">
        <v>2</v>
      </c>
      <c r="H699" s="33">
        <v>41</v>
      </c>
      <c r="I699" s="12" t="s">
        <v>38</v>
      </c>
      <c r="J699" s="12" t="s">
        <v>39</v>
      </c>
      <c r="K699" s="73" t="s">
        <v>29</v>
      </c>
      <c r="L699" s="13">
        <v>422262</v>
      </c>
      <c r="M699" s="13">
        <v>16351</v>
      </c>
      <c r="N699" s="13">
        <v>79338</v>
      </c>
      <c r="O699" s="13">
        <v>403468</v>
      </c>
      <c r="P699" s="13">
        <v>61318</v>
      </c>
      <c r="Q699" s="13">
        <v>18793</v>
      </c>
      <c r="R699" s="13">
        <v>3653</v>
      </c>
      <c r="S699" s="13">
        <v>1</v>
      </c>
      <c r="T699" s="81">
        <v>0</v>
      </c>
    </row>
    <row r="700" spans="1:20" ht="15" customHeight="1" x14ac:dyDescent="0.2">
      <c r="A700" s="15" t="s">
        <v>1506</v>
      </c>
      <c r="B700" s="60">
        <v>71154876</v>
      </c>
      <c r="C700" s="15"/>
      <c r="D700" s="15"/>
      <c r="E700" s="15"/>
      <c r="F700" s="15" t="s">
        <v>265</v>
      </c>
      <c r="G700" s="34">
        <v>2</v>
      </c>
      <c r="H700" s="34">
        <v>9</v>
      </c>
      <c r="I700" s="15" t="s">
        <v>1507</v>
      </c>
      <c r="J700" s="15" t="s">
        <v>120</v>
      </c>
      <c r="K700" s="74" t="s">
        <v>29</v>
      </c>
      <c r="L700" s="16">
        <v>422006</v>
      </c>
      <c r="M700" s="16">
        <v>225571</v>
      </c>
      <c r="N700" s="16">
        <v>15950</v>
      </c>
      <c r="O700" s="16">
        <v>353473</v>
      </c>
      <c r="P700" s="16">
        <v>302357</v>
      </c>
      <c r="Q700" s="16">
        <v>68533</v>
      </c>
      <c r="R700" s="16">
        <v>897</v>
      </c>
      <c r="S700" s="16">
        <v>0</v>
      </c>
      <c r="T700" s="111">
        <v>12</v>
      </c>
    </row>
    <row r="701" spans="1:20" ht="15" customHeight="1" x14ac:dyDescent="0.2">
      <c r="A701" s="12" t="s">
        <v>1508</v>
      </c>
      <c r="B701" s="56">
        <v>28581308</v>
      </c>
      <c r="C701" s="12" t="s">
        <v>1117</v>
      </c>
      <c r="D701" s="12"/>
      <c r="E701" s="12" t="s">
        <v>1118</v>
      </c>
      <c r="F701" s="12" t="s">
        <v>84</v>
      </c>
      <c r="G701" s="33">
        <v>3</v>
      </c>
      <c r="H701" s="33">
        <v>41</v>
      </c>
      <c r="I701" s="12" t="s">
        <v>107</v>
      </c>
      <c r="J701" s="12" t="s">
        <v>39</v>
      </c>
      <c r="K701" s="73" t="s">
        <v>29</v>
      </c>
      <c r="L701" s="13">
        <v>420288</v>
      </c>
      <c r="M701" s="13">
        <v>0</v>
      </c>
      <c r="N701" s="13">
        <v>0</v>
      </c>
      <c r="O701" s="13">
        <v>400348</v>
      </c>
      <c r="P701" s="13">
        <v>0</v>
      </c>
      <c r="Q701" s="13">
        <v>19941</v>
      </c>
      <c r="R701" s="13">
        <v>33592</v>
      </c>
      <c r="S701" s="13">
        <v>1</v>
      </c>
      <c r="T701" s="81">
        <v>0</v>
      </c>
    </row>
    <row r="702" spans="1:20" ht="15" customHeight="1" x14ac:dyDescent="0.2">
      <c r="A702" s="15" t="s">
        <v>1509</v>
      </c>
      <c r="B702" s="60">
        <v>37374538</v>
      </c>
      <c r="C702" s="15" t="s">
        <v>1510</v>
      </c>
      <c r="D702" s="15"/>
      <c r="E702" s="15" t="s">
        <v>1511</v>
      </c>
      <c r="F702" s="15" t="s">
        <v>84</v>
      </c>
      <c r="G702" s="34">
        <v>3</v>
      </c>
      <c r="H702" s="34">
        <v>41</v>
      </c>
      <c r="I702" s="15" t="s">
        <v>38</v>
      </c>
      <c r="J702" s="15" t="s">
        <v>39</v>
      </c>
      <c r="K702" s="74" t="s">
        <v>29</v>
      </c>
      <c r="L702" s="16">
        <v>416505</v>
      </c>
      <c r="M702" s="16">
        <v>0</v>
      </c>
      <c r="N702" s="16">
        <v>378173</v>
      </c>
      <c r="O702" s="16">
        <v>403192</v>
      </c>
      <c r="P702" s="16">
        <v>351941</v>
      </c>
      <c r="Q702" s="16">
        <v>13312</v>
      </c>
      <c r="R702" s="16">
        <v>3735</v>
      </c>
      <c r="S702" s="16">
        <v>1</v>
      </c>
      <c r="T702" s="111">
        <v>0</v>
      </c>
    </row>
    <row r="703" spans="1:20" ht="15" customHeight="1" x14ac:dyDescent="0.2">
      <c r="A703" s="12" t="s">
        <v>1512</v>
      </c>
      <c r="B703" s="56">
        <v>62109566</v>
      </c>
      <c r="C703" s="12"/>
      <c r="D703" s="12"/>
      <c r="E703" s="12"/>
      <c r="F703" s="12" t="s">
        <v>265</v>
      </c>
      <c r="G703" s="33">
        <v>2</v>
      </c>
      <c r="H703" s="33">
        <v>9</v>
      </c>
      <c r="I703" s="12" t="s">
        <v>1513</v>
      </c>
      <c r="J703" s="12" t="s">
        <v>39</v>
      </c>
      <c r="K703" s="73" t="s">
        <v>29</v>
      </c>
      <c r="L703" s="13">
        <v>415715</v>
      </c>
      <c r="M703" s="13">
        <v>134098</v>
      </c>
      <c r="N703" s="13">
        <v>6252</v>
      </c>
      <c r="O703" s="13">
        <v>350332</v>
      </c>
      <c r="P703" s="13">
        <v>337819</v>
      </c>
      <c r="Q703" s="13">
        <v>65383</v>
      </c>
      <c r="R703" s="13">
        <v>4009</v>
      </c>
      <c r="S703" s="13">
        <v>0</v>
      </c>
      <c r="T703" s="81">
        <v>15</v>
      </c>
    </row>
    <row r="704" spans="1:20" ht="15" customHeight="1" x14ac:dyDescent="0.2">
      <c r="A704" s="15" t="s">
        <v>1514</v>
      </c>
      <c r="B704" s="60">
        <v>71146450</v>
      </c>
      <c r="C704" s="15"/>
      <c r="D704" s="15"/>
      <c r="E704" s="15"/>
      <c r="F704" s="15" t="s">
        <v>265</v>
      </c>
      <c r="G704" s="34">
        <v>2</v>
      </c>
      <c r="H704" s="34">
        <v>9</v>
      </c>
      <c r="I704" s="15" t="s">
        <v>1515</v>
      </c>
      <c r="J704" s="15" t="s">
        <v>120</v>
      </c>
      <c r="K704" s="74" t="s">
        <v>29</v>
      </c>
      <c r="L704" s="16">
        <v>415602</v>
      </c>
      <c r="M704" s="16">
        <v>186237</v>
      </c>
      <c r="N704" s="16">
        <v>12325</v>
      </c>
      <c r="O704" s="16">
        <v>352624</v>
      </c>
      <c r="P704" s="16">
        <v>265170</v>
      </c>
      <c r="Q704" s="16">
        <v>62978</v>
      </c>
      <c r="R704" s="16">
        <v>2993</v>
      </c>
      <c r="S704" s="16">
        <v>0</v>
      </c>
      <c r="T704" s="111">
        <v>2</v>
      </c>
    </row>
    <row r="705" spans="1:20" ht="15" customHeight="1" x14ac:dyDescent="0.2">
      <c r="A705" s="12" t="s">
        <v>1516</v>
      </c>
      <c r="B705" s="56">
        <v>5241145</v>
      </c>
      <c r="C705" s="12"/>
      <c r="D705" s="12"/>
      <c r="E705" s="12"/>
      <c r="F705" s="12" t="s">
        <v>265</v>
      </c>
      <c r="G705" s="33">
        <v>2</v>
      </c>
      <c r="H705" s="33">
        <v>9</v>
      </c>
      <c r="I705" s="12" t="s">
        <v>1517</v>
      </c>
      <c r="J705" s="12" t="s">
        <v>74</v>
      </c>
      <c r="K705" s="73" t="s">
        <v>29</v>
      </c>
      <c r="L705" s="13">
        <v>411422</v>
      </c>
      <c r="M705" s="13">
        <v>284444</v>
      </c>
      <c r="N705" s="13">
        <v>12944</v>
      </c>
      <c r="O705" s="13">
        <v>362899</v>
      </c>
      <c r="P705" s="13">
        <v>221513</v>
      </c>
      <c r="Q705" s="13">
        <v>48524</v>
      </c>
      <c r="R705" s="13">
        <v>2284</v>
      </c>
      <c r="S705" s="13">
        <v>0</v>
      </c>
      <c r="T705" s="81">
        <v>14</v>
      </c>
    </row>
    <row r="706" spans="1:20" ht="15" customHeight="1" x14ac:dyDescent="0.2">
      <c r="A706" s="15" t="s">
        <v>1518</v>
      </c>
      <c r="B706" s="60">
        <v>10143743</v>
      </c>
      <c r="C706" s="15"/>
      <c r="D706" s="15"/>
      <c r="E706" s="15"/>
      <c r="F706" s="15" t="s">
        <v>265</v>
      </c>
      <c r="G706" s="34">
        <v>2</v>
      </c>
      <c r="H706" s="34">
        <v>9</v>
      </c>
      <c r="I706" s="15" t="s">
        <v>1519</v>
      </c>
      <c r="J706" s="15" t="s">
        <v>217</v>
      </c>
      <c r="K706" s="74" t="s">
        <v>29</v>
      </c>
      <c r="L706" s="16">
        <v>410868</v>
      </c>
      <c r="M706" s="16">
        <v>257369</v>
      </c>
      <c r="N706" s="16">
        <v>10296</v>
      </c>
      <c r="O706" s="16">
        <v>359349</v>
      </c>
      <c r="P706" s="16">
        <v>341794</v>
      </c>
      <c r="Q706" s="16">
        <v>51518</v>
      </c>
      <c r="R706" s="16">
        <v>170</v>
      </c>
      <c r="S706" s="16">
        <v>0</v>
      </c>
      <c r="T706" s="111">
        <v>9</v>
      </c>
    </row>
    <row r="707" spans="1:20" ht="15" customHeight="1" x14ac:dyDescent="0.2">
      <c r="A707" s="12" t="s">
        <v>1520</v>
      </c>
      <c r="B707" s="56">
        <v>10319386</v>
      </c>
      <c r="C707" s="12"/>
      <c r="D707" s="12"/>
      <c r="E707" s="12"/>
      <c r="F707" s="12" t="s">
        <v>265</v>
      </c>
      <c r="G707" s="33">
        <v>2</v>
      </c>
      <c r="H707" s="33">
        <v>9</v>
      </c>
      <c r="I707" s="12" t="s">
        <v>400</v>
      </c>
      <c r="J707" s="12" t="s">
        <v>401</v>
      </c>
      <c r="K707" s="73" t="s">
        <v>29</v>
      </c>
      <c r="L707" s="13">
        <v>406726</v>
      </c>
      <c r="M707" s="13">
        <v>248319</v>
      </c>
      <c r="N707" s="13">
        <v>8425</v>
      </c>
      <c r="O707" s="13">
        <v>359998</v>
      </c>
      <c r="P707" s="13">
        <v>334322</v>
      </c>
      <c r="Q707" s="13">
        <v>46728</v>
      </c>
      <c r="R707" s="13">
        <v>5159</v>
      </c>
      <c r="S707" s="13">
        <v>0</v>
      </c>
      <c r="T707" s="81">
        <v>7</v>
      </c>
    </row>
    <row r="708" spans="1:20" ht="15" customHeight="1" x14ac:dyDescent="0.2">
      <c r="A708" s="15" t="s">
        <v>1521</v>
      </c>
      <c r="B708" s="60">
        <v>36321990</v>
      </c>
      <c r="C708" s="15" t="s">
        <v>1522</v>
      </c>
      <c r="D708" s="15"/>
      <c r="E708" s="15" t="s">
        <v>1523</v>
      </c>
      <c r="F708" s="15" t="s">
        <v>65</v>
      </c>
      <c r="G708" s="34">
        <v>2</v>
      </c>
      <c r="H708" s="34">
        <v>14</v>
      </c>
      <c r="I708" s="15" t="s">
        <v>182</v>
      </c>
      <c r="J708" s="15" t="s">
        <v>183</v>
      </c>
      <c r="K708" s="74" t="s">
        <v>29</v>
      </c>
      <c r="L708" s="16">
        <v>406429</v>
      </c>
      <c r="M708" s="16">
        <v>302687</v>
      </c>
      <c r="N708" s="16">
        <v>41494</v>
      </c>
      <c r="O708" s="16">
        <v>339618</v>
      </c>
      <c r="P708" s="16">
        <v>325549</v>
      </c>
      <c r="Q708" s="16">
        <v>66811</v>
      </c>
      <c r="R708" s="16">
        <v>1868</v>
      </c>
      <c r="S708" s="16">
        <v>2</v>
      </c>
      <c r="T708" s="111">
        <v>0</v>
      </c>
    </row>
    <row r="709" spans="1:20" ht="15" customHeight="1" x14ac:dyDescent="0.2">
      <c r="A709" s="12" t="s">
        <v>1524</v>
      </c>
      <c r="B709" s="56">
        <v>21797311</v>
      </c>
      <c r="C709" s="12"/>
      <c r="D709" s="12"/>
      <c r="E709" s="12"/>
      <c r="F709" s="12" t="s">
        <v>265</v>
      </c>
      <c r="G709" s="33">
        <v>2</v>
      </c>
      <c r="H709" s="33">
        <v>9</v>
      </c>
      <c r="I709" s="12" t="s">
        <v>119</v>
      </c>
      <c r="J709" s="12" t="s">
        <v>120</v>
      </c>
      <c r="K709" s="73" t="s">
        <v>29</v>
      </c>
      <c r="L709" s="13">
        <v>406015</v>
      </c>
      <c r="M709" s="13">
        <v>71972</v>
      </c>
      <c r="N709" s="13">
        <v>13982</v>
      </c>
      <c r="O709" s="13">
        <v>337861</v>
      </c>
      <c r="P709" s="13">
        <v>329218</v>
      </c>
      <c r="Q709" s="13">
        <v>68154</v>
      </c>
      <c r="R709" s="13">
        <v>4116</v>
      </c>
      <c r="S709" s="13">
        <v>0</v>
      </c>
      <c r="T709" s="81">
        <v>3</v>
      </c>
    </row>
    <row r="710" spans="1:20" ht="15" customHeight="1" x14ac:dyDescent="0.2">
      <c r="A710" s="15" t="s">
        <v>1525</v>
      </c>
      <c r="B710" s="60">
        <v>13059145</v>
      </c>
      <c r="C710" s="15" t="s">
        <v>1526</v>
      </c>
      <c r="D710" s="15"/>
      <c r="E710" s="15" t="s">
        <v>1527</v>
      </c>
      <c r="F710" s="15" t="s">
        <v>60</v>
      </c>
      <c r="G710" s="34">
        <v>3</v>
      </c>
      <c r="H710" s="34">
        <v>39</v>
      </c>
      <c r="I710" s="15" t="s">
        <v>38</v>
      </c>
      <c r="J710" s="15" t="s">
        <v>39</v>
      </c>
      <c r="K710" s="74" t="s">
        <v>29</v>
      </c>
      <c r="L710" s="16">
        <v>405469</v>
      </c>
      <c r="M710" s="16">
        <v>0</v>
      </c>
      <c r="N710" s="16">
        <v>79017</v>
      </c>
      <c r="O710" s="16">
        <v>170952</v>
      </c>
      <c r="P710" s="16">
        <v>31567</v>
      </c>
      <c r="Q710" s="16">
        <v>234516</v>
      </c>
      <c r="R710" s="16">
        <v>13167</v>
      </c>
      <c r="S710" s="16">
        <v>2</v>
      </c>
      <c r="T710" s="111">
        <v>0</v>
      </c>
    </row>
    <row r="711" spans="1:20" ht="15" customHeight="1" x14ac:dyDescent="0.2">
      <c r="A711" s="12" t="s">
        <v>1528</v>
      </c>
      <c r="B711" s="56">
        <v>1526924</v>
      </c>
      <c r="C711" s="12"/>
      <c r="D711" s="12"/>
      <c r="E711" s="12"/>
      <c r="F711" s="12" t="s">
        <v>265</v>
      </c>
      <c r="G711" s="33">
        <v>2</v>
      </c>
      <c r="H711" s="33">
        <v>9</v>
      </c>
      <c r="I711" s="12" t="s">
        <v>645</v>
      </c>
      <c r="J711" s="12" t="s">
        <v>74</v>
      </c>
      <c r="K711" s="73" t="s">
        <v>29</v>
      </c>
      <c r="L711" s="13">
        <v>404668</v>
      </c>
      <c r="M711" s="13">
        <v>209434</v>
      </c>
      <c r="N711" s="13">
        <v>12147</v>
      </c>
      <c r="O711" s="13">
        <v>332092</v>
      </c>
      <c r="P711" s="13">
        <v>309775</v>
      </c>
      <c r="Q711" s="13">
        <v>72576</v>
      </c>
      <c r="R711" s="13">
        <v>9529</v>
      </c>
      <c r="S711" s="13">
        <v>0</v>
      </c>
      <c r="T711" s="81">
        <v>3</v>
      </c>
    </row>
    <row r="712" spans="1:20" ht="15" customHeight="1" x14ac:dyDescent="0.2">
      <c r="A712" s="15" t="s">
        <v>1529</v>
      </c>
      <c r="B712" s="60">
        <v>3427097</v>
      </c>
      <c r="C712" s="15"/>
      <c r="D712" s="15"/>
      <c r="E712" s="15"/>
      <c r="F712" s="15" t="s">
        <v>265</v>
      </c>
      <c r="G712" s="34">
        <v>2</v>
      </c>
      <c r="H712" s="34">
        <v>9</v>
      </c>
      <c r="I712" s="15" t="s">
        <v>593</v>
      </c>
      <c r="J712" s="15" t="s">
        <v>217</v>
      </c>
      <c r="K712" s="74" t="s">
        <v>29</v>
      </c>
      <c r="L712" s="16">
        <v>403717</v>
      </c>
      <c r="M712" s="16">
        <v>286573</v>
      </c>
      <c r="N712" s="16">
        <v>11766</v>
      </c>
      <c r="O712" s="16">
        <v>356058</v>
      </c>
      <c r="P712" s="16">
        <v>321232</v>
      </c>
      <c r="Q712" s="16">
        <v>47659</v>
      </c>
      <c r="R712" s="16">
        <v>-7694</v>
      </c>
      <c r="S712" s="16">
        <v>0</v>
      </c>
      <c r="T712" s="111">
        <v>13</v>
      </c>
    </row>
    <row r="713" spans="1:20" ht="15" customHeight="1" x14ac:dyDescent="0.2">
      <c r="A713" s="12" t="s">
        <v>1530</v>
      </c>
      <c r="B713" s="56">
        <v>30980539</v>
      </c>
      <c r="C713" s="12" t="s">
        <v>1531</v>
      </c>
      <c r="D713" s="12"/>
      <c r="E713" s="12" t="s">
        <v>1532</v>
      </c>
      <c r="F713" s="12" t="s">
        <v>84</v>
      </c>
      <c r="G713" s="33">
        <v>3</v>
      </c>
      <c r="H713" s="33">
        <v>41</v>
      </c>
      <c r="I713" s="12" t="s">
        <v>38</v>
      </c>
      <c r="J713" s="12" t="s">
        <v>39</v>
      </c>
      <c r="K713" s="73" t="s">
        <v>29</v>
      </c>
      <c r="L713" s="13">
        <v>403505</v>
      </c>
      <c r="M713" s="13">
        <v>0</v>
      </c>
      <c r="N713" s="13">
        <v>81</v>
      </c>
      <c r="O713" s="13">
        <v>360803</v>
      </c>
      <c r="P713" s="13">
        <v>353160</v>
      </c>
      <c r="Q713" s="13">
        <v>42701</v>
      </c>
      <c r="R713" s="13">
        <v>1851</v>
      </c>
      <c r="S713" s="13">
        <v>1</v>
      </c>
      <c r="T713" s="81">
        <v>0</v>
      </c>
    </row>
    <row r="714" spans="1:20" ht="15" customHeight="1" x14ac:dyDescent="0.2">
      <c r="A714" s="15" t="s">
        <v>1533</v>
      </c>
      <c r="B714" s="60">
        <v>4321309</v>
      </c>
      <c r="C714" s="15"/>
      <c r="D714" s="15"/>
      <c r="E714" s="15"/>
      <c r="F714" s="15" t="s">
        <v>265</v>
      </c>
      <c r="G714" s="34">
        <v>2</v>
      </c>
      <c r="H714" s="34">
        <v>9</v>
      </c>
      <c r="I714" s="15" t="s">
        <v>210</v>
      </c>
      <c r="J714" s="15" t="s">
        <v>211</v>
      </c>
      <c r="K714" s="74" t="s">
        <v>29</v>
      </c>
      <c r="L714" s="16">
        <v>403299</v>
      </c>
      <c r="M714" s="16">
        <v>206744</v>
      </c>
      <c r="N714" s="16">
        <v>14368</v>
      </c>
      <c r="O714" s="16">
        <v>354262</v>
      </c>
      <c r="P714" s="16">
        <v>345395</v>
      </c>
      <c r="Q714" s="16">
        <v>49037</v>
      </c>
      <c r="R714" s="16">
        <v>1693</v>
      </c>
      <c r="S714" s="16">
        <v>0</v>
      </c>
      <c r="T714" s="111">
        <v>9</v>
      </c>
    </row>
    <row r="715" spans="1:20" ht="15" customHeight="1" x14ac:dyDescent="0.2">
      <c r="A715" s="12" t="s">
        <v>1534</v>
      </c>
      <c r="B715" s="56">
        <v>4853988</v>
      </c>
      <c r="C715" s="12"/>
      <c r="D715" s="12"/>
      <c r="E715" s="12"/>
      <c r="F715" s="12" t="s">
        <v>265</v>
      </c>
      <c r="G715" s="33">
        <v>2</v>
      </c>
      <c r="H715" s="33">
        <v>9</v>
      </c>
      <c r="I715" s="12" t="s">
        <v>1535</v>
      </c>
      <c r="J715" s="12" t="s">
        <v>39</v>
      </c>
      <c r="K715" s="73" t="s">
        <v>29</v>
      </c>
      <c r="L715" s="13">
        <v>401988</v>
      </c>
      <c r="M715" s="13">
        <v>168485</v>
      </c>
      <c r="N715" s="13">
        <v>183949</v>
      </c>
      <c r="O715" s="13">
        <v>367673</v>
      </c>
      <c r="P715" s="13">
        <v>330872</v>
      </c>
      <c r="Q715" s="13">
        <v>34315</v>
      </c>
      <c r="R715" s="13">
        <v>1218</v>
      </c>
      <c r="S715" s="13">
        <v>0</v>
      </c>
      <c r="T715" s="81">
        <v>10</v>
      </c>
    </row>
    <row r="716" spans="1:20" ht="15" customHeight="1" x14ac:dyDescent="0.2">
      <c r="A716" s="15" t="s">
        <v>1536</v>
      </c>
      <c r="B716" s="60">
        <v>42880617</v>
      </c>
      <c r="C716" s="15"/>
      <c r="D716" s="15"/>
      <c r="E716" s="15"/>
      <c r="F716" s="15" t="s">
        <v>265</v>
      </c>
      <c r="G716" s="34">
        <v>2</v>
      </c>
      <c r="H716" s="34">
        <v>9</v>
      </c>
      <c r="I716" s="15" t="s">
        <v>1537</v>
      </c>
      <c r="J716" s="15" t="s">
        <v>120</v>
      </c>
      <c r="K716" s="74" t="s">
        <v>29</v>
      </c>
      <c r="L716" s="16">
        <v>401948</v>
      </c>
      <c r="M716" s="16">
        <v>251869</v>
      </c>
      <c r="N716" s="16">
        <v>19843</v>
      </c>
      <c r="O716" s="16">
        <v>351377</v>
      </c>
      <c r="P716" s="16">
        <v>199115</v>
      </c>
      <c r="Q716" s="16">
        <v>50571</v>
      </c>
      <c r="R716" s="16">
        <v>-6117</v>
      </c>
      <c r="S716" s="16">
        <v>0</v>
      </c>
      <c r="T716" s="111">
        <v>1</v>
      </c>
    </row>
    <row r="717" spans="1:20" ht="15" customHeight="1" x14ac:dyDescent="0.2">
      <c r="A717" s="12" t="s">
        <v>1538</v>
      </c>
      <c r="B717" s="56">
        <v>8253539</v>
      </c>
      <c r="C717" s="12"/>
      <c r="D717" s="12"/>
      <c r="E717" s="12"/>
      <c r="F717" s="12" t="s">
        <v>265</v>
      </c>
      <c r="G717" s="33">
        <v>2</v>
      </c>
      <c r="H717" s="33">
        <v>9</v>
      </c>
      <c r="I717" s="12" t="s">
        <v>428</v>
      </c>
      <c r="J717" s="12" t="s">
        <v>217</v>
      </c>
      <c r="K717" s="73" t="s">
        <v>29</v>
      </c>
      <c r="L717" s="13">
        <v>399132</v>
      </c>
      <c r="M717" s="13">
        <v>235172</v>
      </c>
      <c r="N717" s="13">
        <v>16066</v>
      </c>
      <c r="O717" s="13">
        <v>336163</v>
      </c>
      <c r="P717" s="13">
        <v>330032</v>
      </c>
      <c r="Q717" s="13">
        <v>62969</v>
      </c>
      <c r="R717" s="13">
        <v>-1165</v>
      </c>
      <c r="S717" s="13">
        <v>0</v>
      </c>
      <c r="T717" s="81">
        <v>6</v>
      </c>
    </row>
    <row r="718" spans="1:20" ht="15" customHeight="1" x14ac:dyDescent="0.2">
      <c r="A718" s="15" t="s">
        <v>1539</v>
      </c>
      <c r="B718" s="60">
        <v>47965438</v>
      </c>
      <c r="C718" s="15" t="s">
        <v>1540</v>
      </c>
      <c r="D718" s="15"/>
      <c r="E718" s="15" t="s">
        <v>1541</v>
      </c>
      <c r="F718" s="15" t="s">
        <v>98</v>
      </c>
      <c r="G718" s="34">
        <v>2</v>
      </c>
      <c r="H718" s="34">
        <v>15</v>
      </c>
      <c r="I718" s="15" t="s">
        <v>38</v>
      </c>
      <c r="J718" s="15" t="s">
        <v>39</v>
      </c>
      <c r="K718" s="74" t="s">
        <v>29</v>
      </c>
      <c r="L718" s="16">
        <v>398635</v>
      </c>
      <c r="M718" s="16">
        <v>0</v>
      </c>
      <c r="N718" s="16">
        <v>106563</v>
      </c>
      <c r="O718" s="16">
        <v>137480</v>
      </c>
      <c r="P718" s="16">
        <v>0</v>
      </c>
      <c r="Q718" s="16">
        <v>261154</v>
      </c>
      <c r="R718" s="16">
        <v>55820</v>
      </c>
      <c r="S718" s="16">
        <v>15</v>
      </c>
      <c r="T718" s="111">
        <v>0</v>
      </c>
    </row>
    <row r="719" spans="1:20" ht="15" customHeight="1" x14ac:dyDescent="0.2">
      <c r="A719" s="12" t="s">
        <v>1542</v>
      </c>
      <c r="B719" s="56">
        <v>2201501</v>
      </c>
      <c r="C719" s="12" t="s">
        <v>1323</v>
      </c>
      <c r="D719" s="12" t="s">
        <v>1324</v>
      </c>
      <c r="E719" s="12" t="s">
        <v>1325</v>
      </c>
      <c r="F719" s="12" t="s">
        <v>98</v>
      </c>
      <c r="G719" s="33">
        <v>3</v>
      </c>
      <c r="H719" s="33">
        <v>16</v>
      </c>
      <c r="I719" s="12" t="s">
        <v>53</v>
      </c>
      <c r="J719" s="12" t="s">
        <v>54</v>
      </c>
      <c r="K719" s="73" t="s">
        <v>29</v>
      </c>
      <c r="L719" s="13">
        <v>395823</v>
      </c>
      <c r="M719" s="13">
        <v>0</v>
      </c>
      <c r="N719" s="13">
        <v>16140</v>
      </c>
      <c r="O719" s="13">
        <v>369355</v>
      </c>
      <c r="P719" s="13">
        <v>6562</v>
      </c>
      <c r="Q719" s="13">
        <v>26468</v>
      </c>
      <c r="R719" s="13">
        <v>-226533</v>
      </c>
      <c r="S719" s="13">
        <v>2</v>
      </c>
      <c r="T719" s="81">
        <v>0</v>
      </c>
    </row>
    <row r="720" spans="1:20" ht="15" customHeight="1" x14ac:dyDescent="0.2">
      <c r="A720" s="15" t="s">
        <v>1543</v>
      </c>
      <c r="B720" s="60">
        <v>2405189</v>
      </c>
      <c r="C720" s="15"/>
      <c r="D720" s="15"/>
      <c r="E720" s="15"/>
      <c r="F720" s="15" t="s">
        <v>265</v>
      </c>
      <c r="G720" s="34">
        <v>2</v>
      </c>
      <c r="H720" s="34">
        <v>9</v>
      </c>
      <c r="I720" s="15" t="s">
        <v>216</v>
      </c>
      <c r="J720" s="15" t="s">
        <v>217</v>
      </c>
      <c r="K720" s="74" t="s">
        <v>29</v>
      </c>
      <c r="L720" s="16">
        <v>393977</v>
      </c>
      <c r="M720" s="16">
        <v>244608</v>
      </c>
      <c r="N720" s="16">
        <v>12188</v>
      </c>
      <c r="O720" s="16">
        <v>332224</v>
      </c>
      <c r="P720" s="16">
        <v>318760</v>
      </c>
      <c r="Q720" s="16">
        <v>61753</v>
      </c>
      <c r="R720" s="16">
        <v>3592</v>
      </c>
      <c r="S720" s="16">
        <v>0</v>
      </c>
      <c r="T720" s="111">
        <v>8</v>
      </c>
    </row>
    <row r="721" spans="1:20" ht="15" customHeight="1" x14ac:dyDescent="0.2">
      <c r="A721" s="12" t="s">
        <v>1544</v>
      </c>
      <c r="B721" s="56">
        <v>71207740</v>
      </c>
      <c r="C721" s="12"/>
      <c r="D721" s="12"/>
      <c r="E721" s="12"/>
      <c r="F721" s="12" t="s">
        <v>265</v>
      </c>
      <c r="G721" s="33">
        <v>2</v>
      </c>
      <c r="H721" s="33">
        <v>9</v>
      </c>
      <c r="I721" s="12" t="s">
        <v>1545</v>
      </c>
      <c r="J721" s="12" t="s">
        <v>120</v>
      </c>
      <c r="K721" s="73" t="s">
        <v>29</v>
      </c>
      <c r="L721" s="13">
        <v>392011</v>
      </c>
      <c r="M721" s="13">
        <v>133504</v>
      </c>
      <c r="N721" s="13">
        <v>18791</v>
      </c>
      <c r="O721" s="13">
        <v>312126</v>
      </c>
      <c r="P721" s="13">
        <v>237539</v>
      </c>
      <c r="Q721" s="13">
        <v>79886</v>
      </c>
      <c r="R721" s="13">
        <v>8326</v>
      </c>
      <c r="S721" s="13">
        <v>0</v>
      </c>
      <c r="T721" s="81">
        <v>0</v>
      </c>
    </row>
    <row r="722" spans="1:20" ht="15" customHeight="1" x14ac:dyDescent="0.2">
      <c r="A722" s="15" t="s">
        <v>1546</v>
      </c>
      <c r="B722" s="60">
        <v>7097064</v>
      </c>
      <c r="C722" s="15"/>
      <c r="D722" s="15"/>
      <c r="E722" s="15"/>
      <c r="F722" s="15" t="s">
        <v>265</v>
      </c>
      <c r="G722" s="34">
        <v>2</v>
      </c>
      <c r="H722" s="34">
        <v>9</v>
      </c>
      <c r="I722" s="15" t="s">
        <v>477</v>
      </c>
      <c r="J722" s="15" t="s">
        <v>229</v>
      </c>
      <c r="K722" s="74" t="s">
        <v>29</v>
      </c>
      <c r="L722" s="16">
        <v>389373</v>
      </c>
      <c r="M722" s="16">
        <v>215916</v>
      </c>
      <c r="N722" s="16">
        <v>25817</v>
      </c>
      <c r="O722" s="16">
        <v>348804</v>
      </c>
      <c r="P722" s="16">
        <v>302692</v>
      </c>
      <c r="Q722" s="16">
        <v>40569</v>
      </c>
      <c r="R722" s="16">
        <v>43</v>
      </c>
      <c r="S722" s="16">
        <v>0</v>
      </c>
      <c r="T722" s="111">
        <v>10</v>
      </c>
    </row>
    <row r="723" spans="1:20" ht="15" customHeight="1" x14ac:dyDescent="0.2">
      <c r="A723" s="12" t="s">
        <v>1547</v>
      </c>
      <c r="B723" s="56">
        <v>25743311</v>
      </c>
      <c r="C723" s="12"/>
      <c r="D723" s="12"/>
      <c r="E723" s="12"/>
      <c r="F723" s="12" t="s">
        <v>265</v>
      </c>
      <c r="G723" s="33">
        <v>2</v>
      </c>
      <c r="H723" s="33">
        <v>9</v>
      </c>
      <c r="I723" s="12" t="s">
        <v>1548</v>
      </c>
      <c r="J723" s="12" t="s">
        <v>120</v>
      </c>
      <c r="K723" s="73" t="s">
        <v>29</v>
      </c>
      <c r="L723" s="13">
        <v>389364</v>
      </c>
      <c r="M723" s="13">
        <v>165047</v>
      </c>
      <c r="N723" s="13">
        <v>11188</v>
      </c>
      <c r="O723" s="13">
        <v>309457</v>
      </c>
      <c r="P723" s="13">
        <v>242858</v>
      </c>
      <c r="Q723" s="13">
        <v>79908</v>
      </c>
      <c r="R723" s="13">
        <v>1850</v>
      </c>
      <c r="S723" s="13">
        <v>0</v>
      </c>
      <c r="T723" s="81">
        <v>2</v>
      </c>
    </row>
    <row r="724" spans="1:20" ht="15" customHeight="1" x14ac:dyDescent="0.2">
      <c r="A724" s="15" t="s">
        <v>1549</v>
      </c>
      <c r="B724" s="60">
        <v>3750034</v>
      </c>
      <c r="C724" s="15"/>
      <c r="D724" s="15"/>
      <c r="E724" s="15"/>
      <c r="F724" s="15" t="s">
        <v>265</v>
      </c>
      <c r="G724" s="34">
        <v>2</v>
      </c>
      <c r="H724" s="34">
        <v>9</v>
      </c>
      <c r="I724" s="15" t="s">
        <v>73</v>
      </c>
      <c r="J724" s="15" t="s">
        <v>74</v>
      </c>
      <c r="K724" s="74" t="s">
        <v>29</v>
      </c>
      <c r="L724" s="16">
        <v>388216</v>
      </c>
      <c r="M724" s="16">
        <v>49986</v>
      </c>
      <c r="N724" s="16">
        <v>214657</v>
      </c>
      <c r="O724" s="16">
        <v>360997</v>
      </c>
      <c r="P724" s="16">
        <v>317053</v>
      </c>
      <c r="Q724" s="16">
        <v>27219</v>
      </c>
      <c r="R724" s="16">
        <v>2758</v>
      </c>
      <c r="S724" s="16">
        <v>0</v>
      </c>
      <c r="T724" s="111">
        <v>1</v>
      </c>
    </row>
    <row r="725" spans="1:20" ht="15" customHeight="1" x14ac:dyDescent="0.2">
      <c r="A725" s="12" t="s">
        <v>1550</v>
      </c>
      <c r="B725" s="56">
        <v>25404542</v>
      </c>
      <c r="C725" s="12"/>
      <c r="D725" s="12"/>
      <c r="E725" s="12"/>
      <c r="F725" s="12" t="s">
        <v>265</v>
      </c>
      <c r="G725" s="33">
        <v>2</v>
      </c>
      <c r="H725" s="33">
        <v>9</v>
      </c>
      <c r="I725" s="12" t="s">
        <v>1551</v>
      </c>
      <c r="J725" s="12" t="s">
        <v>120</v>
      </c>
      <c r="K725" s="73" t="s">
        <v>29</v>
      </c>
      <c r="L725" s="13">
        <v>387732</v>
      </c>
      <c r="M725" s="13">
        <v>124874</v>
      </c>
      <c r="N725" s="13">
        <v>9202</v>
      </c>
      <c r="O725" s="13">
        <v>308490</v>
      </c>
      <c r="P725" s="13">
        <v>277530</v>
      </c>
      <c r="Q725" s="13">
        <v>79242</v>
      </c>
      <c r="R725" s="13">
        <v>4624</v>
      </c>
      <c r="S725" s="13">
        <v>0</v>
      </c>
      <c r="T725" s="81">
        <v>10</v>
      </c>
    </row>
    <row r="726" spans="1:20" ht="15" customHeight="1" x14ac:dyDescent="0.2">
      <c r="A726" s="15" t="s">
        <v>1552</v>
      </c>
      <c r="B726" s="60">
        <v>59158642</v>
      </c>
      <c r="C726" s="15" t="s">
        <v>1117</v>
      </c>
      <c r="D726" s="15"/>
      <c r="E726" s="15" t="s">
        <v>1118</v>
      </c>
      <c r="F726" s="15" t="s">
        <v>84</v>
      </c>
      <c r="G726" s="34">
        <v>3</v>
      </c>
      <c r="H726" s="34">
        <v>41</v>
      </c>
      <c r="I726" s="15" t="s">
        <v>107</v>
      </c>
      <c r="J726" s="15" t="s">
        <v>39</v>
      </c>
      <c r="K726" s="74" t="s">
        <v>29</v>
      </c>
      <c r="L726" s="16">
        <v>387181</v>
      </c>
      <c r="M726" s="16">
        <v>45014</v>
      </c>
      <c r="N726" s="16">
        <v>13158</v>
      </c>
      <c r="O726" s="16">
        <v>345309</v>
      </c>
      <c r="P726" s="16">
        <v>103674</v>
      </c>
      <c r="Q726" s="16">
        <v>41872</v>
      </c>
      <c r="R726" s="16">
        <v>-14693</v>
      </c>
      <c r="S726" s="16">
        <v>1</v>
      </c>
      <c r="T726" s="111">
        <v>0</v>
      </c>
    </row>
    <row r="727" spans="1:20" ht="15" customHeight="1" x14ac:dyDescent="0.2">
      <c r="A727" s="12" t="s">
        <v>1553</v>
      </c>
      <c r="B727" s="56">
        <v>4406371</v>
      </c>
      <c r="C727" s="12"/>
      <c r="D727" s="12"/>
      <c r="E727" s="12"/>
      <c r="F727" s="12" t="s">
        <v>265</v>
      </c>
      <c r="G727" s="33">
        <v>2</v>
      </c>
      <c r="H727" s="33">
        <v>9</v>
      </c>
      <c r="I727" s="12" t="s">
        <v>388</v>
      </c>
      <c r="J727" s="12" t="s">
        <v>389</v>
      </c>
      <c r="K727" s="73" t="s">
        <v>29</v>
      </c>
      <c r="L727" s="13">
        <v>385171</v>
      </c>
      <c r="M727" s="13">
        <v>172237</v>
      </c>
      <c r="N727" s="13">
        <v>709</v>
      </c>
      <c r="O727" s="13">
        <v>351567</v>
      </c>
      <c r="P727" s="13">
        <v>312201</v>
      </c>
      <c r="Q727" s="13">
        <v>33604</v>
      </c>
      <c r="R727" s="13">
        <v>-3197</v>
      </c>
      <c r="S727" s="13">
        <v>0</v>
      </c>
      <c r="T727" s="81">
        <v>13</v>
      </c>
    </row>
    <row r="728" spans="1:20" ht="15" customHeight="1" x14ac:dyDescent="0.2">
      <c r="A728" s="15" t="s">
        <v>1554</v>
      </c>
      <c r="B728" s="60">
        <v>11760553</v>
      </c>
      <c r="C728" s="15" t="s">
        <v>1555</v>
      </c>
      <c r="D728" s="15"/>
      <c r="E728" s="15" t="s">
        <v>1556</v>
      </c>
      <c r="F728" s="15" t="s">
        <v>65</v>
      </c>
      <c r="G728" s="34">
        <v>2</v>
      </c>
      <c r="H728" s="34">
        <v>14</v>
      </c>
      <c r="I728" s="15" t="s">
        <v>1557</v>
      </c>
      <c r="J728" s="15" t="s">
        <v>229</v>
      </c>
      <c r="K728" s="74" t="s">
        <v>29</v>
      </c>
      <c r="L728" s="16">
        <v>384597</v>
      </c>
      <c r="M728" s="16">
        <v>259987</v>
      </c>
      <c r="N728" s="16">
        <v>78727</v>
      </c>
      <c r="O728" s="16">
        <v>189910</v>
      </c>
      <c r="P728" s="16">
        <v>137190</v>
      </c>
      <c r="Q728" s="16">
        <v>194687</v>
      </c>
      <c r="R728" s="16">
        <v>20724</v>
      </c>
      <c r="S728" s="16">
        <v>2</v>
      </c>
      <c r="T728" s="111">
        <v>0</v>
      </c>
    </row>
    <row r="729" spans="1:20" ht="15" customHeight="1" x14ac:dyDescent="0.2">
      <c r="A729" s="12" t="s">
        <v>1558</v>
      </c>
      <c r="B729" s="56">
        <v>1848322</v>
      </c>
      <c r="C729" s="12"/>
      <c r="D729" s="12"/>
      <c r="E729" s="12"/>
      <c r="F729" s="12" t="s">
        <v>265</v>
      </c>
      <c r="G729" s="33">
        <v>2</v>
      </c>
      <c r="H729" s="33">
        <v>9</v>
      </c>
      <c r="I729" s="12" t="s">
        <v>943</v>
      </c>
      <c r="J729" s="12" t="s">
        <v>229</v>
      </c>
      <c r="K729" s="73" t="s">
        <v>29</v>
      </c>
      <c r="L729" s="13">
        <v>383568</v>
      </c>
      <c r="M729" s="13">
        <v>244139</v>
      </c>
      <c r="N729" s="13">
        <v>8749</v>
      </c>
      <c r="O729" s="13">
        <v>343531</v>
      </c>
      <c r="P729" s="13">
        <v>335760</v>
      </c>
      <c r="Q729" s="13">
        <v>40036</v>
      </c>
      <c r="R729" s="13">
        <v>-9897</v>
      </c>
      <c r="S729" s="13">
        <v>0</v>
      </c>
      <c r="T729" s="81">
        <v>17</v>
      </c>
    </row>
    <row r="730" spans="1:20" ht="15" customHeight="1" x14ac:dyDescent="0.2">
      <c r="A730" s="15" t="s">
        <v>1559</v>
      </c>
      <c r="B730" s="60">
        <v>9343038</v>
      </c>
      <c r="C730" s="15"/>
      <c r="D730" s="15"/>
      <c r="E730" s="15"/>
      <c r="F730" s="15" t="s">
        <v>265</v>
      </c>
      <c r="G730" s="34">
        <v>2</v>
      </c>
      <c r="H730" s="34">
        <v>9</v>
      </c>
      <c r="I730" s="15" t="s">
        <v>1560</v>
      </c>
      <c r="J730" s="15" t="s">
        <v>578</v>
      </c>
      <c r="K730" s="74" t="s">
        <v>29</v>
      </c>
      <c r="L730" s="16">
        <v>383223</v>
      </c>
      <c r="M730" s="16">
        <v>180278</v>
      </c>
      <c r="N730" s="16">
        <v>152565</v>
      </c>
      <c r="O730" s="16">
        <v>300585</v>
      </c>
      <c r="P730" s="16">
        <v>273121</v>
      </c>
      <c r="Q730" s="16">
        <v>82638</v>
      </c>
      <c r="R730" s="16">
        <v>6841</v>
      </c>
      <c r="S730" s="16">
        <v>0</v>
      </c>
      <c r="T730" s="111">
        <v>8</v>
      </c>
    </row>
    <row r="731" spans="1:20" ht="15" customHeight="1" x14ac:dyDescent="0.2">
      <c r="A731" s="12" t="s">
        <v>1561</v>
      </c>
      <c r="B731" s="56">
        <v>41255225</v>
      </c>
      <c r="C731" s="12"/>
      <c r="D731" s="12"/>
      <c r="E731" s="12"/>
      <c r="F731" s="12" t="s">
        <v>265</v>
      </c>
      <c r="G731" s="33">
        <v>2</v>
      </c>
      <c r="H731" s="33">
        <v>9</v>
      </c>
      <c r="I731" s="12" t="s">
        <v>1562</v>
      </c>
      <c r="J731" s="12" t="s">
        <v>1078</v>
      </c>
      <c r="K731" s="73" t="s">
        <v>29</v>
      </c>
      <c r="L731" s="13">
        <v>383029</v>
      </c>
      <c r="M731" s="13">
        <v>148235</v>
      </c>
      <c r="N731" s="13">
        <v>212561</v>
      </c>
      <c r="O731" s="13">
        <v>309384</v>
      </c>
      <c r="P731" s="13">
        <v>278556</v>
      </c>
      <c r="Q731" s="13">
        <v>73645</v>
      </c>
      <c r="R731" s="13">
        <v>4531</v>
      </c>
      <c r="S731" s="13">
        <v>0</v>
      </c>
      <c r="T731" s="81">
        <v>8</v>
      </c>
    </row>
    <row r="732" spans="1:20" ht="15" customHeight="1" x14ac:dyDescent="0.2">
      <c r="A732" s="15" t="s">
        <v>1563</v>
      </c>
      <c r="B732" s="60">
        <v>5269976</v>
      </c>
      <c r="C732" s="15"/>
      <c r="D732" s="15"/>
      <c r="E732" s="15"/>
      <c r="F732" s="15" t="s">
        <v>265</v>
      </c>
      <c r="G732" s="34">
        <v>2</v>
      </c>
      <c r="H732" s="34">
        <v>9</v>
      </c>
      <c r="I732" s="15" t="s">
        <v>1564</v>
      </c>
      <c r="J732" s="15" t="s">
        <v>217</v>
      </c>
      <c r="K732" s="74" t="s">
        <v>29</v>
      </c>
      <c r="L732" s="16">
        <v>381553</v>
      </c>
      <c r="M732" s="16">
        <v>208639</v>
      </c>
      <c r="N732" s="16">
        <v>17775</v>
      </c>
      <c r="O732" s="16">
        <v>321224</v>
      </c>
      <c r="P732" s="16">
        <v>207678</v>
      </c>
      <c r="Q732" s="16">
        <v>60329</v>
      </c>
      <c r="R732" s="16">
        <v>910</v>
      </c>
      <c r="S732" s="16">
        <v>0</v>
      </c>
      <c r="T732" s="111">
        <v>13</v>
      </c>
    </row>
    <row r="733" spans="1:20" ht="15" customHeight="1" x14ac:dyDescent="0.2">
      <c r="A733" s="12" t="s">
        <v>1565</v>
      </c>
      <c r="B733" s="56">
        <v>2282165</v>
      </c>
      <c r="C733" s="12"/>
      <c r="D733" s="12"/>
      <c r="E733" s="12"/>
      <c r="F733" s="12" t="s">
        <v>265</v>
      </c>
      <c r="G733" s="33">
        <v>2</v>
      </c>
      <c r="H733" s="33">
        <v>9</v>
      </c>
      <c r="I733" s="12" t="s">
        <v>1566</v>
      </c>
      <c r="J733" s="12" t="s">
        <v>211</v>
      </c>
      <c r="K733" s="73" t="s">
        <v>29</v>
      </c>
      <c r="L733" s="13">
        <v>380829</v>
      </c>
      <c r="M733" s="13">
        <v>147244</v>
      </c>
      <c r="N733" s="13">
        <v>16465</v>
      </c>
      <c r="O733" s="13">
        <v>311666</v>
      </c>
      <c r="P733" s="13">
        <v>297408</v>
      </c>
      <c r="Q733" s="13">
        <v>69164</v>
      </c>
      <c r="R733" s="13">
        <v>8726</v>
      </c>
      <c r="S733" s="13">
        <v>0</v>
      </c>
      <c r="T733" s="81">
        <v>10</v>
      </c>
    </row>
    <row r="734" spans="1:20" ht="15" customHeight="1" x14ac:dyDescent="0.2">
      <c r="A734" s="15" t="s">
        <v>1567</v>
      </c>
      <c r="B734" s="60">
        <v>4565791</v>
      </c>
      <c r="C734" s="15"/>
      <c r="D734" s="15"/>
      <c r="E734" s="15"/>
      <c r="F734" s="15" t="s">
        <v>265</v>
      </c>
      <c r="G734" s="34">
        <v>2</v>
      </c>
      <c r="H734" s="34">
        <v>9</v>
      </c>
      <c r="I734" s="15" t="s">
        <v>1568</v>
      </c>
      <c r="J734" s="15" t="s">
        <v>74</v>
      </c>
      <c r="K734" s="74" t="s">
        <v>29</v>
      </c>
      <c r="L734" s="16">
        <v>378912</v>
      </c>
      <c r="M734" s="16">
        <v>229009</v>
      </c>
      <c r="N734" s="16">
        <v>15238</v>
      </c>
      <c r="O734" s="16">
        <v>331658</v>
      </c>
      <c r="P734" s="16">
        <v>220410</v>
      </c>
      <c r="Q734" s="16">
        <v>47254</v>
      </c>
      <c r="R734" s="16">
        <v>2417</v>
      </c>
      <c r="S734" s="16">
        <v>0</v>
      </c>
      <c r="T734" s="111">
        <v>5</v>
      </c>
    </row>
    <row r="735" spans="1:20" ht="15" customHeight="1" x14ac:dyDescent="0.2">
      <c r="A735" s="12" t="s">
        <v>1569</v>
      </c>
      <c r="B735" s="56">
        <v>1073966</v>
      </c>
      <c r="C735" s="12"/>
      <c r="D735" s="12"/>
      <c r="E735" s="12"/>
      <c r="F735" s="12" t="s">
        <v>265</v>
      </c>
      <c r="G735" s="33">
        <v>2</v>
      </c>
      <c r="H735" s="33">
        <v>9</v>
      </c>
      <c r="I735" s="12" t="s">
        <v>1570</v>
      </c>
      <c r="J735" s="12" t="s">
        <v>217</v>
      </c>
      <c r="K735" s="73" t="s">
        <v>29</v>
      </c>
      <c r="L735" s="13">
        <v>378720</v>
      </c>
      <c r="M735" s="13">
        <v>204680</v>
      </c>
      <c r="N735" s="13">
        <v>112995</v>
      </c>
      <c r="O735" s="13">
        <v>303610</v>
      </c>
      <c r="P735" s="13">
        <v>289037</v>
      </c>
      <c r="Q735" s="13">
        <v>75110</v>
      </c>
      <c r="R735" s="13">
        <v>1322</v>
      </c>
      <c r="S735" s="13">
        <v>0</v>
      </c>
      <c r="T735" s="81">
        <v>17</v>
      </c>
    </row>
    <row r="736" spans="1:20" ht="15" customHeight="1" x14ac:dyDescent="0.2">
      <c r="A736" s="15" t="s">
        <v>1571</v>
      </c>
      <c r="B736" s="60">
        <v>33254319</v>
      </c>
      <c r="C736" s="15" t="s">
        <v>41</v>
      </c>
      <c r="D736" s="15" t="s">
        <v>42</v>
      </c>
      <c r="E736" s="15" t="s">
        <v>43</v>
      </c>
      <c r="F736" s="15" t="s">
        <v>60</v>
      </c>
      <c r="G736" s="34">
        <v>2</v>
      </c>
      <c r="H736" s="34">
        <v>8</v>
      </c>
      <c r="I736" s="15" t="s">
        <v>44</v>
      </c>
      <c r="J736" s="15" t="s">
        <v>39</v>
      </c>
      <c r="K736" s="74" t="s">
        <v>29</v>
      </c>
      <c r="L736" s="16">
        <v>378208</v>
      </c>
      <c r="M736" s="16">
        <v>3779</v>
      </c>
      <c r="N736" s="16">
        <v>174499</v>
      </c>
      <c r="O736" s="16">
        <v>110327</v>
      </c>
      <c r="P736" s="16">
        <v>0</v>
      </c>
      <c r="Q736" s="16">
        <v>267882</v>
      </c>
      <c r="R736" s="16">
        <v>10254</v>
      </c>
      <c r="S736" s="16">
        <v>2</v>
      </c>
      <c r="T736" s="111">
        <v>0</v>
      </c>
    </row>
    <row r="737" spans="1:20" ht="15" customHeight="1" x14ac:dyDescent="0.2">
      <c r="A737" s="12" t="s">
        <v>1572</v>
      </c>
      <c r="B737" s="56">
        <v>40867163</v>
      </c>
      <c r="C737" s="12" t="s">
        <v>569</v>
      </c>
      <c r="D737" s="12" t="s">
        <v>570</v>
      </c>
      <c r="E737" s="12" t="s">
        <v>571</v>
      </c>
      <c r="F737" s="12" t="s">
        <v>65</v>
      </c>
      <c r="G737" s="33">
        <v>2</v>
      </c>
      <c r="H737" s="33">
        <v>43</v>
      </c>
      <c r="I737" s="12" t="s">
        <v>38</v>
      </c>
      <c r="J737" s="12" t="s">
        <v>39</v>
      </c>
      <c r="K737" s="73" t="s">
        <v>29</v>
      </c>
      <c r="L737" s="13">
        <v>370962</v>
      </c>
      <c r="M737" s="13">
        <v>0</v>
      </c>
      <c r="N737" s="13">
        <v>313879</v>
      </c>
      <c r="O737" s="13">
        <v>4072</v>
      </c>
      <c r="P737" s="13">
        <v>507</v>
      </c>
      <c r="Q737" s="13">
        <v>366889</v>
      </c>
      <c r="R737" s="13">
        <v>7829</v>
      </c>
      <c r="S737" s="13">
        <v>2</v>
      </c>
      <c r="T737" s="81">
        <v>0</v>
      </c>
    </row>
    <row r="738" spans="1:20" ht="15" customHeight="1" x14ac:dyDescent="0.2">
      <c r="A738" s="15" t="s">
        <v>1573</v>
      </c>
      <c r="B738" s="60">
        <v>66670</v>
      </c>
      <c r="C738" s="15" t="s">
        <v>41</v>
      </c>
      <c r="D738" s="15" t="s">
        <v>42</v>
      </c>
      <c r="E738" s="15" t="s">
        <v>43</v>
      </c>
      <c r="F738" s="15" t="s">
        <v>98</v>
      </c>
      <c r="G738" s="34">
        <v>2</v>
      </c>
      <c r="H738" s="34">
        <v>16</v>
      </c>
      <c r="I738" s="15" t="s">
        <v>44</v>
      </c>
      <c r="J738" s="15" t="s">
        <v>39</v>
      </c>
      <c r="K738" s="74" t="s">
        <v>29</v>
      </c>
      <c r="L738" s="16">
        <v>370675</v>
      </c>
      <c r="M738" s="16">
        <v>0</v>
      </c>
      <c r="N738" s="16">
        <v>299541</v>
      </c>
      <c r="O738" s="16">
        <v>95934</v>
      </c>
      <c r="P738" s="16">
        <v>64918</v>
      </c>
      <c r="Q738" s="16">
        <v>274741</v>
      </c>
      <c r="R738" s="16">
        <v>22632</v>
      </c>
      <c r="S738" s="16">
        <v>2</v>
      </c>
      <c r="T738" s="111">
        <v>0</v>
      </c>
    </row>
    <row r="739" spans="1:20" ht="15" customHeight="1" x14ac:dyDescent="0.2">
      <c r="A739" s="12" t="s">
        <v>1574</v>
      </c>
      <c r="B739" s="56">
        <v>33862244</v>
      </c>
      <c r="C739" s="12" t="s">
        <v>1575</v>
      </c>
      <c r="D739" s="12"/>
      <c r="E739" s="12" t="s">
        <v>1576</v>
      </c>
      <c r="F739" s="12" t="s">
        <v>98</v>
      </c>
      <c r="G739" s="33">
        <v>3</v>
      </c>
      <c r="H739" s="33">
        <v>16</v>
      </c>
      <c r="I739" s="12" t="s">
        <v>53</v>
      </c>
      <c r="J739" s="12" t="s">
        <v>54</v>
      </c>
      <c r="K739" s="73" t="s">
        <v>29</v>
      </c>
      <c r="L739" s="13">
        <v>370283</v>
      </c>
      <c r="M739" s="13">
        <v>0</v>
      </c>
      <c r="N739" s="13">
        <v>206223</v>
      </c>
      <c r="O739" s="13">
        <v>103678</v>
      </c>
      <c r="P739" s="13">
        <v>1444</v>
      </c>
      <c r="Q739" s="13">
        <v>266605</v>
      </c>
      <c r="R739" s="13">
        <v>22646</v>
      </c>
      <c r="S739" s="13">
        <v>3</v>
      </c>
      <c r="T739" s="81">
        <v>0</v>
      </c>
    </row>
    <row r="740" spans="1:20" ht="15" customHeight="1" x14ac:dyDescent="0.2">
      <c r="A740" s="15" t="s">
        <v>1577</v>
      </c>
      <c r="B740" s="60">
        <v>51342763</v>
      </c>
      <c r="C740" s="15" t="s">
        <v>1578</v>
      </c>
      <c r="D740" s="15"/>
      <c r="E740" s="15" t="s">
        <v>1579</v>
      </c>
      <c r="F740" s="15" t="s">
        <v>65</v>
      </c>
      <c r="G740" s="34">
        <v>3</v>
      </c>
      <c r="H740" s="34">
        <v>43</v>
      </c>
      <c r="I740" s="15" t="s">
        <v>38</v>
      </c>
      <c r="J740" s="15" t="s">
        <v>39</v>
      </c>
      <c r="K740" s="74" t="s">
        <v>29</v>
      </c>
      <c r="L740" s="16">
        <v>370005</v>
      </c>
      <c r="M740" s="16">
        <v>45884</v>
      </c>
      <c r="N740" s="16">
        <v>102552</v>
      </c>
      <c r="O740" s="16">
        <v>260376</v>
      </c>
      <c r="P740" s="16">
        <v>156904</v>
      </c>
      <c r="Q740" s="16">
        <v>109628</v>
      </c>
      <c r="R740" s="16">
        <v>55</v>
      </c>
      <c r="S740" s="16">
        <v>2</v>
      </c>
      <c r="T740" s="111">
        <v>0</v>
      </c>
    </row>
    <row r="741" spans="1:20" ht="15" customHeight="1" x14ac:dyDescent="0.2">
      <c r="A741" s="12" t="s">
        <v>1580</v>
      </c>
      <c r="B741" s="56">
        <v>97489280</v>
      </c>
      <c r="C741" s="12"/>
      <c r="D741" s="12"/>
      <c r="E741" s="12"/>
      <c r="F741" s="12" t="s">
        <v>265</v>
      </c>
      <c r="G741" s="33">
        <v>2</v>
      </c>
      <c r="H741" s="33">
        <v>9</v>
      </c>
      <c r="I741" s="12" t="s">
        <v>1581</v>
      </c>
      <c r="J741" s="12" t="s">
        <v>211</v>
      </c>
      <c r="K741" s="73" t="s">
        <v>29</v>
      </c>
      <c r="L741" s="13">
        <v>369319</v>
      </c>
      <c r="M741" s="13">
        <v>156450</v>
      </c>
      <c r="N741" s="13">
        <v>149898</v>
      </c>
      <c r="O741" s="13">
        <v>320017</v>
      </c>
      <c r="P741" s="13">
        <v>253477</v>
      </c>
      <c r="Q741" s="13">
        <v>49302</v>
      </c>
      <c r="R741" s="13">
        <v>793</v>
      </c>
      <c r="S741" s="13">
        <v>0</v>
      </c>
      <c r="T741" s="81">
        <v>7</v>
      </c>
    </row>
    <row r="742" spans="1:20" ht="15" customHeight="1" x14ac:dyDescent="0.2">
      <c r="A742" s="15" t="s">
        <v>1582</v>
      </c>
      <c r="B742" s="60">
        <v>3183937</v>
      </c>
      <c r="C742" s="15" t="s">
        <v>1583</v>
      </c>
      <c r="D742" s="15"/>
      <c r="E742" s="15" t="s">
        <v>1584</v>
      </c>
      <c r="F742" s="15" t="s">
        <v>65</v>
      </c>
      <c r="G742" s="34">
        <v>1</v>
      </c>
      <c r="H742" s="34">
        <v>30</v>
      </c>
      <c r="I742" s="15" t="s">
        <v>1585</v>
      </c>
      <c r="J742" s="15" t="s">
        <v>1586</v>
      </c>
      <c r="K742" s="74" t="s">
        <v>29</v>
      </c>
      <c r="L742" s="16">
        <v>367623</v>
      </c>
      <c r="M742" s="16">
        <v>36329</v>
      </c>
      <c r="N742" s="16">
        <v>312303</v>
      </c>
      <c r="O742" s="16">
        <v>212345</v>
      </c>
      <c r="P742" s="16">
        <v>0</v>
      </c>
      <c r="Q742" s="16">
        <v>155278</v>
      </c>
      <c r="R742" s="16">
        <v>10606</v>
      </c>
      <c r="S742" s="16">
        <v>2</v>
      </c>
      <c r="T742" s="111">
        <v>0</v>
      </c>
    </row>
    <row r="743" spans="1:20" ht="15" customHeight="1" x14ac:dyDescent="0.2">
      <c r="A743" s="12" t="s">
        <v>1587</v>
      </c>
      <c r="B743" s="56">
        <v>4379829</v>
      </c>
      <c r="C743" s="12" t="s">
        <v>1588</v>
      </c>
      <c r="D743" s="12"/>
      <c r="E743" s="12" t="s">
        <v>1589</v>
      </c>
      <c r="F743" s="12" t="s">
        <v>65</v>
      </c>
      <c r="G743" s="33">
        <v>2</v>
      </c>
      <c r="H743" s="33">
        <v>14</v>
      </c>
      <c r="I743" s="12" t="s">
        <v>228</v>
      </c>
      <c r="J743" s="12" t="s">
        <v>229</v>
      </c>
      <c r="K743" s="73" t="s">
        <v>29</v>
      </c>
      <c r="L743" s="13">
        <v>367063</v>
      </c>
      <c r="M743" s="13">
        <v>288262</v>
      </c>
      <c r="N743" s="13">
        <v>0</v>
      </c>
      <c r="O743" s="13">
        <v>285061</v>
      </c>
      <c r="P743" s="13">
        <v>266487</v>
      </c>
      <c r="Q743" s="13">
        <v>82002</v>
      </c>
      <c r="R743" s="13">
        <v>16772</v>
      </c>
      <c r="S743" s="13">
        <v>2</v>
      </c>
      <c r="T743" s="81">
        <v>0</v>
      </c>
    </row>
    <row r="744" spans="1:20" ht="15" customHeight="1" x14ac:dyDescent="0.2">
      <c r="A744" s="15" t="s">
        <v>1590</v>
      </c>
      <c r="B744" s="60">
        <v>31749596</v>
      </c>
      <c r="C744" s="15" t="s">
        <v>35</v>
      </c>
      <c r="D744" s="15" t="s">
        <v>36</v>
      </c>
      <c r="E744" s="15" t="s">
        <v>37</v>
      </c>
      <c r="F744" s="15" t="s">
        <v>98</v>
      </c>
      <c r="G744" s="34">
        <v>2</v>
      </c>
      <c r="H744" s="34">
        <v>15</v>
      </c>
      <c r="I744" s="15" t="s">
        <v>38</v>
      </c>
      <c r="J744" s="15" t="s">
        <v>39</v>
      </c>
      <c r="K744" s="74" t="s">
        <v>29</v>
      </c>
      <c r="L744" s="16">
        <v>366312</v>
      </c>
      <c r="M744" s="16">
        <v>0</v>
      </c>
      <c r="N744" s="16">
        <v>291405</v>
      </c>
      <c r="O744" s="16">
        <v>69522</v>
      </c>
      <c r="P744" s="16">
        <v>24358</v>
      </c>
      <c r="Q744" s="16">
        <v>296790</v>
      </c>
      <c r="R744" s="16">
        <v>11095</v>
      </c>
      <c r="S744" s="16">
        <v>2</v>
      </c>
      <c r="T744" s="111">
        <v>0</v>
      </c>
    </row>
    <row r="745" spans="1:20" ht="15" customHeight="1" x14ac:dyDescent="0.2">
      <c r="A745" s="12" t="s">
        <v>1591</v>
      </c>
      <c r="B745" s="56">
        <v>2876918</v>
      </c>
      <c r="C745" s="12"/>
      <c r="D745" s="12"/>
      <c r="E745" s="12"/>
      <c r="F745" s="12" t="s">
        <v>265</v>
      </c>
      <c r="G745" s="33">
        <v>2</v>
      </c>
      <c r="H745" s="33">
        <v>9</v>
      </c>
      <c r="I745" s="12" t="s">
        <v>1592</v>
      </c>
      <c r="J745" s="12" t="s">
        <v>211</v>
      </c>
      <c r="K745" s="73" t="s">
        <v>29</v>
      </c>
      <c r="L745" s="13">
        <v>365232</v>
      </c>
      <c r="M745" s="13">
        <v>237219</v>
      </c>
      <c r="N745" s="13">
        <v>12987</v>
      </c>
      <c r="O745" s="13">
        <v>312039</v>
      </c>
      <c r="P745" s="13">
        <v>283273</v>
      </c>
      <c r="Q745" s="13">
        <v>53192</v>
      </c>
      <c r="R745" s="13">
        <v>3840</v>
      </c>
      <c r="S745" s="13">
        <v>0</v>
      </c>
      <c r="T745" s="81">
        <v>11</v>
      </c>
    </row>
    <row r="746" spans="1:20" ht="15" customHeight="1" x14ac:dyDescent="0.2">
      <c r="A746" s="15" t="s">
        <v>1593</v>
      </c>
      <c r="B746" s="60">
        <v>37631058</v>
      </c>
      <c r="C746" s="15"/>
      <c r="D746" s="15"/>
      <c r="E746" s="15"/>
      <c r="F746" s="15" t="s">
        <v>265</v>
      </c>
      <c r="G746" s="34">
        <v>2</v>
      </c>
      <c r="H746" s="34">
        <v>9</v>
      </c>
      <c r="I746" s="15" t="s">
        <v>1594</v>
      </c>
      <c r="J746" s="15" t="s">
        <v>389</v>
      </c>
      <c r="K746" s="74" t="s">
        <v>29</v>
      </c>
      <c r="L746" s="16">
        <v>362440</v>
      </c>
      <c r="M746" s="16">
        <v>191527</v>
      </c>
      <c r="N746" s="16">
        <v>23950</v>
      </c>
      <c r="O746" s="16">
        <v>255977</v>
      </c>
      <c r="P746" s="16">
        <v>228955</v>
      </c>
      <c r="Q746" s="16">
        <v>106462</v>
      </c>
      <c r="R746" s="16">
        <v>-7187</v>
      </c>
      <c r="S746" s="16">
        <v>0</v>
      </c>
      <c r="T746" s="111">
        <v>10</v>
      </c>
    </row>
    <row r="747" spans="1:20" ht="15" customHeight="1" x14ac:dyDescent="0.2">
      <c r="A747" s="12" t="s">
        <v>1595</v>
      </c>
      <c r="B747" s="56">
        <v>26264220</v>
      </c>
      <c r="C747" s="12" t="s">
        <v>1596</v>
      </c>
      <c r="D747" s="12"/>
      <c r="E747" s="12" t="s">
        <v>1597</v>
      </c>
      <c r="F747" s="12" t="s">
        <v>84</v>
      </c>
      <c r="G747" s="33">
        <v>2</v>
      </c>
      <c r="H747" s="33">
        <v>41</v>
      </c>
      <c r="I747" s="12" t="s">
        <v>1133</v>
      </c>
      <c r="J747" s="12" t="s">
        <v>1078</v>
      </c>
      <c r="K747" s="73" t="s">
        <v>29</v>
      </c>
      <c r="L747" s="13">
        <v>360182</v>
      </c>
      <c r="M747" s="13">
        <v>0</v>
      </c>
      <c r="N747" s="13">
        <v>0</v>
      </c>
      <c r="O747" s="13">
        <v>346549</v>
      </c>
      <c r="P747" s="13">
        <v>337999</v>
      </c>
      <c r="Q747" s="13">
        <v>13633</v>
      </c>
      <c r="R747" s="13">
        <v>-1699</v>
      </c>
      <c r="S747" s="13">
        <v>1</v>
      </c>
      <c r="T747" s="81">
        <v>0</v>
      </c>
    </row>
    <row r="748" spans="1:20" ht="15" customHeight="1" x14ac:dyDescent="0.2">
      <c r="A748" s="15" t="s">
        <v>1598</v>
      </c>
      <c r="B748" s="60">
        <v>5856736</v>
      </c>
      <c r="C748" s="15"/>
      <c r="D748" s="15"/>
      <c r="E748" s="15"/>
      <c r="F748" s="15" t="s">
        <v>265</v>
      </c>
      <c r="G748" s="34">
        <v>2</v>
      </c>
      <c r="H748" s="34">
        <v>9</v>
      </c>
      <c r="I748" s="15" t="s">
        <v>27</v>
      </c>
      <c r="J748" s="15" t="s">
        <v>28</v>
      </c>
      <c r="K748" s="74" t="s">
        <v>29</v>
      </c>
      <c r="L748" s="16">
        <v>359006</v>
      </c>
      <c r="M748" s="16">
        <v>130573</v>
      </c>
      <c r="N748" s="16">
        <v>36251</v>
      </c>
      <c r="O748" s="16">
        <v>286599</v>
      </c>
      <c r="P748" s="16">
        <v>276510</v>
      </c>
      <c r="Q748" s="16">
        <v>72407</v>
      </c>
      <c r="R748" s="16">
        <v>-59</v>
      </c>
      <c r="S748" s="16">
        <v>0</v>
      </c>
      <c r="T748" s="111">
        <v>8</v>
      </c>
    </row>
    <row r="749" spans="1:20" ht="15" customHeight="1" x14ac:dyDescent="0.2">
      <c r="A749" s="12" t="s">
        <v>1599</v>
      </c>
      <c r="B749" s="56">
        <v>122327</v>
      </c>
      <c r="C749" s="12" t="s">
        <v>1600</v>
      </c>
      <c r="D749" s="12"/>
      <c r="E749" s="12" t="s">
        <v>1601</v>
      </c>
      <c r="F749" s="12" t="s">
        <v>65</v>
      </c>
      <c r="G749" s="33">
        <v>2</v>
      </c>
      <c r="H749" s="33">
        <v>14</v>
      </c>
      <c r="I749" s="12" t="s">
        <v>216</v>
      </c>
      <c r="J749" s="12" t="s">
        <v>217</v>
      </c>
      <c r="K749" s="73" t="s">
        <v>29</v>
      </c>
      <c r="L749" s="13">
        <v>358257</v>
      </c>
      <c r="M749" s="13">
        <v>288407</v>
      </c>
      <c r="N749" s="13">
        <v>6</v>
      </c>
      <c r="O749" s="13">
        <v>218919</v>
      </c>
      <c r="P749" s="13">
        <v>203839</v>
      </c>
      <c r="Q749" s="13">
        <v>139338</v>
      </c>
      <c r="R749" s="13">
        <v>4227</v>
      </c>
      <c r="S749" s="13">
        <v>6</v>
      </c>
      <c r="T749" s="81">
        <v>0</v>
      </c>
    </row>
    <row r="750" spans="1:20" ht="15" customHeight="1" x14ac:dyDescent="0.2">
      <c r="A750" s="15" t="s">
        <v>1602</v>
      </c>
      <c r="B750" s="60">
        <v>10314753</v>
      </c>
      <c r="C750" s="15" t="s">
        <v>1603</v>
      </c>
      <c r="D750" s="15"/>
      <c r="E750" s="15" t="s">
        <v>1604</v>
      </c>
      <c r="F750" s="15" t="s">
        <v>84</v>
      </c>
      <c r="G750" s="34">
        <v>3</v>
      </c>
      <c r="H750" s="34">
        <v>41</v>
      </c>
      <c r="I750" s="15" t="s">
        <v>38</v>
      </c>
      <c r="J750" s="15" t="s">
        <v>39</v>
      </c>
      <c r="K750" s="74" t="s">
        <v>29</v>
      </c>
      <c r="L750" s="16">
        <v>357225</v>
      </c>
      <c r="M750" s="16">
        <v>0</v>
      </c>
      <c r="N750" s="16">
        <v>277484</v>
      </c>
      <c r="O750" s="16">
        <v>263548</v>
      </c>
      <c r="P750" s="16">
        <v>97606</v>
      </c>
      <c r="Q750" s="16">
        <v>93677</v>
      </c>
      <c r="R750" s="16">
        <v>16845</v>
      </c>
      <c r="S750" s="16">
        <v>1</v>
      </c>
      <c r="T750" s="111">
        <v>0</v>
      </c>
    </row>
    <row r="751" spans="1:20" ht="15" customHeight="1" x14ac:dyDescent="0.2">
      <c r="A751" s="12" t="s">
        <v>1605</v>
      </c>
      <c r="B751" s="56">
        <v>50735161</v>
      </c>
      <c r="C751" s="12"/>
      <c r="D751" s="12"/>
      <c r="E751" s="12"/>
      <c r="F751" s="12" t="s">
        <v>265</v>
      </c>
      <c r="G751" s="33">
        <v>2</v>
      </c>
      <c r="H751" s="33">
        <v>9</v>
      </c>
      <c r="I751" s="12" t="s">
        <v>1606</v>
      </c>
      <c r="J751" s="12" t="s">
        <v>329</v>
      </c>
      <c r="K751" s="73" t="s">
        <v>29</v>
      </c>
      <c r="L751" s="13">
        <v>354967</v>
      </c>
      <c r="M751" s="13">
        <v>269241</v>
      </c>
      <c r="N751" s="13">
        <v>5096</v>
      </c>
      <c r="O751" s="13">
        <v>317606</v>
      </c>
      <c r="P751" s="13">
        <v>205589</v>
      </c>
      <c r="Q751" s="13">
        <v>37361</v>
      </c>
      <c r="R751" s="13">
        <v>-3938</v>
      </c>
      <c r="S751" s="13">
        <v>0</v>
      </c>
      <c r="T751" s="81">
        <v>17</v>
      </c>
    </row>
    <row r="752" spans="1:20" ht="15" customHeight="1" x14ac:dyDescent="0.2">
      <c r="A752" s="15" t="s">
        <v>1607</v>
      </c>
      <c r="B752" s="60">
        <v>5816451</v>
      </c>
      <c r="C752" s="15" t="s">
        <v>519</v>
      </c>
      <c r="D752" s="15" t="s">
        <v>520</v>
      </c>
      <c r="E752" s="15" t="s">
        <v>521</v>
      </c>
      <c r="F752" s="15" t="s">
        <v>98</v>
      </c>
      <c r="G752" s="34">
        <v>2</v>
      </c>
      <c r="H752" s="34">
        <v>15</v>
      </c>
      <c r="I752" s="15" t="s">
        <v>53</v>
      </c>
      <c r="J752" s="15" t="s">
        <v>54</v>
      </c>
      <c r="K752" s="74" t="s">
        <v>29</v>
      </c>
      <c r="L752" s="16">
        <v>354848</v>
      </c>
      <c r="M752" s="16">
        <v>421</v>
      </c>
      <c r="N752" s="16">
        <v>80904</v>
      </c>
      <c r="O752" s="16">
        <v>236939</v>
      </c>
      <c r="P752" s="16">
        <v>67365</v>
      </c>
      <c r="Q752" s="16">
        <v>117909</v>
      </c>
      <c r="R752" s="16">
        <v>-24896</v>
      </c>
      <c r="S752" s="16">
        <v>4</v>
      </c>
      <c r="T752" s="111">
        <v>2</v>
      </c>
    </row>
    <row r="753" spans="1:20" ht="15" customHeight="1" x14ac:dyDescent="0.2">
      <c r="A753" s="12" t="s">
        <v>1608</v>
      </c>
      <c r="B753" s="56">
        <v>7320890</v>
      </c>
      <c r="C753" s="12"/>
      <c r="D753" s="12"/>
      <c r="E753" s="12"/>
      <c r="F753" s="12" t="s">
        <v>265</v>
      </c>
      <c r="G753" s="33">
        <v>2</v>
      </c>
      <c r="H753" s="33">
        <v>9</v>
      </c>
      <c r="I753" s="12" t="s">
        <v>1609</v>
      </c>
      <c r="J753" s="12" t="s">
        <v>217</v>
      </c>
      <c r="K753" s="73" t="s">
        <v>29</v>
      </c>
      <c r="L753" s="13">
        <v>353490</v>
      </c>
      <c r="M753" s="13">
        <v>249888</v>
      </c>
      <c r="N753" s="13">
        <v>18485</v>
      </c>
      <c r="O753" s="13">
        <v>299063</v>
      </c>
      <c r="P753" s="13">
        <v>159413</v>
      </c>
      <c r="Q753" s="13">
        <v>54426</v>
      </c>
      <c r="R753" s="13">
        <v>2756</v>
      </c>
      <c r="S753" s="13">
        <v>0</v>
      </c>
      <c r="T753" s="81">
        <v>8</v>
      </c>
    </row>
    <row r="754" spans="1:20" ht="15" customHeight="1" x14ac:dyDescent="0.2">
      <c r="A754" s="15" t="s">
        <v>1610</v>
      </c>
      <c r="B754" s="60">
        <v>19307785</v>
      </c>
      <c r="C754" s="15" t="s">
        <v>1611</v>
      </c>
      <c r="D754" s="15"/>
      <c r="E754" s="15" t="s">
        <v>1612</v>
      </c>
      <c r="F754" s="15" t="s">
        <v>60</v>
      </c>
      <c r="G754" s="34">
        <v>2</v>
      </c>
      <c r="H754" s="34">
        <v>39</v>
      </c>
      <c r="I754" s="15" t="s">
        <v>228</v>
      </c>
      <c r="J754" s="15" t="s">
        <v>229</v>
      </c>
      <c r="K754" s="74" t="s">
        <v>29</v>
      </c>
      <c r="L754" s="16">
        <v>352776</v>
      </c>
      <c r="M754" s="16">
        <v>0</v>
      </c>
      <c r="N754" s="16">
        <v>173646</v>
      </c>
      <c r="O754" s="16">
        <v>274713</v>
      </c>
      <c r="P754" s="16">
        <v>149159</v>
      </c>
      <c r="Q754" s="16">
        <v>78063</v>
      </c>
      <c r="R754" s="16">
        <v>5414</v>
      </c>
      <c r="S754" s="16">
        <v>3</v>
      </c>
      <c r="T754" s="111">
        <v>0</v>
      </c>
    </row>
    <row r="755" spans="1:20" ht="15" customHeight="1" x14ac:dyDescent="0.2">
      <c r="A755" s="12" t="s">
        <v>1613</v>
      </c>
      <c r="B755" s="56">
        <v>7070495</v>
      </c>
      <c r="C755" s="12"/>
      <c r="D755" s="12"/>
      <c r="E755" s="12"/>
      <c r="F755" s="12" t="s">
        <v>265</v>
      </c>
      <c r="G755" s="33">
        <v>2</v>
      </c>
      <c r="H755" s="33">
        <v>9</v>
      </c>
      <c r="I755" s="12" t="s">
        <v>228</v>
      </c>
      <c r="J755" s="12" t="s">
        <v>229</v>
      </c>
      <c r="K755" s="73" t="s">
        <v>29</v>
      </c>
      <c r="L755" s="13">
        <v>352468</v>
      </c>
      <c r="M755" s="13">
        <v>128232</v>
      </c>
      <c r="N755" s="13">
        <v>200751</v>
      </c>
      <c r="O755" s="13">
        <v>319935</v>
      </c>
      <c r="P755" s="13">
        <v>286930</v>
      </c>
      <c r="Q755" s="13">
        <v>32533</v>
      </c>
      <c r="R755" s="13">
        <v>3544</v>
      </c>
      <c r="S755" s="13">
        <v>0</v>
      </c>
      <c r="T755" s="81">
        <v>5</v>
      </c>
    </row>
    <row r="756" spans="1:20" ht="15" customHeight="1" x14ac:dyDescent="0.2">
      <c r="A756" s="15" t="s">
        <v>1614</v>
      </c>
      <c r="B756" s="60">
        <v>66259110</v>
      </c>
      <c r="C756" s="15"/>
      <c r="D756" s="15"/>
      <c r="E756" s="15"/>
      <c r="F756" s="15" t="s">
        <v>265</v>
      </c>
      <c r="G756" s="34">
        <v>2</v>
      </c>
      <c r="H756" s="34">
        <v>9</v>
      </c>
      <c r="I756" s="15" t="s">
        <v>1615</v>
      </c>
      <c r="J756" s="15" t="s">
        <v>120</v>
      </c>
      <c r="K756" s="74" t="s">
        <v>29</v>
      </c>
      <c r="L756" s="16">
        <v>352106</v>
      </c>
      <c r="M756" s="16">
        <v>113662</v>
      </c>
      <c r="N756" s="16">
        <v>8823</v>
      </c>
      <c r="O756" s="16">
        <v>283231</v>
      </c>
      <c r="P756" s="16">
        <v>250826</v>
      </c>
      <c r="Q756" s="16">
        <v>68874</v>
      </c>
      <c r="R756" s="16">
        <v>5401</v>
      </c>
      <c r="S756" s="16">
        <v>0</v>
      </c>
      <c r="T756" s="111">
        <v>3</v>
      </c>
    </row>
    <row r="757" spans="1:20" ht="15" customHeight="1" x14ac:dyDescent="0.2">
      <c r="A757" s="12" t="s">
        <v>1616</v>
      </c>
      <c r="B757" s="56">
        <v>36947229</v>
      </c>
      <c r="C757" s="12" t="s">
        <v>799</v>
      </c>
      <c r="D757" s="12"/>
      <c r="E757" s="12" t="s">
        <v>800</v>
      </c>
      <c r="F757" s="12" t="s">
        <v>65</v>
      </c>
      <c r="G757" s="33">
        <v>2</v>
      </c>
      <c r="H757" s="33">
        <v>14</v>
      </c>
      <c r="I757" s="12" t="s">
        <v>801</v>
      </c>
      <c r="J757" s="12" t="s">
        <v>120</v>
      </c>
      <c r="K757" s="73" t="s">
        <v>29</v>
      </c>
      <c r="L757" s="13">
        <v>351933</v>
      </c>
      <c r="M757" s="13">
        <v>254</v>
      </c>
      <c r="N757" s="13">
        <v>287610</v>
      </c>
      <c r="O757" s="13">
        <v>305485</v>
      </c>
      <c r="P757" s="13">
        <v>248814</v>
      </c>
      <c r="Q757" s="13">
        <v>46448</v>
      </c>
      <c r="R757" s="13">
        <v>503</v>
      </c>
      <c r="S757" s="13">
        <v>3</v>
      </c>
      <c r="T757" s="81">
        <v>0</v>
      </c>
    </row>
    <row r="758" spans="1:20" ht="15" customHeight="1" x14ac:dyDescent="0.2">
      <c r="A758" s="15" t="s">
        <v>1617</v>
      </c>
      <c r="B758" s="60">
        <v>7714057</v>
      </c>
      <c r="C758" s="15"/>
      <c r="D758" s="15"/>
      <c r="E758" s="15"/>
      <c r="F758" s="15" t="s">
        <v>265</v>
      </c>
      <c r="G758" s="34">
        <v>2</v>
      </c>
      <c r="H758" s="34">
        <v>9</v>
      </c>
      <c r="I758" s="15" t="s">
        <v>73</v>
      </c>
      <c r="J758" s="15" t="s">
        <v>74</v>
      </c>
      <c r="K758" s="74" t="s">
        <v>29</v>
      </c>
      <c r="L758" s="16">
        <v>351349</v>
      </c>
      <c r="M758" s="16">
        <v>103767</v>
      </c>
      <c r="N758" s="16">
        <v>5563</v>
      </c>
      <c r="O758" s="16">
        <v>316455</v>
      </c>
      <c r="P758" s="16">
        <v>284970</v>
      </c>
      <c r="Q758" s="16">
        <v>34894</v>
      </c>
      <c r="R758" s="16">
        <v>5600</v>
      </c>
      <c r="S758" s="16">
        <v>0</v>
      </c>
      <c r="T758" s="111">
        <v>1</v>
      </c>
    </row>
    <row r="759" spans="1:20" ht="15" customHeight="1" x14ac:dyDescent="0.2">
      <c r="A759" s="12" t="s">
        <v>1618</v>
      </c>
      <c r="B759" s="56">
        <v>8611734</v>
      </c>
      <c r="C759" s="12" t="s">
        <v>1619</v>
      </c>
      <c r="D759" s="12"/>
      <c r="E759" s="12" t="s">
        <v>1620</v>
      </c>
      <c r="F759" s="12" t="s">
        <v>84</v>
      </c>
      <c r="G759" s="33">
        <v>2</v>
      </c>
      <c r="H759" s="33">
        <v>41</v>
      </c>
      <c r="I759" s="12" t="s">
        <v>1621</v>
      </c>
      <c r="J759" s="12" t="s">
        <v>217</v>
      </c>
      <c r="K759" s="73" t="s">
        <v>29</v>
      </c>
      <c r="L759" s="13">
        <v>346363</v>
      </c>
      <c r="M759" s="13">
        <v>203899</v>
      </c>
      <c r="N759" s="13">
        <v>72366</v>
      </c>
      <c r="O759" s="13">
        <v>251084</v>
      </c>
      <c r="P759" s="13">
        <v>6734</v>
      </c>
      <c r="Q759" s="13">
        <v>95279</v>
      </c>
      <c r="R759" s="13">
        <v>-1496</v>
      </c>
      <c r="S759" s="13">
        <v>1</v>
      </c>
      <c r="T759" s="81">
        <v>0</v>
      </c>
    </row>
    <row r="760" spans="1:20" ht="15" customHeight="1" x14ac:dyDescent="0.2">
      <c r="A760" s="15" t="s">
        <v>1622</v>
      </c>
      <c r="B760" s="60">
        <v>9437293</v>
      </c>
      <c r="C760" s="15" t="s">
        <v>1623</v>
      </c>
      <c r="D760" s="15"/>
      <c r="E760" s="15" t="s">
        <v>1624</v>
      </c>
      <c r="F760" s="15" t="s">
        <v>84</v>
      </c>
      <c r="G760" s="34">
        <v>3</v>
      </c>
      <c r="H760" s="34">
        <v>41</v>
      </c>
      <c r="I760" s="15" t="s">
        <v>38</v>
      </c>
      <c r="J760" s="15" t="s">
        <v>39</v>
      </c>
      <c r="K760" s="74" t="s">
        <v>29</v>
      </c>
      <c r="L760" s="16">
        <v>342801</v>
      </c>
      <c r="M760" s="16">
        <v>0</v>
      </c>
      <c r="N760" s="16">
        <v>0</v>
      </c>
      <c r="O760" s="16">
        <v>251590</v>
      </c>
      <c r="P760" s="16">
        <v>194284</v>
      </c>
      <c r="Q760" s="16">
        <v>91211</v>
      </c>
      <c r="R760" s="16">
        <v>1897</v>
      </c>
      <c r="S760" s="16">
        <v>1</v>
      </c>
      <c r="T760" s="111">
        <v>0</v>
      </c>
    </row>
    <row r="761" spans="1:20" ht="15" customHeight="1" x14ac:dyDescent="0.2">
      <c r="A761" s="12" t="s">
        <v>1625</v>
      </c>
      <c r="B761" s="56">
        <v>7194313</v>
      </c>
      <c r="C761" s="12"/>
      <c r="D761" s="12"/>
      <c r="E761" s="12"/>
      <c r="F761" s="12" t="s">
        <v>265</v>
      </c>
      <c r="G761" s="33">
        <v>2</v>
      </c>
      <c r="H761" s="33">
        <v>9</v>
      </c>
      <c r="I761" s="12" t="s">
        <v>1626</v>
      </c>
      <c r="J761" s="12" t="s">
        <v>229</v>
      </c>
      <c r="K761" s="73" t="s">
        <v>29</v>
      </c>
      <c r="L761" s="13">
        <v>341705</v>
      </c>
      <c r="M761" s="13">
        <v>166712</v>
      </c>
      <c r="N761" s="13">
        <v>6044</v>
      </c>
      <c r="O761" s="13">
        <v>302559</v>
      </c>
      <c r="P761" s="13">
        <v>286431</v>
      </c>
      <c r="Q761" s="13">
        <v>39146</v>
      </c>
      <c r="R761" s="13">
        <v>3660</v>
      </c>
      <c r="S761" s="13">
        <v>0</v>
      </c>
      <c r="T761" s="81">
        <v>7</v>
      </c>
    </row>
    <row r="762" spans="1:20" ht="15" customHeight="1" x14ac:dyDescent="0.2">
      <c r="A762" s="15" t="s">
        <v>1627</v>
      </c>
      <c r="B762" s="60">
        <v>1609345</v>
      </c>
      <c r="C762" s="15"/>
      <c r="D762" s="15"/>
      <c r="E762" s="15"/>
      <c r="F762" s="15" t="s">
        <v>265</v>
      </c>
      <c r="G762" s="34">
        <v>2</v>
      </c>
      <c r="H762" s="34">
        <v>9</v>
      </c>
      <c r="I762" s="15" t="s">
        <v>1628</v>
      </c>
      <c r="J762" s="15" t="s">
        <v>120</v>
      </c>
      <c r="K762" s="74" t="s">
        <v>29</v>
      </c>
      <c r="L762" s="16">
        <v>340770</v>
      </c>
      <c r="M762" s="16">
        <v>222021</v>
      </c>
      <c r="N762" s="16">
        <v>13914</v>
      </c>
      <c r="O762" s="16">
        <v>292341</v>
      </c>
      <c r="P762" s="16">
        <v>185140</v>
      </c>
      <c r="Q762" s="16">
        <v>48429</v>
      </c>
      <c r="R762" s="16">
        <v>3149</v>
      </c>
      <c r="S762" s="16">
        <v>0</v>
      </c>
      <c r="T762" s="111">
        <v>1</v>
      </c>
    </row>
    <row r="763" spans="1:20" ht="15" customHeight="1" x14ac:dyDescent="0.2">
      <c r="A763" s="12" t="s">
        <v>1629</v>
      </c>
      <c r="B763" s="56">
        <v>32343119</v>
      </c>
      <c r="C763" s="12" t="s">
        <v>1630</v>
      </c>
      <c r="D763" s="12"/>
      <c r="E763" s="12" t="s">
        <v>1631</v>
      </c>
      <c r="F763" s="12" t="s">
        <v>84</v>
      </c>
      <c r="G763" s="33">
        <v>2</v>
      </c>
      <c r="H763" s="33">
        <v>41</v>
      </c>
      <c r="I763" s="12" t="s">
        <v>132</v>
      </c>
      <c r="J763" s="12" t="s">
        <v>133</v>
      </c>
      <c r="K763" s="73" t="s">
        <v>29</v>
      </c>
      <c r="L763" s="13">
        <v>340340</v>
      </c>
      <c r="M763" s="13">
        <v>0</v>
      </c>
      <c r="N763" s="13">
        <v>144677</v>
      </c>
      <c r="O763" s="13">
        <v>274037</v>
      </c>
      <c r="P763" s="13">
        <v>111168</v>
      </c>
      <c r="Q763" s="13">
        <v>66303</v>
      </c>
      <c r="R763" s="13">
        <v>-44658</v>
      </c>
      <c r="S763" s="13">
        <v>1</v>
      </c>
      <c r="T763" s="81">
        <v>0</v>
      </c>
    </row>
    <row r="764" spans="1:20" ht="15" customHeight="1" x14ac:dyDescent="0.2">
      <c r="A764" s="15" t="s">
        <v>1632</v>
      </c>
      <c r="B764" s="60">
        <v>86791837</v>
      </c>
      <c r="C764" s="15"/>
      <c r="D764" s="15"/>
      <c r="E764" s="15"/>
      <c r="F764" s="15" t="s">
        <v>265</v>
      </c>
      <c r="G764" s="34">
        <v>2</v>
      </c>
      <c r="H764" s="34">
        <v>9</v>
      </c>
      <c r="I764" s="15" t="s">
        <v>1633</v>
      </c>
      <c r="J764" s="15" t="s">
        <v>217</v>
      </c>
      <c r="K764" s="74" t="s">
        <v>29</v>
      </c>
      <c r="L764" s="16">
        <v>339655</v>
      </c>
      <c r="M764" s="16">
        <v>184257</v>
      </c>
      <c r="N764" s="16">
        <v>4548</v>
      </c>
      <c r="O764" s="16">
        <v>311207</v>
      </c>
      <c r="P764" s="16">
        <v>292246</v>
      </c>
      <c r="Q764" s="16">
        <v>28448</v>
      </c>
      <c r="R764" s="16">
        <v>68</v>
      </c>
      <c r="S764" s="16">
        <v>0</v>
      </c>
      <c r="T764" s="111">
        <v>8</v>
      </c>
    </row>
    <row r="765" spans="1:20" ht="15" customHeight="1" x14ac:dyDescent="0.2">
      <c r="A765" s="12" t="s">
        <v>1634</v>
      </c>
      <c r="B765" s="56">
        <v>1439107</v>
      </c>
      <c r="C765" s="12"/>
      <c r="D765" s="12"/>
      <c r="E765" s="12"/>
      <c r="F765" s="12" t="s">
        <v>265</v>
      </c>
      <c r="G765" s="33">
        <v>2</v>
      </c>
      <c r="H765" s="33">
        <v>9</v>
      </c>
      <c r="I765" s="12" t="s">
        <v>1635</v>
      </c>
      <c r="J765" s="12" t="s">
        <v>39</v>
      </c>
      <c r="K765" s="73" t="s">
        <v>29</v>
      </c>
      <c r="L765" s="13">
        <v>337722</v>
      </c>
      <c r="M765" s="13">
        <v>198122</v>
      </c>
      <c r="N765" s="13">
        <v>88821</v>
      </c>
      <c r="O765" s="13">
        <v>26660</v>
      </c>
      <c r="P765" s="13">
        <v>0</v>
      </c>
      <c r="Q765" s="13">
        <v>311062</v>
      </c>
      <c r="R765" s="13">
        <v>19192</v>
      </c>
      <c r="S765" s="13">
        <v>0</v>
      </c>
      <c r="T765" s="81">
        <v>0</v>
      </c>
    </row>
    <row r="766" spans="1:20" ht="15" customHeight="1" x14ac:dyDescent="0.2">
      <c r="A766" s="15" t="s">
        <v>1636</v>
      </c>
      <c r="B766" s="60">
        <v>8071414</v>
      </c>
      <c r="C766" s="15"/>
      <c r="D766" s="15"/>
      <c r="E766" s="15"/>
      <c r="F766" s="15" t="s">
        <v>265</v>
      </c>
      <c r="G766" s="34">
        <v>2</v>
      </c>
      <c r="H766" s="34">
        <v>9</v>
      </c>
      <c r="I766" s="15" t="s">
        <v>262</v>
      </c>
      <c r="J766" s="15" t="s">
        <v>39</v>
      </c>
      <c r="K766" s="74" t="s">
        <v>29</v>
      </c>
      <c r="L766" s="16">
        <v>337262</v>
      </c>
      <c r="M766" s="16">
        <v>171995</v>
      </c>
      <c r="N766" s="16">
        <v>157265</v>
      </c>
      <c r="O766" s="16">
        <v>288493</v>
      </c>
      <c r="P766" s="16">
        <v>277721</v>
      </c>
      <c r="Q766" s="16">
        <v>48769</v>
      </c>
      <c r="R766" s="16">
        <v>1599</v>
      </c>
      <c r="S766" s="16">
        <v>0</v>
      </c>
      <c r="T766" s="111">
        <v>7</v>
      </c>
    </row>
    <row r="767" spans="1:20" ht="15" customHeight="1" x14ac:dyDescent="0.2">
      <c r="A767" s="12" t="s">
        <v>1637</v>
      </c>
      <c r="B767" s="56">
        <v>3311443</v>
      </c>
      <c r="C767" s="12" t="s">
        <v>1638</v>
      </c>
      <c r="D767" s="12"/>
      <c r="E767" s="12" t="s">
        <v>1639</v>
      </c>
      <c r="F767" s="12" t="s">
        <v>65</v>
      </c>
      <c r="G767" s="33">
        <v>2</v>
      </c>
      <c r="H767" s="33">
        <v>14</v>
      </c>
      <c r="I767" s="12" t="s">
        <v>182</v>
      </c>
      <c r="J767" s="12" t="s">
        <v>183</v>
      </c>
      <c r="K767" s="73" t="s">
        <v>29</v>
      </c>
      <c r="L767" s="13">
        <v>336903</v>
      </c>
      <c r="M767" s="13">
        <v>40089</v>
      </c>
      <c r="N767" s="13">
        <v>50891</v>
      </c>
      <c r="O767" s="13">
        <v>237218</v>
      </c>
      <c r="P767" s="13">
        <v>140462</v>
      </c>
      <c r="Q767" s="13">
        <v>99685</v>
      </c>
      <c r="R767" s="13">
        <v>28286</v>
      </c>
      <c r="S767" s="13">
        <v>2</v>
      </c>
      <c r="T767" s="81">
        <v>0</v>
      </c>
    </row>
    <row r="768" spans="1:20" ht="15" customHeight="1" x14ac:dyDescent="0.2">
      <c r="A768" s="15" t="s">
        <v>1640</v>
      </c>
      <c r="B768" s="60">
        <v>3918382</v>
      </c>
      <c r="C768" s="15" t="s">
        <v>1641</v>
      </c>
      <c r="D768" s="15"/>
      <c r="E768" s="15" t="s">
        <v>1642</v>
      </c>
      <c r="F768" s="15" t="s">
        <v>65</v>
      </c>
      <c r="G768" s="34">
        <v>1</v>
      </c>
      <c r="H768" s="34">
        <v>30</v>
      </c>
      <c r="I768" s="15" t="s">
        <v>388</v>
      </c>
      <c r="J768" s="15" t="s">
        <v>389</v>
      </c>
      <c r="K768" s="74" t="s">
        <v>29</v>
      </c>
      <c r="L768" s="16">
        <v>336749</v>
      </c>
      <c r="M768" s="16">
        <v>144825</v>
      </c>
      <c r="N768" s="16">
        <v>164777</v>
      </c>
      <c r="O768" s="16">
        <v>124004</v>
      </c>
      <c r="P768" s="16">
        <v>96980</v>
      </c>
      <c r="Q768" s="16">
        <v>212745</v>
      </c>
      <c r="R768" s="16">
        <v>1046</v>
      </c>
      <c r="S768" s="16">
        <v>2</v>
      </c>
      <c r="T768" s="111">
        <v>0</v>
      </c>
    </row>
    <row r="769" spans="1:20" ht="15" customHeight="1" x14ac:dyDescent="0.2">
      <c r="A769" s="12" t="s">
        <v>1643</v>
      </c>
      <c r="B769" s="56">
        <v>1667352</v>
      </c>
      <c r="C769" s="12"/>
      <c r="D769" s="12"/>
      <c r="E769" s="12"/>
      <c r="F769" s="12" t="s">
        <v>265</v>
      </c>
      <c r="G769" s="33">
        <v>2</v>
      </c>
      <c r="H769" s="33">
        <v>9</v>
      </c>
      <c r="I769" s="12" t="s">
        <v>1644</v>
      </c>
      <c r="J769" s="12" t="s">
        <v>120</v>
      </c>
      <c r="K769" s="73" t="s">
        <v>29</v>
      </c>
      <c r="L769" s="13">
        <v>335236</v>
      </c>
      <c r="M769" s="13">
        <v>199638</v>
      </c>
      <c r="N769" s="13">
        <v>6208</v>
      </c>
      <c r="O769" s="13">
        <v>295427</v>
      </c>
      <c r="P769" s="13">
        <v>251242</v>
      </c>
      <c r="Q769" s="13">
        <v>39809</v>
      </c>
      <c r="R769" s="13">
        <v>3813</v>
      </c>
      <c r="S769" s="13">
        <v>0</v>
      </c>
      <c r="T769" s="81">
        <v>6</v>
      </c>
    </row>
    <row r="770" spans="1:20" ht="15" customHeight="1" x14ac:dyDescent="0.2">
      <c r="A770" s="15" t="s">
        <v>1645</v>
      </c>
      <c r="B770" s="60">
        <v>5425526</v>
      </c>
      <c r="C770" s="15"/>
      <c r="D770" s="15"/>
      <c r="E770" s="15"/>
      <c r="F770" s="15" t="s">
        <v>265</v>
      </c>
      <c r="G770" s="34">
        <v>2</v>
      </c>
      <c r="H770" s="34">
        <v>9</v>
      </c>
      <c r="I770" s="15" t="s">
        <v>608</v>
      </c>
      <c r="J770" s="15" t="s">
        <v>217</v>
      </c>
      <c r="K770" s="74" t="s">
        <v>29</v>
      </c>
      <c r="L770" s="16">
        <v>333262</v>
      </c>
      <c r="M770" s="16">
        <v>231698</v>
      </c>
      <c r="N770" s="16">
        <v>9821</v>
      </c>
      <c r="O770" s="16">
        <v>298928</v>
      </c>
      <c r="P770" s="16">
        <v>208961</v>
      </c>
      <c r="Q770" s="16">
        <v>34334</v>
      </c>
      <c r="R770" s="16">
        <v>-154</v>
      </c>
      <c r="S770" s="16">
        <v>0</v>
      </c>
      <c r="T770" s="111">
        <v>9</v>
      </c>
    </row>
    <row r="771" spans="1:20" ht="15" customHeight="1" x14ac:dyDescent="0.2">
      <c r="A771" s="12" t="s">
        <v>1646</v>
      </c>
      <c r="B771" s="56">
        <v>45220646</v>
      </c>
      <c r="C771" s="12" t="s">
        <v>1647</v>
      </c>
      <c r="D771" s="12"/>
      <c r="E771" s="12" t="s">
        <v>1648</v>
      </c>
      <c r="F771" s="12" t="s">
        <v>65</v>
      </c>
      <c r="G771" s="33">
        <v>3</v>
      </c>
      <c r="H771" s="33">
        <v>43</v>
      </c>
      <c r="I771" s="12" t="s">
        <v>119</v>
      </c>
      <c r="J771" s="12" t="s">
        <v>120</v>
      </c>
      <c r="K771" s="73" t="s">
        <v>29</v>
      </c>
      <c r="L771" s="13">
        <v>329953</v>
      </c>
      <c r="M771" s="13">
        <v>0</v>
      </c>
      <c r="N771" s="13">
        <v>219806</v>
      </c>
      <c r="O771" s="13">
        <v>259793</v>
      </c>
      <c r="P771" s="13">
        <v>234955</v>
      </c>
      <c r="Q771" s="13">
        <v>70160</v>
      </c>
      <c r="R771" s="13">
        <v>16759</v>
      </c>
      <c r="S771" s="13">
        <v>2</v>
      </c>
      <c r="T771" s="81">
        <v>0</v>
      </c>
    </row>
    <row r="772" spans="1:20" ht="15" customHeight="1" x14ac:dyDescent="0.2">
      <c r="A772" s="15" t="s">
        <v>1649</v>
      </c>
      <c r="B772" s="60">
        <v>14388516</v>
      </c>
      <c r="C772" s="15" t="s">
        <v>1650</v>
      </c>
      <c r="D772" s="15"/>
      <c r="E772" s="15" t="s">
        <v>1651</v>
      </c>
      <c r="F772" s="15" t="s">
        <v>98</v>
      </c>
      <c r="G772" s="34">
        <v>2</v>
      </c>
      <c r="H772" s="34">
        <v>16</v>
      </c>
      <c r="I772" s="15" t="s">
        <v>53</v>
      </c>
      <c r="J772" s="15" t="s">
        <v>54</v>
      </c>
      <c r="K772" s="74" t="s">
        <v>29</v>
      </c>
      <c r="L772" s="16">
        <v>324282</v>
      </c>
      <c r="M772" s="16">
        <v>0</v>
      </c>
      <c r="N772" s="16">
        <v>283338</v>
      </c>
      <c r="O772" s="16">
        <v>120805</v>
      </c>
      <c r="P772" s="16">
        <v>27168</v>
      </c>
      <c r="Q772" s="16">
        <v>203477</v>
      </c>
      <c r="R772" s="16">
        <v>5235</v>
      </c>
      <c r="S772" s="16">
        <v>2</v>
      </c>
      <c r="T772" s="111">
        <v>0</v>
      </c>
    </row>
    <row r="773" spans="1:20" ht="15" customHeight="1" x14ac:dyDescent="0.2">
      <c r="A773" s="12" t="s">
        <v>1652</v>
      </c>
      <c r="B773" s="56">
        <v>52586293</v>
      </c>
      <c r="C773" s="12" t="s">
        <v>1653</v>
      </c>
      <c r="D773" s="12"/>
      <c r="E773" s="12" t="s">
        <v>1654</v>
      </c>
      <c r="F773" s="12" t="s">
        <v>65</v>
      </c>
      <c r="G773" s="33">
        <v>2</v>
      </c>
      <c r="H773" s="33">
        <v>43</v>
      </c>
      <c r="I773" s="12" t="s">
        <v>228</v>
      </c>
      <c r="J773" s="12" t="s">
        <v>229</v>
      </c>
      <c r="K773" s="73" t="s">
        <v>29</v>
      </c>
      <c r="L773" s="13">
        <v>323831</v>
      </c>
      <c r="M773" s="13">
        <v>370</v>
      </c>
      <c r="N773" s="13">
        <v>313730</v>
      </c>
      <c r="O773" s="13">
        <v>310691</v>
      </c>
      <c r="P773" s="13">
        <v>305517</v>
      </c>
      <c r="Q773" s="13">
        <v>13140</v>
      </c>
      <c r="R773" s="13">
        <v>1071</v>
      </c>
      <c r="S773" s="13">
        <v>2</v>
      </c>
      <c r="T773" s="81">
        <v>0</v>
      </c>
    </row>
    <row r="774" spans="1:20" ht="15" customHeight="1" x14ac:dyDescent="0.2">
      <c r="A774" s="15" t="s">
        <v>1655</v>
      </c>
      <c r="B774" s="60">
        <v>49241570</v>
      </c>
      <c r="C774" s="15" t="s">
        <v>122</v>
      </c>
      <c r="D774" s="15" t="s">
        <v>123</v>
      </c>
      <c r="E774" s="15" t="s">
        <v>124</v>
      </c>
      <c r="F774" s="15" t="s">
        <v>98</v>
      </c>
      <c r="G774" s="34">
        <v>2</v>
      </c>
      <c r="H774" s="34">
        <v>15</v>
      </c>
      <c r="I774" s="15" t="s">
        <v>38</v>
      </c>
      <c r="J774" s="15" t="s">
        <v>39</v>
      </c>
      <c r="K774" s="74" t="s">
        <v>29</v>
      </c>
      <c r="L774" s="16">
        <v>322114</v>
      </c>
      <c r="M774" s="16">
        <v>0</v>
      </c>
      <c r="N774" s="16">
        <v>246043</v>
      </c>
      <c r="O774" s="16">
        <v>80303</v>
      </c>
      <c r="P774" s="16">
        <v>0</v>
      </c>
      <c r="Q774" s="16">
        <v>241810</v>
      </c>
      <c r="R774" s="16">
        <v>4235</v>
      </c>
      <c r="S774" s="16">
        <v>2</v>
      </c>
      <c r="T774" s="111">
        <v>0</v>
      </c>
    </row>
    <row r="775" spans="1:20" ht="15" customHeight="1" x14ac:dyDescent="0.2">
      <c r="A775" s="12" t="s">
        <v>1656</v>
      </c>
      <c r="B775" s="56">
        <v>71432926</v>
      </c>
      <c r="C775" s="12"/>
      <c r="D775" s="12"/>
      <c r="E775" s="12"/>
      <c r="F775" s="12" t="s">
        <v>265</v>
      </c>
      <c r="G775" s="33">
        <v>2</v>
      </c>
      <c r="H775" s="33">
        <v>9</v>
      </c>
      <c r="I775" s="12" t="s">
        <v>1350</v>
      </c>
      <c r="J775" s="12" t="s">
        <v>120</v>
      </c>
      <c r="K775" s="73" t="s">
        <v>29</v>
      </c>
      <c r="L775" s="13">
        <v>321735</v>
      </c>
      <c r="M775" s="13">
        <v>144447</v>
      </c>
      <c r="N775" s="13">
        <v>10197</v>
      </c>
      <c r="O775" s="13">
        <v>288534</v>
      </c>
      <c r="P775" s="13">
        <v>259601</v>
      </c>
      <c r="Q775" s="13">
        <v>33201</v>
      </c>
      <c r="R775" s="13">
        <v>-2526</v>
      </c>
      <c r="S775" s="13">
        <v>0</v>
      </c>
      <c r="T775" s="81">
        <v>4</v>
      </c>
    </row>
    <row r="776" spans="1:20" ht="15" customHeight="1" x14ac:dyDescent="0.2">
      <c r="A776" s="15" t="s">
        <v>1657</v>
      </c>
      <c r="B776" s="60">
        <v>37076205</v>
      </c>
      <c r="C776" s="15"/>
      <c r="D776" s="15"/>
      <c r="E776" s="15"/>
      <c r="F776" s="15" t="s">
        <v>265</v>
      </c>
      <c r="G776" s="34">
        <v>2</v>
      </c>
      <c r="H776" s="34">
        <v>9</v>
      </c>
      <c r="I776" s="15" t="s">
        <v>27</v>
      </c>
      <c r="J776" s="15" t="s">
        <v>28</v>
      </c>
      <c r="K776" s="74" t="s">
        <v>29</v>
      </c>
      <c r="L776" s="16">
        <v>318594</v>
      </c>
      <c r="M776" s="16">
        <v>129551</v>
      </c>
      <c r="N776" s="16">
        <v>32939</v>
      </c>
      <c r="O776" s="16">
        <v>252018</v>
      </c>
      <c r="P776" s="16">
        <v>246964</v>
      </c>
      <c r="Q776" s="16">
        <v>66576</v>
      </c>
      <c r="R776" s="16">
        <v>1814</v>
      </c>
      <c r="S776" s="16">
        <v>0</v>
      </c>
      <c r="T776" s="111">
        <v>12</v>
      </c>
    </row>
    <row r="777" spans="1:20" ht="15" customHeight="1" x14ac:dyDescent="0.2">
      <c r="A777" s="12" t="s">
        <v>1658</v>
      </c>
      <c r="B777" s="56">
        <v>24431221</v>
      </c>
      <c r="C777" s="12"/>
      <c r="D777" s="12"/>
      <c r="E777" s="12"/>
      <c r="F777" s="12" t="s">
        <v>265</v>
      </c>
      <c r="G777" s="33">
        <v>2</v>
      </c>
      <c r="H777" s="33">
        <v>9</v>
      </c>
      <c r="I777" s="12" t="s">
        <v>1659</v>
      </c>
      <c r="J777" s="12" t="s">
        <v>144</v>
      </c>
      <c r="K777" s="73" t="s">
        <v>29</v>
      </c>
      <c r="L777" s="13">
        <v>316584</v>
      </c>
      <c r="M777" s="13">
        <v>187566</v>
      </c>
      <c r="N777" s="13">
        <v>0</v>
      </c>
      <c r="O777" s="13">
        <v>285155</v>
      </c>
      <c r="P777" s="13">
        <v>241811</v>
      </c>
      <c r="Q777" s="13">
        <v>31429</v>
      </c>
      <c r="R777" s="13">
        <v>559</v>
      </c>
      <c r="S777" s="13">
        <v>0</v>
      </c>
      <c r="T777" s="81">
        <v>12</v>
      </c>
    </row>
    <row r="778" spans="1:20" ht="15" customHeight="1" x14ac:dyDescent="0.2">
      <c r="A778" s="15" t="s">
        <v>1660</v>
      </c>
      <c r="B778" s="60">
        <v>30798783</v>
      </c>
      <c r="C778" s="15" t="s">
        <v>1661</v>
      </c>
      <c r="D778" s="15"/>
      <c r="E778" s="15" t="s">
        <v>1662</v>
      </c>
      <c r="F778" s="15" t="s">
        <v>84</v>
      </c>
      <c r="G778" s="34">
        <v>3</v>
      </c>
      <c r="H778" s="34">
        <v>41</v>
      </c>
      <c r="I778" s="15" t="s">
        <v>38</v>
      </c>
      <c r="J778" s="15" t="s">
        <v>39</v>
      </c>
      <c r="K778" s="74" t="s">
        <v>29</v>
      </c>
      <c r="L778" s="16">
        <v>313643</v>
      </c>
      <c r="M778" s="16">
        <v>0</v>
      </c>
      <c r="N778" s="16">
        <v>277906</v>
      </c>
      <c r="O778" s="16">
        <v>223344</v>
      </c>
      <c r="P778" s="16">
        <v>187735</v>
      </c>
      <c r="Q778" s="16">
        <v>90299</v>
      </c>
      <c r="R778" s="16">
        <v>11231</v>
      </c>
      <c r="S778" s="16">
        <v>1</v>
      </c>
      <c r="T778" s="111">
        <v>0</v>
      </c>
    </row>
    <row r="779" spans="1:20" ht="15" customHeight="1" x14ac:dyDescent="0.2">
      <c r="A779" s="12" t="s">
        <v>1663</v>
      </c>
      <c r="B779" s="56">
        <v>94243839</v>
      </c>
      <c r="C779" s="12"/>
      <c r="D779" s="12"/>
      <c r="E779" s="12"/>
      <c r="F779" s="12" t="s">
        <v>265</v>
      </c>
      <c r="G779" s="33">
        <v>2</v>
      </c>
      <c r="H779" s="33">
        <v>9</v>
      </c>
      <c r="I779" s="12" t="s">
        <v>1664</v>
      </c>
      <c r="J779" s="12" t="s">
        <v>74</v>
      </c>
      <c r="K779" s="73" t="s">
        <v>29</v>
      </c>
      <c r="L779" s="13">
        <v>311237</v>
      </c>
      <c r="M779" s="13">
        <v>206357</v>
      </c>
      <c r="N779" s="13">
        <v>6355</v>
      </c>
      <c r="O779" s="13">
        <v>275279</v>
      </c>
      <c r="P779" s="13">
        <v>265111</v>
      </c>
      <c r="Q779" s="13">
        <v>35958</v>
      </c>
      <c r="R779" s="13">
        <v>293</v>
      </c>
      <c r="S779" s="13">
        <v>0</v>
      </c>
      <c r="T779" s="81">
        <v>4</v>
      </c>
    </row>
    <row r="780" spans="1:20" ht="15" customHeight="1" x14ac:dyDescent="0.2">
      <c r="A780" s="15" t="s">
        <v>1665</v>
      </c>
      <c r="B780" s="60">
        <v>9552111</v>
      </c>
      <c r="C780" s="15"/>
      <c r="D780" s="15"/>
      <c r="E780" s="15"/>
      <c r="F780" s="15" t="s">
        <v>265</v>
      </c>
      <c r="G780" s="34">
        <v>2</v>
      </c>
      <c r="H780" s="34">
        <v>9</v>
      </c>
      <c r="I780" s="15" t="s">
        <v>388</v>
      </c>
      <c r="J780" s="15" t="s">
        <v>389</v>
      </c>
      <c r="K780" s="74" t="s">
        <v>29</v>
      </c>
      <c r="L780" s="16">
        <v>308899</v>
      </c>
      <c r="M780" s="16">
        <v>112940</v>
      </c>
      <c r="N780" s="16">
        <v>23584</v>
      </c>
      <c r="O780" s="16">
        <v>241409</v>
      </c>
      <c r="P780" s="16">
        <v>232005</v>
      </c>
      <c r="Q780" s="16">
        <v>67490</v>
      </c>
      <c r="R780" s="16">
        <v>2228</v>
      </c>
      <c r="S780" s="16">
        <v>0</v>
      </c>
      <c r="T780" s="111">
        <v>2</v>
      </c>
    </row>
    <row r="781" spans="1:20" ht="15" customHeight="1" x14ac:dyDescent="0.2">
      <c r="A781" s="12" t="s">
        <v>1666</v>
      </c>
      <c r="B781" s="56">
        <v>803287</v>
      </c>
      <c r="C781" s="12"/>
      <c r="D781" s="12"/>
      <c r="E781" s="12"/>
      <c r="F781" s="12" t="s">
        <v>265</v>
      </c>
      <c r="G781" s="33">
        <v>2</v>
      </c>
      <c r="H781" s="33">
        <v>9</v>
      </c>
      <c r="I781" s="12" t="s">
        <v>1667</v>
      </c>
      <c r="J781" s="12" t="s">
        <v>120</v>
      </c>
      <c r="K781" s="73" t="s">
        <v>29</v>
      </c>
      <c r="L781" s="13">
        <v>307124</v>
      </c>
      <c r="M781" s="13">
        <v>139964</v>
      </c>
      <c r="N781" s="13">
        <v>8812</v>
      </c>
      <c r="O781" s="13">
        <v>252748</v>
      </c>
      <c r="P781" s="13">
        <v>230196</v>
      </c>
      <c r="Q781" s="13">
        <v>54376</v>
      </c>
      <c r="R781" s="13">
        <v>-4121</v>
      </c>
      <c r="S781" s="13">
        <v>0</v>
      </c>
      <c r="T781" s="81">
        <v>4</v>
      </c>
    </row>
    <row r="782" spans="1:20" ht="15" customHeight="1" x14ac:dyDescent="0.2">
      <c r="A782" s="15" t="s">
        <v>1668</v>
      </c>
      <c r="B782" s="60">
        <v>10143499</v>
      </c>
      <c r="C782" s="15"/>
      <c r="D782" s="15"/>
      <c r="E782" s="15"/>
      <c r="F782" s="15" t="s">
        <v>265</v>
      </c>
      <c r="G782" s="34">
        <v>2</v>
      </c>
      <c r="H782" s="34">
        <v>9</v>
      </c>
      <c r="I782" s="15" t="s">
        <v>1669</v>
      </c>
      <c r="J782" s="15" t="s">
        <v>389</v>
      </c>
      <c r="K782" s="74" t="s">
        <v>29</v>
      </c>
      <c r="L782" s="16">
        <v>305596</v>
      </c>
      <c r="M782" s="16">
        <v>194060</v>
      </c>
      <c r="N782" s="16">
        <v>2684</v>
      </c>
      <c r="O782" s="16">
        <v>263101</v>
      </c>
      <c r="P782" s="16">
        <v>252512</v>
      </c>
      <c r="Q782" s="16">
        <v>42494</v>
      </c>
      <c r="R782" s="16">
        <v>-667</v>
      </c>
      <c r="S782" s="16">
        <v>0</v>
      </c>
      <c r="T782" s="111">
        <v>5</v>
      </c>
    </row>
    <row r="783" spans="1:20" ht="15" customHeight="1" x14ac:dyDescent="0.2">
      <c r="A783" s="12" t="s">
        <v>1670</v>
      </c>
      <c r="B783" s="56">
        <v>35210410</v>
      </c>
      <c r="C783" s="12" t="s">
        <v>1671</v>
      </c>
      <c r="D783" s="12"/>
      <c r="E783" s="12" t="s">
        <v>1672</v>
      </c>
      <c r="F783" s="12" t="s">
        <v>84</v>
      </c>
      <c r="G783" s="33">
        <v>3</v>
      </c>
      <c r="H783" s="33">
        <v>41</v>
      </c>
      <c r="I783" s="12" t="s">
        <v>107</v>
      </c>
      <c r="J783" s="12" t="s">
        <v>39</v>
      </c>
      <c r="K783" s="73" t="s">
        <v>29</v>
      </c>
      <c r="L783" s="13">
        <v>303537</v>
      </c>
      <c r="M783" s="13">
        <v>0</v>
      </c>
      <c r="N783" s="13">
        <v>5810</v>
      </c>
      <c r="O783" s="13">
        <v>285027</v>
      </c>
      <c r="P783" s="13">
        <v>271125</v>
      </c>
      <c r="Q783" s="13">
        <v>18509</v>
      </c>
      <c r="R783" s="13">
        <v>4736</v>
      </c>
      <c r="S783" s="13">
        <v>1</v>
      </c>
      <c r="T783" s="81">
        <v>0</v>
      </c>
    </row>
    <row r="784" spans="1:20" ht="15" customHeight="1" x14ac:dyDescent="0.2">
      <c r="A784" s="15" t="s">
        <v>1673</v>
      </c>
      <c r="B784" s="60">
        <v>4079285</v>
      </c>
      <c r="C784" s="15"/>
      <c r="D784" s="15"/>
      <c r="E784" s="15"/>
      <c r="F784" s="15" t="s">
        <v>265</v>
      </c>
      <c r="G784" s="34">
        <v>2</v>
      </c>
      <c r="H784" s="34">
        <v>9</v>
      </c>
      <c r="I784" s="15" t="s">
        <v>1674</v>
      </c>
      <c r="J784" s="15" t="s">
        <v>120</v>
      </c>
      <c r="K784" s="74" t="s">
        <v>29</v>
      </c>
      <c r="L784" s="16">
        <v>302580</v>
      </c>
      <c r="M784" s="16">
        <v>127758</v>
      </c>
      <c r="N784" s="16">
        <v>4730</v>
      </c>
      <c r="O784" s="16">
        <v>277261</v>
      </c>
      <c r="P784" s="16">
        <v>268803</v>
      </c>
      <c r="Q784" s="16">
        <v>25319</v>
      </c>
      <c r="R784" s="16">
        <v>317</v>
      </c>
      <c r="S784" s="16">
        <v>0</v>
      </c>
      <c r="T784" s="111">
        <v>9</v>
      </c>
    </row>
    <row r="785" spans="1:20" ht="15" customHeight="1" x14ac:dyDescent="0.2">
      <c r="A785" s="12" t="s">
        <v>1675</v>
      </c>
      <c r="B785" s="56">
        <v>5070112</v>
      </c>
      <c r="C785" s="12"/>
      <c r="D785" s="12"/>
      <c r="E785" s="12"/>
      <c r="F785" s="12" t="s">
        <v>265</v>
      </c>
      <c r="G785" s="33">
        <v>2</v>
      </c>
      <c r="H785" s="33">
        <v>9</v>
      </c>
      <c r="I785" s="12" t="s">
        <v>1676</v>
      </c>
      <c r="J785" s="12" t="s">
        <v>217</v>
      </c>
      <c r="K785" s="73" t="s">
        <v>29</v>
      </c>
      <c r="L785" s="13">
        <v>302467</v>
      </c>
      <c r="M785" s="13">
        <v>206994</v>
      </c>
      <c r="N785" s="13">
        <v>9362</v>
      </c>
      <c r="O785" s="13">
        <v>265874</v>
      </c>
      <c r="P785" s="13">
        <v>161157</v>
      </c>
      <c r="Q785" s="13">
        <v>36593</v>
      </c>
      <c r="R785" s="13">
        <v>1341</v>
      </c>
      <c r="S785" s="13">
        <v>0</v>
      </c>
      <c r="T785" s="81">
        <v>11</v>
      </c>
    </row>
    <row r="786" spans="1:20" ht="15" customHeight="1" x14ac:dyDescent="0.2">
      <c r="A786" s="15" t="s">
        <v>1677</v>
      </c>
      <c r="B786" s="60">
        <v>694877</v>
      </c>
      <c r="C786" s="15"/>
      <c r="D786" s="15"/>
      <c r="E786" s="15"/>
      <c r="F786" s="15" t="s">
        <v>265</v>
      </c>
      <c r="G786" s="34">
        <v>2</v>
      </c>
      <c r="H786" s="34">
        <v>9</v>
      </c>
      <c r="I786" s="15" t="s">
        <v>27</v>
      </c>
      <c r="J786" s="15" t="s">
        <v>28</v>
      </c>
      <c r="K786" s="74" t="s">
        <v>29</v>
      </c>
      <c r="L786" s="16">
        <v>302424</v>
      </c>
      <c r="M786" s="16">
        <v>153006</v>
      </c>
      <c r="N786" s="16">
        <v>23328</v>
      </c>
      <c r="O786" s="16">
        <v>248812</v>
      </c>
      <c r="P786" s="16">
        <v>242179</v>
      </c>
      <c r="Q786" s="16">
        <v>53612</v>
      </c>
      <c r="R786" s="16">
        <v>2527</v>
      </c>
      <c r="S786" s="16">
        <v>0</v>
      </c>
      <c r="T786" s="111">
        <v>8</v>
      </c>
    </row>
    <row r="787" spans="1:20" ht="15" customHeight="1" x14ac:dyDescent="0.2">
      <c r="A787" s="12" t="s">
        <v>1678</v>
      </c>
      <c r="B787" s="56">
        <v>3015152</v>
      </c>
      <c r="C787" s="12"/>
      <c r="D787" s="12"/>
      <c r="E787" s="12"/>
      <c r="F787" s="12" t="s">
        <v>265</v>
      </c>
      <c r="G787" s="33">
        <v>2</v>
      </c>
      <c r="H787" s="33">
        <v>9</v>
      </c>
      <c r="I787" s="12" t="s">
        <v>1679</v>
      </c>
      <c r="J787" s="12" t="s">
        <v>74</v>
      </c>
      <c r="K787" s="73" t="s">
        <v>29</v>
      </c>
      <c r="L787" s="13">
        <v>301387</v>
      </c>
      <c r="M787" s="13">
        <v>194182</v>
      </c>
      <c r="N787" s="13">
        <v>12203</v>
      </c>
      <c r="O787" s="13">
        <v>267496</v>
      </c>
      <c r="P787" s="13">
        <v>177283</v>
      </c>
      <c r="Q787" s="13">
        <v>33891</v>
      </c>
      <c r="R787" s="13">
        <v>-325</v>
      </c>
      <c r="S787" s="13">
        <v>0</v>
      </c>
      <c r="T787" s="81">
        <v>14</v>
      </c>
    </row>
    <row r="788" spans="1:20" ht="15" customHeight="1" x14ac:dyDescent="0.2">
      <c r="A788" s="15" t="s">
        <v>1680</v>
      </c>
      <c r="B788" s="60">
        <v>35523352</v>
      </c>
      <c r="C788" s="15" t="s">
        <v>1681</v>
      </c>
      <c r="D788" s="15"/>
      <c r="E788" s="15" t="s">
        <v>1682</v>
      </c>
      <c r="F788" s="15" t="s">
        <v>84</v>
      </c>
      <c r="G788" s="34">
        <v>3</v>
      </c>
      <c r="H788" s="34">
        <v>41</v>
      </c>
      <c r="I788" s="15" t="s">
        <v>38</v>
      </c>
      <c r="J788" s="15" t="s">
        <v>39</v>
      </c>
      <c r="K788" s="74" t="s">
        <v>29</v>
      </c>
      <c r="L788" s="16">
        <v>299784</v>
      </c>
      <c r="M788" s="16">
        <v>0</v>
      </c>
      <c r="N788" s="16">
        <v>20367</v>
      </c>
      <c r="O788" s="16">
        <v>231694</v>
      </c>
      <c r="P788" s="16">
        <v>229364</v>
      </c>
      <c r="Q788" s="16">
        <v>68090</v>
      </c>
      <c r="R788" s="16">
        <v>9075</v>
      </c>
      <c r="S788" s="16">
        <v>1</v>
      </c>
      <c r="T788" s="111">
        <v>0</v>
      </c>
    </row>
    <row r="789" spans="1:20" ht="15" customHeight="1" x14ac:dyDescent="0.2">
      <c r="A789" s="12" t="s">
        <v>1683</v>
      </c>
      <c r="B789" s="56">
        <v>16721078</v>
      </c>
      <c r="C789" s="12"/>
      <c r="D789" s="12"/>
      <c r="E789" s="12"/>
      <c r="F789" s="12" t="s">
        <v>265</v>
      </c>
      <c r="G789" s="33">
        <v>2</v>
      </c>
      <c r="H789" s="33">
        <v>9</v>
      </c>
      <c r="I789" s="12" t="s">
        <v>119</v>
      </c>
      <c r="J789" s="12" t="s">
        <v>120</v>
      </c>
      <c r="K789" s="73" t="s">
        <v>29</v>
      </c>
      <c r="L789" s="13">
        <v>295543</v>
      </c>
      <c r="M789" s="13">
        <v>85519</v>
      </c>
      <c r="N789" s="13">
        <v>22643</v>
      </c>
      <c r="O789" s="13">
        <v>205165</v>
      </c>
      <c r="P789" s="13">
        <v>191202</v>
      </c>
      <c r="Q789" s="13">
        <v>90377</v>
      </c>
      <c r="R789" s="13">
        <v>4772</v>
      </c>
      <c r="S789" s="13">
        <v>0</v>
      </c>
      <c r="T789" s="81">
        <v>0</v>
      </c>
    </row>
    <row r="790" spans="1:20" ht="15" customHeight="1" x14ac:dyDescent="0.2">
      <c r="A790" s="15" t="s">
        <v>1684</v>
      </c>
      <c r="B790" s="60">
        <v>53623781</v>
      </c>
      <c r="C790" s="15"/>
      <c r="D790" s="15"/>
      <c r="E790" s="15"/>
      <c r="F790" s="15" t="s">
        <v>265</v>
      </c>
      <c r="G790" s="34">
        <v>2</v>
      </c>
      <c r="H790" s="34">
        <v>9</v>
      </c>
      <c r="I790" s="15" t="s">
        <v>1685</v>
      </c>
      <c r="J790" s="15" t="s">
        <v>39</v>
      </c>
      <c r="K790" s="74" t="s">
        <v>29</v>
      </c>
      <c r="L790" s="16">
        <v>293113</v>
      </c>
      <c r="M790" s="16">
        <v>83868</v>
      </c>
      <c r="N790" s="16">
        <v>22012</v>
      </c>
      <c r="O790" s="16">
        <v>243673</v>
      </c>
      <c r="P790" s="16">
        <v>205153</v>
      </c>
      <c r="Q790" s="16">
        <v>49440</v>
      </c>
      <c r="R790" s="16">
        <v>2520</v>
      </c>
      <c r="S790" s="16">
        <v>0</v>
      </c>
      <c r="T790" s="111">
        <v>7</v>
      </c>
    </row>
    <row r="791" spans="1:20" ht="15" customHeight="1" x14ac:dyDescent="0.2">
      <c r="A791" s="12" t="s">
        <v>1686</v>
      </c>
      <c r="B791" s="56">
        <v>952415</v>
      </c>
      <c r="C791" s="12"/>
      <c r="D791" s="12"/>
      <c r="E791" s="12"/>
      <c r="F791" s="12" t="s">
        <v>265</v>
      </c>
      <c r="G791" s="33">
        <v>2</v>
      </c>
      <c r="H791" s="33">
        <v>9</v>
      </c>
      <c r="I791" s="12" t="s">
        <v>27</v>
      </c>
      <c r="J791" s="12" t="s">
        <v>28</v>
      </c>
      <c r="K791" s="73" t="s">
        <v>29</v>
      </c>
      <c r="L791" s="13">
        <v>292898</v>
      </c>
      <c r="M791" s="13">
        <v>125496</v>
      </c>
      <c r="N791" s="13">
        <v>67961</v>
      </c>
      <c r="O791" s="13">
        <v>159770</v>
      </c>
      <c r="P791" s="13">
        <v>151232</v>
      </c>
      <c r="Q791" s="13">
        <v>133127</v>
      </c>
      <c r="R791" s="13">
        <v>4740</v>
      </c>
      <c r="S791" s="13">
        <v>0</v>
      </c>
      <c r="T791" s="81">
        <v>5</v>
      </c>
    </row>
    <row r="792" spans="1:20" ht="15" customHeight="1" x14ac:dyDescent="0.2">
      <c r="A792" s="15" t="s">
        <v>1687</v>
      </c>
      <c r="B792" s="60">
        <v>42887133</v>
      </c>
      <c r="C792" s="15"/>
      <c r="D792" s="15"/>
      <c r="E792" s="15"/>
      <c r="F792" s="15" t="s">
        <v>265</v>
      </c>
      <c r="G792" s="34">
        <v>2</v>
      </c>
      <c r="H792" s="34">
        <v>9</v>
      </c>
      <c r="I792" s="15" t="s">
        <v>1688</v>
      </c>
      <c r="J792" s="15" t="s">
        <v>120</v>
      </c>
      <c r="K792" s="74" t="s">
        <v>29</v>
      </c>
      <c r="L792" s="16">
        <v>288716</v>
      </c>
      <c r="M792" s="16">
        <v>79438</v>
      </c>
      <c r="N792" s="16">
        <v>4648</v>
      </c>
      <c r="O792" s="16">
        <v>246072</v>
      </c>
      <c r="P792" s="16">
        <v>240666</v>
      </c>
      <c r="Q792" s="16">
        <v>42644</v>
      </c>
      <c r="R792" s="16">
        <v>4792</v>
      </c>
      <c r="S792" s="16">
        <v>0</v>
      </c>
      <c r="T792" s="111">
        <v>6</v>
      </c>
    </row>
    <row r="793" spans="1:20" ht="15" customHeight="1" x14ac:dyDescent="0.2">
      <c r="A793" s="12" t="s">
        <v>1689</v>
      </c>
      <c r="B793" s="56">
        <v>62090873</v>
      </c>
      <c r="C793" s="12" t="s">
        <v>1690</v>
      </c>
      <c r="D793" s="12" t="s">
        <v>1691</v>
      </c>
      <c r="E793" s="12" t="s">
        <v>1692</v>
      </c>
      <c r="F793" s="12" t="s">
        <v>98</v>
      </c>
      <c r="G793" s="33">
        <v>3</v>
      </c>
      <c r="H793" s="33">
        <v>16</v>
      </c>
      <c r="I793" s="12" t="s">
        <v>38</v>
      </c>
      <c r="J793" s="12" t="s">
        <v>39</v>
      </c>
      <c r="K793" s="73" t="s">
        <v>29</v>
      </c>
      <c r="L793" s="13">
        <v>284870</v>
      </c>
      <c r="M793" s="13">
        <v>0</v>
      </c>
      <c r="N793" s="13">
        <v>104314</v>
      </c>
      <c r="O793" s="13">
        <v>47485</v>
      </c>
      <c r="P793" s="13">
        <v>28003</v>
      </c>
      <c r="Q793" s="13">
        <v>237385</v>
      </c>
      <c r="R793" s="13">
        <v>19515</v>
      </c>
      <c r="S793" s="13">
        <v>2</v>
      </c>
      <c r="T793" s="81">
        <v>0</v>
      </c>
    </row>
    <row r="794" spans="1:20" ht="15" customHeight="1" x14ac:dyDescent="0.2">
      <c r="A794" s="15" t="s">
        <v>1693</v>
      </c>
      <c r="B794" s="60">
        <v>71230338</v>
      </c>
      <c r="C794" s="15"/>
      <c r="D794" s="15"/>
      <c r="E794" s="15"/>
      <c r="F794" s="15" t="s">
        <v>265</v>
      </c>
      <c r="G794" s="34">
        <v>2</v>
      </c>
      <c r="H794" s="34">
        <v>9</v>
      </c>
      <c r="I794" s="15" t="s">
        <v>1694</v>
      </c>
      <c r="J794" s="15" t="s">
        <v>120</v>
      </c>
      <c r="K794" s="74" t="s">
        <v>29</v>
      </c>
      <c r="L794" s="16">
        <v>282660</v>
      </c>
      <c r="M794" s="16">
        <v>88682</v>
      </c>
      <c r="N794" s="16">
        <v>5662</v>
      </c>
      <c r="O794" s="16">
        <v>236822</v>
      </c>
      <c r="P794" s="16">
        <v>231867</v>
      </c>
      <c r="Q794" s="16">
        <v>45838</v>
      </c>
      <c r="R794" s="16">
        <v>4861</v>
      </c>
      <c r="S794" s="16">
        <v>0</v>
      </c>
      <c r="T794" s="111">
        <v>2</v>
      </c>
    </row>
    <row r="795" spans="1:20" ht="15" customHeight="1" x14ac:dyDescent="0.2">
      <c r="A795" s="12" t="s">
        <v>1695</v>
      </c>
      <c r="B795" s="56">
        <v>69720910</v>
      </c>
      <c r="C795" s="12" t="s">
        <v>296</v>
      </c>
      <c r="D795" s="12" t="s">
        <v>297</v>
      </c>
      <c r="E795" s="12" t="s">
        <v>298</v>
      </c>
      <c r="F795" s="12" t="s">
        <v>65</v>
      </c>
      <c r="G795" s="33">
        <v>3</v>
      </c>
      <c r="H795" s="33">
        <v>19</v>
      </c>
      <c r="I795" s="12" t="s">
        <v>38</v>
      </c>
      <c r="J795" s="12" t="s">
        <v>39</v>
      </c>
      <c r="K795" s="73" t="s">
        <v>29</v>
      </c>
      <c r="L795" s="13">
        <v>281686</v>
      </c>
      <c r="M795" s="13">
        <v>230646</v>
      </c>
      <c r="N795" s="13">
        <v>0</v>
      </c>
      <c r="O795" s="13">
        <v>45933</v>
      </c>
      <c r="P795" s="13">
        <v>0</v>
      </c>
      <c r="Q795" s="13">
        <v>235754</v>
      </c>
      <c r="R795" s="13">
        <v>10044</v>
      </c>
      <c r="S795" s="13">
        <v>2</v>
      </c>
      <c r="T795" s="81">
        <v>0</v>
      </c>
    </row>
    <row r="796" spans="1:20" ht="15" customHeight="1" x14ac:dyDescent="0.2">
      <c r="A796" s="15" t="s">
        <v>1696</v>
      </c>
      <c r="B796" s="60">
        <v>4307598</v>
      </c>
      <c r="C796" s="15" t="s">
        <v>1697</v>
      </c>
      <c r="D796" s="15"/>
      <c r="E796" s="15" t="s">
        <v>1698</v>
      </c>
      <c r="F796" s="15" t="s">
        <v>65</v>
      </c>
      <c r="G796" s="34">
        <v>2</v>
      </c>
      <c r="H796" s="34">
        <v>10</v>
      </c>
      <c r="I796" s="15" t="s">
        <v>770</v>
      </c>
      <c r="J796" s="15" t="s">
        <v>39</v>
      </c>
      <c r="K796" s="74" t="s">
        <v>29</v>
      </c>
      <c r="L796" s="16">
        <v>281533</v>
      </c>
      <c r="M796" s="16">
        <v>1334</v>
      </c>
      <c r="N796" s="16">
        <v>67</v>
      </c>
      <c r="O796" s="16">
        <v>258222</v>
      </c>
      <c r="P796" s="16">
        <v>130001</v>
      </c>
      <c r="Q796" s="16">
        <v>23312</v>
      </c>
      <c r="R796" s="16">
        <v>9946</v>
      </c>
      <c r="S796" s="16">
        <v>2</v>
      </c>
      <c r="T796" s="111">
        <v>0</v>
      </c>
    </row>
    <row r="797" spans="1:20" ht="15" customHeight="1" x14ac:dyDescent="0.2">
      <c r="A797" s="12" t="s">
        <v>1699</v>
      </c>
      <c r="B797" s="56">
        <v>25363615</v>
      </c>
      <c r="C797" s="12"/>
      <c r="D797" s="12"/>
      <c r="E797" s="12"/>
      <c r="F797" s="12" t="s">
        <v>265</v>
      </c>
      <c r="G797" s="33">
        <v>2</v>
      </c>
      <c r="H797" s="33">
        <v>9</v>
      </c>
      <c r="I797" s="12" t="s">
        <v>119</v>
      </c>
      <c r="J797" s="12" t="s">
        <v>120</v>
      </c>
      <c r="K797" s="73" t="s">
        <v>29</v>
      </c>
      <c r="L797" s="13">
        <v>280266</v>
      </c>
      <c r="M797" s="13">
        <v>108471</v>
      </c>
      <c r="N797" s="13">
        <v>11723</v>
      </c>
      <c r="O797" s="13">
        <v>197173</v>
      </c>
      <c r="P797" s="13">
        <v>188662</v>
      </c>
      <c r="Q797" s="13">
        <v>83093</v>
      </c>
      <c r="R797" s="13">
        <v>3008</v>
      </c>
      <c r="S797" s="13">
        <v>0</v>
      </c>
      <c r="T797" s="81">
        <v>4</v>
      </c>
    </row>
    <row r="798" spans="1:20" ht="15" customHeight="1" x14ac:dyDescent="0.2">
      <c r="A798" s="15" t="s">
        <v>1700</v>
      </c>
      <c r="B798" s="60">
        <v>4120633</v>
      </c>
      <c r="C798" s="15"/>
      <c r="D798" s="15"/>
      <c r="E798" s="15"/>
      <c r="F798" s="15" t="s">
        <v>265</v>
      </c>
      <c r="G798" s="34">
        <v>2</v>
      </c>
      <c r="H798" s="34">
        <v>9</v>
      </c>
      <c r="I798" s="15" t="s">
        <v>53</v>
      </c>
      <c r="J798" s="15" t="s">
        <v>54</v>
      </c>
      <c r="K798" s="74" t="s">
        <v>29</v>
      </c>
      <c r="L798" s="16">
        <v>279597</v>
      </c>
      <c r="M798" s="16">
        <v>84150</v>
      </c>
      <c r="N798" s="16">
        <v>11461</v>
      </c>
      <c r="O798" s="16">
        <v>224787</v>
      </c>
      <c r="P798" s="16">
        <v>209516</v>
      </c>
      <c r="Q798" s="16">
        <v>54810</v>
      </c>
      <c r="R798" s="16">
        <v>1375</v>
      </c>
      <c r="S798" s="16">
        <v>0</v>
      </c>
      <c r="T798" s="111">
        <v>7</v>
      </c>
    </row>
    <row r="799" spans="1:20" ht="15" customHeight="1" x14ac:dyDescent="0.2">
      <c r="A799" s="12" t="s">
        <v>1701</v>
      </c>
      <c r="B799" s="56">
        <v>54190525</v>
      </c>
      <c r="C799" s="12"/>
      <c r="D799" s="12"/>
      <c r="E799" s="12"/>
      <c r="F799" s="12" t="s">
        <v>265</v>
      </c>
      <c r="G799" s="33">
        <v>2</v>
      </c>
      <c r="H799" s="33">
        <v>9</v>
      </c>
      <c r="I799" s="12" t="s">
        <v>587</v>
      </c>
      <c r="J799" s="12" t="s">
        <v>39</v>
      </c>
      <c r="K799" s="73" t="s">
        <v>29</v>
      </c>
      <c r="L799" s="13">
        <v>278960</v>
      </c>
      <c r="M799" s="13">
        <v>157082</v>
      </c>
      <c r="N799" s="13">
        <v>105331</v>
      </c>
      <c r="O799" s="13">
        <v>124494</v>
      </c>
      <c r="P799" s="13">
        <v>107071</v>
      </c>
      <c r="Q799" s="13">
        <v>154466</v>
      </c>
      <c r="R799" s="13">
        <v>3592</v>
      </c>
      <c r="S799" s="13">
        <v>0</v>
      </c>
      <c r="T799" s="81">
        <v>19</v>
      </c>
    </row>
    <row r="800" spans="1:20" ht="15" customHeight="1" x14ac:dyDescent="0.2">
      <c r="A800" s="15" t="s">
        <v>1702</v>
      </c>
      <c r="B800" s="60">
        <v>47381104</v>
      </c>
      <c r="C800" s="15" t="s">
        <v>1703</v>
      </c>
      <c r="D800" s="15"/>
      <c r="E800" s="15" t="s">
        <v>1704</v>
      </c>
      <c r="F800" s="15" t="s">
        <v>84</v>
      </c>
      <c r="G800" s="34">
        <v>3</v>
      </c>
      <c r="H800" s="34">
        <v>41</v>
      </c>
      <c r="I800" s="15" t="s">
        <v>528</v>
      </c>
      <c r="J800" s="15" t="s">
        <v>217</v>
      </c>
      <c r="K800" s="74" t="s">
        <v>29</v>
      </c>
      <c r="L800" s="16">
        <v>276139</v>
      </c>
      <c r="M800" s="16">
        <v>0</v>
      </c>
      <c r="N800" s="16">
        <v>746</v>
      </c>
      <c r="O800" s="16">
        <v>262403</v>
      </c>
      <c r="P800" s="16">
        <v>257618</v>
      </c>
      <c r="Q800" s="16">
        <v>13735</v>
      </c>
      <c r="R800" s="16">
        <v>3944</v>
      </c>
      <c r="S800" s="16">
        <v>1</v>
      </c>
      <c r="T800" s="111">
        <v>0</v>
      </c>
    </row>
    <row r="801" spans="1:20" ht="15" customHeight="1" x14ac:dyDescent="0.2">
      <c r="A801" s="12" t="s">
        <v>1705</v>
      </c>
      <c r="B801" s="56">
        <v>62673470</v>
      </c>
      <c r="C801" s="12"/>
      <c r="D801" s="12"/>
      <c r="E801" s="12"/>
      <c r="F801" s="12" t="s">
        <v>265</v>
      </c>
      <c r="G801" s="33">
        <v>2</v>
      </c>
      <c r="H801" s="33">
        <v>9</v>
      </c>
      <c r="I801" s="12" t="s">
        <v>38</v>
      </c>
      <c r="J801" s="12" t="s">
        <v>39</v>
      </c>
      <c r="K801" s="73" t="s">
        <v>29</v>
      </c>
      <c r="L801" s="13">
        <v>274055</v>
      </c>
      <c r="M801" s="13">
        <v>174611</v>
      </c>
      <c r="N801" s="13">
        <v>51750</v>
      </c>
      <c r="O801" s="13">
        <v>203523</v>
      </c>
      <c r="P801" s="13">
        <v>182302</v>
      </c>
      <c r="Q801" s="13">
        <v>70531</v>
      </c>
      <c r="R801" s="13">
        <v>3262</v>
      </c>
      <c r="S801" s="13">
        <v>0</v>
      </c>
      <c r="T801" s="81">
        <v>20</v>
      </c>
    </row>
    <row r="802" spans="1:20" ht="15" customHeight="1" x14ac:dyDescent="0.2">
      <c r="A802" s="15" t="s">
        <v>1706</v>
      </c>
      <c r="B802" s="60">
        <v>68512748</v>
      </c>
      <c r="C802" s="15"/>
      <c r="D802" s="15"/>
      <c r="E802" s="15"/>
      <c r="F802" s="15" t="s">
        <v>265</v>
      </c>
      <c r="G802" s="34">
        <v>2</v>
      </c>
      <c r="H802" s="34">
        <v>9</v>
      </c>
      <c r="I802" s="15" t="s">
        <v>1707</v>
      </c>
      <c r="J802" s="15" t="s">
        <v>120</v>
      </c>
      <c r="K802" s="74" t="s">
        <v>29</v>
      </c>
      <c r="L802" s="16">
        <v>273931</v>
      </c>
      <c r="M802" s="16">
        <v>94719</v>
      </c>
      <c r="N802" s="16">
        <v>4163</v>
      </c>
      <c r="O802" s="16">
        <v>243270</v>
      </c>
      <c r="P802" s="16">
        <v>234019</v>
      </c>
      <c r="Q802" s="16">
        <v>30661</v>
      </c>
      <c r="R802" s="16">
        <v>4826</v>
      </c>
      <c r="S802" s="16">
        <v>0</v>
      </c>
      <c r="T802" s="111">
        <v>13</v>
      </c>
    </row>
    <row r="803" spans="1:20" ht="15" customHeight="1" x14ac:dyDescent="0.2">
      <c r="A803" s="12" t="s">
        <v>1708</v>
      </c>
      <c r="B803" s="56">
        <v>4649337</v>
      </c>
      <c r="C803" s="12"/>
      <c r="D803" s="12"/>
      <c r="E803" s="12"/>
      <c r="F803" s="12" t="s">
        <v>265</v>
      </c>
      <c r="G803" s="33">
        <v>2</v>
      </c>
      <c r="H803" s="33">
        <v>9</v>
      </c>
      <c r="I803" s="12" t="s">
        <v>27</v>
      </c>
      <c r="J803" s="12" t="s">
        <v>28</v>
      </c>
      <c r="K803" s="73" t="s">
        <v>29</v>
      </c>
      <c r="L803" s="13">
        <v>273536</v>
      </c>
      <c r="M803" s="13">
        <v>123460</v>
      </c>
      <c r="N803" s="13">
        <v>16648</v>
      </c>
      <c r="O803" s="13">
        <v>231904</v>
      </c>
      <c r="P803" s="13">
        <v>226426</v>
      </c>
      <c r="Q803" s="13">
        <v>41632</v>
      </c>
      <c r="R803" s="13">
        <v>4438</v>
      </c>
      <c r="S803" s="13">
        <v>0</v>
      </c>
      <c r="T803" s="81">
        <v>1</v>
      </c>
    </row>
    <row r="804" spans="1:20" ht="15" customHeight="1" x14ac:dyDescent="0.2">
      <c r="A804" s="15" t="s">
        <v>1709</v>
      </c>
      <c r="B804" s="60">
        <v>7512441</v>
      </c>
      <c r="C804" s="15" t="s">
        <v>1710</v>
      </c>
      <c r="D804" s="15"/>
      <c r="E804" s="15" t="s">
        <v>1711</v>
      </c>
      <c r="F804" s="15" t="s">
        <v>65</v>
      </c>
      <c r="G804" s="34">
        <v>2</v>
      </c>
      <c r="H804" s="34">
        <v>14</v>
      </c>
      <c r="I804" s="15" t="s">
        <v>1712</v>
      </c>
      <c r="J804" s="15" t="s">
        <v>74</v>
      </c>
      <c r="K804" s="74" t="s">
        <v>29</v>
      </c>
      <c r="L804" s="16">
        <v>273336</v>
      </c>
      <c r="M804" s="16">
        <v>220576</v>
      </c>
      <c r="N804" s="16">
        <v>0</v>
      </c>
      <c r="O804" s="16">
        <v>245528</v>
      </c>
      <c r="P804" s="16">
        <v>205094</v>
      </c>
      <c r="Q804" s="16">
        <v>27809</v>
      </c>
      <c r="R804" s="16">
        <v>-19163</v>
      </c>
      <c r="S804" s="16">
        <v>2</v>
      </c>
      <c r="T804" s="111">
        <v>0</v>
      </c>
    </row>
    <row r="805" spans="1:20" ht="15" customHeight="1" x14ac:dyDescent="0.2">
      <c r="A805" s="12" t="s">
        <v>1713</v>
      </c>
      <c r="B805" s="56">
        <v>39696395</v>
      </c>
      <c r="C805" s="12" t="s">
        <v>1714</v>
      </c>
      <c r="D805" s="12"/>
      <c r="E805" s="12" t="s">
        <v>1715</v>
      </c>
      <c r="F805" s="12" t="s">
        <v>84</v>
      </c>
      <c r="G805" s="33">
        <v>2</v>
      </c>
      <c r="H805" s="33">
        <v>41</v>
      </c>
      <c r="I805" s="12" t="s">
        <v>38</v>
      </c>
      <c r="J805" s="12" t="s">
        <v>39</v>
      </c>
      <c r="K805" s="73" t="s">
        <v>29</v>
      </c>
      <c r="L805" s="13">
        <v>271996</v>
      </c>
      <c r="M805" s="13">
        <v>0</v>
      </c>
      <c r="N805" s="13">
        <v>217707</v>
      </c>
      <c r="O805" s="13">
        <v>241918</v>
      </c>
      <c r="P805" s="13">
        <v>125515</v>
      </c>
      <c r="Q805" s="13">
        <v>30079</v>
      </c>
      <c r="R805" s="13">
        <v>7368</v>
      </c>
      <c r="S805" s="13">
        <v>1</v>
      </c>
      <c r="T805" s="81">
        <v>0</v>
      </c>
    </row>
    <row r="806" spans="1:20" ht="15" customHeight="1" x14ac:dyDescent="0.2">
      <c r="A806" s="15" t="s">
        <v>1716</v>
      </c>
      <c r="B806" s="60">
        <v>6249129</v>
      </c>
      <c r="C806" s="15" t="s">
        <v>1717</v>
      </c>
      <c r="D806" s="15"/>
      <c r="E806" s="15" t="s">
        <v>1718</v>
      </c>
      <c r="F806" s="15" t="s">
        <v>65</v>
      </c>
      <c r="G806" s="34">
        <v>2</v>
      </c>
      <c r="H806" s="34">
        <v>14</v>
      </c>
      <c r="I806" s="15" t="s">
        <v>38</v>
      </c>
      <c r="J806" s="15" t="s">
        <v>39</v>
      </c>
      <c r="K806" s="74" t="s">
        <v>29</v>
      </c>
      <c r="L806" s="16">
        <v>270058</v>
      </c>
      <c r="M806" s="16">
        <v>209533</v>
      </c>
      <c r="N806" s="16">
        <v>7435</v>
      </c>
      <c r="O806" s="16">
        <v>230499</v>
      </c>
      <c r="P806" s="16">
        <v>217912</v>
      </c>
      <c r="Q806" s="16">
        <v>39559</v>
      </c>
      <c r="R806" s="16">
        <v>1118</v>
      </c>
      <c r="S806" s="16">
        <v>2</v>
      </c>
      <c r="T806" s="111">
        <v>0</v>
      </c>
    </row>
    <row r="807" spans="1:20" ht="15" customHeight="1" x14ac:dyDescent="0.2">
      <c r="A807" s="12" t="s">
        <v>1719</v>
      </c>
      <c r="B807" s="56">
        <v>39908427</v>
      </c>
      <c r="C807" s="12" t="s">
        <v>1104</v>
      </c>
      <c r="D807" s="12"/>
      <c r="E807" s="12" t="s">
        <v>1105</v>
      </c>
      <c r="F807" s="12" t="s">
        <v>65</v>
      </c>
      <c r="G807" s="33">
        <v>2</v>
      </c>
      <c r="H807" s="33">
        <v>43</v>
      </c>
      <c r="I807" s="12" t="s">
        <v>38</v>
      </c>
      <c r="J807" s="12" t="s">
        <v>39</v>
      </c>
      <c r="K807" s="73" t="s">
        <v>29</v>
      </c>
      <c r="L807" s="13">
        <v>268484</v>
      </c>
      <c r="M807" s="13">
        <v>29466</v>
      </c>
      <c r="N807" s="13">
        <v>0</v>
      </c>
      <c r="O807" s="13">
        <v>141609</v>
      </c>
      <c r="P807" s="13">
        <v>0</v>
      </c>
      <c r="Q807" s="13">
        <v>126874</v>
      </c>
      <c r="R807" s="13">
        <v>11208</v>
      </c>
      <c r="S807" s="13">
        <v>1</v>
      </c>
      <c r="T807" s="81">
        <v>0</v>
      </c>
    </row>
    <row r="808" spans="1:20" ht="15" customHeight="1" x14ac:dyDescent="0.2">
      <c r="A808" s="15" t="s">
        <v>1720</v>
      </c>
      <c r="B808" s="60">
        <v>707903</v>
      </c>
      <c r="C808" s="15"/>
      <c r="D808" s="15"/>
      <c r="E808" s="15"/>
      <c r="F808" s="15" t="s">
        <v>265</v>
      </c>
      <c r="G808" s="34">
        <v>2</v>
      </c>
      <c r="H808" s="34">
        <v>9</v>
      </c>
      <c r="I808" s="15" t="s">
        <v>1721</v>
      </c>
      <c r="J808" s="15" t="s">
        <v>217</v>
      </c>
      <c r="K808" s="74" t="s">
        <v>29</v>
      </c>
      <c r="L808" s="16">
        <v>267384</v>
      </c>
      <c r="M808" s="16">
        <v>131257</v>
      </c>
      <c r="N808" s="16">
        <v>5515</v>
      </c>
      <c r="O808" s="16">
        <v>223991</v>
      </c>
      <c r="P808" s="16">
        <v>189250</v>
      </c>
      <c r="Q808" s="16">
        <v>43393</v>
      </c>
      <c r="R808" s="16">
        <v>1668</v>
      </c>
      <c r="S808" s="16">
        <v>0</v>
      </c>
      <c r="T808" s="111">
        <v>5</v>
      </c>
    </row>
    <row r="809" spans="1:20" ht="15" customHeight="1" x14ac:dyDescent="0.2">
      <c r="A809" s="12" t="s">
        <v>1722</v>
      </c>
      <c r="B809" s="56">
        <v>71506513</v>
      </c>
      <c r="C809" s="12"/>
      <c r="D809" s="12"/>
      <c r="E809" s="12"/>
      <c r="F809" s="12" t="s">
        <v>265</v>
      </c>
      <c r="G809" s="33">
        <v>2</v>
      </c>
      <c r="H809" s="33">
        <v>9</v>
      </c>
      <c r="I809" s="12" t="s">
        <v>1723</v>
      </c>
      <c r="J809" s="12" t="s">
        <v>120</v>
      </c>
      <c r="K809" s="73" t="s">
        <v>29</v>
      </c>
      <c r="L809" s="13">
        <v>265258</v>
      </c>
      <c r="M809" s="13">
        <v>127869</v>
      </c>
      <c r="N809" s="13">
        <v>8998</v>
      </c>
      <c r="O809" s="13">
        <v>208729</v>
      </c>
      <c r="P809" s="13">
        <v>138049</v>
      </c>
      <c r="Q809" s="13">
        <v>56529</v>
      </c>
      <c r="R809" s="13">
        <v>3947</v>
      </c>
      <c r="S809" s="13">
        <v>0</v>
      </c>
      <c r="T809" s="81">
        <v>0</v>
      </c>
    </row>
    <row r="810" spans="1:20" ht="15" customHeight="1" x14ac:dyDescent="0.2">
      <c r="A810" s="15" t="s">
        <v>1724</v>
      </c>
      <c r="B810" s="60">
        <v>28156057</v>
      </c>
      <c r="C810" s="15" t="s">
        <v>179</v>
      </c>
      <c r="D810" s="15" t="s">
        <v>180</v>
      </c>
      <c r="E810" s="15" t="s">
        <v>181</v>
      </c>
      <c r="F810" s="15" t="s">
        <v>98</v>
      </c>
      <c r="G810" s="34">
        <v>1</v>
      </c>
      <c r="H810" s="34">
        <v>16</v>
      </c>
      <c r="I810" s="15" t="s">
        <v>182</v>
      </c>
      <c r="J810" s="15" t="s">
        <v>183</v>
      </c>
      <c r="K810" s="74" t="s">
        <v>29</v>
      </c>
      <c r="L810" s="16">
        <v>262807</v>
      </c>
      <c r="M810" s="16">
        <v>0</v>
      </c>
      <c r="N810" s="16">
        <v>0</v>
      </c>
      <c r="O810" s="16">
        <v>11260</v>
      </c>
      <c r="P810" s="16">
        <v>398</v>
      </c>
      <c r="Q810" s="16">
        <v>251547</v>
      </c>
      <c r="R810" s="16">
        <v>35717</v>
      </c>
      <c r="S810" s="16">
        <v>2</v>
      </c>
      <c r="T810" s="111">
        <v>0</v>
      </c>
    </row>
    <row r="811" spans="1:20" ht="15" customHeight="1" x14ac:dyDescent="0.2">
      <c r="A811" s="12" t="s">
        <v>1725</v>
      </c>
      <c r="B811" s="56">
        <v>13966572</v>
      </c>
      <c r="C811" s="12" t="s">
        <v>1726</v>
      </c>
      <c r="D811" s="12"/>
      <c r="E811" s="12" t="s">
        <v>1727</v>
      </c>
      <c r="F811" s="12" t="s">
        <v>84</v>
      </c>
      <c r="G811" s="33">
        <v>2</v>
      </c>
      <c r="H811" s="33">
        <v>41</v>
      </c>
      <c r="I811" s="12" t="s">
        <v>38</v>
      </c>
      <c r="J811" s="12" t="s">
        <v>39</v>
      </c>
      <c r="K811" s="73" t="s">
        <v>29</v>
      </c>
      <c r="L811" s="13">
        <v>259578</v>
      </c>
      <c r="M811" s="13">
        <v>0</v>
      </c>
      <c r="N811" s="13">
        <v>2269</v>
      </c>
      <c r="O811" s="13">
        <v>227474</v>
      </c>
      <c r="P811" s="13">
        <v>51474</v>
      </c>
      <c r="Q811" s="13">
        <v>32104</v>
      </c>
      <c r="R811" s="13">
        <v>23216</v>
      </c>
      <c r="S811" s="13">
        <v>1</v>
      </c>
      <c r="T811" s="81">
        <v>0</v>
      </c>
    </row>
    <row r="812" spans="1:20" ht="15" customHeight="1" x14ac:dyDescent="0.2">
      <c r="A812" s="15" t="s">
        <v>1728</v>
      </c>
      <c r="B812" s="60">
        <v>6284531</v>
      </c>
      <c r="C812" s="15" t="s">
        <v>1729</v>
      </c>
      <c r="D812" s="15"/>
      <c r="E812" s="15" t="s">
        <v>1730</v>
      </c>
      <c r="F812" s="15" t="s">
        <v>65</v>
      </c>
      <c r="G812" s="34">
        <v>1</v>
      </c>
      <c r="H812" s="34">
        <v>30</v>
      </c>
      <c r="I812" s="15" t="s">
        <v>803</v>
      </c>
      <c r="J812" s="15" t="s">
        <v>329</v>
      </c>
      <c r="K812" s="74" t="s">
        <v>29</v>
      </c>
      <c r="L812" s="16">
        <v>258298</v>
      </c>
      <c r="M812" s="16">
        <v>129320</v>
      </c>
      <c r="N812" s="16">
        <v>110331</v>
      </c>
      <c r="O812" s="16">
        <v>32121</v>
      </c>
      <c r="P812" s="16">
        <v>25422</v>
      </c>
      <c r="Q812" s="16">
        <v>226177</v>
      </c>
      <c r="R812" s="16">
        <v>-387</v>
      </c>
      <c r="S812" s="16">
        <v>1</v>
      </c>
      <c r="T812" s="111">
        <v>0</v>
      </c>
    </row>
    <row r="813" spans="1:20" ht="15" customHeight="1" x14ac:dyDescent="0.2">
      <c r="A813" s="12" t="s">
        <v>1731</v>
      </c>
      <c r="B813" s="56">
        <v>6910457</v>
      </c>
      <c r="C813" s="12"/>
      <c r="D813" s="12"/>
      <c r="E813" s="12"/>
      <c r="F813" s="12" t="s">
        <v>265</v>
      </c>
      <c r="G813" s="33">
        <v>2</v>
      </c>
      <c r="H813" s="33">
        <v>9</v>
      </c>
      <c r="I813" s="12" t="s">
        <v>1732</v>
      </c>
      <c r="J813" s="12" t="s">
        <v>39</v>
      </c>
      <c r="K813" s="73" t="s">
        <v>29</v>
      </c>
      <c r="L813" s="13">
        <v>257638</v>
      </c>
      <c r="M813" s="13">
        <v>132261</v>
      </c>
      <c r="N813" s="13">
        <v>86986</v>
      </c>
      <c r="O813" s="13">
        <v>223361</v>
      </c>
      <c r="P813" s="13">
        <v>207939</v>
      </c>
      <c r="Q813" s="13">
        <v>34277</v>
      </c>
      <c r="R813" s="13">
        <v>-2566</v>
      </c>
      <c r="S813" s="13">
        <v>0</v>
      </c>
      <c r="T813" s="81">
        <v>3</v>
      </c>
    </row>
    <row r="814" spans="1:20" ht="15" customHeight="1" x14ac:dyDescent="0.2">
      <c r="A814" s="15" t="s">
        <v>1733</v>
      </c>
      <c r="B814" s="60">
        <v>38316293</v>
      </c>
      <c r="C814" s="15" t="s">
        <v>1734</v>
      </c>
      <c r="D814" s="15"/>
      <c r="E814" s="15" t="s">
        <v>1735</v>
      </c>
      <c r="F814" s="15" t="s">
        <v>65</v>
      </c>
      <c r="G814" s="34">
        <v>3</v>
      </c>
      <c r="H814" s="34">
        <v>43</v>
      </c>
      <c r="I814" s="15" t="s">
        <v>165</v>
      </c>
      <c r="J814" s="15" t="s">
        <v>39</v>
      </c>
      <c r="K814" s="74" t="s">
        <v>29</v>
      </c>
      <c r="L814" s="16">
        <v>257254</v>
      </c>
      <c r="M814" s="16">
        <v>189581</v>
      </c>
      <c r="N814" s="16">
        <v>0</v>
      </c>
      <c r="O814" s="16">
        <v>61376</v>
      </c>
      <c r="P814" s="16">
        <v>0</v>
      </c>
      <c r="Q814" s="16">
        <v>195878</v>
      </c>
      <c r="R814" s="16">
        <v>47935</v>
      </c>
      <c r="S814" s="16">
        <v>2</v>
      </c>
      <c r="T814" s="111">
        <v>0</v>
      </c>
    </row>
    <row r="815" spans="1:20" ht="15" customHeight="1" x14ac:dyDescent="0.2">
      <c r="A815" s="12" t="s">
        <v>1736</v>
      </c>
      <c r="B815" s="56">
        <v>4174720</v>
      </c>
      <c r="C815" s="12"/>
      <c r="D815" s="12"/>
      <c r="E815" s="12"/>
      <c r="F815" s="12" t="s">
        <v>265</v>
      </c>
      <c r="G815" s="33">
        <v>2</v>
      </c>
      <c r="H815" s="33">
        <v>9</v>
      </c>
      <c r="I815" s="12" t="s">
        <v>1737</v>
      </c>
      <c r="J815" s="12" t="s">
        <v>211</v>
      </c>
      <c r="K815" s="73" t="s">
        <v>29</v>
      </c>
      <c r="L815" s="13">
        <v>257250</v>
      </c>
      <c r="M815" s="13">
        <v>87995</v>
      </c>
      <c r="N815" s="13">
        <v>23539</v>
      </c>
      <c r="O815" s="13">
        <v>220460</v>
      </c>
      <c r="P815" s="13">
        <v>212255</v>
      </c>
      <c r="Q815" s="13">
        <v>36790</v>
      </c>
      <c r="R815" s="13">
        <v>3156</v>
      </c>
      <c r="S815" s="13">
        <v>0</v>
      </c>
      <c r="T815" s="81">
        <v>11</v>
      </c>
    </row>
    <row r="816" spans="1:20" ht="15" customHeight="1" x14ac:dyDescent="0.2">
      <c r="A816" s="15" t="s">
        <v>1738</v>
      </c>
      <c r="B816" s="60">
        <v>14046512</v>
      </c>
      <c r="C816" s="15"/>
      <c r="D816" s="15"/>
      <c r="E816" s="15"/>
      <c r="F816" s="15" t="s">
        <v>265</v>
      </c>
      <c r="G816" s="34">
        <v>2</v>
      </c>
      <c r="H816" s="34">
        <v>9</v>
      </c>
      <c r="I816" s="15" t="s">
        <v>1739</v>
      </c>
      <c r="J816" s="15" t="s">
        <v>120</v>
      </c>
      <c r="K816" s="74" t="s">
        <v>29</v>
      </c>
      <c r="L816" s="16">
        <v>254323</v>
      </c>
      <c r="M816" s="16">
        <v>168817</v>
      </c>
      <c r="N816" s="16">
        <v>5638</v>
      </c>
      <c r="O816" s="16">
        <v>209068</v>
      </c>
      <c r="P816" s="16">
        <v>128450</v>
      </c>
      <c r="Q816" s="16">
        <v>45255</v>
      </c>
      <c r="R816" s="16">
        <v>2141</v>
      </c>
      <c r="S816" s="16">
        <v>0</v>
      </c>
      <c r="T816" s="111">
        <v>7</v>
      </c>
    </row>
    <row r="817" spans="1:20" ht="15" customHeight="1" x14ac:dyDescent="0.2">
      <c r="A817" s="12" t="s">
        <v>1740</v>
      </c>
      <c r="B817" s="56">
        <v>27084098</v>
      </c>
      <c r="C817" s="12" t="s">
        <v>1741</v>
      </c>
      <c r="D817" s="12"/>
      <c r="E817" s="12" t="s">
        <v>1742</v>
      </c>
      <c r="F817" s="12" t="s">
        <v>84</v>
      </c>
      <c r="G817" s="33">
        <v>3</v>
      </c>
      <c r="H817" s="33">
        <v>41</v>
      </c>
      <c r="I817" s="12" t="s">
        <v>228</v>
      </c>
      <c r="J817" s="12" t="s">
        <v>229</v>
      </c>
      <c r="K817" s="73" t="s">
        <v>29</v>
      </c>
      <c r="L817" s="13">
        <v>253487</v>
      </c>
      <c r="M817" s="13">
        <v>0</v>
      </c>
      <c r="N817" s="13">
        <v>0</v>
      </c>
      <c r="O817" s="13">
        <v>236535</v>
      </c>
      <c r="P817" s="13">
        <v>226704</v>
      </c>
      <c r="Q817" s="13">
        <v>16953</v>
      </c>
      <c r="R817" s="13">
        <v>4122</v>
      </c>
      <c r="S817" s="13">
        <v>1</v>
      </c>
      <c r="T817" s="81">
        <v>0</v>
      </c>
    </row>
    <row r="818" spans="1:20" ht="15" customHeight="1" x14ac:dyDescent="0.2">
      <c r="A818" s="15" t="s">
        <v>1743</v>
      </c>
      <c r="B818" s="60">
        <v>2382755</v>
      </c>
      <c r="C818" s="15"/>
      <c r="D818" s="15"/>
      <c r="E818" s="15"/>
      <c r="F818" s="15" t="s">
        <v>265</v>
      </c>
      <c r="G818" s="34">
        <v>2</v>
      </c>
      <c r="H818" s="34">
        <v>9</v>
      </c>
      <c r="I818" s="15" t="s">
        <v>821</v>
      </c>
      <c r="J818" s="15" t="s">
        <v>822</v>
      </c>
      <c r="K818" s="74" t="s">
        <v>29</v>
      </c>
      <c r="L818" s="16">
        <v>252687</v>
      </c>
      <c r="M818" s="16">
        <v>131461</v>
      </c>
      <c r="N818" s="16">
        <v>13478</v>
      </c>
      <c r="O818" s="16">
        <v>223187</v>
      </c>
      <c r="P818" s="16">
        <v>212632</v>
      </c>
      <c r="Q818" s="16">
        <v>29500</v>
      </c>
      <c r="R818" s="16">
        <v>-5000</v>
      </c>
      <c r="S818" s="16">
        <v>0</v>
      </c>
      <c r="T818" s="111">
        <v>5</v>
      </c>
    </row>
    <row r="819" spans="1:20" ht="15" customHeight="1" x14ac:dyDescent="0.2">
      <c r="A819" s="12" t="s">
        <v>1744</v>
      </c>
      <c r="B819" s="56">
        <v>7958405</v>
      </c>
      <c r="C819" s="12"/>
      <c r="D819" s="12"/>
      <c r="E819" s="12"/>
      <c r="F819" s="12" t="s">
        <v>265</v>
      </c>
      <c r="G819" s="33">
        <v>2</v>
      </c>
      <c r="H819" s="33">
        <v>9</v>
      </c>
      <c r="I819" s="12" t="s">
        <v>1745</v>
      </c>
      <c r="J819" s="12" t="s">
        <v>217</v>
      </c>
      <c r="K819" s="73" t="s">
        <v>29</v>
      </c>
      <c r="L819" s="13">
        <v>248599</v>
      </c>
      <c r="M819" s="13">
        <v>168713</v>
      </c>
      <c r="N819" s="13">
        <v>6138</v>
      </c>
      <c r="O819" s="13">
        <v>212091</v>
      </c>
      <c r="P819" s="13">
        <v>145750</v>
      </c>
      <c r="Q819" s="13">
        <v>36507</v>
      </c>
      <c r="R819" s="13">
        <v>3400</v>
      </c>
      <c r="S819" s="13">
        <v>0</v>
      </c>
      <c r="T819" s="81">
        <v>5</v>
      </c>
    </row>
    <row r="820" spans="1:20" ht="15" customHeight="1" x14ac:dyDescent="0.2">
      <c r="A820" s="15" t="s">
        <v>1746</v>
      </c>
      <c r="B820" s="60">
        <v>411939</v>
      </c>
      <c r="C820" s="15" t="s">
        <v>1747</v>
      </c>
      <c r="D820" s="15"/>
      <c r="E820" s="15" t="s">
        <v>1748</v>
      </c>
      <c r="F820" s="15" t="s">
        <v>65</v>
      </c>
      <c r="G820" s="34">
        <v>2</v>
      </c>
      <c r="H820" s="34">
        <v>14</v>
      </c>
      <c r="I820" s="15" t="s">
        <v>1749</v>
      </c>
      <c r="J820" s="15" t="s">
        <v>39</v>
      </c>
      <c r="K820" s="74" t="s">
        <v>29</v>
      </c>
      <c r="L820" s="16">
        <v>248498</v>
      </c>
      <c r="M820" s="16">
        <v>126012</v>
      </c>
      <c r="N820" s="16">
        <v>80287</v>
      </c>
      <c r="O820" s="16">
        <v>212564</v>
      </c>
      <c r="P820" s="16">
        <v>207421</v>
      </c>
      <c r="Q820" s="16">
        <v>35934</v>
      </c>
      <c r="R820" s="16">
        <v>-1236</v>
      </c>
      <c r="S820" s="16">
        <v>4</v>
      </c>
      <c r="T820" s="111">
        <v>0</v>
      </c>
    </row>
    <row r="821" spans="1:20" ht="15" customHeight="1" x14ac:dyDescent="0.2">
      <c r="A821" s="12" t="s">
        <v>1750</v>
      </c>
      <c r="B821" s="56">
        <v>84156470</v>
      </c>
      <c r="C821" s="12"/>
      <c r="D821" s="12"/>
      <c r="E821" s="12"/>
      <c r="F821" s="12" t="s">
        <v>265</v>
      </c>
      <c r="G821" s="33">
        <v>2</v>
      </c>
      <c r="H821" s="33">
        <v>9</v>
      </c>
      <c r="I821" s="12" t="s">
        <v>143</v>
      </c>
      <c r="J821" s="12" t="s">
        <v>144</v>
      </c>
      <c r="K821" s="73" t="s">
        <v>29</v>
      </c>
      <c r="L821" s="13">
        <v>247060</v>
      </c>
      <c r="M821" s="13">
        <v>105286</v>
      </c>
      <c r="N821" s="13">
        <v>14059</v>
      </c>
      <c r="O821" s="13">
        <v>163384</v>
      </c>
      <c r="P821" s="13">
        <v>151697</v>
      </c>
      <c r="Q821" s="13">
        <v>83676</v>
      </c>
      <c r="R821" s="13">
        <v>3850</v>
      </c>
      <c r="S821" s="13">
        <v>0</v>
      </c>
      <c r="T821" s="81">
        <v>0</v>
      </c>
    </row>
    <row r="822" spans="1:20" ht="15" customHeight="1" x14ac:dyDescent="0.2">
      <c r="A822" s="15" t="s">
        <v>1751</v>
      </c>
      <c r="B822" s="60">
        <v>70119680</v>
      </c>
      <c r="C822" s="15"/>
      <c r="D822" s="15"/>
      <c r="E822" s="15"/>
      <c r="F822" s="15" t="s">
        <v>199</v>
      </c>
      <c r="G822" s="34">
        <v>2</v>
      </c>
      <c r="H822" s="34">
        <v>9</v>
      </c>
      <c r="I822" s="15" t="s">
        <v>577</v>
      </c>
      <c r="J822" s="15" t="s">
        <v>578</v>
      </c>
      <c r="K822" s="74" t="s">
        <v>29</v>
      </c>
      <c r="L822" s="16">
        <v>246440</v>
      </c>
      <c r="M822" s="16">
        <v>0</v>
      </c>
      <c r="N822" s="16">
        <v>170597</v>
      </c>
      <c r="O822" s="16">
        <v>98193</v>
      </c>
      <c r="P822" s="16">
        <v>0</v>
      </c>
      <c r="Q822" s="16">
        <v>148246</v>
      </c>
      <c r="R822" s="16">
        <v>747</v>
      </c>
      <c r="S822" s="16">
        <v>0</v>
      </c>
      <c r="T822" s="111">
        <v>0</v>
      </c>
    </row>
    <row r="823" spans="1:20" ht="15" customHeight="1" x14ac:dyDescent="0.2">
      <c r="A823" s="12" t="s">
        <v>1752</v>
      </c>
      <c r="B823" s="56">
        <v>3428338</v>
      </c>
      <c r="C823" s="12"/>
      <c r="D823" s="12"/>
      <c r="E823" s="12"/>
      <c r="F823" s="12" t="s">
        <v>265</v>
      </c>
      <c r="G823" s="33">
        <v>2</v>
      </c>
      <c r="H823" s="33">
        <v>9</v>
      </c>
      <c r="I823" s="12" t="s">
        <v>907</v>
      </c>
      <c r="J823" s="12" t="s">
        <v>578</v>
      </c>
      <c r="K823" s="73" t="s">
        <v>29</v>
      </c>
      <c r="L823" s="13">
        <v>245863</v>
      </c>
      <c r="M823" s="13">
        <v>173543</v>
      </c>
      <c r="N823" s="13">
        <v>9470</v>
      </c>
      <c r="O823" s="13">
        <v>194960</v>
      </c>
      <c r="P823" s="13">
        <v>188982</v>
      </c>
      <c r="Q823" s="13">
        <v>50902</v>
      </c>
      <c r="R823" s="13">
        <v>-1835</v>
      </c>
      <c r="S823" s="13">
        <v>0</v>
      </c>
      <c r="T823" s="81">
        <v>10</v>
      </c>
    </row>
    <row r="824" spans="1:20" ht="15" customHeight="1" x14ac:dyDescent="0.2">
      <c r="A824" s="15" t="s">
        <v>1753</v>
      </c>
      <c r="B824" s="60">
        <v>33775974</v>
      </c>
      <c r="C824" s="15" t="s">
        <v>1754</v>
      </c>
      <c r="D824" s="15"/>
      <c r="E824" s="15" t="s">
        <v>1755</v>
      </c>
      <c r="F824" s="15" t="s">
        <v>98</v>
      </c>
      <c r="G824" s="34">
        <v>2</v>
      </c>
      <c r="H824" s="34">
        <v>15</v>
      </c>
      <c r="I824" s="15" t="s">
        <v>53</v>
      </c>
      <c r="J824" s="15" t="s">
        <v>54</v>
      </c>
      <c r="K824" s="74" t="s">
        <v>29</v>
      </c>
      <c r="L824" s="16">
        <v>244828</v>
      </c>
      <c r="M824" s="16">
        <v>0</v>
      </c>
      <c r="N824" s="16">
        <v>57609</v>
      </c>
      <c r="O824" s="16">
        <v>198719</v>
      </c>
      <c r="P824" s="16">
        <v>85319</v>
      </c>
      <c r="Q824" s="16">
        <v>46109</v>
      </c>
      <c r="R824" s="16">
        <v>-367</v>
      </c>
      <c r="S824" s="16">
        <v>3</v>
      </c>
      <c r="T824" s="111">
        <v>0</v>
      </c>
    </row>
    <row r="825" spans="1:20" ht="15" customHeight="1" x14ac:dyDescent="0.2">
      <c r="A825" s="12" t="s">
        <v>1756</v>
      </c>
      <c r="B825" s="56">
        <v>50489148</v>
      </c>
      <c r="C825" s="12" t="s">
        <v>1757</v>
      </c>
      <c r="D825" s="12"/>
      <c r="E825" s="12" t="s">
        <v>1758</v>
      </c>
      <c r="F825" s="12" t="s">
        <v>98</v>
      </c>
      <c r="G825" s="33">
        <v>2</v>
      </c>
      <c r="H825" s="33">
        <v>15</v>
      </c>
      <c r="I825" s="12" t="s">
        <v>38</v>
      </c>
      <c r="J825" s="12" t="s">
        <v>39</v>
      </c>
      <c r="K825" s="73" t="s">
        <v>29</v>
      </c>
      <c r="L825" s="13">
        <v>244156</v>
      </c>
      <c r="M825" s="13">
        <v>0</v>
      </c>
      <c r="N825" s="13">
        <v>128821</v>
      </c>
      <c r="O825" s="13">
        <v>102153</v>
      </c>
      <c r="P825" s="13">
        <v>0</v>
      </c>
      <c r="Q825" s="13">
        <v>142003</v>
      </c>
      <c r="R825" s="13">
        <v>-5785</v>
      </c>
      <c r="S825" s="13">
        <v>2</v>
      </c>
      <c r="T825" s="81">
        <v>8</v>
      </c>
    </row>
    <row r="826" spans="1:20" ht="15" customHeight="1" x14ac:dyDescent="0.2">
      <c r="A826" s="15" t="s">
        <v>1759</v>
      </c>
      <c r="B826" s="60">
        <v>3985375</v>
      </c>
      <c r="C826" s="15"/>
      <c r="D826" s="15"/>
      <c r="E826" s="15"/>
      <c r="F826" s="15" t="s">
        <v>265</v>
      </c>
      <c r="G826" s="34">
        <v>2</v>
      </c>
      <c r="H826" s="34">
        <v>9</v>
      </c>
      <c r="I826" s="15" t="s">
        <v>1760</v>
      </c>
      <c r="J826" s="15" t="s">
        <v>432</v>
      </c>
      <c r="K826" s="74" t="s">
        <v>29</v>
      </c>
      <c r="L826" s="16">
        <v>243868</v>
      </c>
      <c r="M826" s="16">
        <v>126891</v>
      </c>
      <c r="N826" s="16">
        <v>9789</v>
      </c>
      <c r="O826" s="16">
        <v>207573</v>
      </c>
      <c r="P826" s="16">
        <v>184734</v>
      </c>
      <c r="Q826" s="16">
        <v>36295</v>
      </c>
      <c r="R826" s="16">
        <v>1415</v>
      </c>
      <c r="S826" s="16">
        <v>0</v>
      </c>
      <c r="T826" s="111">
        <v>5</v>
      </c>
    </row>
    <row r="827" spans="1:20" ht="15" customHeight="1" x14ac:dyDescent="0.2">
      <c r="A827" s="12" t="s">
        <v>1761</v>
      </c>
      <c r="B827" s="56">
        <v>9576849</v>
      </c>
      <c r="C827" s="12"/>
      <c r="D827" s="12"/>
      <c r="E827" s="12"/>
      <c r="F827" s="12" t="s">
        <v>265</v>
      </c>
      <c r="G827" s="33">
        <v>2</v>
      </c>
      <c r="H827" s="33">
        <v>9</v>
      </c>
      <c r="I827" s="12" t="s">
        <v>1762</v>
      </c>
      <c r="J827" s="12" t="s">
        <v>389</v>
      </c>
      <c r="K827" s="73" t="s">
        <v>29</v>
      </c>
      <c r="L827" s="13">
        <v>240845</v>
      </c>
      <c r="M827" s="13">
        <v>59968</v>
      </c>
      <c r="N827" s="13">
        <v>12021</v>
      </c>
      <c r="O827" s="13">
        <v>203480</v>
      </c>
      <c r="P827" s="13">
        <v>176780</v>
      </c>
      <c r="Q827" s="13">
        <v>37365</v>
      </c>
      <c r="R827" s="13">
        <v>2296</v>
      </c>
      <c r="S827" s="13">
        <v>0</v>
      </c>
      <c r="T827" s="81">
        <v>5</v>
      </c>
    </row>
    <row r="828" spans="1:20" ht="15" customHeight="1" x14ac:dyDescent="0.2">
      <c r="A828" s="15" t="s">
        <v>1763</v>
      </c>
      <c r="B828" s="60">
        <v>2179673</v>
      </c>
      <c r="C828" s="15"/>
      <c r="D828" s="15"/>
      <c r="E828" s="15"/>
      <c r="F828" s="15" t="s">
        <v>265</v>
      </c>
      <c r="G828" s="34">
        <v>2</v>
      </c>
      <c r="H828" s="34">
        <v>9</v>
      </c>
      <c r="I828" s="15" t="s">
        <v>1764</v>
      </c>
      <c r="J828" s="15" t="s">
        <v>39</v>
      </c>
      <c r="K828" s="74" t="s">
        <v>29</v>
      </c>
      <c r="L828" s="16">
        <v>240608</v>
      </c>
      <c r="M828" s="16">
        <v>108997</v>
      </c>
      <c r="N828" s="16">
        <v>125027</v>
      </c>
      <c r="O828" s="16">
        <v>203904</v>
      </c>
      <c r="P828" s="16">
        <v>198522</v>
      </c>
      <c r="Q828" s="16">
        <v>36704</v>
      </c>
      <c r="R828" s="16">
        <v>2507</v>
      </c>
      <c r="S828" s="16">
        <v>0</v>
      </c>
      <c r="T828" s="111">
        <v>6</v>
      </c>
    </row>
    <row r="829" spans="1:20" ht="15" customHeight="1" x14ac:dyDescent="0.2">
      <c r="A829" s="12" t="s">
        <v>1765</v>
      </c>
      <c r="B829" s="56">
        <v>61855045</v>
      </c>
      <c r="C829" s="12" t="s">
        <v>41</v>
      </c>
      <c r="D829" s="12" t="s">
        <v>42</v>
      </c>
      <c r="E829" s="12" t="s">
        <v>43</v>
      </c>
      <c r="F829" s="12" t="s">
        <v>98</v>
      </c>
      <c r="G829" s="33">
        <v>2</v>
      </c>
      <c r="H829" s="33">
        <v>15</v>
      </c>
      <c r="I829" s="12" t="s">
        <v>44</v>
      </c>
      <c r="J829" s="12" t="s">
        <v>39</v>
      </c>
      <c r="K829" s="73" t="s">
        <v>29</v>
      </c>
      <c r="L829" s="13">
        <v>240444</v>
      </c>
      <c r="M829" s="13">
        <v>0</v>
      </c>
      <c r="N829" s="13">
        <v>0</v>
      </c>
      <c r="O829" s="13">
        <v>155769</v>
      </c>
      <c r="P829" s="13">
        <v>0</v>
      </c>
      <c r="Q829" s="13">
        <v>84676</v>
      </c>
      <c r="R829" s="13">
        <v>1373</v>
      </c>
      <c r="S829" s="13">
        <v>3</v>
      </c>
      <c r="T829" s="81">
        <v>0</v>
      </c>
    </row>
    <row r="830" spans="1:20" ht="15" customHeight="1" x14ac:dyDescent="0.2">
      <c r="A830" s="15" t="s">
        <v>1766</v>
      </c>
      <c r="B830" s="60">
        <v>36272465</v>
      </c>
      <c r="C830" s="15" t="s">
        <v>1767</v>
      </c>
      <c r="D830" s="15"/>
      <c r="E830" s="15" t="s">
        <v>1768</v>
      </c>
      <c r="F830" s="15" t="s">
        <v>84</v>
      </c>
      <c r="G830" s="34">
        <v>2</v>
      </c>
      <c r="H830" s="34">
        <v>41</v>
      </c>
      <c r="I830" s="15" t="s">
        <v>38</v>
      </c>
      <c r="J830" s="15" t="s">
        <v>39</v>
      </c>
      <c r="K830" s="74" t="s">
        <v>29</v>
      </c>
      <c r="L830" s="16">
        <v>239069</v>
      </c>
      <c r="M830" s="16">
        <v>-11013</v>
      </c>
      <c r="N830" s="16">
        <v>144717</v>
      </c>
      <c r="O830" s="16">
        <v>8271</v>
      </c>
      <c r="P830" s="16">
        <v>0</v>
      </c>
      <c r="Q830" s="16">
        <v>230798</v>
      </c>
      <c r="R830" s="16">
        <v>-210931</v>
      </c>
      <c r="S830" s="16">
        <v>1</v>
      </c>
      <c r="T830" s="111">
        <v>0</v>
      </c>
    </row>
    <row r="831" spans="1:20" ht="15" customHeight="1" x14ac:dyDescent="0.2">
      <c r="A831" s="12" t="s">
        <v>1769</v>
      </c>
      <c r="B831" s="56">
        <v>86585049</v>
      </c>
      <c r="C831" s="12"/>
      <c r="D831" s="12"/>
      <c r="E831" s="12"/>
      <c r="F831" s="12" t="s">
        <v>265</v>
      </c>
      <c r="G831" s="33">
        <v>2</v>
      </c>
      <c r="H831" s="33">
        <v>9</v>
      </c>
      <c r="I831" s="12" t="s">
        <v>1350</v>
      </c>
      <c r="J831" s="12" t="s">
        <v>120</v>
      </c>
      <c r="K831" s="73" t="s">
        <v>29</v>
      </c>
      <c r="L831" s="13">
        <v>238567</v>
      </c>
      <c r="M831" s="13">
        <v>138235</v>
      </c>
      <c r="N831" s="13">
        <v>4249</v>
      </c>
      <c r="O831" s="13">
        <v>208029</v>
      </c>
      <c r="P831" s="13">
        <v>190222</v>
      </c>
      <c r="Q831" s="13">
        <v>30538</v>
      </c>
      <c r="R831" s="13">
        <v>3281</v>
      </c>
      <c r="S831" s="13">
        <v>0</v>
      </c>
      <c r="T831" s="81">
        <v>4</v>
      </c>
    </row>
    <row r="832" spans="1:20" ht="15" customHeight="1" x14ac:dyDescent="0.2">
      <c r="A832" s="15" t="s">
        <v>1770</v>
      </c>
      <c r="B832" s="60">
        <v>5439425</v>
      </c>
      <c r="C832" s="15"/>
      <c r="D832" s="15"/>
      <c r="E832" s="15"/>
      <c r="F832" s="15" t="s">
        <v>265</v>
      </c>
      <c r="G832" s="34">
        <v>2</v>
      </c>
      <c r="H832" s="34">
        <v>9</v>
      </c>
      <c r="I832" s="15" t="s">
        <v>1406</v>
      </c>
      <c r="J832" s="15" t="s">
        <v>1407</v>
      </c>
      <c r="K832" s="74" t="s">
        <v>29</v>
      </c>
      <c r="L832" s="16">
        <v>236693</v>
      </c>
      <c r="M832" s="16">
        <v>71875</v>
      </c>
      <c r="N832" s="16">
        <v>12255</v>
      </c>
      <c r="O832" s="16">
        <v>194445</v>
      </c>
      <c r="P832" s="16">
        <v>181765</v>
      </c>
      <c r="Q832" s="16">
        <v>42248</v>
      </c>
      <c r="R832" s="16">
        <v>3904</v>
      </c>
      <c r="S832" s="16">
        <v>0</v>
      </c>
      <c r="T832" s="111">
        <v>2</v>
      </c>
    </row>
    <row r="833" spans="1:20" ht="15" customHeight="1" x14ac:dyDescent="0.2">
      <c r="A833" s="12" t="s">
        <v>1771</v>
      </c>
      <c r="B833" s="56">
        <v>5463934</v>
      </c>
      <c r="C833" s="12"/>
      <c r="D833" s="12"/>
      <c r="E833" s="12"/>
      <c r="F833" s="12" t="s">
        <v>265</v>
      </c>
      <c r="G833" s="33">
        <v>2</v>
      </c>
      <c r="H833" s="33">
        <v>9</v>
      </c>
      <c r="I833" s="12" t="s">
        <v>1772</v>
      </c>
      <c r="J833" s="12" t="s">
        <v>39</v>
      </c>
      <c r="K833" s="73" t="s">
        <v>29</v>
      </c>
      <c r="L833" s="13">
        <v>236594</v>
      </c>
      <c r="M833" s="13">
        <v>45045</v>
      </c>
      <c r="N833" s="13">
        <v>13069</v>
      </c>
      <c r="O833" s="13">
        <v>188503</v>
      </c>
      <c r="P833" s="13">
        <v>175382</v>
      </c>
      <c r="Q833" s="13">
        <v>48092</v>
      </c>
      <c r="R833" s="13">
        <v>3001</v>
      </c>
      <c r="S833" s="13">
        <v>0</v>
      </c>
      <c r="T833" s="81">
        <v>3</v>
      </c>
    </row>
    <row r="834" spans="1:20" ht="15" customHeight="1" x14ac:dyDescent="0.2">
      <c r="A834" s="15" t="s">
        <v>1773</v>
      </c>
      <c r="B834" s="60">
        <v>1699652</v>
      </c>
      <c r="C834" s="15"/>
      <c r="D834" s="15"/>
      <c r="E834" s="15"/>
      <c r="F834" s="15" t="s">
        <v>265</v>
      </c>
      <c r="G834" s="34">
        <v>2</v>
      </c>
      <c r="H834" s="34">
        <v>9</v>
      </c>
      <c r="I834" s="15" t="s">
        <v>663</v>
      </c>
      <c r="J834" s="15" t="s">
        <v>120</v>
      </c>
      <c r="K834" s="74" t="s">
        <v>29</v>
      </c>
      <c r="L834" s="16">
        <v>235463</v>
      </c>
      <c r="M834" s="16">
        <v>112144</v>
      </c>
      <c r="N834" s="16">
        <v>4913</v>
      </c>
      <c r="O834" s="16">
        <v>191517</v>
      </c>
      <c r="P834" s="16">
        <v>185525</v>
      </c>
      <c r="Q834" s="16">
        <v>43946</v>
      </c>
      <c r="R834" s="16">
        <v>5679</v>
      </c>
      <c r="S834" s="16">
        <v>0</v>
      </c>
      <c r="T834" s="111">
        <v>4</v>
      </c>
    </row>
    <row r="835" spans="1:20" ht="15" customHeight="1" x14ac:dyDescent="0.2">
      <c r="A835" s="12" t="s">
        <v>1774</v>
      </c>
      <c r="B835" s="56">
        <v>12815827</v>
      </c>
      <c r="C835" s="12" t="s">
        <v>1775</v>
      </c>
      <c r="D835" s="12"/>
      <c r="E835" s="12" t="s">
        <v>1776</v>
      </c>
      <c r="F835" s="12" t="s">
        <v>84</v>
      </c>
      <c r="G835" s="33">
        <v>2</v>
      </c>
      <c r="H835" s="33">
        <v>41</v>
      </c>
      <c r="I835" s="12" t="s">
        <v>38</v>
      </c>
      <c r="J835" s="12" t="s">
        <v>39</v>
      </c>
      <c r="K835" s="73" t="s">
        <v>29</v>
      </c>
      <c r="L835" s="13">
        <v>233622</v>
      </c>
      <c r="M835" s="13">
        <v>0</v>
      </c>
      <c r="N835" s="13">
        <v>1622</v>
      </c>
      <c r="O835" s="13">
        <v>190865</v>
      </c>
      <c r="P835" s="13">
        <v>127416</v>
      </c>
      <c r="Q835" s="13">
        <v>42756</v>
      </c>
      <c r="R835" s="13">
        <v>16445</v>
      </c>
      <c r="S835" s="13">
        <v>1</v>
      </c>
      <c r="T835" s="81">
        <v>0</v>
      </c>
    </row>
    <row r="836" spans="1:20" ht="15" customHeight="1" x14ac:dyDescent="0.2">
      <c r="A836" s="15" t="s">
        <v>1777</v>
      </c>
      <c r="B836" s="60">
        <v>4886317</v>
      </c>
      <c r="C836" s="15"/>
      <c r="D836" s="15"/>
      <c r="E836" s="15"/>
      <c r="F836" s="15" t="s">
        <v>265</v>
      </c>
      <c r="G836" s="34">
        <v>2</v>
      </c>
      <c r="H836" s="34">
        <v>9</v>
      </c>
      <c r="I836" s="15" t="s">
        <v>228</v>
      </c>
      <c r="J836" s="15" t="s">
        <v>229</v>
      </c>
      <c r="K836" s="74" t="s">
        <v>29</v>
      </c>
      <c r="L836" s="16">
        <v>231905</v>
      </c>
      <c r="M836" s="16">
        <v>45433</v>
      </c>
      <c r="N836" s="16">
        <v>152815</v>
      </c>
      <c r="O836" s="16">
        <v>204428</v>
      </c>
      <c r="P836" s="16">
        <v>190449</v>
      </c>
      <c r="Q836" s="16">
        <v>27476</v>
      </c>
      <c r="R836" s="16">
        <v>1573</v>
      </c>
      <c r="S836" s="16">
        <v>0</v>
      </c>
      <c r="T836" s="111">
        <v>2</v>
      </c>
    </row>
    <row r="837" spans="1:20" ht="15" customHeight="1" x14ac:dyDescent="0.2">
      <c r="A837" s="12" t="s">
        <v>1778</v>
      </c>
      <c r="B837" s="56">
        <v>10868663</v>
      </c>
      <c r="C837" s="12" t="s">
        <v>1779</v>
      </c>
      <c r="D837" s="12"/>
      <c r="E837" s="12" t="s">
        <v>1780</v>
      </c>
      <c r="F837" s="12" t="s">
        <v>84</v>
      </c>
      <c r="G837" s="33">
        <v>2</v>
      </c>
      <c r="H837" s="33">
        <v>41</v>
      </c>
      <c r="I837" s="12" t="s">
        <v>38</v>
      </c>
      <c r="J837" s="12" t="s">
        <v>39</v>
      </c>
      <c r="K837" s="73" t="s">
        <v>29</v>
      </c>
      <c r="L837" s="13">
        <v>231821</v>
      </c>
      <c r="M837" s="13">
        <v>71072</v>
      </c>
      <c r="N837" s="13">
        <v>149346</v>
      </c>
      <c r="O837" s="13">
        <v>202938</v>
      </c>
      <c r="P837" s="13">
        <v>34836</v>
      </c>
      <c r="Q837" s="13">
        <v>28882</v>
      </c>
      <c r="R837" s="13">
        <v>1821</v>
      </c>
      <c r="S837" s="13">
        <v>1</v>
      </c>
      <c r="T837" s="81">
        <v>0</v>
      </c>
    </row>
    <row r="838" spans="1:20" ht="15" customHeight="1" x14ac:dyDescent="0.2">
      <c r="A838" s="15" t="s">
        <v>1781</v>
      </c>
      <c r="B838" s="60">
        <v>62928320</v>
      </c>
      <c r="C838" s="15"/>
      <c r="D838" s="15"/>
      <c r="E838" s="15"/>
      <c r="F838" s="15" t="s">
        <v>265</v>
      </c>
      <c r="G838" s="34">
        <v>2</v>
      </c>
      <c r="H838" s="34">
        <v>9</v>
      </c>
      <c r="I838" s="15" t="s">
        <v>38</v>
      </c>
      <c r="J838" s="15" t="s">
        <v>39</v>
      </c>
      <c r="K838" s="74" t="s">
        <v>29</v>
      </c>
      <c r="L838" s="16">
        <v>231372</v>
      </c>
      <c r="M838" s="16">
        <v>189648</v>
      </c>
      <c r="N838" s="16">
        <v>41118</v>
      </c>
      <c r="O838" s="16">
        <v>6683</v>
      </c>
      <c r="P838" s="16">
        <v>0</v>
      </c>
      <c r="Q838" s="16">
        <v>224689</v>
      </c>
      <c r="R838" s="16">
        <v>12676</v>
      </c>
      <c r="S838" s="16">
        <v>0</v>
      </c>
      <c r="T838" s="111">
        <v>0</v>
      </c>
    </row>
    <row r="839" spans="1:20" ht="15" customHeight="1" x14ac:dyDescent="0.2">
      <c r="A839" s="12" t="s">
        <v>1782</v>
      </c>
      <c r="B839" s="56">
        <v>61384004</v>
      </c>
      <c r="C839" s="12" t="s">
        <v>35</v>
      </c>
      <c r="D839" s="12" t="s">
        <v>36</v>
      </c>
      <c r="E839" s="12" t="s">
        <v>37</v>
      </c>
      <c r="F839" s="12" t="s">
        <v>60</v>
      </c>
      <c r="G839" s="33">
        <v>2</v>
      </c>
      <c r="H839" s="33">
        <v>13</v>
      </c>
      <c r="I839" s="12" t="s">
        <v>38</v>
      </c>
      <c r="J839" s="12" t="s">
        <v>39</v>
      </c>
      <c r="K839" s="73" t="s">
        <v>29</v>
      </c>
      <c r="L839" s="13">
        <v>228403</v>
      </c>
      <c r="M839" s="13">
        <v>0</v>
      </c>
      <c r="N839" s="13">
        <v>5069</v>
      </c>
      <c r="O839" s="13">
        <v>185587</v>
      </c>
      <c r="P839" s="13">
        <v>153286</v>
      </c>
      <c r="Q839" s="13">
        <v>42815</v>
      </c>
      <c r="R839" s="13">
        <v>-12557</v>
      </c>
      <c r="S839" s="13">
        <v>2</v>
      </c>
      <c r="T839" s="81">
        <v>0</v>
      </c>
    </row>
    <row r="840" spans="1:20" ht="15" customHeight="1" x14ac:dyDescent="0.2">
      <c r="A840" s="15" t="s">
        <v>1783</v>
      </c>
      <c r="B840" s="60">
        <v>32206435</v>
      </c>
      <c r="C840" s="15" t="s">
        <v>1784</v>
      </c>
      <c r="D840" s="15"/>
      <c r="E840" s="15" t="s">
        <v>1785</v>
      </c>
      <c r="F840" s="15" t="s">
        <v>98</v>
      </c>
      <c r="G840" s="34">
        <v>3</v>
      </c>
      <c r="H840" s="34">
        <v>16</v>
      </c>
      <c r="I840" s="15" t="s">
        <v>38</v>
      </c>
      <c r="J840" s="15" t="s">
        <v>39</v>
      </c>
      <c r="K840" s="74" t="s">
        <v>29</v>
      </c>
      <c r="L840" s="16">
        <v>228176</v>
      </c>
      <c r="M840" s="16">
        <v>0</v>
      </c>
      <c r="N840" s="16">
        <v>168728</v>
      </c>
      <c r="O840" s="16">
        <v>30958</v>
      </c>
      <c r="P840" s="16">
        <v>943</v>
      </c>
      <c r="Q840" s="16">
        <v>197218</v>
      </c>
      <c r="R840" s="16">
        <v>30391</v>
      </c>
      <c r="S840" s="16">
        <v>3</v>
      </c>
      <c r="T840" s="111">
        <v>0</v>
      </c>
    </row>
    <row r="841" spans="1:20" ht="15" customHeight="1" x14ac:dyDescent="0.2">
      <c r="A841" s="12" t="s">
        <v>1786</v>
      </c>
      <c r="B841" s="56">
        <v>29759316</v>
      </c>
      <c r="C841" s="12" t="s">
        <v>1787</v>
      </c>
      <c r="D841" s="12"/>
      <c r="E841" s="12" t="s">
        <v>1788</v>
      </c>
      <c r="F841" s="12" t="s">
        <v>84</v>
      </c>
      <c r="G841" s="33">
        <v>2</v>
      </c>
      <c r="H841" s="33">
        <v>41</v>
      </c>
      <c r="I841" s="12" t="s">
        <v>564</v>
      </c>
      <c r="J841" s="12" t="s">
        <v>120</v>
      </c>
      <c r="K841" s="73" t="s">
        <v>29</v>
      </c>
      <c r="L841" s="13">
        <v>226717</v>
      </c>
      <c r="M841" s="13">
        <v>15361</v>
      </c>
      <c r="N841" s="13">
        <v>3475</v>
      </c>
      <c r="O841" s="13">
        <v>216708</v>
      </c>
      <c r="P841" s="13">
        <v>8262</v>
      </c>
      <c r="Q841" s="13">
        <v>10009</v>
      </c>
      <c r="R841" s="13">
        <v>-743</v>
      </c>
      <c r="S841" s="13">
        <v>1</v>
      </c>
      <c r="T841" s="81">
        <v>0</v>
      </c>
    </row>
    <row r="842" spans="1:20" ht="15" customHeight="1" x14ac:dyDescent="0.2">
      <c r="A842" s="15" t="s">
        <v>1789</v>
      </c>
      <c r="B842" s="60">
        <v>2031139</v>
      </c>
      <c r="C842" s="15"/>
      <c r="D842" s="15"/>
      <c r="E842" s="15"/>
      <c r="F842" s="15" t="s">
        <v>265</v>
      </c>
      <c r="G842" s="34">
        <v>2</v>
      </c>
      <c r="H842" s="34">
        <v>9</v>
      </c>
      <c r="I842" s="15" t="s">
        <v>973</v>
      </c>
      <c r="J842" s="15" t="s">
        <v>120</v>
      </c>
      <c r="K842" s="74" t="s">
        <v>29</v>
      </c>
      <c r="L842" s="16">
        <v>226339</v>
      </c>
      <c r="M842" s="16">
        <v>66297</v>
      </c>
      <c r="N842" s="16">
        <v>4508</v>
      </c>
      <c r="O842" s="16">
        <v>186123</v>
      </c>
      <c r="P842" s="16">
        <v>177585</v>
      </c>
      <c r="Q842" s="16">
        <v>40216</v>
      </c>
      <c r="R842" s="16">
        <v>4177</v>
      </c>
      <c r="S842" s="16">
        <v>0</v>
      </c>
      <c r="T842" s="111">
        <v>5</v>
      </c>
    </row>
    <row r="843" spans="1:20" ht="15" customHeight="1" x14ac:dyDescent="0.2">
      <c r="A843" s="12" t="s">
        <v>1790</v>
      </c>
      <c r="B843" s="56">
        <v>1657678</v>
      </c>
      <c r="C843" s="12"/>
      <c r="D843" s="12"/>
      <c r="E843" s="12"/>
      <c r="F843" s="12" t="s">
        <v>265</v>
      </c>
      <c r="G843" s="33">
        <v>2</v>
      </c>
      <c r="H843" s="33">
        <v>9</v>
      </c>
      <c r="I843" s="12" t="s">
        <v>1018</v>
      </c>
      <c r="J843" s="12" t="s">
        <v>120</v>
      </c>
      <c r="K843" s="73" t="s">
        <v>29</v>
      </c>
      <c r="L843" s="13">
        <v>219823</v>
      </c>
      <c r="M843" s="13">
        <v>106594</v>
      </c>
      <c r="N843" s="13">
        <v>5720</v>
      </c>
      <c r="O843" s="13">
        <v>188500</v>
      </c>
      <c r="P843" s="13">
        <v>182238</v>
      </c>
      <c r="Q843" s="13">
        <v>31323</v>
      </c>
      <c r="R843" s="13">
        <v>3910</v>
      </c>
      <c r="S843" s="13">
        <v>0</v>
      </c>
      <c r="T843" s="81">
        <v>6</v>
      </c>
    </row>
    <row r="844" spans="1:20" ht="15" customHeight="1" x14ac:dyDescent="0.2">
      <c r="A844" s="15" t="s">
        <v>1791</v>
      </c>
      <c r="B844" s="60">
        <v>22575466</v>
      </c>
      <c r="C844" s="15" t="s">
        <v>1792</v>
      </c>
      <c r="D844" s="15"/>
      <c r="E844" s="15" t="s">
        <v>1793</v>
      </c>
      <c r="F844" s="15" t="s">
        <v>84</v>
      </c>
      <c r="G844" s="34">
        <v>2</v>
      </c>
      <c r="H844" s="34">
        <v>41</v>
      </c>
      <c r="I844" s="15" t="s">
        <v>38</v>
      </c>
      <c r="J844" s="15" t="s">
        <v>39</v>
      </c>
      <c r="K844" s="74" t="s">
        <v>29</v>
      </c>
      <c r="L844" s="16">
        <v>219609</v>
      </c>
      <c r="M844" s="16">
        <v>0</v>
      </c>
      <c r="N844" s="16">
        <v>9347</v>
      </c>
      <c r="O844" s="16">
        <v>198337</v>
      </c>
      <c r="P844" s="16">
        <v>181017</v>
      </c>
      <c r="Q844" s="16">
        <v>21272</v>
      </c>
      <c r="R844" s="16">
        <v>12856</v>
      </c>
      <c r="S844" s="16">
        <v>1</v>
      </c>
      <c r="T844" s="111">
        <v>0</v>
      </c>
    </row>
    <row r="845" spans="1:20" ht="15" customHeight="1" x14ac:dyDescent="0.2">
      <c r="A845" s="12" t="s">
        <v>1794</v>
      </c>
      <c r="B845" s="56">
        <v>28080769</v>
      </c>
      <c r="C845" s="12" t="s">
        <v>799</v>
      </c>
      <c r="D845" s="12"/>
      <c r="E845" s="12" t="s">
        <v>800</v>
      </c>
      <c r="F845" s="12" t="s">
        <v>84</v>
      </c>
      <c r="G845" s="33">
        <v>2</v>
      </c>
      <c r="H845" s="33">
        <v>41</v>
      </c>
      <c r="I845" s="12" t="s">
        <v>801</v>
      </c>
      <c r="J845" s="12" t="s">
        <v>120</v>
      </c>
      <c r="K845" s="73" t="s">
        <v>29</v>
      </c>
      <c r="L845" s="13">
        <v>218166</v>
      </c>
      <c r="M845" s="13">
        <v>0</v>
      </c>
      <c r="N845" s="13">
        <v>1629</v>
      </c>
      <c r="O845" s="13">
        <v>124240</v>
      </c>
      <c r="P845" s="13">
        <v>0</v>
      </c>
      <c r="Q845" s="13">
        <v>93927</v>
      </c>
      <c r="R845" s="13">
        <v>573</v>
      </c>
      <c r="S845" s="13">
        <v>1</v>
      </c>
      <c r="T845" s="81">
        <v>0</v>
      </c>
    </row>
    <row r="846" spans="1:20" ht="15" customHeight="1" x14ac:dyDescent="0.2">
      <c r="A846" s="15" t="s">
        <v>1795</v>
      </c>
      <c r="B846" s="60">
        <v>11836226</v>
      </c>
      <c r="C846" s="15" t="s">
        <v>1796</v>
      </c>
      <c r="D846" s="15"/>
      <c r="E846" s="15" t="s">
        <v>1797</v>
      </c>
      <c r="F846" s="15" t="s">
        <v>65</v>
      </c>
      <c r="G846" s="34">
        <v>1</v>
      </c>
      <c r="H846" s="34">
        <v>30</v>
      </c>
      <c r="I846" s="15" t="s">
        <v>1357</v>
      </c>
      <c r="J846" s="15" t="s">
        <v>1358</v>
      </c>
      <c r="K846" s="74" t="s">
        <v>29</v>
      </c>
      <c r="L846" s="16">
        <v>218103</v>
      </c>
      <c r="M846" s="16">
        <v>132341</v>
      </c>
      <c r="N846" s="16">
        <v>75475</v>
      </c>
      <c r="O846" s="16">
        <v>109358</v>
      </c>
      <c r="P846" s="16">
        <v>102584</v>
      </c>
      <c r="Q846" s="16">
        <v>108745</v>
      </c>
      <c r="R846" s="16">
        <v>809</v>
      </c>
      <c r="S846" s="16">
        <v>1</v>
      </c>
      <c r="T846" s="111">
        <v>0</v>
      </c>
    </row>
    <row r="847" spans="1:20" ht="15" customHeight="1" x14ac:dyDescent="0.2">
      <c r="A847" s="12" t="s">
        <v>1798</v>
      </c>
      <c r="B847" s="56">
        <v>2338666</v>
      </c>
      <c r="C847" s="12"/>
      <c r="D847" s="12"/>
      <c r="E847" s="12"/>
      <c r="F847" s="12" t="s">
        <v>265</v>
      </c>
      <c r="G847" s="33">
        <v>2</v>
      </c>
      <c r="H847" s="33">
        <v>9</v>
      </c>
      <c r="I847" s="12" t="s">
        <v>27</v>
      </c>
      <c r="J847" s="12" t="s">
        <v>28</v>
      </c>
      <c r="K847" s="73" t="s">
        <v>29</v>
      </c>
      <c r="L847" s="13">
        <v>216980</v>
      </c>
      <c r="M847" s="13">
        <v>112091</v>
      </c>
      <c r="N847" s="13">
        <v>34277</v>
      </c>
      <c r="O847" s="13">
        <v>152983</v>
      </c>
      <c r="P847" s="13">
        <v>146774</v>
      </c>
      <c r="Q847" s="13">
        <v>63996</v>
      </c>
      <c r="R847" s="13">
        <v>609</v>
      </c>
      <c r="S847" s="13">
        <v>0</v>
      </c>
      <c r="T847" s="81">
        <v>2</v>
      </c>
    </row>
    <row r="848" spans="1:20" ht="15" customHeight="1" x14ac:dyDescent="0.2">
      <c r="A848" s="15" t="s">
        <v>1799</v>
      </c>
      <c r="B848" s="60">
        <v>13486793</v>
      </c>
      <c r="C848" s="15" t="s">
        <v>1800</v>
      </c>
      <c r="D848" s="15" t="s">
        <v>1801</v>
      </c>
      <c r="E848" s="15" t="s">
        <v>1802</v>
      </c>
      <c r="F848" s="15" t="s">
        <v>98</v>
      </c>
      <c r="G848" s="34">
        <v>2</v>
      </c>
      <c r="H848" s="34">
        <v>16</v>
      </c>
      <c r="I848" s="15" t="s">
        <v>38</v>
      </c>
      <c r="J848" s="15" t="s">
        <v>39</v>
      </c>
      <c r="K848" s="74" t="s">
        <v>29</v>
      </c>
      <c r="L848" s="16">
        <v>214859</v>
      </c>
      <c r="M848" s="16">
        <v>0</v>
      </c>
      <c r="N848" s="16">
        <v>19635</v>
      </c>
      <c r="O848" s="16">
        <v>186308</v>
      </c>
      <c r="P848" s="16">
        <v>166254</v>
      </c>
      <c r="Q848" s="16">
        <v>28552</v>
      </c>
      <c r="R848" s="16">
        <v>10780</v>
      </c>
      <c r="S848" s="16">
        <v>1</v>
      </c>
      <c r="T848" s="111">
        <v>0</v>
      </c>
    </row>
    <row r="849" spans="1:20" ht="15" customHeight="1" x14ac:dyDescent="0.2">
      <c r="A849" s="12" t="s">
        <v>1803</v>
      </c>
      <c r="B849" s="56">
        <v>162760</v>
      </c>
      <c r="C849" s="12" t="s">
        <v>252</v>
      </c>
      <c r="D849" s="12" t="s">
        <v>253</v>
      </c>
      <c r="E849" s="12" t="s">
        <v>254</v>
      </c>
      <c r="F849" s="12" t="s">
        <v>65</v>
      </c>
      <c r="G849" s="33">
        <v>3</v>
      </c>
      <c r="H849" s="33">
        <v>19</v>
      </c>
      <c r="I849" s="12" t="s">
        <v>255</v>
      </c>
      <c r="J849" s="12" t="s">
        <v>39</v>
      </c>
      <c r="K849" s="73" t="s">
        <v>29</v>
      </c>
      <c r="L849" s="13">
        <v>214564</v>
      </c>
      <c r="M849" s="13">
        <v>9126</v>
      </c>
      <c r="N849" s="13">
        <v>154925</v>
      </c>
      <c r="O849" s="13">
        <v>53788</v>
      </c>
      <c r="P849" s="13">
        <v>0</v>
      </c>
      <c r="Q849" s="13">
        <v>160776</v>
      </c>
      <c r="R849" s="13">
        <v>5160</v>
      </c>
      <c r="S849" s="13">
        <v>2</v>
      </c>
      <c r="T849" s="81">
        <v>0</v>
      </c>
    </row>
    <row r="850" spans="1:20" ht="15" customHeight="1" x14ac:dyDescent="0.2">
      <c r="A850" s="15" t="s">
        <v>1804</v>
      </c>
      <c r="B850" s="60">
        <v>49173791</v>
      </c>
      <c r="C850" s="15" t="s">
        <v>1805</v>
      </c>
      <c r="D850" s="15"/>
      <c r="E850" s="15" t="s">
        <v>1806</v>
      </c>
      <c r="F850" s="15" t="s">
        <v>65</v>
      </c>
      <c r="G850" s="34">
        <v>3</v>
      </c>
      <c r="H850" s="34">
        <v>43</v>
      </c>
      <c r="I850" s="15" t="s">
        <v>107</v>
      </c>
      <c r="J850" s="15" t="s">
        <v>39</v>
      </c>
      <c r="K850" s="74" t="s">
        <v>29</v>
      </c>
      <c r="L850" s="16">
        <v>212161</v>
      </c>
      <c r="M850" s="16">
        <v>0</v>
      </c>
      <c r="N850" s="16">
        <v>158481</v>
      </c>
      <c r="O850" s="16">
        <v>52413</v>
      </c>
      <c r="P850" s="16">
        <v>0</v>
      </c>
      <c r="Q850" s="16">
        <v>159749</v>
      </c>
      <c r="R850" s="16">
        <v>8990</v>
      </c>
      <c r="S850" s="16">
        <v>2</v>
      </c>
      <c r="T850" s="111">
        <v>0</v>
      </c>
    </row>
    <row r="851" spans="1:20" ht="15" customHeight="1" x14ac:dyDescent="0.2">
      <c r="A851" s="12" t="s">
        <v>1807</v>
      </c>
      <c r="B851" s="56">
        <v>34711571</v>
      </c>
      <c r="C851" s="12" t="s">
        <v>56</v>
      </c>
      <c r="D851" s="12" t="s">
        <v>57</v>
      </c>
      <c r="E851" s="12" t="s">
        <v>58</v>
      </c>
      <c r="F851" s="12" t="s">
        <v>98</v>
      </c>
      <c r="G851" s="33">
        <v>2</v>
      </c>
      <c r="H851" s="33">
        <v>16</v>
      </c>
      <c r="I851" s="12" t="s">
        <v>53</v>
      </c>
      <c r="J851" s="12" t="s">
        <v>54</v>
      </c>
      <c r="K851" s="73" t="s">
        <v>29</v>
      </c>
      <c r="L851" s="13">
        <v>210736</v>
      </c>
      <c r="M851" s="13">
        <v>0</v>
      </c>
      <c r="N851" s="13">
        <v>135765</v>
      </c>
      <c r="O851" s="13">
        <v>19065</v>
      </c>
      <c r="P851" s="13">
        <v>0</v>
      </c>
      <c r="Q851" s="13">
        <v>191671</v>
      </c>
      <c r="R851" s="13">
        <v>7966</v>
      </c>
      <c r="S851" s="13">
        <v>2</v>
      </c>
      <c r="T851" s="81">
        <v>0</v>
      </c>
    </row>
    <row r="852" spans="1:20" ht="15" customHeight="1" x14ac:dyDescent="0.2">
      <c r="A852" s="15" t="s">
        <v>1808</v>
      </c>
      <c r="B852" s="60">
        <v>37554441</v>
      </c>
      <c r="C852" s="15"/>
      <c r="D852" s="15"/>
      <c r="E852" s="15"/>
      <c r="F852" s="15" t="s">
        <v>265</v>
      </c>
      <c r="G852" s="34">
        <v>2</v>
      </c>
      <c r="H852" s="34">
        <v>9</v>
      </c>
      <c r="I852" s="15" t="s">
        <v>400</v>
      </c>
      <c r="J852" s="15" t="s">
        <v>401</v>
      </c>
      <c r="K852" s="74" t="s">
        <v>29</v>
      </c>
      <c r="L852" s="16">
        <v>207463</v>
      </c>
      <c r="M852" s="16">
        <v>84847</v>
      </c>
      <c r="N852" s="16">
        <v>2469</v>
      </c>
      <c r="O852" s="16">
        <v>161310</v>
      </c>
      <c r="P852" s="16">
        <v>148585</v>
      </c>
      <c r="Q852" s="16">
        <v>46152</v>
      </c>
      <c r="R852" s="16">
        <v>4005</v>
      </c>
      <c r="S852" s="16">
        <v>0</v>
      </c>
      <c r="T852" s="111">
        <v>5</v>
      </c>
    </row>
    <row r="853" spans="1:20" ht="15" customHeight="1" x14ac:dyDescent="0.2">
      <c r="A853" s="12" t="s">
        <v>1809</v>
      </c>
      <c r="B853" s="56">
        <v>5410056</v>
      </c>
      <c r="C853" s="12"/>
      <c r="D853" s="12"/>
      <c r="E853" s="12"/>
      <c r="F853" s="12" t="s">
        <v>265</v>
      </c>
      <c r="G853" s="33">
        <v>2</v>
      </c>
      <c r="H853" s="33">
        <v>9</v>
      </c>
      <c r="I853" s="12" t="s">
        <v>1810</v>
      </c>
      <c r="J853" s="12" t="s">
        <v>217</v>
      </c>
      <c r="K853" s="73" t="s">
        <v>29</v>
      </c>
      <c r="L853" s="13">
        <v>207391</v>
      </c>
      <c r="M853" s="13">
        <v>146038</v>
      </c>
      <c r="N853" s="13">
        <v>5426</v>
      </c>
      <c r="O853" s="13">
        <v>187591</v>
      </c>
      <c r="P853" s="13">
        <v>135600</v>
      </c>
      <c r="Q853" s="13">
        <v>19800</v>
      </c>
      <c r="R853" s="13">
        <v>-513</v>
      </c>
      <c r="S853" s="13">
        <v>0</v>
      </c>
      <c r="T853" s="81">
        <v>7</v>
      </c>
    </row>
    <row r="854" spans="1:20" ht="15" customHeight="1" x14ac:dyDescent="0.2">
      <c r="A854" s="15" t="s">
        <v>1811</v>
      </c>
      <c r="B854" s="60">
        <v>4525997</v>
      </c>
      <c r="C854" s="15"/>
      <c r="D854" s="15"/>
      <c r="E854" s="15"/>
      <c r="F854" s="15" t="s">
        <v>265</v>
      </c>
      <c r="G854" s="34">
        <v>2</v>
      </c>
      <c r="H854" s="34">
        <v>9</v>
      </c>
      <c r="I854" s="15" t="s">
        <v>782</v>
      </c>
      <c r="J854" s="15" t="s">
        <v>74</v>
      </c>
      <c r="K854" s="74" t="s">
        <v>29</v>
      </c>
      <c r="L854" s="16">
        <v>206267</v>
      </c>
      <c r="M854" s="16">
        <v>116761</v>
      </c>
      <c r="N854" s="16">
        <v>73519</v>
      </c>
      <c r="O854" s="16">
        <v>181499</v>
      </c>
      <c r="P854" s="16">
        <v>153729</v>
      </c>
      <c r="Q854" s="16">
        <v>24768</v>
      </c>
      <c r="R854" s="16">
        <v>-513</v>
      </c>
      <c r="S854" s="16">
        <v>0</v>
      </c>
      <c r="T854" s="111">
        <v>1</v>
      </c>
    </row>
    <row r="855" spans="1:20" ht="15" customHeight="1" x14ac:dyDescent="0.2">
      <c r="A855" s="12" t="s">
        <v>1812</v>
      </c>
      <c r="B855" s="56">
        <v>804046</v>
      </c>
      <c r="C855" s="12"/>
      <c r="D855" s="12"/>
      <c r="E855" s="12"/>
      <c r="F855" s="12" t="s">
        <v>265</v>
      </c>
      <c r="G855" s="33">
        <v>2</v>
      </c>
      <c r="H855" s="33">
        <v>9</v>
      </c>
      <c r="I855" s="12" t="s">
        <v>1813</v>
      </c>
      <c r="J855" s="12" t="s">
        <v>120</v>
      </c>
      <c r="K855" s="73" t="s">
        <v>29</v>
      </c>
      <c r="L855" s="13">
        <v>204350</v>
      </c>
      <c r="M855" s="13">
        <v>113549</v>
      </c>
      <c r="N855" s="13">
        <v>4399</v>
      </c>
      <c r="O855" s="13">
        <v>170129</v>
      </c>
      <c r="P855" s="13">
        <v>143148</v>
      </c>
      <c r="Q855" s="13">
        <v>34220</v>
      </c>
      <c r="R855" s="13">
        <v>2575</v>
      </c>
      <c r="S855" s="13">
        <v>0</v>
      </c>
      <c r="T855" s="81">
        <v>0</v>
      </c>
    </row>
    <row r="856" spans="1:20" ht="15" customHeight="1" x14ac:dyDescent="0.2">
      <c r="A856" s="15" t="s">
        <v>1814</v>
      </c>
      <c r="B856" s="60">
        <v>13728156</v>
      </c>
      <c r="C856" s="15" t="s">
        <v>1815</v>
      </c>
      <c r="D856" s="15" t="s">
        <v>1816</v>
      </c>
      <c r="E856" s="15" t="s">
        <v>1817</v>
      </c>
      <c r="F856" s="15" t="s">
        <v>98</v>
      </c>
      <c r="G856" s="34">
        <v>3</v>
      </c>
      <c r="H856" s="34">
        <v>21</v>
      </c>
      <c r="I856" s="15" t="s">
        <v>38</v>
      </c>
      <c r="J856" s="15" t="s">
        <v>39</v>
      </c>
      <c r="K856" s="74" t="s">
        <v>29</v>
      </c>
      <c r="L856" s="16">
        <v>201668</v>
      </c>
      <c r="M856" s="16">
        <v>0</v>
      </c>
      <c r="N856" s="16">
        <v>8155</v>
      </c>
      <c r="O856" s="16">
        <v>48255</v>
      </c>
      <c r="P856" s="16">
        <v>0</v>
      </c>
      <c r="Q856" s="16">
        <v>153413</v>
      </c>
      <c r="R856" s="16">
        <v>2352</v>
      </c>
      <c r="S856" s="16">
        <v>2</v>
      </c>
      <c r="T856" s="111">
        <v>0</v>
      </c>
    </row>
    <row r="857" spans="1:20" ht="15" customHeight="1" x14ac:dyDescent="0.2">
      <c r="A857" s="12" t="s">
        <v>1818</v>
      </c>
      <c r="B857" s="56">
        <v>30507541</v>
      </c>
      <c r="C857" s="12" t="s">
        <v>1819</v>
      </c>
      <c r="D857" s="12"/>
      <c r="E857" s="12" t="s">
        <v>1820</v>
      </c>
      <c r="F857" s="12" t="s">
        <v>84</v>
      </c>
      <c r="G857" s="33">
        <v>2</v>
      </c>
      <c r="H857" s="33">
        <v>41</v>
      </c>
      <c r="I857" s="12" t="s">
        <v>107</v>
      </c>
      <c r="J857" s="12" t="s">
        <v>39</v>
      </c>
      <c r="K857" s="73" t="s">
        <v>29</v>
      </c>
      <c r="L857" s="13">
        <v>200059</v>
      </c>
      <c r="M857" s="13">
        <v>0</v>
      </c>
      <c r="N857" s="13">
        <v>176589</v>
      </c>
      <c r="O857" s="13">
        <v>193964</v>
      </c>
      <c r="P857" s="13">
        <v>187798</v>
      </c>
      <c r="Q857" s="13">
        <v>6095</v>
      </c>
      <c r="R857" s="13">
        <v>938</v>
      </c>
      <c r="S857" s="13">
        <v>1</v>
      </c>
      <c r="T857" s="81">
        <v>0</v>
      </c>
    </row>
    <row r="858" spans="1:20" ht="15" customHeight="1" x14ac:dyDescent="0.2">
      <c r="A858" s="15" t="s">
        <v>1821</v>
      </c>
      <c r="B858" s="60">
        <v>14630124</v>
      </c>
      <c r="C858" s="15" t="s">
        <v>1822</v>
      </c>
      <c r="D858" s="15"/>
      <c r="E858" s="15" t="s">
        <v>1823</v>
      </c>
      <c r="F858" s="15" t="s">
        <v>84</v>
      </c>
      <c r="G858" s="34">
        <v>2</v>
      </c>
      <c r="H858" s="34">
        <v>41</v>
      </c>
      <c r="I858" s="15" t="s">
        <v>73</v>
      </c>
      <c r="J858" s="15" t="s">
        <v>74</v>
      </c>
      <c r="K858" s="74" t="s">
        <v>29</v>
      </c>
      <c r="L858" s="16">
        <v>199921</v>
      </c>
      <c r="M858" s="16">
        <v>0</v>
      </c>
      <c r="N858" s="16">
        <v>6912</v>
      </c>
      <c r="O858" s="16">
        <v>179013</v>
      </c>
      <c r="P858" s="16">
        <v>5596</v>
      </c>
      <c r="Q858" s="16">
        <v>20907</v>
      </c>
      <c r="R858" s="16">
        <v>11507</v>
      </c>
      <c r="S858" s="16">
        <v>1</v>
      </c>
      <c r="T858" s="111">
        <v>0</v>
      </c>
    </row>
    <row r="859" spans="1:20" ht="15" customHeight="1" x14ac:dyDescent="0.2">
      <c r="A859" s="12" t="s">
        <v>1824</v>
      </c>
      <c r="B859" s="56">
        <v>93026847</v>
      </c>
      <c r="C859" s="12" t="s">
        <v>86</v>
      </c>
      <c r="D859" s="12" t="s">
        <v>87</v>
      </c>
      <c r="E859" s="12" t="s">
        <v>88</v>
      </c>
      <c r="F859" s="12" t="s">
        <v>98</v>
      </c>
      <c r="G859" s="33">
        <v>1</v>
      </c>
      <c r="H859" s="33">
        <v>15</v>
      </c>
      <c r="I859" s="12" t="s">
        <v>73</v>
      </c>
      <c r="J859" s="12" t="s">
        <v>74</v>
      </c>
      <c r="K859" s="73" t="s">
        <v>29</v>
      </c>
      <c r="L859" s="13">
        <v>199097</v>
      </c>
      <c r="M859" s="13">
        <v>0</v>
      </c>
      <c r="N859" s="13">
        <v>70002</v>
      </c>
      <c r="O859" s="13">
        <v>20525</v>
      </c>
      <c r="P859" s="13">
        <v>2577</v>
      </c>
      <c r="Q859" s="13">
        <v>178572</v>
      </c>
      <c r="R859" s="13">
        <v>21299</v>
      </c>
      <c r="S859" s="13">
        <v>2</v>
      </c>
      <c r="T859" s="81">
        <v>0</v>
      </c>
    </row>
    <row r="860" spans="1:20" ht="15" customHeight="1" x14ac:dyDescent="0.2">
      <c r="A860" s="15" t="s">
        <v>1825</v>
      </c>
      <c r="B860" s="60">
        <v>44189447</v>
      </c>
      <c r="C860" s="15" t="s">
        <v>1826</v>
      </c>
      <c r="D860" s="15"/>
      <c r="E860" s="15" t="s">
        <v>1827</v>
      </c>
      <c r="F860" s="15" t="s">
        <v>26</v>
      </c>
      <c r="G860" s="34">
        <v>3</v>
      </c>
      <c r="H860" s="34">
        <v>28</v>
      </c>
      <c r="I860" s="15" t="s">
        <v>38</v>
      </c>
      <c r="J860" s="15" t="s">
        <v>39</v>
      </c>
      <c r="K860" s="74" t="s">
        <v>29</v>
      </c>
      <c r="L860" s="16">
        <v>197601</v>
      </c>
      <c r="M860" s="16">
        <v>42411</v>
      </c>
      <c r="N860" s="16">
        <v>53499</v>
      </c>
      <c r="O860" s="16">
        <v>48387</v>
      </c>
      <c r="P860" s="16">
        <v>43051</v>
      </c>
      <c r="Q860" s="16">
        <v>149214</v>
      </c>
      <c r="R860" s="16">
        <v>2830</v>
      </c>
      <c r="S860" s="16">
        <v>2</v>
      </c>
      <c r="T860" s="111">
        <v>0</v>
      </c>
    </row>
    <row r="861" spans="1:20" ht="15" customHeight="1" x14ac:dyDescent="0.2">
      <c r="A861" s="12" t="s">
        <v>1828</v>
      </c>
      <c r="B861" s="56">
        <v>5597773</v>
      </c>
      <c r="C861" s="12"/>
      <c r="D861" s="12"/>
      <c r="E861" s="12"/>
      <c r="F861" s="12" t="s">
        <v>265</v>
      </c>
      <c r="G861" s="33">
        <v>2</v>
      </c>
      <c r="H861" s="33">
        <v>9</v>
      </c>
      <c r="I861" s="12" t="s">
        <v>1829</v>
      </c>
      <c r="J861" s="12" t="s">
        <v>432</v>
      </c>
      <c r="K861" s="73" t="s">
        <v>29</v>
      </c>
      <c r="L861" s="13">
        <v>196834</v>
      </c>
      <c r="M861" s="13">
        <v>98570</v>
      </c>
      <c r="N861" s="13">
        <v>8153</v>
      </c>
      <c r="O861" s="13">
        <v>155397</v>
      </c>
      <c r="P861" s="13">
        <v>135066</v>
      </c>
      <c r="Q861" s="13">
        <v>41437</v>
      </c>
      <c r="R861" s="13">
        <v>3677</v>
      </c>
      <c r="S861" s="13">
        <v>0</v>
      </c>
      <c r="T861" s="81">
        <v>3</v>
      </c>
    </row>
    <row r="862" spans="1:20" ht="15" customHeight="1" x14ac:dyDescent="0.2">
      <c r="A862" s="15" t="s">
        <v>1830</v>
      </c>
      <c r="B862" s="60">
        <v>60394079</v>
      </c>
      <c r="C862" s="15" t="s">
        <v>35</v>
      </c>
      <c r="D862" s="15" t="s">
        <v>36</v>
      </c>
      <c r="E862" s="15" t="s">
        <v>37</v>
      </c>
      <c r="F862" s="15" t="s">
        <v>26</v>
      </c>
      <c r="G862" s="34">
        <v>2</v>
      </c>
      <c r="H862" s="34">
        <v>8</v>
      </c>
      <c r="I862" s="15" t="s">
        <v>38</v>
      </c>
      <c r="J862" s="15" t="s">
        <v>39</v>
      </c>
      <c r="K862" s="74" t="s">
        <v>29</v>
      </c>
      <c r="L862" s="16">
        <v>193882</v>
      </c>
      <c r="M862" s="16">
        <v>0</v>
      </c>
      <c r="N862" s="16">
        <v>1237</v>
      </c>
      <c r="O862" s="16">
        <v>15522</v>
      </c>
      <c r="P862" s="16">
        <v>0</v>
      </c>
      <c r="Q862" s="16">
        <v>178360</v>
      </c>
      <c r="R862" s="16">
        <v>6329</v>
      </c>
      <c r="S862" s="16">
        <v>2</v>
      </c>
      <c r="T862" s="111">
        <v>0</v>
      </c>
    </row>
    <row r="863" spans="1:20" ht="15" customHeight="1" x14ac:dyDescent="0.2">
      <c r="A863" s="12" t="s">
        <v>1831</v>
      </c>
      <c r="B863" s="56">
        <v>44128548</v>
      </c>
      <c r="C863" s="12" t="s">
        <v>1832</v>
      </c>
      <c r="D863" s="12"/>
      <c r="E863" s="12" t="s">
        <v>1833</v>
      </c>
      <c r="F863" s="12" t="s">
        <v>84</v>
      </c>
      <c r="G863" s="33">
        <v>3</v>
      </c>
      <c r="H863" s="33">
        <v>41</v>
      </c>
      <c r="I863" s="12" t="s">
        <v>38</v>
      </c>
      <c r="J863" s="12" t="s">
        <v>39</v>
      </c>
      <c r="K863" s="73" t="s">
        <v>29</v>
      </c>
      <c r="L863" s="13">
        <v>192020</v>
      </c>
      <c r="M863" s="13">
        <v>51606</v>
      </c>
      <c r="N863" s="13">
        <v>106757</v>
      </c>
      <c r="O863" s="13">
        <v>172049</v>
      </c>
      <c r="P863" s="13">
        <v>0</v>
      </c>
      <c r="Q863" s="13">
        <v>19971</v>
      </c>
      <c r="R863" s="13">
        <v>-3174</v>
      </c>
      <c r="S863" s="13">
        <v>1</v>
      </c>
      <c r="T863" s="81">
        <v>0</v>
      </c>
    </row>
    <row r="864" spans="1:20" ht="15" customHeight="1" x14ac:dyDescent="0.2">
      <c r="A864" s="15" t="s">
        <v>1834</v>
      </c>
      <c r="B864" s="60">
        <v>2254376</v>
      </c>
      <c r="C864" s="15"/>
      <c r="D864" s="15"/>
      <c r="E864" s="15"/>
      <c r="F864" s="15" t="s">
        <v>265</v>
      </c>
      <c r="G864" s="34">
        <v>2</v>
      </c>
      <c r="H864" s="34">
        <v>9</v>
      </c>
      <c r="I864" s="15" t="s">
        <v>1835</v>
      </c>
      <c r="J864" s="15" t="s">
        <v>120</v>
      </c>
      <c r="K864" s="74" t="s">
        <v>29</v>
      </c>
      <c r="L864" s="16">
        <v>190467</v>
      </c>
      <c r="M864" s="16">
        <v>47468</v>
      </c>
      <c r="N864" s="16">
        <v>4238</v>
      </c>
      <c r="O864" s="16">
        <v>161836</v>
      </c>
      <c r="P864" s="16">
        <v>159044</v>
      </c>
      <c r="Q864" s="16">
        <v>28630</v>
      </c>
      <c r="R864" s="16">
        <v>3586</v>
      </c>
      <c r="S864" s="16">
        <v>0</v>
      </c>
      <c r="T864" s="111">
        <v>1</v>
      </c>
    </row>
    <row r="865" spans="1:20" ht="15" customHeight="1" x14ac:dyDescent="0.2">
      <c r="A865" s="12" t="s">
        <v>1836</v>
      </c>
      <c r="B865" s="56">
        <v>806535</v>
      </c>
      <c r="C865" s="12" t="s">
        <v>1837</v>
      </c>
      <c r="D865" s="12" t="s">
        <v>1838</v>
      </c>
      <c r="E865" s="12" t="s">
        <v>1839</v>
      </c>
      <c r="F865" s="12" t="s">
        <v>98</v>
      </c>
      <c r="G865" s="33">
        <v>2</v>
      </c>
      <c r="H865" s="33">
        <v>15</v>
      </c>
      <c r="I865" s="12" t="s">
        <v>38</v>
      </c>
      <c r="J865" s="12" t="s">
        <v>39</v>
      </c>
      <c r="K865" s="73" t="s">
        <v>29</v>
      </c>
      <c r="L865" s="13">
        <v>190445</v>
      </c>
      <c r="M865" s="13">
        <v>0</v>
      </c>
      <c r="N865" s="13">
        <v>73636</v>
      </c>
      <c r="O865" s="13">
        <v>211830</v>
      </c>
      <c r="P865" s="13">
        <v>153286</v>
      </c>
      <c r="Q865" s="13">
        <v>-21385</v>
      </c>
      <c r="R865" s="13">
        <v>-36048</v>
      </c>
      <c r="S865" s="13">
        <v>3</v>
      </c>
      <c r="T865" s="81">
        <v>0</v>
      </c>
    </row>
    <row r="866" spans="1:20" ht="15" customHeight="1" x14ac:dyDescent="0.2">
      <c r="A866" s="15" t="s">
        <v>1840</v>
      </c>
      <c r="B866" s="60">
        <v>52046299</v>
      </c>
      <c r="C866" s="15"/>
      <c r="D866" s="15"/>
      <c r="E866" s="15"/>
      <c r="F866" s="15" t="s">
        <v>265</v>
      </c>
      <c r="G866" s="34">
        <v>2</v>
      </c>
      <c r="H866" s="34">
        <v>9</v>
      </c>
      <c r="I866" s="15" t="s">
        <v>38</v>
      </c>
      <c r="J866" s="15" t="s">
        <v>39</v>
      </c>
      <c r="K866" s="74" t="s">
        <v>29</v>
      </c>
      <c r="L866" s="16">
        <v>190193</v>
      </c>
      <c r="M866" s="16">
        <v>79646</v>
      </c>
      <c r="N866" s="16">
        <v>100355</v>
      </c>
      <c r="O866" s="16">
        <v>20568</v>
      </c>
      <c r="P866" s="16">
        <v>0</v>
      </c>
      <c r="Q866" s="16">
        <v>169625</v>
      </c>
      <c r="R866" s="16">
        <v>15316</v>
      </c>
      <c r="S866" s="16">
        <v>0</v>
      </c>
      <c r="T866" s="111">
        <v>0</v>
      </c>
    </row>
    <row r="867" spans="1:20" ht="15" customHeight="1" x14ac:dyDescent="0.2">
      <c r="A867" s="12" t="s">
        <v>1841</v>
      </c>
      <c r="B867" s="56">
        <v>61747085</v>
      </c>
      <c r="C867" s="12" t="s">
        <v>1842</v>
      </c>
      <c r="D867" s="12" t="s">
        <v>1843</v>
      </c>
      <c r="E867" s="12" t="s">
        <v>1844</v>
      </c>
      <c r="F867" s="12" t="s">
        <v>98</v>
      </c>
      <c r="G867" s="33">
        <v>3</v>
      </c>
      <c r="H867" s="33">
        <v>15</v>
      </c>
      <c r="I867" s="12" t="s">
        <v>38</v>
      </c>
      <c r="J867" s="12" t="s">
        <v>39</v>
      </c>
      <c r="K867" s="73" t="s">
        <v>29</v>
      </c>
      <c r="L867" s="13">
        <v>186360</v>
      </c>
      <c r="M867" s="13">
        <v>0</v>
      </c>
      <c r="N867" s="13">
        <v>99615</v>
      </c>
      <c r="O867" s="13">
        <v>85347</v>
      </c>
      <c r="P867" s="13">
        <v>2623</v>
      </c>
      <c r="Q867" s="13">
        <v>101013</v>
      </c>
      <c r="R867" s="13">
        <v>4328</v>
      </c>
      <c r="S867" s="13">
        <v>4</v>
      </c>
      <c r="T867" s="81">
        <v>0</v>
      </c>
    </row>
    <row r="868" spans="1:20" ht="15" customHeight="1" x14ac:dyDescent="0.2">
      <c r="A868" s="15" t="s">
        <v>1845</v>
      </c>
      <c r="B868" s="60">
        <v>7946216</v>
      </c>
      <c r="C868" s="15"/>
      <c r="D868" s="15"/>
      <c r="E868" s="15"/>
      <c r="F868" s="15" t="s">
        <v>265</v>
      </c>
      <c r="G868" s="34">
        <v>2</v>
      </c>
      <c r="H868" s="34">
        <v>9</v>
      </c>
      <c r="I868" s="15" t="s">
        <v>1846</v>
      </c>
      <c r="J868" s="15" t="s">
        <v>39</v>
      </c>
      <c r="K868" s="74" t="s">
        <v>29</v>
      </c>
      <c r="L868" s="16">
        <v>185907</v>
      </c>
      <c r="M868" s="16">
        <v>70087</v>
      </c>
      <c r="N868" s="16">
        <v>99383</v>
      </c>
      <c r="O868" s="16">
        <v>170298</v>
      </c>
      <c r="P868" s="16">
        <v>165546</v>
      </c>
      <c r="Q868" s="16">
        <v>15609</v>
      </c>
      <c r="R868" s="16">
        <v>-52</v>
      </c>
      <c r="S868" s="16">
        <v>0</v>
      </c>
      <c r="T868" s="111">
        <v>8</v>
      </c>
    </row>
    <row r="869" spans="1:20" ht="15" customHeight="1" x14ac:dyDescent="0.2">
      <c r="A869" s="12" t="s">
        <v>1847</v>
      </c>
      <c r="B869" s="56">
        <v>73326449</v>
      </c>
      <c r="C869" s="12"/>
      <c r="D869" s="12"/>
      <c r="E869" s="12"/>
      <c r="F869" s="12" t="s">
        <v>265</v>
      </c>
      <c r="G869" s="33">
        <v>2</v>
      </c>
      <c r="H869" s="33">
        <v>9</v>
      </c>
      <c r="I869" s="12" t="s">
        <v>445</v>
      </c>
      <c r="J869" s="12" t="s">
        <v>74</v>
      </c>
      <c r="K869" s="73" t="s">
        <v>29</v>
      </c>
      <c r="L869" s="13">
        <v>185706</v>
      </c>
      <c r="M869" s="13">
        <v>99288</v>
      </c>
      <c r="N869" s="13">
        <v>16275</v>
      </c>
      <c r="O869" s="13">
        <v>164030</v>
      </c>
      <c r="P869" s="13">
        <v>157994</v>
      </c>
      <c r="Q869" s="13">
        <v>21677</v>
      </c>
      <c r="R869" s="13">
        <v>-9978</v>
      </c>
      <c r="S869" s="13">
        <v>0</v>
      </c>
      <c r="T869" s="81">
        <v>6</v>
      </c>
    </row>
    <row r="870" spans="1:20" ht="15" customHeight="1" x14ac:dyDescent="0.2">
      <c r="A870" s="15" t="s">
        <v>1848</v>
      </c>
      <c r="B870" s="60">
        <v>32062580</v>
      </c>
      <c r="C870" s="15" t="s">
        <v>352</v>
      </c>
      <c r="D870" s="15" t="s">
        <v>353</v>
      </c>
      <c r="E870" s="15" t="s">
        <v>354</v>
      </c>
      <c r="F870" s="15" t="s">
        <v>26</v>
      </c>
      <c r="G870" s="34">
        <v>3</v>
      </c>
      <c r="H870" s="34">
        <v>8</v>
      </c>
      <c r="I870" s="15" t="s">
        <v>38</v>
      </c>
      <c r="J870" s="15" t="s">
        <v>39</v>
      </c>
      <c r="K870" s="74" t="s">
        <v>29</v>
      </c>
      <c r="L870" s="16">
        <v>181906</v>
      </c>
      <c r="M870" s="16">
        <v>175552</v>
      </c>
      <c r="N870" s="16">
        <v>0</v>
      </c>
      <c r="O870" s="16">
        <v>18685</v>
      </c>
      <c r="P870" s="16">
        <v>13710</v>
      </c>
      <c r="Q870" s="16">
        <v>163221</v>
      </c>
      <c r="R870" s="16">
        <v>7077</v>
      </c>
      <c r="S870" s="16">
        <v>2</v>
      </c>
      <c r="T870" s="111">
        <v>0</v>
      </c>
    </row>
    <row r="871" spans="1:20" ht="15" customHeight="1" x14ac:dyDescent="0.2">
      <c r="A871" s="12" t="s">
        <v>1849</v>
      </c>
      <c r="B871" s="56">
        <v>22639377</v>
      </c>
      <c r="C871" s="12" t="s">
        <v>1850</v>
      </c>
      <c r="D871" s="12"/>
      <c r="E871" s="12" t="s">
        <v>1851</v>
      </c>
      <c r="F871" s="12" t="s">
        <v>65</v>
      </c>
      <c r="G871" s="33">
        <v>2</v>
      </c>
      <c r="H871" s="33">
        <v>14</v>
      </c>
      <c r="I871" s="12" t="s">
        <v>1852</v>
      </c>
      <c r="J871" s="12" t="s">
        <v>74</v>
      </c>
      <c r="K871" s="73" t="s">
        <v>29</v>
      </c>
      <c r="L871" s="13">
        <v>180024</v>
      </c>
      <c r="M871" s="13">
        <v>163348</v>
      </c>
      <c r="N871" s="13">
        <v>8024</v>
      </c>
      <c r="O871" s="13">
        <v>154507</v>
      </c>
      <c r="P871" s="13">
        <v>141453</v>
      </c>
      <c r="Q871" s="13">
        <v>25516</v>
      </c>
      <c r="R871" s="13">
        <v>1290</v>
      </c>
      <c r="S871" s="13">
        <v>2</v>
      </c>
      <c r="T871" s="81">
        <v>0</v>
      </c>
    </row>
    <row r="872" spans="1:20" ht="15" customHeight="1" x14ac:dyDescent="0.2">
      <c r="A872" s="15" t="s">
        <v>1853</v>
      </c>
      <c r="B872" s="60">
        <v>37122487</v>
      </c>
      <c r="C872" s="15" t="s">
        <v>1619</v>
      </c>
      <c r="D872" s="15"/>
      <c r="E872" s="15" t="s">
        <v>1620</v>
      </c>
      <c r="F872" s="15" t="s">
        <v>65</v>
      </c>
      <c r="G872" s="34">
        <v>2</v>
      </c>
      <c r="H872" s="34">
        <v>14</v>
      </c>
      <c r="I872" s="15" t="s">
        <v>1621</v>
      </c>
      <c r="J872" s="15" t="s">
        <v>217</v>
      </c>
      <c r="K872" s="74" t="s">
        <v>29</v>
      </c>
      <c r="L872" s="16">
        <v>179977</v>
      </c>
      <c r="M872" s="16">
        <v>60128</v>
      </c>
      <c r="N872" s="16">
        <v>21873</v>
      </c>
      <c r="O872" s="16">
        <v>134205</v>
      </c>
      <c r="P872" s="16">
        <v>128012</v>
      </c>
      <c r="Q872" s="16">
        <v>45772</v>
      </c>
      <c r="R872" s="16">
        <v>7868</v>
      </c>
      <c r="S872" s="16">
        <v>2</v>
      </c>
      <c r="T872" s="111">
        <v>0</v>
      </c>
    </row>
    <row r="873" spans="1:20" ht="15" customHeight="1" x14ac:dyDescent="0.2">
      <c r="A873" s="12" t="s">
        <v>1854</v>
      </c>
      <c r="B873" s="56">
        <v>9424988</v>
      </c>
      <c r="C873" s="12"/>
      <c r="D873" s="12"/>
      <c r="E873" s="12"/>
      <c r="F873" s="12" t="s">
        <v>265</v>
      </c>
      <c r="G873" s="33">
        <v>2</v>
      </c>
      <c r="H873" s="33">
        <v>9</v>
      </c>
      <c r="I873" s="12" t="s">
        <v>1855</v>
      </c>
      <c r="J873" s="12" t="s">
        <v>1209</v>
      </c>
      <c r="K873" s="73" t="s">
        <v>29</v>
      </c>
      <c r="L873" s="13">
        <v>179139</v>
      </c>
      <c r="M873" s="13">
        <v>114553</v>
      </c>
      <c r="N873" s="13">
        <v>16941</v>
      </c>
      <c r="O873" s="13">
        <v>141717</v>
      </c>
      <c r="P873" s="13">
        <v>130110</v>
      </c>
      <c r="Q873" s="13">
        <v>37421</v>
      </c>
      <c r="R873" s="13">
        <v>3711</v>
      </c>
      <c r="S873" s="13">
        <v>0</v>
      </c>
      <c r="T873" s="81">
        <v>10</v>
      </c>
    </row>
    <row r="874" spans="1:20" ht="15" customHeight="1" x14ac:dyDescent="0.2">
      <c r="A874" s="15" t="s">
        <v>1856</v>
      </c>
      <c r="B874" s="60">
        <v>39696805</v>
      </c>
      <c r="C874" s="15" t="s">
        <v>285</v>
      </c>
      <c r="D874" s="15" t="s">
        <v>286</v>
      </c>
      <c r="E874" s="15" t="s">
        <v>287</v>
      </c>
      <c r="F874" s="15" t="s">
        <v>98</v>
      </c>
      <c r="G874" s="34">
        <v>3</v>
      </c>
      <c r="H874" s="34">
        <v>15</v>
      </c>
      <c r="I874" s="15" t="s">
        <v>38</v>
      </c>
      <c r="J874" s="15" t="s">
        <v>39</v>
      </c>
      <c r="K874" s="74" t="s">
        <v>29</v>
      </c>
      <c r="L874" s="16">
        <v>178846</v>
      </c>
      <c r="M874" s="16">
        <v>0</v>
      </c>
      <c r="N874" s="16">
        <v>13166</v>
      </c>
      <c r="O874" s="16">
        <v>115760</v>
      </c>
      <c r="P874" s="16">
        <v>0</v>
      </c>
      <c r="Q874" s="16">
        <v>63086</v>
      </c>
      <c r="R874" s="16">
        <v>-1168</v>
      </c>
      <c r="S874" s="16">
        <v>2</v>
      </c>
      <c r="T874" s="111">
        <v>0</v>
      </c>
    </row>
    <row r="875" spans="1:20" ht="15" customHeight="1" x14ac:dyDescent="0.2">
      <c r="A875" s="12" t="s">
        <v>1857</v>
      </c>
      <c r="B875" s="56">
        <v>54647259</v>
      </c>
      <c r="C875" s="12" t="s">
        <v>396</v>
      </c>
      <c r="D875" s="12" t="s">
        <v>397</v>
      </c>
      <c r="E875" s="12" t="s">
        <v>397</v>
      </c>
      <c r="F875" s="12" t="s">
        <v>65</v>
      </c>
      <c r="G875" s="33">
        <v>2</v>
      </c>
      <c r="H875" s="33">
        <v>43</v>
      </c>
      <c r="I875" s="12" t="s">
        <v>73</v>
      </c>
      <c r="J875" s="12" t="s">
        <v>74</v>
      </c>
      <c r="K875" s="73" t="s">
        <v>29</v>
      </c>
      <c r="L875" s="13">
        <v>177781</v>
      </c>
      <c r="M875" s="13">
        <v>53456</v>
      </c>
      <c r="N875" s="13">
        <v>111802</v>
      </c>
      <c r="O875" s="13">
        <v>41467</v>
      </c>
      <c r="P875" s="13">
        <v>0</v>
      </c>
      <c r="Q875" s="13">
        <v>136314</v>
      </c>
      <c r="R875" s="13">
        <v>78214</v>
      </c>
      <c r="S875" s="13">
        <v>2</v>
      </c>
      <c r="T875" s="81">
        <v>0</v>
      </c>
    </row>
    <row r="876" spans="1:20" ht="15" customHeight="1" x14ac:dyDescent="0.2">
      <c r="A876" s="15" t="s">
        <v>1858</v>
      </c>
      <c r="B876" s="60">
        <v>7314204</v>
      </c>
      <c r="C876" s="15" t="s">
        <v>1859</v>
      </c>
      <c r="D876" s="15"/>
      <c r="E876" s="15" t="s">
        <v>1860</v>
      </c>
      <c r="F876" s="15" t="s">
        <v>84</v>
      </c>
      <c r="G876" s="34">
        <v>2</v>
      </c>
      <c r="H876" s="34">
        <v>41</v>
      </c>
      <c r="I876" s="15" t="s">
        <v>1861</v>
      </c>
      <c r="J876" s="15" t="s">
        <v>39</v>
      </c>
      <c r="K876" s="74" t="s">
        <v>29</v>
      </c>
      <c r="L876" s="16">
        <v>177465</v>
      </c>
      <c r="M876" s="16">
        <v>99231</v>
      </c>
      <c r="N876" s="16">
        <v>1561</v>
      </c>
      <c r="O876" s="16">
        <v>156860</v>
      </c>
      <c r="P876" s="16">
        <v>42875</v>
      </c>
      <c r="Q876" s="16">
        <v>20605</v>
      </c>
      <c r="R876" s="16">
        <v>-653</v>
      </c>
      <c r="S876" s="16">
        <v>1</v>
      </c>
      <c r="T876" s="111">
        <v>0</v>
      </c>
    </row>
    <row r="877" spans="1:20" ht="15" customHeight="1" x14ac:dyDescent="0.2">
      <c r="A877" s="12" t="s">
        <v>1862</v>
      </c>
      <c r="B877" s="56">
        <v>5477038</v>
      </c>
      <c r="C877" s="12"/>
      <c r="D877" s="12"/>
      <c r="E877" s="12"/>
      <c r="F877" s="12" t="s">
        <v>265</v>
      </c>
      <c r="G877" s="33">
        <v>2</v>
      </c>
      <c r="H877" s="33">
        <v>9</v>
      </c>
      <c r="I877" s="12" t="s">
        <v>1357</v>
      </c>
      <c r="J877" s="12" t="s">
        <v>1358</v>
      </c>
      <c r="K877" s="73" t="s">
        <v>29</v>
      </c>
      <c r="L877" s="13">
        <v>177424</v>
      </c>
      <c r="M877" s="13">
        <v>83618</v>
      </c>
      <c r="N877" s="13">
        <v>10680</v>
      </c>
      <c r="O877" s="13">
        <v>153477</v>
      </c>
      <c r="P877" s="13">
        <v>144462</v>
      </c>
      <c r="Q877" s="13">
        <v>23947</v>
      </c>
      <c r="R877" s="13">
        <v>-406</v>
      </c>
      <c r="S877" s="13">
        <v>0</v>
      </c>
      <c r="T877" s="81">
        <v>6</v>
      </c>
    </row>
    <row r="878" spans="1:20" ht="15" customHeight="1" x14ac:dyDescent="0.2">
      <c r="A878" s="15" t="s">
        <v>1863</v>
      </c>
      <c r="B878" s="60">
        <v>4572960</v>
      </c>
      <c r="C878" s="15"/>
      <c r="D878" s="15"/>
      <c r="E878" s="15"/>
      <c r="F878" s="15" t="s">
        <v>265</v>
      </c>
      <c r="G878" s="34">
        <v>2</v>
      </c>
      <c r="H878" s="34">
        <v>9</v>
      </c>
      <c r="I878" s="15" t="s">
        <v>216</v>
      </c>
      <c r="J878" s="15" t="s">
        <v>217</v>
      </c>
      <c r="K878" s="74" t="s">
        <v>29</v>
      </c>
      <c r="L878" s="16">
        <v>177348</v>
      </c>
      <c r="M878" s="16">
        <v>92498</v>
      </c>
      <c r="N878" s="16">
        <v>1968</v>
      </c>
      <c r="O878" s="16">
        <v>160877</v>
      </c>
      <c r="P878" s="16">
        <v>157942</v>
      </c>
      <c r="Q878" s="16">
        <v>16472</v>
      </c>
      <c r="R878" s="16">
        <v>1447</v>
      </c>
      <c r="S878" s="16">
        <v>0</v>
      </c>
      <c r="T878" s="111">
        <v>6</v>
      </c>
    </row>
    <row r="879" spans="1:20" ht="15" customHeight="1" x14ac:dyDescent="0.2">
      <c r="A879" s="12" t="s">
        <v>1864</v>
      </c>
      <c r="B879" s="56">
        <v>3941182</v>
      </c>
      <c r="C879" s="12"/>
      <c r="D879" s="12"/>
      <c r="E879" s="12"/>
      <c r="F879" s="12" t="s">
        <v>265</v>
      </c>
      <c r="G879" s="33">
        <v>2</v>
      </c>
      <c r="H879" s="33">
        <v>9</v>
      </c>
      <c r="I879" s="12" t="s">
        <v>1865</v>
      </c>
      <c r="J879" s="12" t="s">
        <v>39</v>
      </c>
      <c r="K879" s="73" t="s">
        <v>29</v>
      </c>
      <c r="L879" s="13">
        <v>173520</v>
      </c>
      <c r="M879" s="13">
        <v>89497</v>
      </c>
      <c r="N879" s="13">
        <v>22431</v>
      </c>
      <c r="O879" s="13">
        <v>157309</v>
      </c>
      <c r="P879" s="13">
        <v>137562</v>
      </c>
      <c r="Q879" s="13">
        <v>16210</v>
      </c>
      <c r="R879" s="13">
        <v>-286</v>
      </c>
      <c r="S879" s="13">
        <v>0</v>
      </c>
      <c r="T879" s="81">
        <v>5</v>
      </c>
    </row>
    <row r="880" spans="1:20" ht="15" customHeight="1" x14ac:dyDescent="0.2">
      <c r="A880" s="15" t="s">
        <v>1866</v>
      </c>
      <c r="B880" s="60">
        <v>1330387</v>
      </c>
      <c r="C880" s="15"/>
      <c r="D880" s="15"/>
      <c r="E880" s="15"/>
      <c r="F880" s="15" t="s">
        <v>265</v>
      </c>
      <c r="G880" s="34">
        <v>2</v>
      </c>
      <c r="H880" s="34">
        <v>9</v>
      </c>
      <c r="I880" s="15" t="s">
        <v>809</v>
      </c>
      <c r="J880" s="15" t="s">
        <v>229</v>
      </c>
      <c r="K880" s="74" t="s">
        <v>29</v>
      </c>
      <c r="L880" s="16">
        <v>173390</v>
      </c>
      <c r="M880" s="16">
        <v>27939</v>
      </c>
      <c r="N880" s="16">
        <v>1670</v>
      </c>
      <c r="O880" s="16">
        <v>157147</v>
      </c>
      <c r="P880" s="16">
        <v>146175</v>
      </c>
      <c r="Q880" s="16">
        <v>16243</v>
      </c>
      <c r="R880" s="16">
        <v>2581</v>
      </c>
      <c r="S880" s="16">
        <v>0</v>
      </c>
      <c r="T880" s="111">
        <v>3</v>
      </c>
    </row>
    <row r="881" spans="1:20" ht="15" customHeight="1" x14ac:dyDescent="0.2">
      <c r="A881" s="12" t="s">
        <v>1867</v>
      </c>
      <c r="B881" s="56">
        <v>24610065</v>
      </c>
      <c r="C881" s="12"/>
      <c r="D881" s="12"/>
      <c r="E881" s="12"/>
      <c r="F881" s="12" t="s">
        <v>265</v>
      </c>
      <c r="G881" s="33">
        <v>2</v>
      </c>
      <c r="H881" s="33">
        <v>9</v>
      </c>
      <c r="I881" s="12" t="s">
        <v>404</v>
      </c>
      <c r="J881" s="12" t="s">
        <v>401</v>
      </c>
      <c r="K881" s="73" t="s">
        <v>29</v>
      </c>
      <c r="L881" s="13">
        <v>173303</v>
      </c>
      <c r="M881" s="13">
        <v>123024</v>
      </c>
      <c r="N881" s="13">
        <v>4400</v>
      </c>
      <c r="O881" s="13">
        <v>148871</v>
      </c>
      <c r="P881" s="13">
        <v>144762</v>
      </c>
      <c r="Q881" s="13">
        <v>24432</v>
      </c>
      <c r="R881" s="13">
        <v>1392</v>
      </c>
      <c r="S881" s="13">
        <v>0</v>
      </c>
      <c r="T881" s="81">
        <v>3</v>
      </c>
    </row>
    <row r="882" spans="1:20" ht="15" customHeight="1" x14ac:dyDescent="0.2">
      <c r="A882" s="15" t="s">
        <v>1868</v>
      </c>
      <c r="B882" s="60">
        <v>35551187</v>
      </c>
      <c r="C882" s="15" t="s">
        <v>1869</v>
      </c>
      <c r="D882" s="15"/>
      <c r="E882" s="15" t="s">
        <v>1870</v>
      </c>
      <c r="F882" s="15" t="s">
        <v>65</v>
      </c>
      <c r="G882" s="34">
        <v>2</v>
      </c>
      <c r="H882" s="34">
        <v>14</v>
      </c>
      <c r="I882" s="15" t="s">
        <v>1049</v>
      </c>
      <c r="J882" s="15" t="s">
        <v>39</v>
      </c>
      <c r="K882" s="74" t="s">
        <v>29</v>
      </c>
      <c r="L882" s="16">
        <v>173299</v>
      </c>
      <c r="M882" s="16">
        <v>153367</v>
      </c>
      <c r="N882" s="16">
        <v>6948</v>
      </c>
      <c r="O882" s="16">
        <v>147199</v>
      </c>
      <c r="P882" s="16">
        <v>145212</v>
      </c>
      <c r="Q882" s="16">
        <v>26101</v>
      </c>
      <c r="R882" s="16">
        <v>323</v>
      </c>
      <c r="S882" s="16">
        <v>2</v>
      </c>
      <c r="T882" s="111">
        <v>0</v>
      </c>
    </row>
    <row r="883" spans="1:20" ht="15" customHeight="1" x14ac:dyDescent="0.2">
      <c r="A883" s="12" t="s">
        <v>1871</v>
      </c>
      <c r="B883" s="56">
        <v>2448839</v>
      </c>
      <c r="C883" s="12"/>
      <c r="D883" s="12"/>
      <c r="E883" s="12"/>
      <c r="F883" s="12" t="s">
        <v>265</v>
      </c>
      <c r="G883" s="33">
        <v>2</v>
      </c>
      <c r="H883" s="33">
        <v>9</v>
      </c>
      <c r="I883" s="12" t="s">
        <v>1872</v>
      </c>
      <c r="J883" s="12" t="s">
        <v>217</v>
      </c>
      <c r="K883" s="73" t="s">
        <v>29</v>
      </c>
      <c r="L883" s="13">
        <v>172499</v>
      </c>
      <c r="M883" s="13">
        <v>109767</v>
      </c>
      <c r="N883" s="13">
        <v>5647</v>
      </c>
      <c r="O883" s="13">
        <v>146857</v>
      </c>
      <c r="P883" s="13">
        <v>114979</v>
      </c>
      <c r="Q883" s="13">
        <v>25643</v>
      </c>
      <c r="R883" s="13">
        <v>780</v>
      </c>
      <c r="S883" s="13">
        <v>0</v>
      </c>
      <c r="T883" s="81">
        <v>3</v>
      </c>
    </row>
    <row r="884" spans="1:20" ht="15" customHeight="1" x14ac:dyDescent="0.2">
      <c r="A884" s="15" t="s">
        <v>1873</v>
      </c>
      <c r="B884" s="60">
        <v>28811341</v>
      </c>
      <c r="C884" s="15" t="s">
        <v>1690</v>
      </c>
      <c r="D884" s="15" t="s">
        <v>1691</v>
      </c>
      <c r="E884" s="15" t="s">
        <v>1692</v>
      </c>
      <c r="F884" s="15" t="s">
        <v>26</v>
      </c>
      <c r="G884" s="34">
        <v>3</v>
      </c>
      <c r="H884" s="34">
        <v>2</v>
      </c>
      <c r="I884" s="15" t="s">
        <v>38</v>
      </c>
      <c r="J884" s="15" t="s">
        <v>39</v>
      </c>
      <c r="K884" s="74" t="s">
        <v>29</v>
      </c>
      <c r="L884" s="16">
        <v>171689</v>
      </c>
      <c r="M884" s="16">
        <v>0</v>
      </c>
      <c r="N884" s="16">
        <v>15492</v>
      </c>
      <c r="O884" s="16">
        <v>61263</v>
      </c>
      <c r="P884" s="16">
        <v>0</v>
      </c>
      <c r="Q884" s="16">
        <v>110427</v>
      </c>
      <c r="R884" s="16">
        <v>10699</v>
      </c>
      <c r="S884" s="16">
        <v>2</v>
      </c>
      <c r="T884" s="111">
        <v>0</v>
      </c>
    </row>
    <row r="885" spans="1:20" ht="15" customHeight="1" x14ac:dyDescent="0.2">
      <c r="A885" s="12" t="s">
        <v>1874</v>
      </c>
      <c r="B885" s="56">
        <v>20757199</v>
      </c>
      <c r="C885" s="12" t="s">
        <v>1875</v>
      </c>
      <c r="D885" s="12"/>
      <c r="E885" s="12" t="s">
        <v>1876</v>
      </c>
      <c r="F885" s="12" t="s">
        <v>84</v>
      </c>
      <c r="G885" s="33">
        <v>2</v>
      </c>
      <c r="H885" s="33">
        <v>41</v>
      </c>
      <c r="I885" s="12" t="s">
        <v>38</v>
      </c>
      <c r="J885" s="12" t="s">
        <v>39</v>
      </c>
      <c r="K885" s="73" t="s">
        <v>29</v>
      </c>
      <c r="L885" s="13">
        <v>171606</v>
      </c>
      <c r="M885" s="13">
        <v>0</v>
      </c>
      <c r="N885" s="13">
        <v>39888</v>
      </c>
      <c r="O885" s="13">
        <v>133592</v>
      </c>
      <c r="P885" s="13">
        <v>123494</v>
      </c>
      <c r="Q885" s="13">
        <v>38014</v>
      </c>
      <c r="R885" s="13">
        <v>-2291</v>
      </c>
      <c r="S885" s="13">
        <v>1</v>
      </c>
      <c r="T885" s="81">
        <v>0</v>
      </c>
    </row>
    <row r="886" spans="1:20" ht="15" customHeight="1" x14ac:dyDescent="0.2">
      <c r="A886" s="15" t="s">
        <v>1877</v>
      </c>
      <c r="B886" s="60">
        <v>46277273</v>
      </c>
      <c r="C886" s="15"/>
      <c r="D886" s="15"/>
      <c r="E886" s="15"/>
      <c r="F886" s="15" t="s">
        <v>265</v>
      </c>
      <c r="G886" s="34">
        <v>2</v>
      </c>
      <c r="H886" s="34">
        <v>9</v>
      </c>
      <c r="I886" s="15" t="s">
        <v>38</v>
      </c>
      <c r="J886" s="15" t="s">
        <v>39</v>
      </c>
      <c r="K886" s="74" t="s">
        <v>29</v>
      </c>
      <c r="L886" s="16">
        <v>170226</v>
      </c>
      <c r="M886" s="16">
        <v>42149</v>
      </c>
      <c r="N886" s="16">
        <v>12</v>
      </c>
      <c r="O886" s="16">
        <v>83450</v>
      </c>
      <c r="P886" s="16">
        <v>0</v>
      </c>
      <c r="Q886" s="16">
        <v>86777</v>
      </c>
      <c r="R886" s="16">
        <v>8471</v>
      </c>
      <c r="S886" s="16">
        <v>0</v>
      </c>
      <c r="T886" s="111">
        <v>0</v>
      </c>
    </row>
    <row r="887" spans="1:20" ht="15" customHeight="1" x14ac:dyDescent="0.2">
      <c r="A887" s="12" t="s">
        <v>1878</v>
      </c>
      <c r="B887" s="56">
        <v>49654502</v>
      </c>
      <c r="C887" s="12"/>
      <c r="D887" s="12"/>
      <c r="E887" s="12"/>
      <c r="F887" s="12" t="s">
        <v>265</v>
      </c>
      <c r="G887" s="33">
        <v>2</v>
      </c>
      <c r="H887" s="33">
        <v>9</v>
      </c>
      <c r="I887" s="12" t="s">
        <v>1879</v>
      </c>
      <c r="J887" s="12" t="s">
        <v>39</v>
      </c>
      <c r="K887" s="73" t="s">
        <v>29</v>
      </c>
      <c r="L887" s="13">
        <v>169216</v>
      </c>
      <c r="M887" s="13">
        <v>69470</v>
      </c>
      <c r="N887" s="13">
        <v>94932</v>
      </c>
      <c r="O887" s="13">
        <v>12679</v>
      </c>
      <c r="P887" s="13">
        <v>0</v>
      </c>
      <c r="Q887" s="13">
        <v>156537</v>
      </c>
      <c r="R887" s="13">
        <v>9987</v>
      </c>
      <c r="S887" s="13">
        <v>0</v>
      </c>
      <c r="T887" s="81">
        <v>0</v>
      </c>
    </row>
    <row r="888" spans="1:20" ht="15" customHeight="1" x14ac:dyDescent="0.2">
      <c r="A888" s="15" t="s">
        <v>1880</v>
      </c>
      <c r="B888" s="60">
        <v>17079937</v>
      </c>
      <c r="C888" s="15" t="s">
        <v>1881</v>
      </c>
      <c r="D888" s="15"/>
      <c r="E888" s="15" t="s">
        <v>1882</v>
      </c>
      <c r="F888" s="15" t="s">
        <v>84</v>
      </c>
      <c r="G888" s="34">
        <v>3</v>
      </c>
      <c r="H888" s="34">
        <v>41</v>
      </c>
      <c r="I888" s="15" t="s">
        <v>38</v>
      </c>
      <c r="J888" s="15" t="s">
        <v>39</v>
      </c>
      <c r="K888" s="74" t="s">
        <v>29</v>
      </c>
      <c r="L888" s="16">
        <v>167872</v>
      </c>
      <c r="M888" s="16">
        <v>0</v>
      </c>
      <c r="N888" s="16">
        <v>9748</v>
      </c>
      <c r="O888" s="16">
        <v>151664</v>
      </c>
      <c r="P888" s="16">
        <v>72427</v>
      </c>
      <c r="Q888" s="16">
        <v>16207</v>
      </c>
      <c r="R888" s="16">
        <v>1377</v>
      </c>
      <c r="S888" s="16">
        <v>1</v>
      </c>
      <c r="T888" s="111">
        <v>0</v>
      </c>
    </row>
    <row r="889" spans="1:20" ht="15" customHeight="1" x14ac:dyDescent="0.2">
      <c r="A889" s="12" t="s">
        <v>1883</v>
      </c>
      <c r="B889" s="56">
        <v>64480833</v>
      </c>
      <c r="C889" s="12"/>
      <c r="D889" s="12"/>
      <c r="E889" s="12"/>
      <c r="F889" s="12" t="s">
        <v>265</v>
      </c>
      <c r="G889" s="33">
        <v>2</v>
      </c>
      <c r="H889" s="33">
        <v>9</v>
      </c>
      <c r="I889" s="12" t="s">
        <v>1884</v>
      </c>
      <c r="J889" s="12" t="s">
        <v>120</v>
      </c>
      <c r="K889" s="73" t="s">
        <v>29</v>
      </c>
      <c r="L889" s="13">
        <v>165725</v>
      </c>
      <c r="M889" s="13">
        <v>64282</v>
      </c>
      <c r="N889" s="13">
        <v>4223</v>
      </c>
      <c r="O889" s="13">
        <v>135175</v>
      </c>
      <c r="P889" s="13">
        <v>122932</v>
      </c>
      <c r="Q889" s="13">
        <v>30550</v>
      </c>
      <c r="R889" s="13">
        <v>1616</v>
      </c>
      <c r="S889" s="13">
        <v>0</v>
      </c>
      <c r="T889" s="81">
        <v>1</v>
      </c>
    </row>
    <row r="890" spans="1:20" ht="15" customHeight="1" x14ac:dyDescent="0.2">
      <c r="A890" s="15" t="s">
        <v>1885</v>
      </c>
      <c r="B890" s="60">
        <v>83836114</v>
      </c>
      <c r="C890" s="15"/>
      <c r="D890" s="15"/>
      <c r="E890" s="15"/>
      <c r="F890" s="15" t="s">
        <v>265</v>
      </c>
      <c r="G890" s="34">
        <v>2</v>
      </c>
      <c r="H890" s="34">
        <v>9</v>
      </c>
      <c r="I890" s="15" t="s">
        <v>143</v>
      </c>
      <c r="J890" s="15" t="s">
        <v>144</v>
      </c>
      <c r="K890" s="74" t="s">
        <v>29</v>
      </c>
      <c r="L890" s="16">
        <v>165105</v>
      </c>
      <c r="M890" s="16">
        <v>103080</v>
      </c>
      <c r="N890" s="16">
        <v>4466</v>
      </c>
      <c r="O890" s="16">
        <v>141837</v>
      </c>
      <c r="P890" s="16">
        <v>136416</v>
      </c>
      <c r="Q890" s="16">
        <v>23268</v>
      </c>
      <c r="R890" s="16">
        <v>-654</v>
      </c>
      <c r="S890" s="16">
        <v>0</v>
      </c>
      <c r="T890" s="111">
        <v>3</v>
      </c>
    </row>
    <row r="891" spans="1:20" ht="15" customHeight="1" x14ac:dyDescent="0.2">
      <c r="A891" s="12" t="s">
        <v>1886</v>
      </c>
      <c r="B891" s="56">
        <v>12481100</v>
      </c>
      <c r="C891" s="12" t="s">
        <v>448</v>
      </c>
      <c r="D891" s="12"/>
      <c r="E891" s="12" t="s">
        <v>450</v>
      </c>
      <c r="F891" s="12" t="s">
        <v>84</v>
      </c>
      <c r="G891" s="33">
        <v>2</v>
      </c>
      <c r="H891" s="33">
        <v>41</v>
      </c>
      <c r="I891" s="12" t="s">
        <v>38</v>
      </c>
      <c r="J891" s="12" t="s">
        <v>39</v>
      </c>
      <c r="K891" s="73" t="s">
        <v>29</v>
      </c>
      <c r="L891" s="13">
        <v>164527</v>
      </c>
      <c r="M891" s="13">
        <v>2018</v>
      </c>
      <c r="N891" s="13">
        <v>0</v>
      </c>
      <c r="O891" s="13">
        <v>157466</v>
      </c>
      <c r="P891" s="13">
        <v>113583</v>
      </c>
      <c r="Q891" s="13">
        <v>7061</v>
      </c>
      <c r="R891" s="13">
        <v>-340</v>
      </c>
      <c r="S891" s="13">
        <v>1</v>
      </c>
      <c r="T891" s="81">
        <v>0</v>
      </c>
    </row>
    <row r="892" spans="1:20" ht="15" customHeight="1" x14ac:dyDescent="0.2">
      <c r="A892" s="15" t="s">
        <v>1887</v>
      </c>
      <c r="B892" s="60">
        <v>2562412</v>
      </c>
      <c r="C892" s="15"/>
      <c r="D892" s="15"/>
      <c r="E892" s="15"/>
      <c r="F892" s="15" t="s">
        <v>265</v>
      </c>
      <c r="G892" s="34">
        <v>2</v>
      </c>
      <c r="H892" s="34">
        <v>9</v>
      </c>
      <c r="I892" s="15" t="s">
        <v>1888</v>
      </c>
      <c r="J892" s="15" t="s">
        <v>39</v>
      </c>
      <c r="K892" s="74" t="s">
        <v>29</v>
      </c>
      <c r="L892" s="16">
        <v>161052</v>
      </c>
      <c r="M892" s="16">
        <v>126152</v>
      </c>
      <c r="N892" s="16">
        <v>30053</v>
      </c>
      <c r="O892" s="16">
        <v>6519</v>
      </c>
      <c r="P892" s="16">
        <v>2313</v>
      </c>
      <c r="Q892" s="16">
        <v>154532</v>
      </c>
      <c r="R892" s="16">
        <v>11395</v>
      </c>
      <c r="S892" s="16">
        <v>0</v>
      </c>
      <c r="T892" s="111">
        <v>0</v>
      </c>
    </row>
    <row r="893" spans="1:20" ht="15" customHeight="1" x14ac:dyDescent="0.2">
      <c r="A893" s="12" t="s">
        <v>1889</v>
      </c>
      <c r="B893" s="56">
        <v>45691128</v>
      </c>
      <c r="C893" s="12"/>
      <c r="D893" s="12"/>
      <c r="E893" s="12"/>
      <c r="F893" s="12" t="s">
        <v>265</v>
      </c>
      <c r="G893" s="33">
        <v>2</v>
      </c>
      <c r="H893" s="33">
        <v>9</v>
      </c>
      <c r="I893" s="12" t="s">
        <v>587</v>
      </c>
      <c r="J893" s="12" t="s">
        <v>39</v>
      </c>
      <c r="K893" s="73" t="s">
        <v>29</v>
      </c>
      <c r="L893" s="13">
        <v>159469</v>
      </c>
      <c r="M893" s="13">
        <v>89133</v>
      </c>
      <c r="N893" s="13">
        <v>56439</v>
      </c>
      <c r="O893" s="13">
        <v>18077</v>
      </c>
      <c r="P893" s="13">
        <v>0</v>
      </c>
      <c r="Q893" s="13">
        <v>141391</v>
      </c>
      <c r="R893" s="13">
        <v>7437</v>
      </c>
      <c r="S893" s="13">
        <v>0</v>
      </c>
      <c r="T893" s="81">
        <v>0</v>
      </c>
    </row>
    <row r="894" spans="1:20" ht="15" customHeight="1" x14ac:dyDescent="0.2">
      <c r="A894" s="15" t="s">
        <v>1890</v>
      </c>
      <c r="B894" s="60">
        <v>3620772</v>
      </c>
      <c r="C894" s="15"/>
      <c r="D894" s="15"/>
      <c r="E894" s="15"/>
      <c r="F894" s="15" t="s">
        <v>265</v>
      </c>
      <c r="G894" s="34">
        <v>2</v>
      </c>
      <c r="H894" s="34">
        <v>9</v>
      </c>
      <c r="I894" s="15" t="s">
        <v>132</v>
      </c>
      <c r="J894" s="15" t="s">
        <v>133</v>
      </c>
      <c r="K894" s="74" t="s">
        <v>29</v>
      </c>
      <c r="L894" s="16">
        <v>159453</v>
      </c>
      <c r="M894" s="16">
        <v>120724</v>
      </c>
      <c r="N894" s="16">
        <v>8829</v>
      </c>
      <c r="O894" s="16">
        <v>136897</v>
      </c>
      <c r="P894" s="16">
        <v>132004</v>
      </c>
      <c r="Q894" s="16">
        <v>22556</v>
      </c>
      <c r="R894" s="16">
        <v>569</v>
      </c>
      <c r="S894" s="16">
        <v>0</v>
      </c>
      <c r="T894" s="111">
        <v>3</v>
      </c>
    </row>
    <row r="895" spans="1:20" ht="15" customHeight="1" x14ac:dyDescent="0.2">
      <c r="A895" s="12" t="s">
        <v>1891</v>
      </c>
      <c r="B895" s="56">
        <v>2528151</v>
      </c>
      <c r="C895" s="12"/>
      <c r="D895" s="12"/>
      <c r="E895" s="12"/>
      <c r="F895" s="12" t="s">
        <v>265</v>
      </c>
      <c r="G895" s="33">
        <v>2</v>
      </c>
      <c r="H895" s="33">
        <v>9</v>
      </c>
      <c r="I895" s="12" t="s">
        <v>1566</v>
      </c>
      <c r="J895" s="12" t="s">
        <v>211</v>
      </c>
      <c r="K895" s="73" t="s">
        <v>29</v>
      </c>
      <c r="L895" s="13">
        <v>158067</v>
      </c>
      <c r="M895" s="13">
        <v>105653</v>
      </c>
      <c r="N895" s="13">
        <v>13102</v>
      </c>
      <c r="O895" s="13">
        <v>122514</v>
      </c>
      <c r="P895" s="13">
        <v>116483</v>
      </c>
      <c r="Q895" s="13">
        <v>35553</v>
      </c>
      <c r="R895" s="13">
        <v>606</v>
      </c>
      <c r="S895" s="13">
        <v>0</v>
      </c>
      <c r="T895" s="81">
        <v>5</v>
      </c>
    </row>
    <row r="896" spans="1:20" ht="15" customHeight="1" x14ac:dyDescent="0.2">
      <c r="A896" s="15" t="s">
        <v>1892</v>
      </c>
      <c r="B896" s="60">
        <v>5938780</v>
      </c>
      <c r="C896" s="15" t="s">
        <v>1893</v>
      </c>
      <c r="D896" s="15"/>
      <c r="E896" s="15" t="s">
        <v>1894</v>
      </c>
      <c r="F896" s="15" t="s">
        <v>84</v>
      </c>
      <c r="G896" s="34">
        <v>2</v>
      </c>
      <c r="H896" s="34">
        <v>41</v>
      </c>
      <c r="I896" s="15" t="s">
        <v>107</v>
      </c>
      <c r="J896" s="15" t="s">
        <v>39</v>
      </c>
      <c r="K896" s="74" t="s">
        <v>29</v>
      </c>
      <c r="L896" s="16">
        <v>156161</v>
      </c>
      <c r="M896" s="16">
        <v>110756</v>
      </c>
      <c r="N896" s="16">
        <v>6405</v>
      </c>
      <c r="O896" s="16">
        <v>131435</v>
      </c>
      <c r="P896" s="16">
        <v>937</v>
      </c>
      <c r="Q896" s="16">
        <v>24727</v>
      </c>
      <c r="R896" s="16">
        <v>-4133</v>
      </c>
      <c r="S896" s="16">
        <v>1</v>
      </c>
      <c r="T896" s="111">
        <v>0</v>
      </c>
    </row>
    <row r="897" spans="1:20" ht="15" customHeight="1" x14ac:dyDescent="0.2">
      <c r="A897" s="12" t="s">
        <v>1895</v>
      </c>
      <c r="B897" s="56">
        <v>2833202</v>
      </c>
      <c r="C897" s="12"/>
      <c r="D897" s="12"/>
      <c r="E897" s="12"/>
      <c r="F897" s="12" t="s">
        <v>265</v>
      </c>
      <c r="G897" s="33">
        <v>2</v>
      </c>
      <c r="H897" s="33">
        <v>9</v>
      </c>
      <c r="I897" s="12" t="s">
        <v>1566</v>
      </c>
      <c r="J897" s="12" t="s">
        <v>211</v>
      </c>
      <c r="K897" s="73" t="s">
        <v>29</v>
      </c>
      <c r="L897" s="13">
        <v>155768</v>
      </c>
      <c r="M897" s="13">
        <v>104949</v>
      </c>
      <c r="N897" s="13">
        <v>4830</v>
      </c>
      <c r="O897" s="13">
        <v>134262</v>
      </c>
      <c r="P897" s="13">
        <v>98797</v>
      </c>
      <c r="Q897" s="13">
        <v>21506</v>
      </c>
      <c r="R897" s="13">
        <v>399</v>
      </c>
      <c r="S897" s="13">
        <v>0</v>
      </c>
      <c r="T897" s="81">
        <v>3</v>
      </c>
    </row>
    <row r="898" spans="1:20" ht="15" customHeight="1" x14ac:dyDescent="0.2">
      <c r="A898" s="15" t="s">
        <v>1896</v>
      </c>
      <c r="B898" s="60">
        <v>2794761</v>
      </c>
      <c r="C898" s="15"/>
      <c r="D898" s="15"/>
      <c r="E898" s="15"/>
      <c r="F898" s="15" t="s">
        <v>265</v>
      </c>
      <c r="G898" s="34">
        <v>2</v>
      </c>
      <c r="H898" s="34">
        <v>9</v>
      </c>
      <c r="I898" s="15" t="s">
        <v>1897</v>
      </c>
      <c r="J898" s="15" t="s">
        <v>120</v>
      </c>
      <c r="K898" s="74" t="s">
        <v>29</v>
      </c>
      <c r="L898" s="16">
        <v>155133</v>
      </c>
      <c r="M898" s="16">
        <v>50832</v>
      </c>
      <c r="N898" s="16">
        <v>5561</v>
      </c>
      <c r="O898" s="16">
        <v>116552</v>
      </c>
      <c r="P898" s="16">
        <v>112894</v>
      </c>
      <c r="Q898" s="16">
        <v>38581</v>
      </c>
      <c r="R898" s="16">
        <v>3360</v>
      </c>
      <c r="S898" s="16">
        <v>0</v>
      </c>
      <c r="T898" s="111">
        <v>2</v>
      </c>
    </row>
    <row r="899" spans="1:20" ht="15" customHeight="1" x14ac:dyDescent="0.2">
      <c r="A899" s="12" t="s">
        <v>1898</v>
      </c>
      <c r="B899" s="56">
        <v>39587424</v>
      </c>
      <c r="C899" s="12" t="s">
        <v>1899</v>
      </c>
      <c r="D899" s="12"/>
      <c r="E899" s="12" t="s">
        <v>1900</v>
      </c>
      <c r="F899" s="12" t="s">
        <v>65</v>
      </c>
      <c r="G899" s="33">
        <v>2</v>
      </c>
      <c r="H899" s="33">
        <v>43</v>
      </c>
      <c r="I899" s="12" t="s">
        <v>73</v>
      </c>
      <c r="J899" s="12" t="s">
        <v>74</v>
      </c>
      <c r="K899" s="73" t="s">
        <v>29</v>
      </c>
      <c r="L899" s="13">
        <v>154672</v>
      </c>
      <c r="M899" s="13">
        <v>30573</v>
      </c>
      <c r="N899" s="13">
        <v>1927</v>
      </c>
      <c r="O899" s="13">
        <v>113728</v>
      </c>
      <c r="P899" s="13">
        <v>81204</v>
      </c>
      <c r="Q899" s="13">
        <v>40944</v>
      </c>
      <c r="R899" s="13">
        <v>16854</v>
      </c>
      <c r="S899" s="13">
        <v>2</v>
      </c>
      <c r="T899" s="81">
        <v>0</v>
      </c>
    </row>
    <row r="900" spans="1:20" ht="15" customHeight="1" x14ac:dyDescent="0.2">
      <c r="A900" s="15" t="s">
        <v>1901</v>
      </c>
      <c r="B900" s="60">
        <v>9463721</v>
      </c>
      <c r="C900" s="15"/>
      <c r="D900" s="15"/>
      <c r="E900" s="15"/>
      <c r="F900" s="15" t="s">
        <v>265</v>
      </c>
      <c r="G900" s="34">
        <v>2</v>
      </c>
      <c r="H900" s="34">
        <v>9</v>
      </c>
      <c r="I900" s="15" t="s">
        <v>760</v>
      </c>
      <c r="J900" s="15" t="s">
        <v>217</v>
      </c>
      <c r="K900" s="74" t="s">
        <v>29</v>
      </c>
      <c r="L900" s="16">
        <v>153110</v>
      </c>
      <c r="M900" s="16">
        <v>102195</v>
      </c>
      <c r="N900" s="16">
        <v>4954</v>
      </c>
      <c r="O900" s="16">
        <v>133526</v>
      </c>
      <c r="P900" s="16">
        <v>84518</v>
      </c>
      <c r="Q900" s="16">
        <v>19584</v>
      </c>
      <c r="R900" s="16">
        <v>1767</v>
      </c>
      <c r="S900" s="16">
        <v>0</v>
      </c>
      <c r="T900" s="111">
        <v>8</v>
      </c>
    </row>
    <row r="901" spans="1:20" ht="15" customHeight="1" x14ac:dyDescent="0.2">
      <c r="A901" s="12" t="s">
        <v>1902</v>
      </c>
      <c r="B901" s="56">
        <v>18810553</v>
      </c>
      <c r="C901" s="12" t="s">
        <v>448</v>
      </c>
      <c r="D901" s="12" t="s">
        <v>449</v>
      </c>
      <c r="E901" s="12" t="s">
        <v>450</v>
      </c>
      <c r="F901" s="12" t="s">
        <v>65</v>
      </c>
      <c r="G901" s="33">
        <v>2</v>
      </c>
      <c r="H901" s="33">
        <v>10</v>
      </c>
      <c r="I901" s="12" t="s">
        <v>38</v>
      </c>
      <c r="J901" s="12" t="s">
        <v>39</v>
      </c>
      <c r="K901" s="73" t="s">
        <v>29</v>
      </c>
      <c r="L901" s="13">
        <v>152668</v>
      </c>
      <c r="M901" s="13">
        <v>121628</v>
      </c>
      <c r="N901" s="13">
        <v>13324</v>
      </c>
      <c r="O901" s="13">
        <v>126627</v>
      </c>
      <c r="P901" s="13">
        <v>120130</v>
      </c>
      <c r="Q901" s="13">
        <v>26042</v>
      </c>
      <c r="R901" s="13">
        <v>-50</v>
      </c>
      <c r="S901" s="13">
        <v>2</v>
      </c>
      <c r="T901" s="81">
        <v>0</v>
      </c>
    </row>
    <row r="902" spans="1:20" ht="15" customHeight="1" x14ac:dyDescent="0.2">
      <c r="A902" s="15" t="s">
        <v>1903</v>
      </c>
      <c r="B902" s="60">
        <v>3212823</v>
      </c>
      <c r="C902" s="15"/>
      <c r="D902" s="15"/>
      <c r="E902" s="15"/>
      <c r="F902" s="15" t="s">
        <v>265</v>
      </c>
      <c r="G902" s="34">
        <v>2</v>
      </c>
      <c r="H902" s="34">
        <v>9</v>
      </c>
      <c r="I902" s="15" t="s">
        <v>73</v>
      </c>
      <c r="J902" s="15" t="s">
        <v>74</v>
      </c>
      <c r="K902" s="74" t="s">
        <v>29</v>
      </c>
      <c r="L902" s="16">
        <v>151248</v>
      </c>
      <c r="M902" s="16">
        <v>76651</v>
      </c>
      <c r="N902" s="16">
        <v>49275</v>
      </c>
      <c r="O902" s="16">
        <v>129572</v>
      </c>
      <c r="P902" s="16">
        <v>113642</v>
      </c>
      <c r="Q902" s="16">
        <v>21676</v>
      </c>
      <c r="R902" s="16">
        <v>1083</v>
      </c>
      <c r="S902" s="16">
        <v>0</v>
      </c>
      <c r="T902" s="111">
        <v>2</v>
      </c>
    </row>
    <row r="903" spans="1:20" ht="15" customHeight="1" x14ac:dyDescent="0.2">
      <c r="A903" s="12" t="s">
        <v>1904</v>
      </c>
      <c r="B903" s="56">
        <v>2347114</v>
      </c>
      <c r="C903" s="12"/>
      <c r="D903" s="12"/>
      <c r="E903" s="12"/>
      <c r="F903" s="12" t="s">
        <v>265</v>
      </c>
      <c r="G903" s="33">
        <v>2</v>
      </c>
      <c r="H903" s="33">
        <v>9</v>
      </c>
      <c r="I903" s="12" t="s">
        <v>228</v>
      </c>
      <c r="J903" s="12" t="s">
        <v>229</v>
      </c>
      <c r="K903" s="73" t="s">
        <v>29</v>
      </c>
      <c r="L903" s="13">
        <v>149240</v>
      </c>
      <c r="M903" s="13">
        <v>57422</v>
      </c>
      <c r="N903" s="13">
        <v>53929</v>
      </c>
      <c r="O903" s="13">
        <v>120254</v>
      </c>
      <c r="P903" s="13">
        <v>116464</v>
      </c>
      <c r="Q903" s="13">
        <v>28985</v>
      </c>
      <c r="R903" s="13">
        <v>201</v>
      </c>
      <c r="S903" s="13">
        <v>0</v>
      </c>
      <c r="T903" s="81">
        <v>4</v>
      </c>
    </row>
    <row r="904" spans="1:20" ht="15" customHeight="1" x14ac:dyDescent="0.2">
      <c r="A904" s="15" t="s">
        <v>1905</v>
      </c>
      <c r="B904" s="60">
        <v>4833655</v>
      </c>
      <c r="C904" s="15"/>
      <c r="D904" s="15"/>
      <c r="E904" s="15"/>
      <c r="F904" s="15" t="s">
        <v>265</v>
      </c>
      <c r="G904" s="34">
        <v>2</v>
      </c>
      <c r="H904" s="34">
        <v>9</v>
      </c>
      <c r="I904" s="15" t="s">
        <v>38</v>
      </c>
      <c r="J904" s="15" t="s">
        <v>39</v>
      </c>
      <c r="K904" s="74" t="s">
        <v>29</v>
      </c>
      <c r="L904" s="16">
        <v>148834</v>
      </c>
      <c r="M904" s="16">
        <v>99024</v>
      </c>
      <c r="N904" s="16">
        <v>34512</v>
      </c>
      <c r="O904" s="16">
        <v>116453</v>
      </c>
      <c r="P904" s="16">
        <v>110555</v>
      </c>
      <c r="Q904" s="16">
        <v>32380</v>
      </c>
      <c r="R904" s="16">
        <v>-5493</v>
      </c>
      <c r="S904" s="16">
        <v>0</v>
      </c>
      <c r="T904" s="111">
        <v>6</v>
      </c>
    </row>
    <row r="905" spans="1:20" ht="15" customHeight="1" x14ac:dyDescent="0.2">
      <c r="A905" s="12" t="s">
        <v>1906</v>
      </c>
      <c r="B905" s="56">
        <v>8030602</v>
      </c>
      <c r="C905" s="12"/>
      <c r="D905" s="12"/>
      <c r="E905" s="12"/>
      <c r="F905" s="12" t="s">
        <v>265</v>
      </c>
      <c r="G905" s="33">
        <v>2</v>
      </c>
      <c r="H905" s="33">
        <v>9</v>
      </c>
      <c r="I905" s="12" t="s">
        <v>38</v>
      </c>
      <c r="J905" s="12" t="s">
        <v>39</v>
      </c>
      <c r="K905" s="73" t="s">
        <v>29</v>
      </c>
      <c r="L905" s="13">
        <v>148687</v>
      </c>
      <c r="M905" s="13">
        <v>4560</v>
      </c>
      <c r="N905" s="13">
        <v>143645</v>
      </c>
      <c r="O905" s="13">
        <v>131829</v>
      </c>
      <c r="P905" s="13">
        <v>130691</v>
      </c>
      <c r="Q905" s="13">
        <v>16858</v>
      </c>
      <c r="R905" s="13">
        <v>2015</v>
      </c>
      <c r="S905" s="13">
        <v>0</v>
      </c>
      <c r="T905" s="81">
        <v>0</v>
      </c>
    </row>
    <row r="906" spans="1:20" ht="15" customHeight="1" x14ac:dyDescent="0.2">
      <c r="A906" s="15" t="s">
        <v>1907</v>
      </c>
      <c r="B906" s="60">
        <v>9330158</v>
      </c>
      <c r="C906" s="15"/>
      <c r="D906" s="15"/>
      <c r="E906" s="15"/>
      <c r="F906" s="15" t="s">
        <v>265</v>
      </c>
      <c r="G906" s="34">
        <v>2</v>
      </c>
      <c r="H906" s="34">
        <v>9</v>
      </c>
      <c r="I906" s="15" t="s">
        <v>1908</v>
      </c>
      <c r="J906" s="15" t="s">
        <v>217</v>
      </c>
      <c r="K906" s="74" t="s">
        <v>29</v>
      </c>
      <c r="L906" s="16">
        <v>146990</v>
      </c>
      <c r="M906" s="16">
        <v>82584</v>
      </c>
      <c r="N906" s="16">
        <v>4534</v>
      </c>
      <c r="O906" s="16">
        <v>132935</v>
      </c>
      <c r="P906" s="16">
        <v>100770</v>
      </c>
      <c r="Q906" s="16">
        <v>14054</v>
      </c>
      <c r="R906" s="16">
        <v>-667</v>
      </c>
      <c r="S906" s="16">
        <v>0</v>
      </c>
      <c r="T906" s="111">
        <v>3</v>
      </c>
    </row>
    <row r="907" spans="1:20" ht="15" customHeight="1" x14ac:dyDescent="0.2">
      <c r="A907" s="12" t="s">
        <v>1909</v>
      </c>
      <c r="B907" s="56">
        <v>25238191</v>
      </c>
      <c r="C907" s="12" t="s">
        <v>1910</v>
      </c>
      <c r="D907" s="12"/>
      <c r="E907" s="12" t="s">
        <v>1911</v>
      </c>
      <c r="F907" s="12" t="s">
        <v>84</v>
      </c>
      <c r="G907" s="33">
        <v>2</v>
      </c>
      <c r="H907" s="33">
        <v>41</v>
      </c>
      <c r="I907" s="12" t="s">
        <v>1912</v>
      </c>
      <c r="J907" s="12" t="s">
        <v>217</v>
      </c>
      <c r="K907" s="73" t="s">
        <v>29</v>
      </c>
      <c r="L907" s="13">
        <v>145935</v>
      </c>
      <c r="M907" s="13">
        <v>0</v>
      </c>
      <c r="N907" s="13">
        <v>1902</v>
      </c>
      <c r="O907" s="13">
        <v>137868</v>
      </c>
      <c r="P907" s="13">
        <v>13078</v>
      </c>
      <c r="Q907" s="13">
        <v>8067</v>
      </c>
      <c r="R907" s="13">
        <v>347</v>
      </c>
      <c r="S907" s="13">
        <v>1</v>
      </c>
      <c r="T907" s="81">
        <v>0</v>
      </c>
    </row>
    <row r="908" spans="1:20" ht="15" customHeight="1" x14ac:dyDescent="0.2">
      <c r="A908" s="15" t="s">
        <v>1913</v>
      </c>
      <c r="B908" s="60">
        <v>4751713</v>
      </c>
      <c r="C908" s="15"/>
      <c r="D908" s="15"/>
      <c r="E908" s="15"/>
      <c r="F908" s="15" t="s">
        <v>265</v>
      </c>
      <c r="G908" s="34">
        <v>2</v>
      </c>
      <c r="H908" s="34">
        <v>9</v>
      </c>
      <c r="I908" s="15" t="s">
        <v>457</v>
      </c>
      <c r="J908" s="15" t="s">
        <v>432</v>
      </c>
      <c r="K908" s="74" t="s">
        <v>29</v>
      </c>
      <c r="L908" s="16">
        <v>145754</v>
      </c>
      <c r="M908" s="16">
        <v>79079</v>
      </c>
      <c r="N908" s="16">
        <v>9468</v>
      </c>
      <c r="O908" s="16">
        <v>107636</v>
      </c>
      <c r="P908" s="16">
        <v>102841</v>
      </c>
      <c r="Q908" s="16">
        <v>38118</v>
      </c>
      <c r="R908" s="16">
        <v>2265</v>
      </c>
      <c r="S908" s="16">
        <v>0</v>
      </c>
      <c r="T908" s="111">
        <v>4</v>
      </c>
    </row>
    <row r="909" spans="1:20" ht="15" customHeight="1" x14ac:dyDescent="0.2">
      <c r="A909" s="12" t="s">
        <v>1914</v>
      </c>
      <c r="B909" s="56">
        <v>44373041</v>
      </c>
      <c r="C909" s="12"/>
      <c r="D909" s="12"/>
      <c r="E909" s="12"/>
      <c r="F909" s="12" t="s">
        <v>265</v>
      </c>
      <c r="G909" s="33">
        <v>2</v>
      </c>
      <c r="H909" s="33">
        <v>9</v>
      </c>
      <c r="I909" s="12" t="s">
        <v>1915</v>
      </c>
      <c r="J909" s="12" t="s">
        <v>39</v>
      </c>
      <c r="K909" s="73" t="s">
        <v>29</v>
      </c>
      <c r="L909" s="13">
        <v>145359</v>
      </c>
      <c r="M909" s="13">
        <v>44426</v>
      </c>
      <c r="N909" s="13">
        <v>3112</v>
      </c>
      <c r="O909" s="13">
        <v>121399</v>
      </c>
      <c r="P909" s="13">
        <v>119385</v>
      </c>
      <c r="Q909" s="13">
        <v>23961</v>
      </c>
      <c r="R909" s="13">
        <v>1528</v>
      </c>
      <c r="S909" s="13">
        <v>0</v>
      </c>
      <c r="T909" s="81">
        <v>1</v>
      </c>
    </row>
    <row r="910" spans="1:20" ht="15" customHeight="1" x14ac:dyDescent="0.2">
      <c r="A910" s="15" t="s">
        <v>1916</v>
      </c>
      <c r="B910" s="60">
        <v>7138049</v>
      </c>
      <c r="C910" s="15" t="s">
        <v>171</v>
      </c>
      <c r="D910" s="15" t="s">
        <v>172</v>
      </c>
      <c r="E910" s="15" t="s">
        <v>173</v>
      </c>
      <c r="F910" s="15" t="s">
        <v>98</v>
      </c>
      <c r="G910" s="34">
        <v>2</v>
      </c>
      <c r="H910" s="34">
        <v>16</v>
      </c>
      <c r="I910" s="15" t="s">
        <v>38</v>
      </c>
      <c r="J910" s="15" t="s">
        <v>39</v>
      </c>
      <c r="K910" s="74" t="s">
        <v>29</v>
      </c>
      <c r="L910" s="16">
        <v>144121</v>
      </c>
      <c r="M910" s="16">
        <v>0</v>
      </c>
      <c r="N910" s="16">
        <v>9677</v>
      </c>
      <c r="O910" s="16">
        <v>66880</v>
      </c>
      <c r="P910" s="16">
        <v>42567</v>
      </c>
      <c r="Q910" s="16">
        <v>77241</v>
      </c>
      <c r="R910" s="16">
        <v>-3957</v>
      </c>
      <c r="S910" s="16">
        <v>2</v>
      </c>
      <c r="T910" s="111">
        <v>0</v>
      </c>
    </row>
    <row r="911" spans="1:20" ht="15" customHeight="1" x14ac:dyDescent="0.2">
      <c r="A911" s="12" t="s">
        <v>1917</v>
      </c>
      <c r="B911" s="56">
        <v>34006497</v>
      </c>
      <c r="C911" s="12" t="s">
        <v>1918</v>
      </c>
      <c r="D911" s="12"/>
      <c r="E911" s="12" t="s">
        <v>1919</v>
      </c>
      <c r="F911" s="12" t="s">
        <v>84</v>
      </c>
      <c r="G911" s="33">
        <v>3</v>
      </c>
      <c r="H911" s="33">
        <v>41</v>
      </c>
      <c r="I911" s="12" t="s">
        <v>38</v>
      </c>
      <c r="J911" s="12" t="s">
        <v>39</v>
      </c>
      <c r="K911" s="73" t="s">
        <v>29</v>
      </c>
      <c r="L911" s="13">
        <v>143904</v>
      </c>
      <c r="M911" s="13">
        <v>0</v>
      </c>
      <c r="N911" s="13">
        <v>108916</v>
      </c>
      <c r="O911" s="13">
        <v>131207</v>
      </c>
      <c r="P911" s="13">
        <v>107026</v>
      </c>
      <c r="Q911" s="13">
        <v>12698</v>
      </c>
      <c r="R911" s="13">
        <v>4763</v>
      </c>
      <c r="S911" s="13">
        <v>1</v>
      </c>
      <c r="T911" s="81">
        <v>0</v>
      </c>
    </row>
    <row r="912" spans="1:20" ht="15" customHeight="1" x14ac:dyDescent="0.2">
      <c r="A912" s="15" t="s">
        <v>1920</v>
      </c>
      <c r="B912" s="60">
        <v>6324872</v>
      </c>
      <c r="C912" s="15"/>
      <c r="D912" s="15"/>
      <c r="E912" s="15"/>
      <c r="F912" s="15" t="s">
        <v>265</v>
      </c>
      <c r="G912" s="34">
        <v>2</v>
      </c>
      <c r="H912" s="34">
        <v>9</v>
      </c>
      <c r="I912" s="15" t="s">
        <v>973</v>
      </c>
      <c r="J912" s="15" t="s">
        <v>120</v>
      </c>
      <c r="K912" s="74" t="s">
        <v>29</v>
      </c>
      <c r="L912" s="16">
        <v>143478</v>
      </c>
      <c r="M912" s="16">
        <v>56530</v>
      </c>
      <c r="N912" s="16">
        <v>2607</v>
      </c>
      <c r="O912" s="16">
        <v>123131</v>
      </c>
      <c r="P912" s="16">
        <v>119496</v>
      </c>
      <c r="Q912" s="16">
        <v>20348</v>
      </c>
      <c r="R912" s="16">
        <v>1601</v>
      </c>
      <c r="S912" s="16">
        <v>0</v>
      </c>
      <c r="T912" s="111">
        <v>3</v>
      </c>
    </row>
    <row r="913" spans="1:20" ht="15" customHeight="1" x14ac:dyDescent="0.2">
      <c r="A913" s="12" t="s">
        <v>1921</v>
      </c>
      <c r="B913" s="56">
        <v>44815065</v>
      </c>
      <c r="C913" s="12" t="s">
        <v>1922</v>
      </c>
      <c r="D913" s="12"/>
      <c r="E913" s="12" t="s">
        <v>1923</v>
      </c>
      <c r="F913" s="12" t="s">
        <v>84</v>
      </c>
      <c r="G913" s="33">
        <v>3</v>
      </c>
      <c r="H913" s="33">
        <v>41</v>
      </c>
      <c r="I913" s="12" t="s">
        <v>38</v>
      </c>
      <c r="J913" s="12" t="s">
        <v>39</v>
      </c>
      <c r="K913" s="73" t="s">
        <v>29</v>
      </c>
      <c r="L913" s="13">
        <v>142911</v>
      </c>
      <c r="M913" s="13">
        <v>0</v>
      </c>
      <c r="N913" s="13">
        <v>0</v>
      </c>
      <c r="O913" s="13">
        <v>127670</v>
      </c>
      <c r="P913" s="13">
        <v>125575</v>
      </c>
      <c r="Q913" s="13">
        <v>15241</v>
      </c>
      <c r="R913" s="13">
        <v>4916</v>
      </c>
      <c r="S913" s="13">
        <v>1</v>
      </c>
      <c r="T913" s="81">
        <v>0</v>
      </c>
    </row>
    <row r="914" spans="1:20" ht="15" customHeight="1" x14ac:dyDescent="0.2">
      <c r="A914" s="15" t="s">
        <v>1924</v>
      </c>
      <c r="B914" s="60">
        <v>1648418</v>
      </c>
      <c r="C914" s="15" t="s">
        <v>1925</v>
      </c>
      <c r="D914" s="15"/>
      <c r="E914" s="15" t="s">
        <v>1926</v>
      </c>
      <c r="F914" s="15" t="s">
        <v>84</v>
      </c>
      <c r="G914" s="34">
        <v>2</v>
      </c>
      <c r="H914" s="34">
        <v>41</v>
      </c>
      <c r="I914" s="15" t="s">
        <v>107</v>
      </c>
      <c r="J914" s="15" t="s">
        <v>39</v>
      </c>
      <c r="K914" s="74" t="s">
        <v>29</v>
      </c>
      <c r="L914" s="16">
        <v>141946</v>
      </c>
      <c r="M914" s="16">
        <v>0</v>
      </c>
      <c r="N914" s="16">
        <v>48623</v>
      </c>
      <c r="O914" s="16">
        <v>115334</v>
      </c>
      <c r="P914" s="16">
        <v>37206</v>
      </c>
      <c r="Q914" s="16">
        <v>26612</v>
      </c>
      <c r="R914" s="16">
        <v>7996</v>
      </c>
      <c r="S914" s="16">
        <v>1</v>
      </c>
      <c r="T914" s="111">
        <v>0</v>
      </c>
    </row>
    <row r="915" spans="1:20" ht="15" customHeight="1" x14ac:dyDescent="0.2">
      <c r="A915" s="12" t="s">
        <v>1927</v>
      </c>
      <c r="B915" s="56">
        <v>43488782</v>
      </c>
      <c r="C915" s="12"/>
      <c r="D915" s="12"/>
      <c r="E915" s="12"/>
      <c r="F915" s="12" t="s">
        <v>265</v>
      </c>
      <c r="G915" s="33">
        <v>2</v>
      </c>
      <c r="H915" s="33">
        <v>9</v>
      </c>
      <c r="I915" s="12" t="s">
        <v>38</v>
      </c>
      <c r="J915" s="12" t="s">
        <v>39</v>
      </c>
      <c r="K915" s="73" t="s">
        <v>29</v>
      </c>
      <c r="L915" s="13">
        <v>141922</v>
      </c>
      <c r="M915" s="13">
        <v>102011</v>
      </c>
      <c r="N915" s="13">
        <v>33011</v>
      </c>
      <c r="O915" s="13">
        <v>15016</v>
      </c>
      <c r="P915" s="13">
        <v>0</v>
      </c>
      <c r="Q915" s="13">
        <v>126906</v>
      </c>
      <c r="R915" s="13">
        <v>10069</v>
      </c>
      <c r="S915" s="13">
        <v>0</v>
      </c>
      <c r="T915" s="81">
        <v>0</v>
      </c>
    </row>
    <row r="916" spans="1:20" ht="15" customHeight="1" x14ac:dyDescent="0.2">
      <c r="A916" s="15" t="s">
        <v>1928</v>
      </c>
      <c r="B916" s="60">
        <v>1709266</v>
      </c>
      <c r="C916" s="15"/>
      <c r="D916" s="15"/>
      <c r="E916" s="15"/>
      <c r="F916" s="15" t="s">
        <v>265</v>
      </c>
      <c r="G916" s="34">
        <v>2</v>
      </c>
      <c r="H916" s="34">
        <v>9</v>
      </c>
      <c r="I916" s="15" t="s">
        <v>1087</v>
      </c>
      <c r="J916" s="15" t="s">
        <v>120</v>
      </c>
      <c r="K916" s="74" t="s">
        <v>29</v>
      </c>
      <c r="L916" s="16">
        <v>140128</v>
      </c>
      <c r="M916" s="16">
        <v>75758</v>
      </c>
      <c r="N916" s="16">
        <v>3855</v>
      </c>
      <c r="O916" s="16">
        <v>122531</v>
      </c>
      <c r="P916" s="16">
        <v>107514</v>
      </c>
      <c r="Q916" s="16">
        <v>17597</v>
      </c>
      <c r="R916" s="16">
        <v>1193</v>
      </c>
      <c r="S916" s="16">
        <v>0</v>
      </c>
      <c r="T916" s="111">
        <v>0</v>
      </c>
    </row>
    <row r="917" spans="1:20" ht="15" customHeight="1" x14ac:dyDescent="0.2">
      <c r="A917" s="12" t="s">
        <v>1929</v>
      </c>
      <c r="B917" s="56">
        <v>33894445</v>
      </c>
      <c r="C917" s="12" t="s">
        <v>464</v>
      </c>
      <c r="D917" s="12" t="s">
        <v>465</v>
      </c>
      <c r="E917" s="12" t="s">
        <v>466</v>
      </c>
      <c r="F917" s="12" t="s">
        <v>98</v>
      </c>
      <c r="G917" s="33">
        <v>3</v>
      </c>
      <c r="H917" s="33">
        <v>15</v>
      </c>
      <c r="I917" s="12" t="s">
        <v>38</v>
      </c>
      <c r="J917" s="12" t="s">
        <v>39</v>
      </c>
      <c r="K917" s="73" t="s">
        <v>29</v>
      </c>
      <c r="L917" s="13">
        <v>139852</v>
      </c>
      <c r="M917" s="13">
        <v>0</v>
      </c>
      <c r="N917" s="13">
        <v>37153</v>
      </c>
      <c r="O917" s="13">
        <v>27461</v>
      </c>
      <c r="P917" s="13">
        <v>0</v>
      </c>
      <c r="Q917" s="13">
        <v>112391</v>
      </c>
      <c r="R917" s="13">
        <v>2530</v>
      </c>
      <c r="S917" s="13">
        <v>2</v>
      </c>
      <c r="T917" s="81">
        <v>0</v>
      </c>
    </row>
    <row r="918" spans="1:20" ht="15" customHeight="1" x14ac:dyDescent="0.2">
      <c r="A918" s="15" t="s">
        <v>1930</v>
      </c>
      <c r="B918" s="60">
        <v>4715685</v>
      </c>
      <c r="C918" s="15"/>
      <c r="D918" s="15"/>
      <c r="E918" s="15"/>
      <c r="F918" s="15" t="s">
        <v>265</v>
      </c>
      <c r="G918" s="34">
        <v>2</v>
      </c>
      <c r="H918" s="34">
        <v>9</v>
      </c>
      <c r="I918" s="15" t="s">
        <v>216</v>
      </c>
      <c r="J918" s="15" t="s">
        <v>217</v>
      </c>
      <c r="K918" s="74" t="s">
        <v>29</v>
      </c>
      <c r="L918" s="16">
        <v>139803</v>
      </c>
      <c r="M918" s="16">
        <v>43133</v>
      </c>
      <c r="N918" s="16">
        <v>11048</v>
      </c>
      <c r="O918" s="16">
        <v>102566</v>
      </c>
      <c r="P918" s="16">
        <v>64583</v>
      </c>
      <c r="Q918" s="16">
        <v>37237</v>
      </c>
      <c r="R918" s="16">
        <v>50</v>
      </c>
      <c r="S918" s="16">
        <v>0</v>
      </c>
      <c r="T918" s="111">
        <v>2</v>
      </c>
    </row>
    <row r="919" spans="1:20" ht="15" customHeight="1" x14ac:dyDescent="0.2">
      <c r="A919" s="12" t="s">
        <v>1931</v>
      </c>
      <c r="B919" s="56">
        <v>64293582</v>
      </c>
      <c r="C919" s="12"/>
      <c r="D919" s="12"/>
      <c r="E919" s="12"/>
      <c r="F919" s="12" t="s">
        <v>265</v>
      </c>
      <c r="G919" s="33">
        <v>2</v>
      </c>
      <c r="H919" s="33">
        <v>9</v>
      </c>
      <c r="I919" s="12" t="s">
        <v>119</v>
      </c>
      <c r="J919" s="12" t="s">
        <v>120</v>
      </c>
      <c r="K919" s="73" t="s">
        <v>29</v>
      </c>
      <c r="L919" s="13">
        <v>139599</v>
      </c>
      <c r="M919" s="13">
        <v>102504</v>
      </c>
      <c r="N919" s="13">
        <v>27555</v>
      </c>
      <c r="O919" s="13">
        <v>10733</v>
      </c>
      <c r="P919" s="13">
        <v>0</v>
      </c>
      <c r="Q919" s="13">
        <v>128866</v>
      </c>
      <c r="R919" s="13">
        <v>10255</v>
      </c>
      <c r="S919" s="13">
        <v>0</v>
      </c>
      <c r="T919" s="81">
        <v>1</v>
      </c>
    </row>
    <row r="920" spans="1:20" ht="15" customHeight="1" x14ac:dyDescent="0.2">
      <c r="A920" s="15" t="s">
        <v>1932</v>
      </c>
      <c r="B920" s="60">
        <v>5667301</v>
      </c>
      <c r="C920" s="15"/>
      <c r="D920" s="15"/>
      <c r="E920" s="15"/>
      <c r="F920" s="15" t="s">
        <v>265</v>
      </c>
      <c r="G920" s="34">
        <v>2</v>
      </c>
      <c r="H920" s="34">
        <v>9</v>
      </c>
      <c r="I920" s="15" t="s">
        <v>1933</v>
      </c>
      <c r="J920" s="15" t="s">
        <v>39</v>
      </c>
      <c r="K920" s="74" t="s">
        <v>29</v>
      </c>
      <c r="L920" s="16">
        <v>137647</v>
      </c>
      <c r="M920" s="16">
        <v>56397</v>
      </c>
      <c r="N920" s="16">
        <v>67689</v>
      </c>
      <c r="O920" s="16">
        <v>99057</v>
      </c>
      <c r="P920" s="16">
        <v>93957</v>
      </c>
      <c r="Q920" s="16">
        <v>38590</v>
      </c>
      <c r="R920" s="16">
        <v>-288</v>
      </c>
      <c r="S920" s="16">
        <v>0</v>
      </c>
      <c r="T920" s="111">
        <v>5</v>
      </c>
    </row>
    <row r="921" spans="1:20" ht="15" customHeight="1" x14ac:dyDescent="0.2">
      <c r="A921" s="12" t="s">
        <v>1934</v>
      </c>
      <c r="B921" s="56">
        <v>43394419</v>
      </c>
      <c r="C921" s="12" t="s">
        <v>1935</v>
      </c>
      <c r="D921" s="12"/>
      <c r="E921" s="12" t="s">
        <v>1936</v>
      </c>
      <c r="F921" s="12" t="s">
        <v>84</v>
      </c>
      <c r="G921" s="33">
        <v>3</v>
      </c>
      <c r="H921" s="33">
        <v>41</v>
      </c>
      <c r="I921" s="12" t="s">
        <v>38</v>
      </c>
      <c r="J921" s="12" t="s">
        <v>39</v>
      </c>
      <c r="K921" s="73" t="s">
        <v>29</v>
      </c>
      <c r="L921" s="13">
        <v>137482</v>
      </c>
      <c r="M921" s="13">
        <v>0</v>
      </c>
      <c r="N921" s="13">
        <v>128728</v>
      </c>
      <c r="O921" s="13">
        <v>7569</v>
      </c>
      <c r="P921" s="13">
        <v>0</v>
      </c>
      <c r="Q921" s="13">
        <v>129913</v>
      </c>
      <c r="R921" s="13">
        <v>3234</v>
      </c>
      <c r="S921" s="13">
        <v>1</v>
      </c>
      <c r="T921" s="81">
        <v>0</v>
      </c>
    </row>
    <row r="922" spans="1:20" ht="15" customHeight="1" x14ac:dyDescent="0.2">
      <c r="A922" s="15" t="s">
        <v>1937</v>
      </c>
      <c r="B922" s="60">
        <v>19875244</v>
      </c>
      <c r="C922" s="15"/>
      <c r="D922" s="15"/>
      <c r="E922" s="15"/>
      <c r="F922" s="15" t="s">
        <v>265</v>
      </c>
      <c r="G922" s="34">
        <v>2</v>
      </c>
      <c r="H922" s="34">
        <v>9</v>
      </c>
      <c r="I922" s="15" t="s">
        <v>1938</v>
      </c>
      <c r="J922" s="15" t="s">
        <v>120</v>
      </c>
      <c r="K922" s="74" t="s">
        <v>29</v>
      </c>
      <c r="L922" s="16">
        <v>137177</v>
      </c>
      <c r="M922" s="16">
        <v>48934</v>
      </c>
      <c r="N922" s="16">
        <v>8505</v>
      </c>
      <c r="O922" s="16">
        <v>102326</v>
      </c>
      <c r="P922" s="16">
        <v>97153</v>
      </c>
      <c r="Q922" s="16">
        <v>34851</v>
      </c>
      <c r="R922" s="16">
        <v>122</v>
      </c>
      <c r="S922" s="16">
        <v>0</v>
      </c>
      <c r="T922" s="111">
        <v>4</v>
      </c>
    </row>
    <row r="923" spans="1:20" ht="15" customHeight="1" x14ac:dyDescent="0.2">
      <c r="A923" s="12" t="s">
        <v>1939</v>
      </c>
      <c r="B923" s="56">
        <v>3862898</v>
      </c>
      <c r="C923" s="12"/>
      <c r="D923" s="12"/>
      <c r="E923" s="12"/>
      <c r="F923" s="12" t="s">
        <v>265</v>
      </c>
      <c r="G923" s="33">
        <v>2</v>
      </c>
      <c r="H923" s="33">
        <v>9</v>
      </c>
      <c r="I923" s="12" t="s">
        <v>119</v>
      </c>
      <c r="J923" s="12" t="s">
        <v>120</v>
      </c>
      <c r="K923" s="73" t="s">
        <v>29</v>
      </c>
      <c r="L923" s="13">
        <v>135283</v>
      </c>
      <c r="M923" s="13">
        <v>62730</v>
      </c>
      <c r="N923" s="13">
        <v>5774</v>
      </c>
      <c r="O923" s="13">
        <v>94043</v>
      </c>
      <c r="P923" s="13">
        <v>90756</v>
      </c>
      <c r="Q923" s="13">
        <v>41239</v>
      </c>
      <c r="R923" s="13">
        <v>2833</v>
      </c>
      <c r="S923" s="13">
        <v>0</v>
      </c>
      <c r="T923" s="81">
        <v>2</v>
      </c>
    </row>
    <row r="924" spans="1:20" ht="15" customHeight="1" x14ac:dyDescent="0.2">
      <c r="A924" s="15" t="s">
        <v>1940</v>
      </c>
      <c r="B924" s="60">
        <v>44705774</v>
      </c>
      <c r="C924" s="15" t="s">
        <v>1941</v>
      </c>
      <c r="D924" s="15"/>
      <c r="E924" s="15" t="s">
        <v>1942</v>
      </c>
      <c r="F924" s="15" t="s">
        <v>65</v>
      </c>
      <c r="G924" s="34">
        <v>2</v>
      </c>
      <c r="H924" s="34">
        <v>43</v>
      </c>
      <c r="I924" s="15" t="s">
        <v>132</v>
      </c>
      <c r="J924" s="15" t="s">
        <v>133</v>
      </c>
      <c r="K924" s="74" t="s">
        <v>29</v>
      </c>
      <c r="L924" s="16">
        <v>135180</v>
      </c>
      <c r="M924" s="16">
        <v>12644</v>
      </c>
      <c r="N924" s="16">
        <v>54431</v>
      </c>
      <c r="O924" s="16">
        <v>119318</v>
      </c>
      <c r="P924" s="16">
        <v>86496</v>
      </c>
      <c r="Q924" s="16">
        <v>15861</v>
      </c>
      <c r="R924" s="16">
        <v>5453</v>
      </c>
      <c r="S924" s="16">
        <v>2</v>
      </c>
      <c r="T924" s="111">
        <v>0</v>
      </c>
    </row>
    <row r="925" spans="1:20" ht="15" customHeight="1" x14ac:dyDescent="0.2">
      <c r="A925" s="12" t="s">
        <v>1943</v>
      </c>
      <c r="B925" s="56">
        <v>4894460</v>
      </c>
      <c r="C925" s="12"/>
      <c r="D925" s="12"/>
      <c r="E925" s="12"/>
      <c r="F925" s="12" t="s">
        <v>265</v>
      </c>
      <c r="G925" s="33">
        <v>2</v>
      </c>
      <c r="H925" s="33">
        <v>9</v>
      </c>
      <c r="I925" s="12" t="s">
        <v>119</v>
      </c>
      <c r="J925" s="12" t="s">
        <v>120</v>
      </c>
      <c r="K925" s="73" t="s">
        <v>29</v>
      </c>
      <c r="L925" s="13">
        <v>134839</v>
      </c>
      <c r="M925" s="13">
        <v>52448</v>
      </c>
      <c r="N925" s="13">
        <v>4743</v>
      </c>
      <c r="O925" s="13">
        <v>76559</v>
      </c>
      <c r="P925" s="13">
        <v>69734</v>
      </c>
      <c r="Q925" s="13">
        <v>58280</v>
      </c>
      <c r="R925" s="13">
        <v>3974</v>
      </c>
      <c r="S925" s="13">
        <v>0</v>
      </c>
      <c r="T925" s="81">
        <v>2</v>
      </c>
    </row>
    <row r="926" spans="1:20" ht="15" customHeight="1" x14ac:dyDescent="0.2">
      <c r="A926" s="15" t="s">
        <v>1944</v>
      </c>
      <c r="B926" s="60">
        <v>49931906</v>
      </c>
      <c r="C926" s="15" t="s">
        <v>1945</v>
      </c>
      <c r="D926" s="15"/>
      <c r="E926" s="15" t="s">
        <v>1946</v>
      </c>
      <c r="F926" s="15" t="s">
        <v>84</v>
      </c>
      <c r="G926" s="34">
        <v>2</v>
      </c>
      <c r="H926" s="34">
        <v>41</v>
      </c>
      <c r="I926" s="15" t="s">
        <v>228</v>
      </c>
      <c r="J926" s="15" t="s">
        <v>229</v>
      </c>
      <c r="K926" s="74" t="s">
        <v>29</v>
      </c>
      <c r="L926" s="16">
        <v>133814</v>
      </c>
      <c r="M926" s="16">
        <v>0</v>
      </c>
      <c r="N926" s="16">
        <v>5115</v>
      </c>
      <c r="O926" s="16">
        <v>122796</v>
      </c>
      <c r="P926" s="16">
        <v>121830</v>
      </c>
      <c r="Q926" s="16">
        <v>11018</v>
      </c>
      <c r="R926" s="16">
        <v>1514</v>
      </c>
      <c r="S926" s="16">
        <v>1</v>
      </c>
      <c r="T926" s="111">
        <v>0</v>
      </c>
    </row>
    <row r="927" spans="1:20" ht="15" customHeight="1" x14ac:dyDescent="0.2">
      <c r="A927" s="12" t="s">
        <v>1947</v>
      </c>
      <c r="B927" s="56">
        <v>11414839</v>
      </c>
      <c r="C927" s="12" t="s">
        <v>1948</v>
      </c>
      <c r="D927" s="12"/>
      <c r="E927" s="12" t="s">
        <v>1949</v>
      </c>
      <c r="F927" s="12" t="s">
        <v>84</v>
      </c>
      <c r="G927" s="33">
        <v>2</v>
      </c>
      <c r="H927" s="33">
        <v>41</v>
      </c>
      <c r="I927" s="12" t="s">
        <v>73</v>
      </c>
      <c r="J927" s="12" t="s">
        <v>74</v>
      </c>
      <c r="K927" s="73" t="s">
        <v>29</v>
      </c>
      <c r="L927" s="13">
        <v>133376</v>
      </c>
      <c r="M927" s="13">
        <v>0</v>
      </c>
      <c r="N927" s="13">
        <v>121733</v>
      </c>
      <c r="O927" s="13">
        <v>6074</v>
      </c>
      <c r="P927" s="13">
        <v>0</v>
      </c>
      <c r="Q927" s="13">
        <v>127302</v>
      </c>
      <c r="R927" s="13">
        <v>5055</v>
      </c>
      <c r="S927" s="13">
        <v>1</v>
      </c>
      <c r="T927" s="81">
        <v>0</v>
      </c>
    </row>
    <row r="928" spans="1:20" ht="15" customHeight="1" x14ac:dyDescent="0.2">
      <c r="A928" s="15" t="s">
        <v>1950</v>
      </c>
      <c r="B928" s="60">
        <v>6078926</v>
      </c>
      <c r="C928" s="15"/>
      <c r="D928" s="15"/>
      <c r="E928" s="15"/>
      <c r="F928" s="15" t="s">
        <v>265</v>
      </c>
      <c r="G928" s="34">
        <v>2</v>
      </c>
      <c r="H928" s="34">
        <v>9</v>
      </c>
      <c r="I928" s="15" t="s">
        <v>228</v>
      </c>
      <c r="J928" s="15" t="s">
        <v>229</v>
      </c>
      <c r="K928" s="74" t="s">
        <v>29</v>
      </c>
      <c r="L928" s="16">
        <v>133305</v>
      </c>
      <c r="M928" s="16">
        <v>35008</v>
      </c>
      <c r="N928" s="16">
        <v>83684</v>
      </c>
      <c r="O928" s="16">
        <v>102601</v>
      </c>
      <c r="P928" s="16">
        <v>87959</v>
      </c>
      <c r="Q928" s="16">
        <v>30704</v>
      </c>
      <c r="R928" s="16">
        <v>5374</v>
      </c>
      <c r="S928" s="16">
        <v>0</v>
      </c>
      <c r="T928" s="111">
        <v>1</v>
      </c>
    </row>
    <row r="929" spans="1:20" ht="15" customHeight="1" x14ac:dyDescent="0.2">
      <c r="A929" s="12" t="s">
        <v>1951</v>
      </c>
      <c r="B929" s="56">
        <v>37715993</v>
      </c>
      <c r="C929" s="12" t="s">
        <v>1952</v>
      </c>
      <c r="D929" s="12"/>
      <c r="E929" s="12" t="s">
        <v>1953</v>
      </c>
      <c r="F929" s="12" t="s">
        <v>65</v>
      </c>
      <c r="G929" s="33">
        <v>2</v>
      </c>
      <c r="H929" s="33">
        <v>43</v>
      </c>
      <c r="I929" s="12" t="s">
        <v>38</v>
      </c>
      <c r="J929" s="12" t="s">
        <v>39</v>
      </c>
      <c r="K929" s="73" t="s">
        <v>29</v>
      </c>
      <c r="L929" s="13">
        <v>132611</v>
      </c>
      <c r="M929" s="13">
        <v>4235</v>
      </c>
      <c r="N929" s="13">
        <v>116825</v>
      </c>
      <c r="O929" s="13">
        <v>58405</v>
      </c>
      <c r="P929" s="13">
        <v>57037</v>
      </c>
      <c r="Q929" s="13">
        <v>74206</v>
      </c>
      <c r="R929" s="13">
        <v>1626</v>
      </c>
      <c r="S929" s="13">
        <v>2</v>
      </c>
      <c r="T929" s="81">
        <v>0</v>
      </c>
    </row>
    <row r="930" spans="1:20" ht="15" customHeight="1" x14ac:dyDescent="0.2">
      <c r="A930" s="15" t="s">
        <v>1954</v>
      </c>
      <c r="B930" s="60">
        <v>34471744</v>
      </c>
      <c r="C930" s="15" t="s">
        <v>1955</v>
      </c>
      <c r="D930" s="15"/>
      <c r="E930" s="15" t="s">
        <v>1956</v>
      </c>
      <c r="F930" s="15" t="s">
        <v>84</v>
      </c>
      <c r="G930" s="34">
        <v>2</v>
      </c>
      <c r="H930" s="34">
        <v>41</v>
      </c>
      <c r="I930" s="15" t="s">
        <v>575</v>
      </c>
      <c r="J930" s="15" t="s">
        <v>217</v>
      </c>
      <c r="K930" s="74" t="s">
        <v>29</v>
      </c>
      <c r="L930" s="16">
        <v>132048</v>
      </c>
      <c r="M930" s="16">
        <v>0</v>
      </c>
      <c r="N930" s="16">
        <v>5</v>
      </c>
      <c r="O930" s="16">
        <v>123892</v>
      </c>
      <c r="P930" s="16">
        <v>120028</v>
      </c>
      <c r="Q930" s="16">
        <v>8156</v>
      </c>
      <c r="R930" s="16">
        <v>2240</v>
      </c>
      <c r="S930" s="16">
        <v>1</v>
      </c>
      <c r="T930" s="111">
        <v>0</v>
      </c>
    </row>
    <row r="931" spans="1:20" ht="15" customHeight="1" x14ac:dyDescent="0.2">
      <c r="A931" s="12" t="s">
        <v>1957</v>
      </c>
      <c r="B931" s="56">
        <v>5076239</v>
      </c>
      <c r="C931" s="12" t="s">
        <v>35</v>
      </c>
      <c r="D931" s="12" t="s">
        <v>36</v>
      </c>
      <c r="E931" s="12" t="s">
        <v>37</v>
      </c>
      <c r="F931" s="12" t="s">
        <v>65</v>
      </c>
      <c r="G931" s="33">
        <v>2</v>
      </c>
      <c r="H931" s="33">
        <v>10</v>
      </c>
      <c r="I931" s="12" t="s">
        <v>38</v>
      </c>
      <c r="J931" s="12" t="s">
        <v>39</v>
      </c>
      <c r="K931" s="73" t="s">
        <v>29</v>
      </c>
      <c r="L931" s="13">
        <v>131593</v>
      </c>
      <c r="M931" s="13">
        <v>0</v>
      </c>
      <c r="N931" s="13">
        <v>0</v>
      </c>
      <c r="O931" s="13">
        <v>3071</v>
      </c>
      <c r="P931" s="13">
        <v>0</v>
      </c>
      <c r="Q931" s="13">
        <v>128522</v>
      </c>
      <c r="R931" s="13">
        <v>5269</v>
      </c>
      <c r="S931" s="13">
        <v>2</v>
      </c>
      <c r="T931" s="81">
        <v>0</v>
      </c>
    </row>
    <row r="932" spans="1:20" ht="15" customHeight="1" x14ac:dyDescent="0.2">
      <c r="A932" s="15" t="s">
        <v>1958</v>
      </c>
      <c r="B932" s="60">
        <v>35136120</v>
      </c>
      <c r="C932" s="15" t="s">
        <v>1959</v>
      </c>
      <c r="D932" s="15"/>
      <c r="E932" s="15" t="s">
        <v>1960</v>
      </c>
      <c r="F932" s="15" t="s">
        <v>84</v>
      </c>
      <c r="G932" s="34">
        <v>3</v>
      </c>
      <c r="H932" s="34">
        <v>41</v>
      </c>
      <c r="I932" s="15" t="s">
        <v>38</v>
      </c>
      <c r="J932" s="15" t="s">
        <v>39</v>
      </c>
      <c r="K932" s="74" t="s">
        <v>29</v>
      </c>
      <c r="L932" s="16">
        <v>131222</v>
      </c>
      <c r="M932" s="16">
        <v>0</v>
      </c>
      <c r="N932" s="16">
        <v>47737</v>
      </c>
      <c r="O932" s="16">
        <v>78132</v>
      </c>
      <c r="P932" s="16">
        <v>49552</v>
      </c>
      <c r="Q932" s="16">
        <v>53090</v>
      </c>
      <c r="R932" s="16">
        <v>4071</v>
      </c>
      <c r="S932" s="16">
        <v>1</v>
      </c>
      <c r="T932" s="111">
        <v>0</v>
      </c>
    </row>
    <row r="933" spans="1:20" ht="15" customHeight="1" x14ac:dyDescent="0.2">
      <c r="A933" s="12" t="s">
        <v>1961</v>
      </c>
      <c r="B933" s="56">
        <v>47377613</v>
      </c>
      <c r="C933" s="12" t="s">
        <v>1962</v>
      </c>
      <c r="D933" s="12"/>
      <c r="E933" s="12" t="s">
        <v>1963</v>
      </c>
      <c r="F933" s="12" t="s">
        <v>84</v>
      </c>
      <c r="G933" s="33">
        <v>2</v>
      </c>
      <c r="H933" s="33">
        <v>41</v>
      </c>
      <c r="I933" s="12" t="s">
        <v>107</v>
      </c>
      <c r="J933" s="12" t="s">
        <v>39</v>
      </c>
      <c r="K933" s="73" t="s">
        <v>29</v>
      </c>
      <c r="L933" s="13">
        <v>129822</v>
      </c>
      <c r="M933" s="13">
        <v>0</v>
      </c>
      <c r="N933" s="13">
        <v>1034</v>
      </c>
      <c r="O933" s="13">
        <v>113690</v>
      </c>
      <c r="P933" s="13">
        <v>1145</v>
      </c>
      <c r="Q933" s="13">
        <v>16132</v>
      </c>
      <c r="R933" s="13">
        <v>-239</v>
      </c>
      <c r="S933" s="13">
        <v>1</v>
      </c>
      <c r="T933" s="81">
        <v>0</v>
      </c>
    </row>
    <row r="934" spans="1:20" ht="15" customHeight="1" x14ac:dyDescent="0.2">
      <c r="A934" s="15" t="s">
        <v>1964</v>
      </c>
      <c r="B934" s="60">
        <v>9488496</v>
      </c>
      <c r="C934" s="15"/>
      <c r="D934" s="15"/>
      <c r="E934" s="15"/>
      <c r="F934" s="15" t="s">
        <v>265</v>
      </c>
      <c r="G934" s="34">
        <v>2</v>
      </c>
      <c r="H934" s="34">
        <v>9</v>
      </c>
      <c r="I934" s="15" t="s">
        <v>1965</v>
      </c>
      <c r="J934" s="15" t="s">
        <v>217</v>
      </c>
      <c r="K934" s="74" t="s">
        <v>29</v>
      </c>
      <c r="L934" s="16">
        <v>127042</v>
      </c>
      <c r="M934" s="16">
        <v>88518</v>
      </c>
      <c r="N934" s="16">
        <v>3871</v>
      </c>
      <c r="O934" s="16">
        <v>109973</v>
      </c>
      <c r="P934" s="16">
        <v>77564</v>
      </c>
      <c r="Q934" s="16">
        <v>17069</v>
      </c>
      <c r="R934" s="16">
        <v>1083</v>
      </c>
      <c r="S934" s="16">
        <v>0</v>
      </c>
      <c r="T934" s="111">
        <v>4</v>
      </c>
    </row>
    <row r="935" spans="1:20" ht="15" customHeight="1" x14ac:dyDescent="0.2">
      <c r="A935" s="12" t="s">
        <v>1966</v>
      </c>
      <c r="B935" s="56">
        <v>58290800</v>
      </c>
      <c r="C935" s="12"/>
      <c r="D935" s="12"/>
      <c r="E935" s="12"/>
      <c r="F935" s="12" t="s">
        <v>265</v>
      </c>
      <c r="G935" s="33">
        <v>2</v>
      </c>
      <c r="H935" s="33">
        <v>9</v>
      </c>
      <c r="I935" s="12" t="s">
        <v>1967</v>
      </c>
      <c r="J935" s="12" t="s">
        <v>39</v>
      </c>
      <c r="K935" s="73" t="s">
        <v>29</v>
      </c>
      <c r="L935" s="13">
        <v>126610</v>
      </c>
      <c r="M935" s="13">
        <v>86776</v>
      </c>
      <c r="N935" s="13">
        <v>34826</v>
      </c>
      <c r="O935" s="13">
        <v>3259</v>
      </c>
      <c r="P935" s="13">
        <v>0</v>
      </c>
      <c r="Q935" s="13">
        <v>123351</v>
      </c>
      <c r="R935" s="13">
        <v>8043</v>
      </c>
      <c r="S935" s="13">
        <v>0</v>
      </c>
      <c r="T935" s="81">
        <v>1</v>
      </c>
    </row>
    <row r="936" spans="1:20" ht="15" customHeight="1" x14ac:dyDescent="0.2">
      <c r="A936" s="15" t="s">
        <v>1968</v>
      </c>
      <c r="B936" s="60">
        <v>32648370</v>
      </c>
      <c r="C936" s="15" t="s">
        <v>1969</v>
      </c>
      <c r="D936" s="15"/>
      <c r="E936" s="15" t="s">
        <v>1970</v>
      </c>
      <c r="F936" s="15" t="s">
        <v>98</v>
      </c>
      <c r="G936" s="34">
        <v>2</v>
      </c>
      <c r="H936" s="34">
        <v>21</v>
      </c>
      <c r="I936" s="15" t="s">
        <v>38</v>
      </c>
      <c r="J936" s="15" t="s">
        <v>39</v>
      </c>
      <c r="K936" s="74" t="s">
        <v>29</v>
      </c>
      <c r="L936" s="16">
        <v>126171</v>
      </c>
      <c r="M936" s="16">
        <v>0</v>
      </c>
      <c r="N936" s="16">
        <v>34318</v>
      </c>
      <c r="O936" s="16">
        <v>86143</v>
      </c>
      <c r="P936" s="16">
        <v>0</v>
      </c>
      <c r="Q936" s="16">
        <v>40028</v>
      </c>
      <c r="R936" s="16">
        <v>-1303</v>
      </c>
      <c r="S936" s="16">
        <v>3</v>
      </c>
      <c r="T936" s="111">
        <v>0</v>
      </c>
    </row>
    <row r="937" spans="1:20" ht="15" customHeight="1" x14ac:dyDescent="0.2">
      <c r="A937" s="12" t="s">
        <v>1971</v>
      </c>
      <c r="B937" s="56">
        <v>40083667</v>
      </c>
      <c r="C937" s="12" t="s">
        <v>1972</v>
      </c>
      <c r="D937" s="12"/>
      <c r="E937" s="12" t="s">
        <v>1973</v>
      </c>
      <c r="F937" s="12" t="s">
        <v>65</v>
      </c>
      <c r="G937" s="33">
        <v>2</v>
      </c>
      <c r="H937" s="33">
        <v>43</v>
      </c>
      <c r="I937" s="12" t="s">
        <v>38</v>
      </c>
      <c r="J937" s="12" t="s">
        <v>39</v>
      </c>
      <c r="K937" s="73" t="s">
        <v>29</v>
      </c>
      <c r="L937" s="13">
        <v>124765</v>
      </c>
      <c r="M937" s="13">
        <v>16993</v>
      </c>
      <c r="N937" s="13">
        <v>0</v>
      </c>
      <c r="O937" s="13">
        <v>41298</v>
      </c>
      <c r="P937" s="13">
        <v>269</v>
      </c>
      <c r="Q937" s="13">
        <v>83467</v>
      </c>
      <c r="R937" s="13">
        <v>57894</v>
      </c>
      <c r="S937" s="13">
        <v>2</v>
      </c>
      <c r="T937" s="81">
        <v>0</v>
      </c>
    </row>
    <row r="938" spans="1:20" ht="15" customHeight="1" x14ac:dyDescent="0.2">
      <c r="A938" s="15" t="s">
        <v>1974</v>
      </c>
      <c r="B938" s="60">
        <v>8041950</v>
      </c>
      <c r="C938" s="15"/>
      <c r="D938" s="15"/>
      <c r="E938" s="15"/>
      <c r="F938" s="15" t="s">
        <v>265</v>
      </c>
      <c r="G938" s="34">
        <v>2</v>
      </c>
      <c r="H938" s="34">
        <v>9</v>
      </c>
      <c r="I938" s="15" t="s">
        <v>132</v>
      </c>
      <c r="J938" s="15" t="s">
        <v>133</v>
      </c>
      <c r="K938" s="74" t="s">
        <v>29</v>
      </c>
      <c r="L938" s="16">
        <v>123366</v>
      </c>
      <c r="M938" s="16">
        <v>57331</v>
      </c>
      <c r="N938" s="16">
        <v>29471</v>
      </c>
      <c r="O938" s="16">
        <v>108592</v>
      </c>
      <c r="P938" s="16">
        <v>102267</v>
      </c>
      <c r="Q938" s="16">
        <v>14774</v>
      </c>
      <c r="R938" s="16">
        <v>2308</v>
      </c>
      <c r="S938" s="16">
        <v>0</v>
      </c>
      <c r="T938" s="111">
        <v>2</v>
      </c>
    </row>
    <row r="939" spans="1:20" ht="15" customHeight="1" x14ac:dyDescent="0.2">
      <c r="A939" s="12" t="s">
        <v>1975</v>
      </c>
      <c r="B939" s="56">
        <v>10175348</v>
      </c>
      <c r="C939" s="12"/>
      <c r="D939" s="12"/>
      <c r="E939" s="12"/>
      <c r="F939" s="12" t="s">
        <v>265</v>
      </c>
      <c r="G939" s="33">
        <v>2</v>
      </c>
      <c r="H939" s="33">
        <v>9</v>
      </c>
      <c r="I939" s="12" t="s">
        <v>770</v>
      </c>
      <c r="J939" s="12" t="s">
        <v>39</v>
      </c>
      <c r="K939" s="73" t="s">
        <v>29</v>
      </c>
      <c r="L939" s="13">
        <v>121685</v>
      </c>
      <c r="M939" s="13">
        <v>44838</v>
      </c>
      <c r="N939" s="13">
        <v>70906</v>
      </c>
      <c r="O939" s="13">
        <v>103156</v>
      </c>
      <c r="P939" s="13">
        <v>99924</v>
      </c>
      <c r="Q939" s="13">
        <v>18529</v>
      </c>
      <c r="R939" s="13">
        <v>947</v>
      </c>
      <c r="S939" s="13">
        <v>0</v>
      </c>
      <c r="T939" s="81">
        <v>4</v>
      </c>
    </row>
    <row r="940" spans="1:20" ht="15" customHeight="1" x14ac:dyDescent="0.2">
      <c r="A940" s="15" t="s">
        <v>1976</v>
      </c>
      <c r="B940" s="60">
        <v>3603683</v>
      </c>
      <c r="C940" s="15"/>
      <c r="D940" s="15"/>
      <c r="E940" s="15"/>
      <c r="F940" s="15" t="s">
        <v>265</v>
      </c>
      <c r="G940" s="34">
        <v>2</v>
      </c>
      <c r="H940" s="34">
        <v>9</v>
      </c>
      <c r="I940" s="15" t="s">
        <v>27</v>
      </c>
      <c r="J940" s="15" t="s">
        <v>28</v>
      </c>
      <c r="K940" s="74" t="s">
        <v>29</v>
      </c>
      <c r="L940" s="16">
        <v>121115</v>
      </c>
      <c r="M940" s="16">
        <v>86413</v>
      </c>
      <c r="N940" s="16">
        <v>15044</v>
      </c>
      <c r="O940" s="16">
        <v>86899</v>
      </c>
      <c r="P940" s="16">
        <v>82067</v>
      </c>
      <c r="Q940" s="16">
        <v>34215</v>
      </c>
      <c r="R940" s="16">
        <v>2150</v>
      </c>
      <c r="S940" s="16">
        <v>0</v>
      </c>
      <c r="T940" s="111">
        <v>1</v>
      </c>
    </row>
    <row r="941" spans="1:20" ht="15" customHeight="1" x14ac:dyDescent="0.2">
      <c r="A941" s="12" t="s">
        <v>1977</v>
      </c>
      <c r="B941" s="56">
        <v>40473435</v>
      </c>
      <c r="C941" s="12" t="s">
        <v>41</v>
      </c>
      <c r="D941" s="12"/>
      <c r="E941" s="12" t="s">
        <v>43</v>
      </c>
      <c r="F941" s="12" t="s">
        <v>84</v>
      </c>
      <c r="G941" s="33">
        <v>2</v>
      </c>
      <c r="H941" s="33">
        <v>41</v>
      </c>
      <c r="I941" s="12" t="s">
        <v>44</v>
      </c>
      <c r="J941" s="12" t="s">
        <v>39</v>
      </c>
      <c r="K941" s="73" t="s">
        <v>29</v>
      </c>
      <c r="L941" s="13">
        <v>119144</v>
      </c>
      <c r="M941" s="13">
        <v>0</v>
      </c>
      <c r="N941" s="13">
        <v>12</v>
      </c>
      <c r="O941" s="13">
        <v>91957</v>
      </c>
      <c r="P941" s="13">
        <v>68852</v>
      </c>
      <c r="Q941" s="13">
        <v>27186</v>
      </c>
      <c r="R941" s="13">
        <v>-22223</v>
      </c>
      <c r="S941" s="13">
        <v>1</v>
      </c>
      <c r="T941" s="81">
        <v>0</v>
      </c>
    </row>
    <row r="942" spans="1:20" ht="15" customHeight="1" x14ac:dyDescent="0.2">
      <c r="A942" s="15" t="s">
        <v>1978</v>
      </c>
      <c r="B942" s="60">
        <v>11351086</v>
      </c>
      <c r="C942" s="15" t="s">
        <v>1979</v>
      </c>
      <c r="D942" s="15"/>
      <c r="E942" s="15" t="s">
        <v>1980</v>
      </c>
      <c r="F942" s="15" t="s">
        <v>84</v>
      </c>
      <c r="G942" s="34">
        <v>2</v>
      </c>
      <c r="H942" s="34">
        <v>41</v>
      </c>
      <c r="I942" s="15" t="s">
        <v>119</v>
      </c>
      <c r="J942" s="15" t="s">
        <v>120</v>
      </c>
      <c r="K942" s="74" t="s">
        <v>29</v>
      </c>
      <c r="L942" s="16">
        <v>118864</v>
      </c>
      <c r="M942" s="16">
        <v>0</v>
      </c>
      <c r="N942" s="16">
        <v>2995</v>
      </c>
      <c r="O942" s="16">
        <v>107762</v>
      </c>
      <c r="P942" s="16">
        <v>93907</v>
      </c>
      <c r="Q942" s="16">
        <v>11103</v>
      </c>
      <c r="R942" s="16">
        <v>-14104</v>
      </c>
      <c r="S942" s="16">
        <v>1</v>
      </c>
      <c r="T942" s="111">
        <v>0</v>
      </c>
    </row>
    <row r="943" spans="1:20" ht="15" customHeight="1" x14ac:dyDescent="0.2">
      <c r="A943" s="12" t="s">
        <v>1981</v>
      </c>
      <c r="B943" s="56">
        <v>26526166</v>
      </c>
      <c r="C943" s="12"/>
      <c r="D943" s="12"/>
      <c r="E943" s="12"/>
      <c r="F943" s="12" t="s">
        <v>265</v>
      </c>
      <c r="G943" s="33">
        <v>2</v>
      </c>
      <c r="H943" s="33">
        <v>9</v>
      </c>
      <c r="I943" s="12" t="s">
        <v>1982</v>
      </c>
      <c r="J943" s="12" t="s">
        <v>1209</v>
      </c>
      <c r="K943" s="73" t="s">
        <v>29</v>
      </c>
      <c r="L943" s="13">
        <v>118803</v>
      </c>
      <c r="M943" s="13">
        <v>70417</v>
      </c>
      <c r="N943" s="13">
        <v>8717</v>
      </c>
      <c r="O943" s="13">
        <v>92572</v>
      </c>
      <c r="P943" s="13">
        <v>87300</v>
      </c>
      <c r="Q943" s="13">
        <v>26231</v>
      </c>
      <c r="R943" s="13">
        <v>614</v>
      </c>
      <c r="S943" s="13">
        <v>0</v>
      </c>
      <c r="T943" s="81">
        <v>0</v>
      </c>
    </row>
    <row r="944" spans="1:20" ht="15" customHeight="1" x14ac:dyDescent="0.2">
      <c r="A944" s="15" t="s">
        <v>1983</v>
      </c>
      <c r="B944" s="60">
        <v>4913129</v>
      </c>
      <c r="C944" s="15" t="s">
        <v>1329</v>
      </c>
      <c r="D944" s="15" t="s">
        <v>1330</v>
      </c>
      <c r="E944" s="15" t="s">
        <v>1331</v>
      </c>
      <c r="F944" s="15" t="s">
        <v>98</v>
      </c>
      <c r="G944" s="34">
        <v>3</v>
      </c>
      <c r="H944" s="34">
        <v>21</v>
      </c>
      <c r="I944" s="15" t="s">
        <v>38</v>
      </c>
      <c r="J944" s="15" t="s">
        <v>39</v>
      </c>
      <c r="K944" s="74" t="s">
        <v>29</v>
      </c>
      <c r="L944" s="16">
        <v>118346</v>
      </c>
      <c r="M944" s="16">
        <v>0</v>
      </c>
      <c r="N944" s="16">
        <v>1217</v>
      </c>
      <c r="O944" s="16">
        <v>34795</v>
      </c>
      <c r="P944" s="16">
        <v>0</v>
      </c>
      <c r="Q944" s="16">
        <v>83551</v>
      </c>
      <c r="R944" s="16">
        <v>1278</v>
      </c>
      <c r="S944" s="16">
        <v>18</v>
      </c>
      <c r="T944" s="111">
        <v>0</v>
      </c>
    </row>
    <row r="945" spans="1:20" ht="15" customHeight="1" x14ac:dyDescent="0.2">
      <c r="A945" s="12" t="s">
        <v>1984</v>
      </c>
      <c r="B945" s="56">
        <v>4985665</v>
      </c>
      <c r="C945" s="12"/>
      <c r="D945" s="12"/>
      <c r="E945" s="12"/>
      <c r="F945" s="12" t="s">
        <v>265</v>
      </c>
      <c r="G945" s="33">
        <v>2</v>
      </c>
      <c r="H945" s="33">
        <v>9</v>
      </c>
      <c r="I945" s="12" t="s">
        <v>1985</v>
      </c>
      <c r="J945" s="12" t="s">
        <v>432</v>
      </c>
      <c r="K945" s="73" t="s">
        <v>29</v>
      </c>
      <c r="L945" s="13">
        <v>117781</v>
      </c>
      <c r="M945" s="13">
        <v>61829</v>
      </c>
      <c r="N945" s="13">
        <v>5519</v>
      </c>
      <c r="O945" s="13">
        <v>91804</v>
      </c>
      <c r="P945" s="13">
        <v>67216</v>
      </c>
      <c r="Q945" s="13">
        <v>25977</v>
      </c>
      <c r="R945" s="13">
        <v>1734</v>
      </c>
      <c r="S945" s="13">
        <v>0</v>
      </c>
      <c r="T945" s="81">
        <v>0</v>
      </c>
    </row>
    <row r="946" spans="1:20" ht="15" customHeight="1" x14ac:dyDescent="0.2">
      <c r="A946" s="15" t="s">
        <v>1986</v>
      </c>
      <c r="B946" s="60">
        <v>13660104</v>
      </c>
      <c r="C946" s="15" t="s">
        <v>162</v>
      </c>
      <c r="D946" s="15" t="s">
        <v>163</v>
      </c>
      <c r="E946" s="15" t="s">
        <v>164</v>
      </c>
      <c r="F946" s="15" t="s">
        <v>65</v>
      </c>
      <c r="G946" s="34">
        <v>3</v>
      </c>
      <c r="H946" s="34">
        <v>14</v>
      </c>
      <c r="I946" s="15" t="s">
        <v>165</v>
      </c>
      <c r="J946" s="15" t="s">
        <v>39</v>
      </c>
      <c r="K946" s="74" t="s">
        <v>29</v>
      </c>
      <c r="L946" s="16">
        <v>117446</v>
      </c>
      <c r="M946" s="16">
        <v>0</v>
      </c>
      <c r="N946" s="16">
        <v>15622</v>
      </c>
      <c r="O946" s="16">
        <v>70240</v>
      </c>
      <c r="P946" s="16">
        <v>0</v>
      </c>
      <c r="Q946" s="16">
        <v>47206</v>
      </c>
      <c r="R946" s="16">
        <v>3643</v>
      </c>
      <c r="S946" s="16">
        <v>2</v>
      </c>
      <c r="T946" s="111">
        <v>0</v>
      </c>
    </row>
    <row r="947" spans="1:20" ht="15" customHeight="1" x14ac:dyDescent="0.2">
      <c r="A947" s="12" t="s">
        <v>1987</v>
      </c>
      <c r="B947" s="56">
        <v>37511258</v>
      </c>
      <c r="C947" s="12" t="s">
        <v>1988</v>
      </c>
      <c r="D947" s="12"/>
      <c r="E947" s="12" t="s">
        <v>1989</v>
      </c>
      <c r="F947" s="12" t="s">
        <v>84</v>
      </c>
      <c r="G947" s="33">
        <v>2</v>
      </c>
      <c r="H947" s="33">
        <v>41</v>
      </c>
      <c r="I947" s="12" t="s">
        <v>38</v>
      </c>
      <c r="J947" s="12" t="s">
        <v>39</v>
      </c>
      <c r="K947" s="73" t="s">
        <v>29</v>
      </c>
      <c r="L947" s="13">
        <v>117084</v>
      </c>
      <c r="M947" s="13">
        <v>0</v>
      </c>
      <c r="N947" s="13">
        <v>93393</v>
      </c>
      <c r="O947" s="13">
        <v>104528</v>
      </c>
      <c r="P947" s="13">
        <v>104111</v>
      </c>
      <c r="Q947" s="13">
        <v>12556</v>
      </c>
      <c r="R947" s="13">
        <v>1750</v>
      </c>
      <c r="S947" s="13">
        <v>1</v>
      </c>
      <c r="T947" s="81">
        <v>0</v>
      </c>
    </row>
    <row r="948" spans="1:20" ht="15" customHeight="1" x14ac:dyDescent="0.2">
      <c r="A948" s="15" t="s">
        <v>1990</v>
      </c>
      <c r="B948" s="60">
        <v>50871921</v>
      </c>
      <c r="C948" s="15" t="s">
        <v>1991</v>
      </c>
      <c r="D948" s="15"/>
      <c r="E948" s="15" t="s">
        <v>1992</v>
      </c>
      <c r="F948" s="15" t="s">
        <v>84</v>
      </c>
      <c r="G948" s="34">
        <v>2</v>
      </c>
      <c r="H948" s="34">
        <v>41</v>
      </c>
      <c r="I948" s="15" t="s">
        <v>107</v>
      </c>
      <c r="J948" s="15" t="s">
        <v>39</v>
      </c>
      <c r="K948" s="74" t="s">
        <v>29</v>
      </c>
      <c r="L948" s="16">
        <v>117066</v>
      </c>
      <c r="M948" s="16">
        <v>0</v>
      </c>
      <c r="N948" s="16">
        <v>0</v>
      </c>
      <c r="O948" s="16">
        <v>102958</v>
      </c>
      <c r="P948" s="16">
        <v>98401</v>
      </c>
      <c r="Q948" s="16">
        <v>14108</v>
      </c>
      <c r="R948" s="16">
        <v>-4078</v>
      </c>
      <c r="S948" s="16">
        <v>1</v>
      </c>
      <c r="T948" s="111">
        <v>0</v>
      </c>
    </row>
    <row r="949" spans="1:20" ht="15" customHeight="1" x14ac:dyDescent="0.2">
      <c r="A949" s="12" t="s">
        <v>1993</v>
      </c>
      <c r="B949" s="56">
        <v>5684234</v>
      </c>
      <c r="C949" s="12" t="s">
        <v>1837</v>
      </c>
      <c r="D949" s="12" t="s">
        <v>1838</v>
      </c>
      <c r="E949" s="12" t="s">
        <v>1839</v>
      </c>
      <c r="F949" s="12" t="s">
        <v>65</v>
      </c>
      <c r="G949" s="33">
        <v>2</v>
      </c>
      <c r="H949" s="33">
        <v>43</v>
      </c>
      <c r="I949" s="12" t="s">
        <v>38</v>
      </c>
      <c r="J949" s="12" t="s">
        <v>39</v>
      </c>
      <c r="K949" s="73" t="s">
        <v>29</v>
      </c>
      <c r="L949" s="13">
        <v>116705</v>
      </c>
      <c r="M949" s="13">
        <v>0</v>
      </c>
      <c r="N949" s="13">
        <v>102863</v>
      </c>
      <c r="O949" s="13">
        <v>101755</v>
      </c>
      <c r="P949" s="13">
        <v>18690</v>
      </c>
      <c r="Q949" s="13">
        <v>14951</v>
      </c>
      <c r="R949" s="13">
        <v>3535</v>
      </c>
      <c r="S949" s="13">
        <v>2</v>
      </c>
      <c r="T949" s="81">
        <v>0</v>
      </c>
    </row>
    <row r="950" spans="1:20" ht="15" customHeight="1" x14ac:dyDescent="0.2">
      <c r="A950" s="15" t="s">
        <v>1994</v>
      </c>
      <c r="B950" s="60">
        <v>2924977</v>
      </c>
      <c r="C950" s="15"/>
      <c r="D950" s="15"/>
      <c r="E950" s="15"/>
      <c r="F950" s="15" t="s">
        <v>265</v>
      </c>
      <c r="G950" s="34">
        <v>2</v>
      </c>
      <c r="H950" s="34">
        <v>9</v>
      </c>
      <c r="I950" s="15" t="s">
        <v>228</v>
      </c>
      <c r="J950" s="15" t="s">
        <v>229</v>
      </c>
      <c r="K950" s="74" t="s">
        <v>29</v>
      </c>
      <c r="L950" s="16">
        <v>116473</v>
      </c>
      <c r="M950" s="16">
        <v>44098</v>
      </c>
      <c r="N950" s="16">
        <v>53207</v>
      </c>
      <c r="O950" s="16">
        <v>101245</v>
      </c>
      <c r="P950" s="16">
        <v>87387</v>
      </c>
      <c r="Q950" s="16">
        <v>15228</v>
      </c>
      <c r="R950" s="16">
        <v>1327</v>
      </c>
      <c r="S950" s="16">
        <v>0</v>
      </c>
      <c r="T950" s="111">
        <v>2</v>
      </c>
    </row>
    <row r="951" spans="1:20" ht="15" customHeight="1" x14ac:dyDescent="0.2">
      <c r="A951" s="12" t="s">
        <v>1995</v>
      </c>
      <c r="B951" s="56">
        <v>17819084</v>
      </c>
      <c r="C951" s="12" t="s">
        <v>1996</v>
      </c>
      <c r="D951" s="12"/>
      <c r="E951" s="12" t="s">
        <v>1997</v>
      </c>
      <c r="F951" s="12" t="s">
        <v>84</v>
      </c>
      <c r="G951" s="33">
        <v>3</v>
      </c>
      <c r="H951" s="33">
        <v>41</v>
      </c>
      <c r="I951" s="12" t="s">
        <v>38</v>
      </c>
      <c r="J951" s="12" t="s">
        <v>39</v>
      </c>
      <c r="K951" s="73" t="s">
        <v>29</v>
      </c>
      <c r="L951" s="13">
        <v>115367</v>
      </c>
      <c r="M951" s="13">
        <v>0</v>
      </c>
      <c r="N951" s="13">
        <v>53571</v>
      </c>
      <c r="O951" s="13">
        <v>92959</v>
      </c>
      <c r="P951" s="13">
        <v>90955</v>
      </c>
      <c r="Q951" s="13">
        <v>22408</v>
      </c>
      <c r="R951" s="13">
        <v>2412</v>
      </c>
      <c r="S951" s="13">
        <v>1</v>
      </c>
      <c r="T951" s="81">
        <v>0</v>
      </c>
    </row>
    <row r="952" spans="1:20" ht="15" customHeight="1" x14ac:dyDescent="0.2">
      <c r="A952" s="15" t="s">
        <v>1998</v>
      </c>
      <c r="B952" s="60">
        <v>17354911</v>
      </c>
      <c r="C952" s="15" t="s">
        <v>569</v>
      </c>
      <c r="D952" s="15" t="s">
        <v>570</v>
      </c>
      <c r="E952" s="15" t="s">
        <v>571</v>
      </c>
      <c r="F952" s="15" t="s">
        <v>98</v>
      </c>
      <c r="G952" s="34">
        <v>2</v>
      </c>
      <c r="H952" s="34">
        <v>16</v>
      </c>
      <c r="I952" s="15" t="s">
        <v>38</v>
      </c>
      <c r="J952" s="15" t="s">
        <v>39</v>
      </c>
      <c r="K952" s="74" t="s">
        <v>29</v>
      </c>
      <c r="L952" s="16">
        <v>113539</v>
      </c>
      <c r="M952" s="16">
        <v>0</v>
      </c>
      <c r="N952" s="16">
        <v>0</v>
      </c>
      <c r="O952" s="16">
        <v>90447</v>
      </c>
      <c r="P952" s="16">
        <v>2899</v>
      </c>
      <c r="Q952" s="16">
        <v>23091</v>
      </c>
      <c r="R952" s="16">
        <v>-1144</v>
      </c>
      <c r="S952" s="16">
        <v>5</v>
      </c>
      <c r="T952" s="111">
        <v>0</v>
      </c>
    </row>
    <row r="953" spans="1:20" ht="15" customHeight="1" x14ac:dyDescent="0.2">
      <c r="A953" s="12" t="s">
        <v>1999</v>
      </c>
      <c r="B953" s="56">
        <v>12599971</v>
      </c>
      <c r="C953" s="12" t="s">
        <v>2000</v>
      </c>
      <c r="D953" s="12"/>
      <c r="E953" s="12" t="s">
        <v>2001</v>
      </c>
      <c r="F953" s="12" t="s">
        <v>65</v>
      </c>
      <c r="G953" s="33">
        <v>2</v>
      </c>
      <c r="H953" s="33">
        <v>14</v>
      </c>
      <c r="I953" s="12" t="s">
        <v>73</v>
      </c>
      <c r="J953" s="12" t="s">
        <v>74</v>
      </c>
      <c r="K953" s="73" t="s">
        <v>29</v>
      </c>
      <c r="L953" s="13">
        <v>112973</v>
      </c>
      <c r="M953" s="13">
        <v>50890</v>
      </c>
      <c r="N953" s="13">
        <v>51702</v>
      </c>
      <c r="O953" s="13">
        <v>53493</v>
      </c>
      <c r="P953" s="13">
        <v>50003</v>
      </c>
      <c r="Q953" s="13">
        <v>59480</v>
      </c>
      <c r="R953" s="13">
        <v>2783</v>
      </c>
      <c r="S953" s="13">
        <v>2</v>
      </c>
      <c r="T953" s="81">
        <v>0</v>
      </c>
    </row>
    <row r="954" spans="1:20" ht="15" customHeight="1" x14ac:dyDescent="0.2">
      <c r="A954" s="15" t="s">
        <v>2002</v>
      </c>
      <c r="B954" s="60">
        <v>33630661</v>
      </c>
      <c r="C954" s="15" t="s">
        <v>2003</v>
      </c>
      <c r="D954" s="15"/>
      <c r="E954" s="15" t="s">
        <v>2004</v>
      </c>
      <c r="F954" s="15" t="s">
        <v>84</v>
      </c>
      <c r="G954" s="34">
        <v>2</v>
      </c>
      <c r="H954" s="34">
        <v>41</v>
      </c>
      <c r="I954" s="15" t="s">
        <v>305</v>
      </c>
      <c r="J954" s="15" t="s">
        <v>229</v>
      </c>
      <c r="K954" s="74" t="s">
        <v>29</v>
      </c>
      <c r="L954" s="16">
        <v>112954</v>
      </c>
      <c r="M954" s="16">
        <v>0</v>
      </c>
      <c r="N954" s="16">
        <v>90</v>
      </c>
      <c r="O954" s="16">
        <v>115123</v>
      </c>
      <c r="P954" s="16">
        <v>12352</v>
      </c>
      <c r="Q954" s="16">
        <v>-2169</v>
      </c>
      <c r="R954" s="16">
        <v>-13419</v>
      </c>
      <c r="S954" s="16">
        <v>1</v>
      </c>
      <c r="T954" s="111">
        <v>0</v>
      </c>
    </row>
    <row r="955" spans="1:20" ht="15" customHeight="1" x14ac:dyDescent="0.2">
      <c r="A955" s="12" t="s">
        <v>2005</v>
      </c>
      <c r="B955" s="56">
        <v>36690516</v>
      </c>
      <c r="C955" s="12" t="s">
        <v>2006</v>
      </c>
      <c r="D955" s="12"/>
      <c r="E955" s="12" t="s">
        <v>2007</v>
      </c>
      <c r="F955" s="12" t="s">
        <v>84</v>
      </c>
      <c r="G955" s="33">
        <v>2</v>
      </c>
      <c r="H955" s="33">
        <v>41</v>
      </c>
      <c r="I955" s="12" t="s">
        <v>73</v>
      </c>
      <c r="J955" s="12" t="s">
        <v>74</v>
      </c>
      <c r="K955" s="73" t="s">
        <v>29</v>
      </c>
      <c r="L955" s="13">
        <v>112953</v>
      </c>
      <c r="M955" s="13">
        <v>0</v>
      </c>
      <c r="N955" s="13">
        <v>230</v>
      </c>
      <c r="O955" s="13">
        <v>105954</v>
      </c>
      <c r="P955" s="13">
        <v>104060</v>
      </c>
      <c r="Q955" s="13">
        <v>6999</v>
      </c>
      <c r="R955" s="13">
        <v>1691</v>
      </c>
      <c r="S955" s="13">
        <v>1</v>
      </c>
      <c r="T955" s="81">
        <v>0</v>
      </c>
    </row>
    <row r="956" spans="1:20" ht="15" customHeight="1" x14ac:dyDescent="0.2">
      <c r="A956" s="15" t="s">
        <v>2008</v>
      </c>
      <c r="B956" s="60">
        <v>38224857</v>
      </c>
      <c r="C956" s="15" t="s">
        <v>2009</v>
      </c>
      <c r="D956" s="15"/>
      <c r="E956" s="15" t="s">
        <v>2010</v>
      </c>
      <c r="F956" s="15" t="s">
        <v>65</v>
      </c>
      <c r="G956" s="34">
        <v>2</v>
      </c>
      <c r="H956" s="34">
        <v>43</v>
      </c>
      <c r="I956" s="15" t="s">
        <v>346</v>
      </c>
      <c r="J956" s="15" t="s">
        <v>347</v>
      </c>
      <c r="K956" s="74" t="s">
        <v>29</v>
      </c>
      <c r="L956" s="16">
        <v>112887</v>
      </c>
      <c r="M956" s="16">
        <v>9611</v>
      </c>
      <c r="N956" s="16">
        <v>0</v>
      </c>
      <c r="O956" s="16">
        <v>88940</v>
      </c>
      <c r="P956" s="16">
        <v>22847</v>
      </c>
      <c r="Q956" s="16">
        <v>23947</v>
      </c>
      <c r="R956" s="16">
        <v>-7461</v>
      </c>
      <c r="S956" s="16">
        <v>2</v>
      </c>
      <c r="T956" s="111">
        <v>0</v>
      </c>
    </row>
    <row r="957" spans="1:20" ht="15" customHeight="1" x14ac:dyDescent="0.2">
      <c r="A957" s="12" t="s">
        <v>2011</v>
      </c>
      <c r="B957" s="56">
        <v>49288113</v>
      </c>
      <c r="C957" s="12" t="s">
        <v>2012</v>
      </c>
      <c r="D957" s="12"/>
      <c r="E957" s="12" t="s">
        <v>2013</v>
      </c>
      <c r="F957" s="12" t="s">
        <v>65</v>
      </c>
      <c r="G957" s="33">
        <v>3</v>
      </c>
      <c r="H957" s="33">
        <v>14</v>
      </c>
      <c r="I957" s="12" t="s">
        <v>564</v>
      </c>
      <c r="J957" s="12" t="s">
        <v>120</v>
      </c>
      <c r="K957" s="73" t="s">
        <v>29</v>
      </c>
      <c r="L957" s="13">
        <v>112564</v>
      </c>
      <c r="M957" s="13">
        <v>43</v>
      </c>
      <c r="N957" s="13">
        <v>102119</v>
      </c>
      <c r="O957" s="13">
        <v>32427</v>
      </c>
      <c r="P957" s="13">
        <v>29554</v>
      </c>
      <c r="Q957" s="13">
        <v>80137</v>
      </c>
      <c r="R957" s="13">
        <v>1769</v>
      </c>
      <c r="S957" s="13">
        <v>2</v>
      </c>
      <c r="T957" s="81">
        <v>0</v>
      </c>
    </row>
    <row r="958" spans="1:20" ht="15" customHeight="1" x14ac:dyDescent="0.2">
      <c r="A958" s="15" t="s">
        <v>2014</v>
      </c>
      <c r="B958" s="60">
        <v>48632754</v>
      </c>
      <c r="C958" s="15" t="s">
        <v>2015</v>
      </c>
      <c r="D958" s="15"/>
      <c r="E958" s="15" t="s">
        <v>2016</v>
      </c>
      <c r="F958" s="15" t="s">
        <v>65</v>
      </c>
      <c r="G958" s="34">
        <v>3</v>
      </c>
      <c r="H958" s="34">
        <v>43</v>
      </c>
      <c r="I958" s="15" t="s">
        <v>107</v>
      </c>
      <c r="J958" s="15" t="s">
        <v>39</v>
      </c>
      <c r="K958" s="74" t="s">
        <v>29</v>
      </c>
      <c r="L958" s="16">
        <v>111956</v>
      </c>
      <c r="M958" s="16">
        <v>25443</v>
      </c>
      <c r="N958" s="16">
        <v>2477</v>
      </c>
      <c r="O958" s="16">
        <v>31801</v>
      </c>
      <c r="P958" s="16">
        <v>0</v>
      </c>
      <c r="Q958" s="16">
        <v>80155</v>
      </c>
      <c r="R958" s="16">
        <v>16758</v>
      </c>
      <c r="S958" s="16">
        <v>2</v>
      </c>
      <c r="T958" s="111">
        <v>0</v>
      </c>
    </row>
    <row r="959" spans="1:20" ht="15" customHeight="1" x14ac:dyDescent="0.2">
      <c r="A959" s="12" t="s">
        <v>2017</v>
      </c>
      <c r="B959" s="56">
        <v>3102185</v>
      </c>
      <c r="C959" s="12"/>
      <c r="D959" s="12"/>
      <c r="E959" s="12"/>
      <c r="F959" s="12" t="s">
        <v>265</v>
      </c>
      <c r="G959" s="33">
        <v>2</v>
      </c>
      <c r="H959" s="33">
        <v>9</v>
      </c>
      <c r="I959" s="12" t="s">
        <v>577</v>
      </c>
      <c r="J959" s="12" t="s">
        <v>578</v>
      </c>
      <c r="K959" s="73" t="s">
        <v>29</v>
      </c>
      <c r="L959" s="13">
        <v>111803</v>
      </c>
      <c r="M959" s="13">
        <v>63507</v>
      </c>
      <c r="N959" s="13">
        <v>6523</v>
      </c>
      <c r="O959" s="13">
        <v>87866</v>
      </c>
      <c r="P959" s="13">
        <v>84060</v>
      </c>
      <c r="Q959" s="13">
        <v>23937</v>
      </c>
      <c r="R959" s="13">
        <v>841</v>
      </c>
      <c r="S959" s="13">
        <v>0</v>
      </c>
      <c r="T959" s="81">
        <v>3</v>
      </c>
    </row>
    <row r="960" spans="1:20" ht="15" customHeight="1" x14ac:dyDescent="0.2">
      <c r="A960" s="15" t="s">
        <v>2018</v>
      </c>
      <c r="B960" s="60">
        <v>51489318</v>
      </c>
      <c r="C960" s="15"/>
      <c r="D960" s="15"/>
      <c r="E960" s="15"/>
      <c r="F960" s="15" t="s">
        <v>265</v>
      </c>
      <c r="G960" s="34">
        <v>2</v>
      </c>
      <c r="H960" s="34">
        <v>9</v>
      </c>
      <c r="I960" s="15" t="s">
        <v>38</v>
      </c>
      <c r="J960" s="15" t="s">
        <v>39</v>
      </c>
      <c r="K960" s="74" t="s">
        <v>29</v>
      </c>
      <c r="L960" s="16">
        <v>111365</v>
      </c>
      <c r="M960" s="16">
        <v>17659</v>
      </c>
      <c r="N960" s="16">
        <v>90883</v>
      </c>
      <c r="O960" s="16">
        <v>90496</v>
      </c>
      <c r="P960" s="16">
        <v>88948</v>
      </c>
      <c r="Q960" s="16">
        <v>20868</v>
      </c>
      <c r="R960" s="16">
        <v>574</v>
      </c>
      <c r="S960" s="16">
        <v>0</v>
      </c>
      <c r="T960" s="111">
        <v>0</v>
      </c>
    </row>
    <row r="961" spans="1:20" ht="15" customHeight="1" x14ac:dyDescent="0.2">
      <c r="A961" s="12" t="s">
        <v>2019</v>
      </c>
      <c r="B961" s="56">
        <v>20308187</v>
      </c>
      <c r="C961" s="12" t="s">
        <v>2020</v>
      </c>
      <c r="D961" s="12"/>
      <c r="E961" s="12" t="s">
        <v>2021</v>
      </c>
      <c r="F961" s="12" t="s">
        <v>84</v>
      </c>
      <c r="G961" s="33">
        <v>2</v>
      </c>
      <c r="H961" s="33">
        <v>41</v>
      </c>
      <c r="I961" s="12" t="s">
        <v>1585</v>
      </c>
      <c r="J961" s="12" t="s">
        <v>1586</v>
      </c>
      <c r="K961" s="73" t="s">
        <v>29</v>
      </c>
      <c r="L961" s="13">
        <v>110960</v>
      </c>
      <c r="M961" s="13">
        <v>0</v>
      </c>
      <c r="N961" s="13">
        <v>190</v>
      </c>
      <c r="O961" s="13">
        <v>86711</v>
      </c>
      <c r="P961" s="13">
        <v>21484</v>
      </c>
      <c r="Q961" s="13">
        <v>24250</v>
      </c>
      <c r="R961" s="13">
        <v>-14442</v>
      </c>
      <c r="S961" s="13">
        <v>1</v>
      </c>
      <c r="T961" s="81">
        <v>0</v>
      </c>
    </row>
    <row r="962" spans="1:20" ht="15" customHeight="1" x14ac:dyDescent="0.2">
      <c r="A962" s="15" t="s">
        <v>2022</v>
      </c>
      <c r="B962" s="60">
        <v>19962468</v>
      </c>
      <c r="C962" s="15"/>
      <c r="D962" s="15"/>
      <c r="E962" s="15"/>
      <c r="F962" s="15" t="s">
        <v>265</v>
      </c>
      <c r="G962" s="34">
        <v>2</v>
      </c>
      <c r="H962" s="34">
        <v>9</v>
      </c>
      <c r="I962" s="15" t="s">
        <v>73</v>
      </c>
      <c r="J962" s="15" t="s">
        <v>74</v>
      </c>
      <c r="K962" s="74" t="s">
        <v>29</v>
      </c>
      <c r="L962" s="16">
        <v>110619</v>
      </c>
      <c r="M962" s="16">
        <v>30324</v>
      </c>
      <c r="N962" s="16">
        <v>65148</v>
      </c>
      <c r="O962" s="16">
        <v>99125</v>
      </c>
      <c r="P962" s="16">
        <v>88348</v>
      </c>
      <c r="Q962" s="16">
        <v>11493</v>
      </c>
      <c r="R962" s="16">
        <v>851</v>
      </c>
      <c r="S962" s="16">
        <v>0</v>
      </c>
      <c r="T962" s="111">
        <v>1</v>
      </c>
    </row>
    <row r="963" spans="1:20" ht="15" customHeight="1" x14ac:dyDescent="0.2">
      <c r="A963" s="12" t="s">
        <v>2023</v>
      </c>
      <c r="B963" s="56">
        <v>40710595</v>
      </c>
      <c r="C963" s="12" t="s">
        <v>2024</v>
      </c>
      <c r="D963" s="12"/>
      <c r="E963" s="12" t="s">
        <v>2025</v>
      </c>
      <c r="F963" s="12" t="s">
        <v>84</v>
      </c>
      <c r="G963" s="33">
        <v>3</v>
      </c>
      <c r="H963" s="33">
        <v>41</v>
      </c>
      <c r="I963" s="12" t="s">
        <v>38</v>
      </c>
      <c r="J963" s="12" t="s">
        <v>39</v>
      </c>
      <c r="K963" s="73" t="s">
        <v>29</v>
      </c>
      <c r="L963" s="13">
        <v>110323</v>
      </c>
      <c r="M963" s="13">
        <v>0</v>
      </c>
      <c r="N963" s="13">
        <v>97341</v>
      </c>
      <c r="O963" s="13">
        <v>45011</v>
      </c>
      <c r="P963" s="13">
        <v>17847</v>
      </c>
      <c r="Q963" s="13">
        <v>65312</v>
      </c>
      <c r="R963" s="13">
        <v>-9392</v>
      </c>
      <c r="S963" s="13">
        <v>1</v>
      </c>
      <c r="T963" s="81">
        <v>0</v>
      </c>
    </row>
    <row r="964" spans="1:20" ht="15" customHeight="1" x14ac:dyDescent="0.2">
      <c r="A964" s="15" t="s">
        <v>2026</v>
      </c>
      <c r="B964" s="60">
        <v>4230630</v>
      </c>
      <c r="C964" s="15" t="s">
        <v>2027</v>
      </c>
      <c r="D964" s="15"/>
      <c r="E964" s="15" t="s">
        <v>2028</v>
      </c>
      <c r="F964" s="15" t="s">
        <v>65</v>
      </c>
      <c r="G964" s="34">
        <v>2</v>
      </c>
      <c r="H964" s="34">
        <v>14</v>
      </c>
      <c r="I964" s="15" t="s">
        <v>38</v>
      </c>
      <c r="J964" s="15" t="s">
        <v>39</v>
      </c>
      <c r="K964" s="74" t="s">
        <v>29</v>
      </c>
      <c r="L964" s="16">
        <v>109622</v>
      </c>
      <c r="M964" s="16">
        <v>50101</v>
      </c>
      <c r="N964" s="16">
        <v>46569</v>
      </c>
      <c r="O964" s="16">
        <v>21268</v>
      </c>
      <c r="P964" s="16">
        <v>0</v>
      </c>
      <c r="Q964" s="16">
        <v>88354</v>
      </c>
      <c r="R964" s="16">
        <v>10432</v>
      </c>
      <c r="S964" s="16">
        <v>2</v>
      </c>
      <c r="T964" s="111">
        <v>0</v>
      </c>
    </row>
    <row r="965" spans="1:20" ht="15" customHeight="1" x14ac:dyDescent="0.2">
      <c r="A965" s="12" t="s">
        <v>2029</v>
      </c>
      <c r="B965" s="56">
        <v>2685483</v>
      </c>
      <c r="C965" s="12" t="s">
        <v>2030</v>
      </c>
      <c r="D965" s="12"/>
      <c r="E965" s="12" t="s">
        <v>2031</v>
      </c>
      <c r="F965" s="12" t="s">
        <v>98</v>
      </c>
      <c r="G965" s="33">
        <v>3</v>
      </c>
      <c r="H965" s="33">
        <v>15</v>
      </c>
      <c r="I965" s="12" t="s">
        <v>38</v>
      </c>
      <c r="J965" s="12" t="s">
        <v>39</v>
      </c>
      <c r="K965" s="73" t="s">
        <v>29</v>
      </c>
      <c r="L965" s="13">
        <v>109463</v>
      </c>
      <c r="M965" s="13">
        <v>0</v>
      </c>
      <c r="N965" s="13">
        <v>65435</v>
      </c>
      <c r="O965" s="13">
        <v>71070</v>
      </c>
      <c r="P965" s="13">
        <v>39835</v>
      </c>
      <c r="Q965" s="13">
        <v>38392</v>
      </c>
      <c r="R965" s="13">
        <v>-2654</v>
      </c>
      <c r="S965" s="13">
        <v>2</v>
      </c>
      <c r="T965" s="81">
        <v>0</v>
      </c>
    </row>
    <row r="966" spans="1:20" ht="15" customHeight="1" x14ac:dyDescent="0.2">
      <c r="A966" s="15" t="s">
        <v>2032</v>
      </c>
      <c r="B966" s="60">
        <v>61190658</v>
      </c>
      <c r="C966" s="15" t="s">
        <v>35</v>
      </c>
      <c r="D966" s="15" t="s">
        <v>36</v>
      </c>
      <c r="E966" s="15" t="s">
        <v>37</v>
      </c>
      <c r="F966" s="15" t="s">
        <v>60</v>
      </c>
      <c r="G966" s="34">
        <v>2</v>
      </c>
      <c r="H966" s="34">
        <v>8</v>
      </c>
      <c r="I966" s="15" t="s">
        <v>38</v>
      </c>
      <c r="J966" s="15" t="s">
        <v>39</v>
      </c>
      <c r="K966" s="74" t="s">
        <v>29</v>
      </c>
      <c r="L966" s="16">
        <v>109445</v>
      </c>
      <c r="M966" s="16">
        <v>0</v>
      </c>
      <c r="N966" s="16">
        <v>1</v>
      </c>
      <c r="O966" s="16">
        <v>2376</v>
      </c>
      <c r="P966" s="16">
        <v>0</v>
      </c>
      <c r="Q966" s="16">
        <v>107069</v>
      </c>
      <c r="R966" s="16">
        <v>3315</v>
      </c>
      <c r="S966" s="16">
        <v>2</v>
      </c>
      <c r="T966" s="111">
        <v>0</v>
      </c>
    </row>
    <row r="967" spans="1:20" ht="15" customHeight="1" x14ac:dyDescent="0.2">
      <c r="A967" s="12" t="s">
        <v>2033</v>
      </c>
      <c r="B967" s="56">
        <v>1374196</v>
      </c>
      <c r="C967" s="12"/>
      <c r="D967" s="12"/>
      <c r="E967" s="12"/>
      <c r="F967" s="12" t="s">
        <v>265</v>
      </c>
      <c r="G967" s="33">
        <v>2</v>
      </c>
      <c r="H967" s="33">
        <v>9</v>
      </c>
      <c r="I967" s="12" t="s">
        <v>2034</v>
      </c>
      <c r="J967" s="12" t="s">
        <v>120</v>
      </c>
      <c r="K967" s="73" t="s">
        <v>29</v>
      </c>
      <c r="L967" s="13">
        <v>108214</v>
      </c>
      <c r="M967" s="13">
        <v>78693</v>
      </c>
      <c r="N967" s="13">
        <v>3991</v>
      </c>
      <c r="O967" s="13">
        <v>85433</v>
      </c>
      <c r="P967" s="13">
        <v>58924</v>
      </c>
      <c r="Q967" s="13">
        <v>22781</v>
      </c>
      <c r="R967" s="13">
        <v>-4320</v>
      </c>
      <c r="S967" s="13">
        <v>0</v>
      </c>
      <c r="T967" s="81">
        <v>0</v>
      </c>
    </row>
    <row r="968" spans="1:20" ht="15" customHeight="1" x14ac:dyDescent="0.2">
      <c r="A968" s="15" t="s">
        <v>2035</v>
      </c>
      <c r="B968" s="60">
        <v>44401800</v>
      </c>
      <c r="C968" s="15"/>
      <c r="D968" s="15"/>
      <c r="E968" s="15"/>
      <c r="F968" s="15" t="s">
        <v>265</v>
      </c>
      <c r="G968" s="34">
        <v>2</v>
      </c>
      <c r="H968" s="34">
        <v>9</v>
      </c>
      <c r="I968" s="15" t="s">
        <v>255</v>
      </c>
      <c r="J968" s="15" t="s">
        <v>39</v>
      </c>
      <c r="K968" s="74" t="s">
        <v>29</v>
      </c>
      <c r="L968" s="16">
        <v>107865</v>
      </c>
      <c r="M968" s="16">
        <v>75516</v>
      </c>
      <c r="N968" s="16">
        <v>26311</v>
      </c>
      <c r="O968" s="16">
        <v>19177</v>
      </c>
      <c r="P968" s="16">
        <v>6867</v>
      </c>
      <c r="Q968" s="16">
        <v>88688</v>
      </c>
      <c r="R968" s="16">
        <v>6608</v>
      </c>
      <c r="S968" s="16">
        <v>0</v>
      </c>
      <c r="T968" s="111">
        <v>8</v>
      </c>
    </row>
    <row r="969" spans="1:20" ht="15" customHeight="1" x14ac:dyDescent="0.2">
      <c r="A969" s="12" t="s">
        <v>2036</v>
      </c>
      <c r="B969" s="56">
        <v>62448932</v>
      </c>
      <c r="C969" s="12" t="s">
        <v>2037</v>
      </c>
      <c r="D969" s="12"/>
      <c r="E969" s="12" t="s">
        <v>2038</v>
      </c>
      <c r="F969" s="12" t="s">
        <v>65</v>
      </c>
      <c r="G969" s="33">
        <v>2</v>
      </c>
      <c r="H969" s="33">
        <v>14</v>
      </c>
      <c r="I969" s="12" t="s">
        <v>528</v>
      </c>
      <c r="J969" s="12" t="s">
        <v>217</v>
      </c>
      <c r="K969" s="73" t="s">
        <v>29</v>
      </c>
      <c r="L969" s="13">
        <v>107173</v>
      </c>
      <c r="M969" s="13">
        <v>78118</v>
      </c>
      <c r="N969" s="13">
        <v>26858</v>
      </c>
      <c r="O969" s="13">
        <v>45054</v>
      </c>
      <c r="P969" s="13">
        <v>42526</v>
      </c>
      <c r="Q969" s="13">
        <v>62119</v>
      </c>
      <c r="R969" s="13">
        <v>-2451</v>
      </c>
      <c r="S969" s="13">
        <v>2</v>
      </c>
      <c r="T969" s="81">
        <v>0</v>
      </c>
    </row>
    <row r="970" spans="1:20" ht="15" customHeight="1" x14ac:dyDescent="0.2">
      <c r="A970" s="15" t="s">
        <v>2039</v>
      </c>
      <c r="B970" s="60">
        <v>48751854</v>
      </c>
      <c r="C970" s="15" t="s">
        <v>506</v>
      </c>
      <c r="D970" s="15" t="s">
        <v>507</v>
      </c>
      <c r="E970" s="15" t="s">
        <v>507</v>
      </c>
      <c r="F970" s="15" t="s">
        <v>65</v>
      </c>
      <c r="G970" s="34">
        <v>3</v>
      </c>
      <c r="H970" s="34">
        <v>43</v>
      </c>
      <c r="I970" s="15" t="s">
        <v>38</v>
      </c>
      <c r="J970" s="15" t="s">
        <v>39</v>
      </c>
      <c r="K970" s="74" t="s">
        <v>29</v>
      </c>
      <c r="L970" s="16">
        <v>105696</v>
      </c>
      <c r="M970" s="16">
        <v>20025</v>
      </c>
      <c r="N970" s="16">
        <v>44452</v>
      </c>
      <c r="O970" s="16">
        <v>12651</v>
      </c>
      <c r="P970" s="16">
        <v>0</v>
      </c>
      <c r="Q970" s="16">
        <v>93045</v>
      </c>
      <c r="R970" s="16">
        <v>6262</v>
      </c>
      <c r="S970" s="16">
        <v>2</v>
      </c>
      <c r="T970" s="111">
        <v>0</v>
      </c>
    </row>
    <row r="971" spans="1:20" ht="15" customHeight="1" x14ac:dyDescent="0.2">
      <c r="A971" s="12" t="s">
        <v>2040</v>
      </c>
      <c r="B971" s="56">
        <v>3000142</v>
      </c>
      <c r="C971" s="12"/>
      <c r="D971" s="12"/>
      <c r="E971" s="12"/>
      <c r="F971" s="12" t="s">
        <v>265</v>
      </c>
      <c r="G971" s="33">
        <v>2</v>
      </c>
      <c r="H971" s="33">
        <v>9</v>
      </c>
      <c r="I971" s="12" t="s">
        <v>73</v>
      </c>
      <c r="J971" s="12" t="s">
        <v>74</v>
      </c>
      <c r="K971" s="73" t="s">
        <v>29</v>
      </c>
      <c r="L971" s="13">
        <v>105322</v>
      </c>
      <c r="M971" s="13">
        <v>65301</v>
      </c>
      <c r="N971" s="13">
        <v>22286</v>
      </c>
      <c r="O971" s="13">
        <v>94223</v>
      </c>
      <c r="P971" s="13">
        <v>80421</v>
      </c>
      <c r="Q971" s="13">
        <v>11099</v>
      </c>
      <c r="R971" s="13">
        <v>162</v>
      </c>
      <c r="S971" s="13">
        <v>0</v>
      </c>
      <c r="T971" s="81">
        <v>2</v>
      </c>
    </row>
    <row r="972" spans="1:20" ht="15" customHeight="1" x14ac:dyDescent="0.2">
      <c r="A972" s="15" t="s">
        <v>2041</v>
      </c>
      <c r="B972" s="60">
        <v>3848103</v>
      </c>
      <c r="C972" s="15" t="s">
        <v>2042</v>
      </c>
      <c r="D972" s="15"/>
      <c r="E972" s="15" t="s">
        <v>2043</v>
      </c>
      <c r="F972" s="15" t="s">
        <v>65</v>
      </c>
      <c r="G972" s="34">
        <v>1</v>
      </c>
      <c r="H972" s="34">
        <v>30</v>
      </c>
      <c r="I972" s="15" t="s">
        <v>821</v>
      </c>
      <c r="J972" s="15" t="s">
        <v>822</v>
      </c>
      <c r="K972" s="74" t="s">
        <v>29</v>
      </c>
      <c r="L972" s="16">
        <v>104508</v>
      </c>
      <c r="M972" s="16">
        <v>61607</v>
      </c>
      <c r="N972" s="16">
        <v>36655</v>
      </c>
      <c r="O972" s="16">
        <v>32801</v>
      </c>
      <c r="P972" s="16">
        <v>13425</v>
      </c>
      <c r="Q972" s="16">
        <v>71707</v>
      </c>
      <c r="R972" s="16">
        <v>2130</v>
      </c>
      <c r="S972" s="16">
        <v>2</v>
      </c>
      <c r="T972" s="111">
        <v>0</v>
      </c>
    </row>
    <row r="973" spans="1:20" ht="15" customHeight="1" x14ac:dyDescent="0.2">
      <c r="A973" s="12" t="s">
        <v>2044</v>
      </c>
      <c r="B973" s="56">
        <v>42054886</v>
      </c>
      <c r="C973" s="12" t="s">
        <v>46</v>
      </c>
      <c r="D973" s="12" t="s">
        <v>47</v>
      </c>
      <c r="E973" s="12" t="s">
        <v>48</v>
      </c>
      <c r="F973" s="12" t="s">
        <v>65</v>
      </c>
      <c r="G973" s="33">
        <v>3</v>
      </c>
      <c r="H973" s="33">
        <v>43</v>
      </c>
      <c r="I973" s="12" t="s">
        <v>38</v>
      </c>
      <c r="J973" s="12" t="s">
        <v>39</v>
      </c>
      <c r="K973" s="73" t="s">
        <v>29</v>
      </c>
      <c r="L973" s="13">
        <v>104288</v>
      </c>
      <c r="M973" s="13">
        <v>219</v>
      </c>
      <c r="N973" s="13">
        <v>94901</v>
      </c>
      <c r="O973" s="13">
        <v>6160</v>
      </c>
      <c r="P973" s="13">
        <v>0</v>
      </c>
      <c r="Q973" s="13">
        <v>98128</v>
      </c>
      <c r="R973" s="13">
        <v>3155</v>
      </c>
      <c r="S973" s="13">
        <v>2</v>
      </c>
      <c r="T973" s="81">
        <v>0</v>
      </c>
    </row>
    <row r="974" spans="1:20" ht="15" customHeight="1" x14ac:dyDescent="0.2">
      <c r="A974" s="15" t="s">
        <v>2045</v>
      </c>
      <c r="B974" s="60">
        <v>7652226</v>
      </c>
      <c r="C974" s="15" t="s">
        <v>2046</v>
      </c>
      <c r="D974" s="15"/>
      <c r="E974" s="15" t="s">
        <v>2047</v>
      </c>
      <c r="F974" s="15" t="s">
        <v>65</v>
      </c>
      <c r="G974" s="34">
        <v>2</v>
      </c>
      <c r="H974" s="34">
        <v>14</v>
      </c>
      <c r="I974" s="15" t="s">
        <v>53</v>
      </c>
      <c r="J974" s="15" t="s">
        <v>54</v>
      </c>
      <c r="K974" s="74" t="s">
        <v>29</v>
      </c>
      <c r="L974" s="16">
        <v>103832</v>
      </c>
      <c r="M974" s="16">
        <v>72526</v>
      </c>
      <c r="N974" s="16">
        <v>8853</v>
      </c>
      <c r="O974" s="16">
        <v>82276</v>
      </c>
      <c r="P974" s="16">
        <v>72865</v>
      </c>
      <c r="Q974" s="16">
        <v>21557</v>
      </c>
      <c r="R974" s="16">
        <v>2429</v>
      </c>
      <c r="S974" s="16">
        <v>2</v>
      </c>
      <c r="T974" s="111">
        <v>0</v>
      </c>
    </row>
    <row r="975" spans="1:20" ht="15" customHeight="1" x14ac:dyDescent="0.2">
      <c r="A975" s="12" t="s">
        <v>2048</v>
      </c>
      <c r="B975" s="56">
        <v>62562012</v>
      </c>
      <c r="C975" s="12"/>
      <c r="D975" s="12"/>
      <c r="E975" s="12"/>
      <c r="F975" s="12" t="s">
        <v>265</v>
      </c>
      <c r="G975" s="33">
        <v>2</v>
      </c>
      <c r="H975" s="33">
        <v>9</v>
      </c>
      <c r="I975" s="12" t="s">
        <v>38</v>
      </c>
      <c r="J975" s="12" t="s">
        <v>39</v>
      </c>
      <c r="K975" s="73" t="s">
        <v>29</v>
      </c>
      <c r="L975" s="13">
        <v>103605</v>
      </c>
      <c r="M975" s="13">
        <v>46726</v>
      </c>
      <c r="N975" s="13">
        <v>53734</v>
      </c>
      <c r="O975" s="13">
        <v>2606</v>
      </c>
      <c r="P975" s="13">
        <v>0</v>
      </c>
      <c r="Q975" s="13">
        <v>100998</v>
      </c>
      <c r="R975" s="13">
        <v>4891</v>
      </c>
      <c r="S975" s="13">
        <v>0</v>
      </c>
      <c r="T975" s="81">
        <v>1</v>
      </c>
    </row>
    <row r="976" spans="1:20" ht="15" customHeight="1" x14ac:dyDescent="0.2">
      <c r="A976" s="15" t="s">
        <v>2049</v>
      </c>
      <c r="B976" s="60">
        <v>26225776</v>
      </c>
      <c r="C976" s="15" t="s">
        <v>2050</v>
      </c>
      <c r="D976" s="15"/>
      <c r="E976" s="15" t="s">
        <v>2051</v>
      </c>
      <c r="F976" s="15" t="s">
        <v>65</v>
      </c>
      <c r="G976" s="34">
        <v>2</v>
      </c>
      <c r="H976" s="34">
        <v>14</v>
      </c>
      <c r="I976" s="15" t="s">
        <v>749</v>
      </c>
      <c r="J976" s="15" t="s">
        <v>74</v>
      </c>
      <c r="K976" s="74" t="s">
        <v>29</v>
      </c>
      <c r="L976" s="16">
        <v>103346</v>
      </c>
      <c r="M976" s="16">
        <v>90127</v>
      </c>
      <c r="N976" s="16">
        <v>7050</v>
      </c>
      <c r="O976" s="16">
        <v>61477</v>
      </c>
      <c r="P976" s="16">
        <v>57956</v>
      </c>
      <c r="Q976" s="16">
        <v>41869</v>
      </c>
      <c r="R976" s="16">
        <v>5252</v>
      </c>
      <c r="S976" s="16">
        <v>2</v>
      </c>
      <c r="T976" s="111">
        <v>0</v>
      </c>
    </row>
    <row r="977" spans="1:20" ht="15" customHeight="1" x14ac:dyDescent="0.2">
      <c r="A977" s="12" t="s">
        <v>2052</v>
      </c>
      <c r="B977" s="56">
        <v>3662047</v>
      </c>
      <c r="C977" s="12"/>
      <c r="D977" s="12"/>
      <c r="E977" s="12"/>
      <c r="F977" s="12" t="s">
        <v>265</v>
      </c>
      <c r="G977" s="33">
        <v>2</v>
      </c>
      <c r="H977" s="33">
        <v>9</v>
      </c>
      <c r="I977" s="12" t="s">
        <v>73</v>
      </c>
      <c r="J977" s="12" t="s">
        <v>74</v>
      </c>
      <c r="K977" s="73" t="s">
        <v>29</v>
      </c>
      <c r="L977" s="13">
        <v>102927</v>
      </c>
      <c r="M977" s="13">
        <v>31963</v>
      </c>
      <c r="N977" s="13">
        <v>62673</v>
      </c>
      <c r="O977" s="13">
        <v>93055</v>
      </c>
      <c r="P977" s="13">
        <v>72589</v>
      </c>
      <c r="Q977" s="13">
        <v>9873</v>
      </c>
      <c r="R977" s="13">
        <v>568</v>
      </c>
      <c r="S977" s="13">
        <v>0</v>
      </c>
      <c r="T977" s="81">
        <v>1</v>
      </c>
    </row>
    <row r="978" spans="1:20" ht="15" customHeight="1" x14ac:dyDescent="0.2">
      <c r="A978" s="15" t="s">
        <v>2053</v>
      </c>
      <c r="B978" s="60">
        <v>64739121</v>
      </c>
      <c r="C978" s="15"/>
      <c r="D978" s="15"/>
      <c r="E978" s="15"/>
      <c r="F978" s="15" t="s">
        <v>265</v>
      </c>
      <c r="G978" s="34">
        <v>2</v>
      </c>
      <c r="H978" s="34">
        <v>9</v>
      </c>
      <c r="I978" s="15" t="s">
        <v>342</v>
      </c>
      <c r="J978" s="15" t="s">
        <v>39</v>
      </c>
      <c r="K978" s="74" t="s">
        <v>29</v>
      </c>
      <c r="L978" s="16">
        <v>102394</v>
      </c>
      <c r="M978" s="16">
        <v>48991</v>
      </c>
      <c r="N978" s="16">
        <v>52252</v>
      </c>
      <c r="O978" s="16">
        <v>61134</v>
      </c>
      <c r="P978" s="16">
        <v>58196</v>
      </c>
      <c r="Q978" s="16">
        <v>41259</v>
      </c>
      <c r="R978" s="16">
        <v>2188</v>
      </c>
      <c r="S978" s="16">
        <v>0</v>
      </c>
      <c r="T978" s="111">
        <v>1</v>
      </c>
    </row>
    <row r="979" spans="1:20" ht="15" customHeight="1" x14ac:dyDescent="0.2">
      <c r="A979" s="12" t="s">
        <v>2054</v>
      </c>
      <c r="B979" s="56">
        <v>60935819</v>
      </c>
      <c r="C979" s="12" t="s">
        <v>2055</v>
      </c>
      <c r="D979" s="12"/>
      <c r="E979" s="12" t="s">
        <v>2056</v>
      </c>
      <c r="F979" s="12" t="s">
        <v>60</v>
      </c>
      <c r="G979" s="33">
        <v>3</v>
      </c>
      <c r="H979" s="33">
        <v>8</v>
      </c>
      <c r="I979" s="12" t="s">
        <v>38</v>
      </c>
      <c r="J979" s="12" t="s">
        <v>39</v>
      </c>
      <c r="K979" s="73" t="s">
        <v>29</v>
      </c>
      <c r="L979" s="13">
        <v>101701</v>
      </c>
      <c r="M979" s="13">
        <v>46412</v>
      </c>
      <c r="N979" s="13">
        <v>0</v>
      </c>
      <c r="O979" s="13">
        <v>1805</v>
      </c>
      <c r="P979" s="13">
        <v>0</v>
      </c>
      <c r="Q979" s="13">
        <v>99896</v>
      </c>
      <c r="R979" s="13">
        <v>125</v>
      </c>
      <c r="S979" s="13">
        <v>2</v>
      </c>
      <c r="T979" s="81">
        <v>0</v>
      </c>
    </row>
    <row r="980" spans="1:20" ht="15" customHeight="1" x14ac:dyDescent="0.2">
      <c r="A980" s="15" t="s">
        <v>2057</v>
      </c>
      <c r="B980" s="60">
        <v>40276692</v>
      </c>
      <c r="C980" s="15" t="s">
        <v>2058</v>
      </c>
      <c r="D980" s="15"/>
      <c r="E980" s="15" t="s">
        <v>2059</v>
      </c>
      <c r="F980" s="15" t="s">
        <v>84</v>
      </c>
      <c r="G980" s="34">
        <v>2</v>
      </c>
      <c r="H980" s="34">
        <v>41</v>
      </c>
      <c r="I980" s="15" t="s">
        <v>38</v>
      </c>
      <c r="J980" s="15" t="s">
        <v>39</v>
      </c>
      <c r="K980" s="74" t="s">
        <v>29</v>
      </c>
      <c r="L980" s="16">
        <v>100620</v>
      </c>
      <c r="M980" s="16">
        <v>0</v>
      </c>
      <c r="N980" s="16">
        <v>1110</v>
      </c>
      <c r="O980" s="16">
        <v>87917</v>
      </c>
      <c r="P980" s="16">
        <v>76755</v>
      </c>
      <c r="Q980" s="16">
        <v>12703</v>
      </c>
      <c r="R980" s="16">
        <v>121</v>
      </c>
      <c r="S980" s="16">
        <v>1</v>
      </c>
      <c r="T980" s="111">
        <v>0</v>
      </c>
    </row>
    <row r="981" spans="1:20" ht="15" customHeight="1" x14ac:dyDescent="0.2">
      <c r="A981" s="12" t="s">
        <v>2060</v>
      </c>
      <c r="B981" s="56">
        <v>7669921</v>
      </c>
      <c r="C981" s="12"/>
      <c r="D981" s="12"/>
      <c r="E981" s="12"/>
      <c r="F981" s="12" t="s">
        <v>265</v>
      </c>
      <c r="G981" s="33">
        <v>2</v>
      </c>
      <c r="H981" s="33">
        <v>9</v>
      </c>
      <c r="I981" s="12" t="s">
        <v>1535</v>
      </c>
      <c r="J981" s="12" t="s">
        <v>39</v>
      </c>
      <c r="K981" s="73" t="s">
        <v>29</v>
      </c>
      <c r="L981" s="13">
        <v>100617</v>
      </c>
      <c r="M981" s="13">
        <v>26405</v>
      </c>
      <c r="N981" s="13">
        <v>70681</v>
      </c>
      <c r="O981" s="13">
        <v>87009</v>
      </c>
      <c r="P981" s="13">
        <v>85410</v>
      </c>
      <c r="Q981" s="13">
        <v>13608</v>
      </c>
      <c r="R981" s="13">
        <v>-1198</v>
      </c>
      <c r="S981" s="13">
        <v>0</v>
      </c>
      <c r="T981" s="81">
        <v>4</v>
      </c>
    </row>
    <row r="982" spans="1:20" ht="15" customHeight="1" x14ac:dyDescent="0.2">
      <c r="A982" s="15" t="s">
        <v>2061</v>
      </c>
      <c r="B982" s="60">
        <v>17315359</v>
      </c>
      <c r="C982" s="15" t="s">
        <v>2062</v>
      </c>
      <c r="D982" s="15"/>
      <c r="E982" s="15" t="s">
        <v>2063</v>
      </c>
      <c r="F982" s="15" t="s">
        <v>98</v>
      </c>
      <c r="G982" s="34">
        <v>2</v>
      </c>
      <c r="H982" s="34">
        <v>15</v>
      </c>
      <c r="I982" s="15" t="s">
        <v>119</v>
      </c>
      <c r="J982" s="15" t="s">
        <v>120</v>
      </c>
      <c r="K982" s="74" t="s">
        <v>29</v>
      </c>
      <c r="L982" s="16">
        <v>99753</v>
      </c>
      <c r="M982" s="16">
        <v>0</v>
      </c>
      <c r="N982" s="16">
        <v>74454</v>
      </c>
      <c r="O982" s="16">
        <v>48350</v>
      </c>
      <c r="P982" s="16">
        <v>0</v>
      </c>
      <c r="Q982" s="16">
        <v>51402</v>
      </c>
      <c r="R982" s="16">
        <v>3204</v>
      </c>
      <c r="S982" s="16">
        <v>2</v>
      </c>
      <c r="T982" s="111">
        <v>0</v>
      </c>
    </row>
    <row r="983" spans="1:20" ht="15" customHeight="1" x14ac:dyDescent="0.2">
      <c r="A983" s="12" t="s">
        <v>2064</v>
      </c>
      <c r="B983" s="56">
        <v>36864992</v>
      </c>
      <c r="C983" s="12" t="s">
        <v>1800</v>
      </c>
      <c r="D983" s="12" t="s">
        <v>1801</v>
      </c>
      <c r="E983" s="12" t="s">
        <v>1802</v>
      </c>
      <c r="F983" s="12" t="s">
        <v>98</v>
      </c>
      <c r="G983" s="33">
        <v>2</v>
      </c>
      <c r="H983" s="33">
        <v>16</v>
      </c>
      <c r="I983" s="12" t="s">
        <v>38</v>
      </c>
      <c r="J983" s="12" t="s">
        <v>39</v>
      </c>
      <c r="K983" s="73" t="s">
        <v>29</v>
      </c>
      <c r="L983" s="13">
        <v>98891</v>
      </c>
      <c r="M983" s="13">
        <v>0</v>
      </c>
      <c r="N983" s="13">
        <v>21575</v>
      </c>
      <c r="O983" s="13">
        <v>25711</v>
      </c>
      <c r="P983" s="13">
        <v>20255</v>
      </c>
      <c r="Q983" s="13">
        <v>73180</v>
      </c>
      <c r="R983" s="13">
        <v>3255</v>
      </c>
      <c r="S983" s="13">
        <v>3</v>
      </c>
      <c r="T983" s="81">
        <v>0</v>
      </c>
    </row>
    <row r="984" spans="1:20" ht="15" customHeight="1" x14ac:dyDescent="0.2">
      <c r="A984" s="15" t="s">
        <v>2065</v>
      </c>
      <c r="B984" s="60">
        <v>71336432</v>
      </c>
      <c r="C984" s="15"/>
      <c r="D984" s="15"/>
      <c r="E984" s="15"/>
      <c r="F984" s="15" t="s">
        <v>265</v>
      </c>
      <c r="G984" s="34">
        <v>2</v>
      </c>
      <c r="H984" s="34">
        <v>9</v>
      </c>
      <c r="I984" s="15" t="s">
        <v>1350</v>
      </c>
      <c r="J984" s="15" t="s">
        <v>120</v>
      </c>
      <c r="K984" s="74" t="s">
        <v>29</v>
      </c>
      <c r="L984" s="16">
        <v>98135</v>
      </c>
      <c r="M984" s="16">
        <v>49909</v>
      </c>
      <c r="N984" s="16">
        <v>3041</v>
      </c>
      <c r="O984" s="16">
        <v>82755</v>
      </c>
      <c r="P984" s="16">
        <v>80897</v>
      </c>
      <c r="Q984" s="16">
        <v>15380</v>
      </c>
      <c r="R984" s="16">
        <v>1013</v>
      </c>
      <c r="S984" s="16">
        <v>0</v>
      </c>
      <c r="T984" s="111">
        <v>0</v>
      </c>
    </row>
    <row r="985" spans="1:20" ht="15" customHeight="1" x14ac:dyDescent="0.2">
      <c r="A985" s="12" t="s">
        <v>2066</v>
      </c>
      <c r="B985" s="56">
        <v>5545390</v>
      </c>
      <c r="C985" s="12"/>
      <c r="D985" s="12"/>
      <c r="E985" s="12"/>
      <c r="F985" s="12" t="s">
        <v>265</v>
      </c>
      <c r="G985" s="33">
        <v>2</v>
      </c>
      <c r="H985" s="33">
        <v>9</v>
      </c>
      <c r="I985" s="12" t="s">
        <v>2067</v>
      </c>
      <c r="J985" s="12" t="s">
        <v>1209</v>
      </c>
      <c r="K985" s="73" t="s">
        <v>29</v>
      </c>
      <c r="L985" s="13">
        <v>97882</v>
      </c>
      <c r="M985" s="13">
        <v>45562</v>
      </c>
      <c r="N985" s="13">
        <v>32388</v>
      </c>
      <c r="O985" s="13">
        <v>78129</v>
      </c>
      <c r="P985" s="13">
        <v>69743</v>
      </c>
      <c r="Q985" s="13">
        <v>19752</v>
      </c>
      <c r="R985" s="13">
        <v>1123</v>
      </c>
      <c r="S985" s="13">
        <v>0</v>
      </c>
      <c r="T985" s="81">
        <v>2</v>
      </c>
    </row>
    <row r="986" spans="1:20" ht="15" customHeight="1" x14ac:dyDescent="0.2">
      <c r="A986" s="15" t="s">
        <v>2068</v>
      </c>
      <c r="B986" s="60">
        <v>16695922</v>
      </c>
      <c r="C986" s="15" t="s">
        <v>2069</v>
      </c>
      <c r="D986" s="15"/>
      <c r="E986" s="15" t="s">
        <v>2070</v>
      </c>
      <c r="F986" s="15" t="s">
        <v>98</v>
      </c>
      <c r="G986" s="34">
        <v>2</v>
      </c>
      <c r="H986" s="34">
        <v>15</v>
      </c>
      <c r="I986" s="15" t="s">
        <v>38</v>
      </c>
      <c r="J986" s="15" t="s">
        <v>39</v>
      </c>
      <c r="K986" s="74" t="s">
        <v>29</v>
      </c>
      <c r="L986" s="16">
        <v>97586</v>
      </c>
      <c r="M986" s="16">
        <v>0</v>
      </c>
      <c r="N986" s="16">
        <v>11057</v>
      </c>
      <c r="O986" s="16">
        <v>85555</v>
      </c>
      <c r="P986" s="16">
        <v>74561</v>
      </c>
      <c r="Q986" s="16">
        <v>12031</v>
      </c>
      <c r="R986" s="16">
        <v>3054</v>
      </c>
      <c r="S986" s="16">
        <v>2</v>
      </c>
      <c r="T986" s="111">
        <v>0</v>
      </c>
    </row>
    <row r="987" spans="1:20" ht="15" customHeight="1" x14ac:dyDescent="0.2">
      <c r="A987" s="12" t="s">
        <v>2071</v>
      </c>
      <c r="B987" s="56">
        <v>30765018</v>
      </c>
      <c r="C987" s="12" t="s">
        <v>2015</v>
      </c>
      <c r="D987" s="12"/>
      <c r="E987" s="12" t="s">
        <v>2016</v>
      </c>
      <c r="F987" s="12" t="s">
        <v>84</v>
      </c>
      <c r="G987" s="33">
        <v>3</v>
      </c>
      <c r="H987" s="33">
        <v>41</v>
      </c>
      <c r="I987" s="12" t="s">
        <v>107</v>
      </c>
      <c r="J987" s="12" t="s">
        <v>39</v>
      </c>
      <c r="K987" s="73" t="s">
        <v>29</v>
      </c>
      <c r="L987" s="13">
        <v>97403</v>
      </c>
      <c r="M987" s="13">
        <v>0</v>
      </c>
      <c r="N987" s="13">
        <v>62</v>
      </c>
      <c r="O987" s="13">
        <v>70253</v>
      </c>
      <c r="P987" s="13">
        <v>116</v>
      </c>
      <c r="Q987" s="13">
        <v>27150</v>
      </c>
      <c r="R987" s="13">
        <v>4890</v>
      </c>
      <c r="S987" s="13">
        <v>1</v>
      </c>
      <c r="T987" s="81">
        <v>0</v>
      </c>
    </row>
    <row r="988" spans="1:20" ht="15" customHeight="1" x14ac:dyDescent="0.2">
      <c r="A988" s="15" t="s">
        <v>2072</v>
      </c>
      <c r="B988" s="60">
        <v>54811417</v>
      </c>
      <c r="C988" s="15" t="s">
        <v>2073</v>
      </c>
      <c r="D988" s="15"/>
      <c r="E988" s="15" t="s">
        <v>2074</v>
      </c>
      <c r="F988" s="15" t="s">
        <v>84</v>
      </c>
      <c r="G988" s="34">
        <v>2</v>
      </c>
      <c r="H988" s="34">
        <v>41</v>
      </c>
      <c r="I988" s="15" t="s">
        <v>38</v>
      </c>
      <c r="J988" s="15" t="s">
        <v>39</v>
      </c>
      <c r="K988" s="74" t="s">
        <v>29</v>
      </c>
      <c r="L988" s="16">
        <v>96567</v>
      </c>
      <c r="M988" s="16">
        <v>0</v>
      </c>
      <c r="N988" s="16">
        <v>2</v>
      </c>
      <c r="O988" s="16">
        <v>107704</v>
      </c>
      <c r="P988" s="16">
        <v>107181</v>
      </c>
      <c r="Q988" s="16">
        <v>-11137</v>
      </c>
      <c r="R988" s="16">
        <v>-18345</v>
      </c>
      <c r="S988" s="16">
        <v>1</v>
      </c>
      <c r="T988" s="111">
        <v>0</v>
      </c>
    </row>
    <row r="989" spans="1:20" ht="15" customHeight="1" x14ac:dyDescent="0.2">
      <c r="A989" s="12" t="s">
        <v>2075</v>
      </c>
      <c r="B989" s="56">
        <v>33042151</v>
      </c>
      <c r="C989" s="12" t="s">
        <v>2076</v>
      </c>
      <c r="D989" s="12"/>
      <c r="E989" s="12" t="s">
        <v>2077</v>
      </c>
      <c r="F989" s="12" t="s">
        <v>26</v>
      </c>
      <c r="G989" s="33">
        <v>3</v>
      </c>
      <c r="H989" s="33">
        <v>28</v>
      </c>
      <c r="I989" s="12" t="s">
        <v>38</v>
      </c>
      <c r="J989" s="12" t="s">
        <v>39</v>
      </c>
      <c r="K989" s="73" t="s">
        <v>29</v>
      </c>
      <c r="L989" s="13">
        <v>96498</v>
      </c>
      <c r="M989" s="13">
        <v>33358</v>
      </c>
      <c r="N989" s="13">
        <v>5684</v>
      </c>
      <c r="O989" s="13">
        <v>65086</v>
      </c>
      <c r="P989" s="13">
        <v>31979</v>
      </c>
      <c r="Q989" s="13">
        <v>31412</v>
      </c>
      <c r="R989" s="13">
        <v>-1689</v>
      </c>
      <c r="S989" s="13">
        <v>2</v>
      </c>
      <c r="T989" s="81">
        <v>0</v>
      </c>
    </row>
    <row r="990" spans="1:20" ht="15" customHeight="1" x14ac:dyDescent="0.2">
      <c r="A990" s="15" t="s">
        <v>2078</v>
      </c>
      <c r="B990" s="60">
        <v>6339468</v>
      </c>
      <c r="C990" s="15" t="s">
        <v>2079</v>
      </c>
      <c r="D990" s="15"/>
      <c r="E990" s="15" t="s">
        <v>2080</v>
      </c>
      <c r="F990" s="15" t="s">
        <v>65</v>
      </c>
      <c r="G990" s="34">
        <v>2</v>
      </c>
      <c r="H990" s="34">
        <v>14</v>
      </c>
      <c r="I990" s="15" t="s">
        <v>453</v>
      </c>
      <c r="J990" s="15" t="s">
        <v>74</v>
      </c>
      <c r="K990" s="74" t="s">
        <v>29</v>
      </c>
      <c r="L990" s="16">
        <v>95989</v>
      </c>
      <c r="M990" s="16">
        <v>87874</v>
      </c>
      <c r="N990" s="16">
        <v>0</v>
      </c>
      <c r="O990" s="16">
        <v>65269</v>
      </c>
      <c r="P990" s="16">
        <v>58002</v>
      </c>
      <c r="Q990" s="16">
        <v>30720</v>
      </c>
      <c r="R990" s="16">
        <v>6383</v>
      </c>
      <c r="S990" s="16">
        <v>2</v>
      </c>
      <c r="T990" s="111">
        <v>0</v>
      </c>
    </row>
    <row r="991" spans="1:20" ht="15" customHeight="1" x14ac:dyDescent="0.2">
      <c r="A991" s="12" t="s">
        <v>2081</v>
      </c>
      <c r="B991" s="56">
        <v>4257795</v>
      </c>
      <c r="C991" s="12" t="s">
        <v>2082</v>
      </c>
      <c r="D991" s="12"/>
      <c r="E991" s="12" t="s">
        <v>2083</v>
      </c>
      <c r="F991" s="12" t="s">
        <v>98</v>
      </c>
      <c r="G991" s="33">
        <v>2</v>
      </c>
      <c r="H991" s="33">
        <v>15</v>
      </c>
      <c r="I991" s="12" t="s">
        <v>38</v>
      </c>
      <c r="J991" s="12" t="s">
        <v>39</v>
      </c>
      <c r="K991" s="73" t="s">
        <v>29</v>
      </c>
      <c r="L991" s="13">
        <v>95959</v>
      </c>
      <c r="M991" s="13">
        <v>0</v>
      </c>
      <c r="N991" s="13">
        <v>63936</v>
      </c>
      <c r="O991" s="13">
        <v>64580</v>
      </c>
      <c r="P991" s="13">
        <v>46233</v>
      </c>
      <c r="Q991" s="13">
        <v>31379</v>
      </c>
      <c r="R991" s="13">
        <v>-1056</v>
      </c>
      <c r="S991" s="13">
        <v>2</v>
      </c>
      <c r="T991" s="81">
        <v>0</v>
      </c>
    </row>
    <row r="992" spans="1:20" ht="15" customHeight="1" x14ac:dyDescent="0.2">
      <c r="A992" s="15" t="s">
        <v>2084</v>
      </c>
      <c r="B992" s="60">
        <v>48967968</v>
      </c>
      <c r="C992" s="15" t="s">
        <v>2085</v>
      </c>
      <c r="D992" s="15"/>
      <c r="E992" s="15" t="s">
        <v>2086</v>
      </c>
      <c r="F992" s="15" t="s">
        <v>98</v>
      </c>
      <c r="G992" s="34">
        <v>2</v>
      </c>
      <c r="H992" s="34">
        <v>16</v>
      </c>
      <c r="I992" s="15" t="s">
        <v>38</v>
      </c>
      <c r="J992" s="15" t="s">
        <v>39</v>
      </c>
      <c r="K992" s="74" t="s">
        <v>29</v>
      </c>
      <c r="L992" s="16">
        <v>92220</v>
      </c>
      <c r="M992" s="16">
        <v>0</v>
      </c>
      <c r="N992" s="16">
        <v>1979</v>
      </c>
      <c r="O992" s="16">
        <v>86083</v>
      </c>
      <c r="P992" s="16">
        <v>84424</v>
      </c>
      <c r="Q992" s="16">
        <v>6137</v>
      </c>
      <c r="R992" s="16">
        <v>1259</v>
      </c>
      <c r="S992" s="16">
        <v>2</v>
      </c>
      <c r="T992" s="111">
        <v>0</v>
      </c>
    </row>
    <row r="993" spans="1:20" ht="15" customHeight="1" x14ac:dyDescent="0.2">
      <c r="A993" s="12" t="s">
        <v>2087</v>
      </c>
      <c r="B993" s="56">
        <v>42934794</v>
      </c>
      <c r="C993" s="12"/>
      <c r="D993" s="12"/>
      <c r="E993" s="12"/>
      <c r="F993" s="12" t="s">
        <v>265</v>
      </c>
      <c r="G993" s="33">
        <v>2</v>
      </c>
      <c r="H993" s="33">
        <v>9</v>
      </c>
      <c r="I993" s="12" t="s">
        <v>2088</v>
      </c>
      <c r="J993" s="12" t="s">
        <v>120</v>
      </c>
      <c r="K993" s="73" t="s">
        <v>29</v>
      </c>
      <c r="L993" s="13">
        <v>91861</v>
      </c>
      <c r="M993" s="13">
        <v>24427</v>
      </c>
      <c r="N993" s="13">
        <v>2462</v>
      </c>
      <c r="O993" s="13">
        <v>78360</v>
      </c>
      <c r="P993" s="13">
        <v>70908</v>
      </c>
      <c r="Q993" s="13">
        <v>13501</v>
      </c>
      <c r="R993" s="13">
        <v>997</v>
      </c>
      <c r="S993" s="13">
        <v>0</v>
      </c>
      <c r="T993" s="81">
        <v>0</v>
      </c>
    </row>
    <row r="994" spans="1:20" ht="15" customHeight="1" x14ac:dyDescent="0.2">
      <c r="A994" s="15" t="s">
        <v>2089</v>
      </c>
      <c r="B994" s="60">
        <v>74248949</v>
      </c>
      <c r="C994" s="15"/>
      <c r="D994" s="15"/>
      <c r="E994" s="15"/>
      <c r="F994" s="15" t="s">
        <v>265</v>
      </c>
      <c r="G994" s="34">
        <v>2</v>
      </c>
      <c r="H994" s="34">
        <v>9</v>
      </c>
      <c r="I994" s="15" t="s">
        <v>1513</v>
      </c>
      <c r="J994" s="15" t="s">
        <v>39</v>
      </c>
      <c r="K994" s="74" t="s">
        <v>29</v>
      </c>
      <c r="L994" s="16">
        <v>91826</v>
      </c>
      <c r="M994" s="16">
        <v>66852</v>
      </c>
      <c r="N994" s="16">
        <v>3250</v>
      </c>
      <c r="O994" s="16">
        <v>64968</v>
      </c>
      <c r="P994" s="16">
        <v>63295</v>
      </c>
      <c r="Q994" s="16">
        <v>26858</v>
      </c>
      <c r="R994" s="16">
        <v>808</v>
      </c>
      <c r="S994" s="16">
        <v>0</v>
      </c>
      <c r="T994" s="111">
        <v>1</v>
      </c>
    </row>
    <row r="995" spans="1:20" ht="15" customHeight="1" x14ac:dyDescent="0.2">
      <c r="A995" s="12" t="s">
        <v>2090</v>
      </c>
      <c r="B995" s="56">
        <v>2217068</v>
      </c>
      <c r="C995" s="12"/>
      <c r="D995" s="12"/>
      <c r="E995" s="12"/>
      <c r="F995" s="12" t="s">
        <v>265</v>
      </c>
      <c r="G995" s="33">
        <v>2</v>
      </c>
      <c r="H995" s="33">
        <v>9</v>
      </c>
      <c r="I995" s="12" t="s">
        <v>119</v>
      </c>
      <c r="J995" s="12" t="s">
        <v>120</v>
      </c>
      <c r="K995" s="73" t="s">
        <v>29</v>
      </c>
      <c r="L995" s="13">
        <v>91470</v>
      </c>
      <c r="M995" s="13">
        <v>5746</v>
      </c>
      <c r="N995" s="13">
        <v>2558</v>
      </c>
      <c r="O995" s="13">
        <v>77271</v>
      </c>
      <c r="P995" s="13">
        <v>75709</v>
      </c>
      <c r="Q995" s="13">
        <v>14199</v>
      </c>
      <c r="R995" s="13">
        <v>1499</v>
      </c>
      <c r="S995" s="13">
        <v>0</v>
      </c>
      <c r="T995" s="81">
        <v>0</v>
      </c>
    </row>
    <row r="996" spans="1:20" ht="15" customHeight="1" x14ac:dyDescent="0.2">
      <c r="A996" s="15" t="s">
        <v>2091</v>
      </c>
      <c r="B996" s="60">
        <v>33959738</v>
      </c>
      <c r="C996" s="15" t="s">
        <v>2092</v>
      </c>
      <c r="D996" s="15"/>
      <c r="E996" s="15" t="s">
        <v>2093</v>
      </c>
      <c r="F996" s="15" t="s">
        <v>65</v>
      </c>
      <c r="G996" s="34">
        <v>3</v>
      </c>
      <c r="H996" s="34">
        <v>44</v>
      </c>
      <c r="I996" s="15" t="s">
        <v>38</v>
      </c>
      <c r="J996" s="15" t="s">
        <v>39</v>
      </c>
      <c r="K996" s="74" t="s">
        <v>29</v>
      </c>
      <c r="L996" s="16">
        <v>91105</v>
      </c>
      <c r="M996" s="16">
        <v>0</v>
      </c>
      <c r="N996" s="16">
        <v>351</v>
      </c>
      <c r="O996" s="16">
        <v>42487</v>
      </c>
      <c r="P996" s="16">
        <v>173</v>
      </c>
      <c r="Q996" s="16">
        <v>48618</v>
      </c>
      <c r="R996" s="16">
        <v>-1410</v>
      </c>
      <c r="S996" s="16">
        <v>2</v>
      </c>
      <c r="T996" s="111">
        <v>0</v>
      </c>
    </row>
    <row r="997" spans="1:20" ht="15" customHeight="1" x14ac:dyDescent="0.2">
      <c r="A997" s="12" t="s">
        <v>2094</v>
      </c>
      <c r="B997" s="56">
        <v>9579249</v>
      </c>
      <c r="C997" s="12"/>
      <c r="D997" s="12"/>
      <c r="E997" s="12"/>
      <c r="F997" s="12" t="s">
        <v>265</v>
      </c>
      <c r="G997" s="33">
        <v>2</v>
      </c>
      <c r="H997" s="33">
        <v>9</v>
      </c>
      <c r="I997" s="12" t="s">
        <v>2095</v>
      </c>
      <c r="J997" s="12" t="s">
        <v>39</v>
      </c>
      <c r="K997" s="73" t="s">
        <v>29</v>
      </c>
      <c r="L997" s="13">
        <v>90931</v>
      </c>
      <c r="M997" s="13">
        <v>39643</v>
      </c>
      <c r="N997" s="13">
        <v>49349</v>
      </c>
      <c r="O997" s="13">
        <v>81677</v>
      </c>
      <c r="P997" s="13">
        <v>77988</v>
      </c>
      <c r="Q997" s="13">
        <v>9254</v>
      </c>
      <c r="R997" s="13">
        <v>-971</v>
      </c>
      <c r="S997" s="13">
        <v>0</v>
      </c>
      <c r="T997" s="81">
        <v>7</v>
      </c>
    </row>
    <row r="998" spans="1:20" ht="15" customHeight="1" x14ac:dyDescent="0.2">
      <c r="A998" s="15" t="s">
        <v>2096</v>
      </c>
      <c r="B998" s="60">
        <v>59379565</v>
      </c>
      <c r="C998" s="15" t="s">
        <v>676</v>
      </c>
      <c r="D998" s="15"/>
      <c r="E998" s="15" t="s">
        <v>677</v>
      </c>
      <c r="F998" s="15" t="s">
        <v>65</v>
      </c>
      <c r="G998" s="34">
        <v>3</v>
      </c>
      <c r="H998" s="34">
        <v>43</v>
      </c>
      <c r="I998" s="15" t="s">
        <v>38</v>
      </c>
      <c r="J998" s="15" t="s">
        <v>39</v>
      </c>
      <c r="K998" s="74" t="s">
        <v>29</v>
      </c>
      <c r="L998" s="16">
        <v>89545</v>
      </c>
      <c r="M998" s="16">
        <v>11122</v>
      </c>
      <c r="N998" s="16">
        <v>14745</v>
      </c>
      <c r="O998" s="16">
        <v>11124</v>
      </c>
      <c r="P998" s="16">
        <v>0</v>
      </c>
      <c r="Q998" s="16">
        <v>78421</v>
      </c>
      <c r="R998" s="16">
        <v>1988</v>
      </c>
      <c r="S998" s="16">
        <v>2</v>
      </c>
      <c r="T998" s="111">
        <v>0</v>
      </c>
    </row>
    <row r="999" spans="1:20" ht="15" customHeight="1" x14ac:dyDescent="0.2">
      <c r="A999" s="12" t="s">
        <v>2097</v>
      </c>
      <c r="B999" s="56">
        <v>18188384</v>
      </c>
      <c r="C999" s="12" t="s">
        <v>2098</v>
      </c>
      <c r="D999" s="12"/>
      <c r="E999" s="12" t="s">
        <v>2099</v>
      </c>
      <c r="F999" s="12" t="s">
        <v>65</v>
      </c>
      <c r="G999" s="33">
        <v>2</v>
      </c>
      <c r="H999" s="33">
        <v>10</v>
      </c>
      <c r="I999" s="12" t="s">
        <v>305</v>
      </c>
      <c r="J999" s="12" t="s">
        <v>229</v>
      </c>
      <c r="K999" s="73" t="s">
        <v>29</v>
      </c>
      <c r="L999" s="13">
        <v>88622</v>
      </c>
      <c r="M999" s="13">
        <v>3503</v>
      </c>
      <c r="N999" s="13">
        <v>34661</v>
      </c>
      <c r="O999" s="13">
        <v>26792</v>
      </c>
      <c r="P999" s="13">
        <v>0</v>
      </c>
      <c r="Q999" s="13">
        <v>61830</v>
      </c>
      <c r="R999" s="13">
        <v>11768</v>
      </c>
      <c r="S999" s="13">
        <v>2</v>
      </c>
      <c r="T999" s="81">
        <v>0</v>
      </c>
    </row>
    <row r="1000" spans="1:20" ht="15" customHeight="1" x14ac:dyDescent="0.2">
      <c r="A1000" s="15" t="s">
        <v>2100</v>
      </c>
      <c r="B1000" s="60">
        <v>21332862</v>
      </c>
      <c r="C1000" s="15" t="s">
        <v>2101</v>
      </c>
      <c r="D1000" s="15"/>
      <c r="E1000" s="15" t="s">
        <v>2102</v>
      </c>
      <c r="F1000" s="15" t="s">
        <v>65</v>
      </c>
      <c r="G1000" s="34">
        <v>2</v>
      </c>
      <c r="H1000" s="34">
        <v>43</v>
      </c>
      <c r="I1000" s="15" t="s">
        <v>38</v>
      </c>
      <c r="J1000" s="15" t="s">
        <v>39</v>
      </c>
      <c r="K1000" s="74" t="s">
        <v>29</v>
      </c>
      <c r="L1000" s="16">
        <v>87607</v>
      </c>
      <c r="M1000" s="16">
        <v>6148</v>
      </c>
      <c r="N1000" s="16">
        <v>60</v>
      </c>
      <c r="O1000" s="16">
        <v>77531</v>
      </c>
      <c r="P1000" s="16">
        <v>55181</v>
      </c>
      <c r="Q1000" s="16">
        <v>10076</v>
      </c>
      <c r="R1000" s="16">
        <v>474</v>
      </c>
      <c r="S1000" s="16">
        <v>2</v>
      </c>
      <c r="T1000" s="111">
        <v>0</v>
      </c>
    </row>
    <row r="1001" spans="1:20" ht="15" customHeight="1" x14ac:dyDescent="0.2">
      <c r="A1001" s="12" t="s">
        <v>2103</v>
      </c>
      <c r="B1001" s="56">
        <v>3384738</v>
      </c>
      <c r="C1001" s="12" t="s">
        <v>41</v>
      </c>
      <c r="D1001" s="12" t="s">
        <v>42</v>
      </c>
      <c r="E1001" s="12" t="s">
        <v>43</v>
      </c>
      <c r="F1001" s="12" t="s">
        <v>98</v>
      </c>
      <c r="G1001" s="33">
        <v>2</v>
      </c>
      <c r="H1001" s="33">
        <v>16</v>
      </c>
      <c r="I1001" s="12" t="s">
        <v>44</v>
      </c>
      <c r="J1001" s="12" t="s">
        <v>39</v>
      </c>
      <c r="K1001" s="73" t="s">
        <v>29</v>
      </c>
      <c r="L1001" s="13">
        <v>86962</v>
      </c>
      <c r="M1001" s="13">
        <v>0</v>
      </c>
      <c r="N1001" s="13">
        <v>1586</v>
      </c>
      <c r="O1001" s="13">
        <v>65213</v>
      </c>
      <c r="P1001" s="13">
        <v>4459</v>
      </c>
      <c r="Q1001" s="13">
        <v>21749</v>
      </c>
      <c r="R1001" s="13">
        <v>-26998</v>
      </c>
      <c r="S1001" s="13">
        <v>2</v>
      </c>
      <c r="T1001" s="81">
        <v>0</v>
      </c>
    </row>
    <row r="1002" spans="1:20" ht="15" customHeight="1" x14ac:dyDescent="0.2">
      <c r="A1002" s="15" t="s">
        <v>2104</v>
      </c>
      <c r="B1002" s="60">
        <v>2093154</v>
      </c>
      <c r="C1002" s="15"/>
      <c r="D1002" s="15"/>
      <c r="E1002" s="15"/>
      <c r="F1002" s="15" t="s">
        <v>265</v>
      </c>
      <c r="G1002" s="34">
        <v>2</v>
      </c>
      <c r="H1002" s="34">
        <v>9</v>
      </c>
      <c r="I1002" s="15" t="s">
        <v>934</v>
      </c>
      <c r="J1002" s="15" t="s">
        <v>39</v>
      </c>
      <c r="K1002" s="74" t="s">
        <v>29</v>
      </c>
      <c r="L1002" s="16">
        <v>86529</v>
      </c>
      <c r="M1002" s="16">
        <v>27557</v>
      </c>
      <c r="N1002" s="16">
        <v>57739</v>
      </c>
      <c r="O1002" s="16">
        <v>7100</v>
      </c>
      <c r="P1002" s="16">
        <v>0</v>
      </c>
      <c r="Q1002" s="16">
        <v>79430</v>
      </c>
      <c r="R1002" s="16">
        <v>6545</v>
      </c>
      <c r="S1002" s="16">
        <v>0</v>
      </c>
      <c r="T1002" s="111">
        <v>0</v>
      </c>
    </row>
    <row r="1003" spans="1:20" ht="15" customHeight="1" x14ac:dyDescent="0.2">
      <c r="A1003" s="12" t="s">
        <v>2105</v>
      </c>
      <c r="B1003" s="56">
        <v>27171974</v>
      </c>
      <c r="C1003" s="12"/>
      <c r="D1003" s="12"/>
      <c r="E1003" s="12"/>
      <c r="F1003" s="12" t="s">
        <v>265</v>
      </c>
      <c r="G1003" s="33">
        <v>2</v>
      </c>
      <c r="H1003" s="33">
        <v>9</v>
      </c>
      <c r="I1003" s="12" t="s">
        <v>2106</v>
      </c>
      <c r="J1003" s="12" t="s">
        <v>183</v>
      </c>
      <c r="K1003" s="73" t="s">
        <v>29</v>
      </c>
      <c r="L1003" s="13">
        <v>86019</v>
      </c>
      <c r="M1003" s="13">
        <v>35390</v>
      </c>
      <c r="N1003" s="13">
        <v>36719</v>
      </c>
      <c r="O1003" s="13">
        <v>14146</v>
      </c>
      <c r="P1003" s="13">
        <v>0</v>
      </c>
      <c r="Q1003" s="13">
        <v>71873</v>
      </c>
      <c r="R1003" s="13">
        <v>4277</v>
      </c>
      <c r="S1003" s="13">
        <v>0</v>
      </c>
      <c r="T1003" s="81">
        <v>0</v>
      </c>
    </row>
    <row r="1004" spans="1:20" ht="15" customHeight="1" x14ac:dyDescent="0.2">
      <c r="A1004" s="15" t="s">
        <v>2107</v>
      </c>
      <c r="B1004" s="60">
        <v>37229413</v>
      </c>
      <c r="C1004" s="15" t="s">
        <v>1283</v>
      </c>
      <c r="D1004" s="15"/>
      <c r="E1004" s="15" t="s">
        <v>1284</v>
      </c>
      <c r="F1004" s="15" t="s">
        <v>65</v>
      </c>
      <c r="G1004" s="34">
        <v>2</v>
      </c>
      <c r="H1004" s="34">
        <v>14</v>
      </c>
      <c r="I1004" s="15" t="s">
        <v>1285</v>
      </c>
      <c r="J1004" s="15" t="s">
        <v>120</v>
      </c>
      <c r="K1004" s="74" t="s">
        <v>29</v>
      </c>
      <c r="L1004" s="16">
        <v>85877</v>
      </c>
      <c r="M1004" s="16">
        <v>61185</v>
      </c>
      <c r="N1004" s="16">
        <v>0</v>
      </c>
      <c r="O1004" s="16">
        <v>76777</v>
      </c>
      <c r="P1004" s="16">
        <v>72394</v>
      </c>
      <c r="Q1004" s="16">
        <v>9101</v>
      </c>
      <c r="R1004" s="16">
        <v>1773</v>
      </c>
      <c r="S1004" s="16">
        <v>2</v>
      </c>
      <c r="T1004" s="111">
        <v>0</v>
      </c>
    </row>
    <row r="1005" spans="1:20" ht="15" customHeight="1" x14ac:dyDescent="0.2">
      <c r="A1005" s="12" t="s">
        <v>2108</v>
      </c>
      <c r="B1005" s="56">
        <v>68757681</v>
      </c>
      <c r="C1005" s="12" t="s">
        <v>2109</v>
      </c>
      <c r="D1005" s="12"/>
      <c r="E1005" s="12" t="s">
        <v>2110</v>
      </c>
      <c r="F1005" s="12" t="s">
        <v>98</v>
      </c>
      <c r="G1005" s="33">
        <v>3</v>
      </c>
      <c r="H1005" s="33">
        <v>15</v>
      </c>
      <c r="I1005" s="12" t="s">
        <v>38</v>
      </c>
      <c r="J1005" s="12" t="s">
        <v>39</v>
      </c>
      <c r="K1005" s="73" t="s">
        <v>29</v>
      </c>
      <c r="L1005" s="13">
        <v>85540</v>
      </c>
      <c r="M1005" s="13">
        <v>0</v>
      </c>
      <c r="N1005" s="13">
        <v>54861</v>
      </c>
      <c r="O1005" s="13">
        <v>10415</v>
      </c>
      <c r="P1005" s="13">
        <v>4954</v>
      </c>
      <c r="Q1005" s="13">
        <v>75125</v>
      </c>
      <c r="R1005" s="13">
        <v>2021</v>
      </c>
      <c r="S1005" s="13">
        <v>2</v>
      </c>
      <c r="T1005" s="81">
        <v>0</v>
      </c>
    </row>
    <row r="1006" spans="1:20" ht="15" customHeight="1" x14ac:dyDescent="0.2">
      <c r="A1006" s="15" t="s">
        <v>2111</v>
      </c>
      <c r="B1006" s="60">
        <v>58158387</v>
      </c>
      <c r="C1006" s="15" t="s">
        <v>2112</v>
      </c>
      <c r="D1006" s="15"/>
      <c r="E1006" s="15" t="s">
        <v>2113</v>
      </c>
      <c r="F1006" s="15" t="s">
        <v>65</v>
      </c>
      <c r="G1006" s="34">
        <v>2</v>
      </c>
      <c r="H1006" s="34">
        <v>14</v>
      </c>
      <c r="I1006" s="15" t="s">
        <v>1167</v>
      </c>
      <c r="J1006" s="15" t="s">
        <v>39</v>
      </c>
      <c r="K1006" s="74" t="s">
        <v>29</v>
      </c>
      <c r="L1006" s="16">
        <v>83962</v>
      </c>
      <c r="M1006" s="16">
        <v>6730</v>
      </c>
      <c r="N1006" s="16">
        <v>65468</v>
      </c>
      <c r="O1006" s="16">
        <v>805</v>
      </c>
      <c r="P1006" s="16">
        <v>0</v>
      </c>
      <c r="Q1006" s="16">
        <v>83157</v>
      </c>
      <c r="R1006" s="16">
        <v>1658</v>
      </c>
      <c r="S1006" s="16">
        <v>3</v>
      </c>
      <c r="T1006" s="111">
        <v>0</v>
      </c>
    </row>
    <row r="1007" spans="1:20" ht="15" customHeight="1" x14ac:dyDescent="0.2">
      <c r="A1007" s="12" t="s">
        <v>2114</v>
      </c>
      <c r="B1007" s="56">
        <v>16814330</v>
      </c>
      <c r="C1007" s="12" t="s">
        <v>2115</v>
      </c>
      <c r="D1007" s="12"/>
      <c r="E1007" s="12" t="s">
        <v>2116</v>
      </c>
      <c r="F1007" s="12" t="s">
        <v>84</v>
      </c>
      <c r="G1007" s="33">
        <v>2</v>
      </c>
      <c r="H1007" s="33">
        <v>41</v>
      </c>
      <c r="I1007" s="12" t="s">
        <v>107</v>
      </c>
      <c r="J1007" s="12" t="s">
        <v>39</v>
      </c>
      <c r="K1007" s="73" t="s">
        <v>29</v>
      </c>
      <c r="L1007" s="13">
        <v>82196</v>
      </c>
      <c r="M1007" s="13">
        <v>0</v>
      </c>
      <c r="N1007" s="13">
        <v>7571</v>
      </c>
      <c r="O1007" s="13">
        <v>61538</v>
      </c>
      <c r="P1007" s="13">
        <v>3260</v>
      </c>
      <c r="Q1007" s="13">
        <v>20658</v>
      </c>
      <c r="R1007" s="13">
        <v>-2584</v>
      </c>
      <c r="S1007" s="13">
        <v>1</v>
      </c>
      <c r="T1007" s="81">
        <v>0</v>
      </c>
    </row>
    <row r="1008" spans="1:20" ht="15" customHeight="1" x14ac:dyDescent="0.2">
      <c r="A1008" s="15" t="s">
        <v>2117</v>
      </c>
      <c r="B1008" s="60">
        <v>7494300</v>
      </c>
      <c r="C1008" s="15"/>
      <c r="D1008" s="15"/>
      <c r="E1008" s="15"/>
      <c r="F1008" s="15" t="s">
        <v>265</v>
      </c>
      <c r="G1008" s="34">
        <v>2</v>
      </c>
      <c r="H1008" s="34">
        <v>9</v>
      </c>
      <c r="I1008" s="15" t="s">
        <v>414</v>
      </c>
      <c r="J1008" s="15" t="s">
        <v>74</v>
      </c>
      <c r="K1008" s="74" t="s">
        <v>29</v>
      </c>
      <c r="L1008" s="16">
        <v>82122</v>
      </c>
      <c r="M1008" s="16">
        <v>50064</v>
      </c>
      <c r="N1008" s="16">
        <v>1706</v>
      </c>
      <c r="O1008" s="16">
        <v>68755</v>
      </c>
      <c r="P1008" s="16">
        <v>63160</v>
      </c>
      <c r="Q1008" s="16">
        <v>13367</v>
      </c>
      <c r="R1008" s="16">
        <v>805</v>
      </c>
      <c r="S1008" s="16">
        <v>0</v>
      </c>
      <c r="T1008" s="111">
        <v>1</v>
      </c>
    </row>
    <row r="1009" spans="1:20" ht="15" customHeight="1" x14ac:dyDescent="0.2">
      <c r="A1009" s="12" t="s">
        <v>2118</v>
      </c>
      <c r="B1009" s="56">
        <v>40768766</v>
      </c>
      <c r="C1009" s="12" t="s">
        <v>2119</v>
      </c>
      <c r="D1009" s="12"/>
      <c r="E1009" s="12" t="s">
        <v>2120</v>
      </c>
      <c r="F1009" s="12" t="s">
        <v>98</v>
      </c>
      <c r="G1009" s="33">
        <v>2</v>
      </c>
      <c r="H1009" s="33">
        <v>16</v>
      </c>
      <c r="I1009" s="12" t="s">
        <v>38</v>
      </c>
      <c r="J1009" s="12" t="s">
        <v>39</v>
      </c>
      <c r="K1009" s="73" t="s">
        <v>29</v>
      </c>
      <c r="L1009" s="13">
        <v>81461</v>
      </c>
      <c r="M1009" s="13">
        <v>0</v>
      </c>
      <c r="N1009" s="13">
        <v>1063</v>
      </c>
      <c r="O1009" s="13">
        <v>77338</v>
      </c>
      <c r="P1009" s="13">
        <v>73745</v>
      </c>
      <c r="Q1009" s="13">
        <v>4123</v>
      </c>
      <c r="R1009" s="13">
        <v>421</v>
      </c>
      <c r="S1009" s="13">
        <v>2</v>
      </c>
      <c r="T1009" s="81">
        <v>0</v>
      </c>
    </row>
    <row r="1010" spans="1:20" ht="15" customHeight="1" x14ac:dyDescent="0.2">
      <c r="A1010" s="15" t="s">
        <v>2121</v>
      </c>
      <c r="B1010" s="60">
        <v>5474540</v>
      </c>
      <c r="C1010" s="15" t="s">
        <v>2122</v>
      </c>
      <c r="D1010" s="15"/>
      <c r="E1010" s="15" t="s">
        <v>2123</v>
      </c>
      <c r="F1010" s="15" t="s">
        <v>65</v>
      </c>
      <c r="G1010" s="34">
        <v>1</v>
      </c>
      <c r="H1010" s="34">
        <v>30</v>
      </c>
      <c r="I1010" s="15" t="s">
        <v>2124</v>
      </c>
      <c r="J1010" s="15" t="s">
        <v>1214</v>
      </c>
      <c r="K1010" s="74" t="s">
        <v>29</v>
      </c>
      <c r="L1010" s="16">
        <v>81401</v>
      </c>
      <c r="M1010" s="16">
        <v>44291</v>
      </c>
      <c r="N1010" s="16">
        <v>35380</v>
      </c>
      <c r="O1010" s="16">
        <v>35692</v>
      </c>
      <c r="P1010" s="16">
        <v>34633</v>
      </c>
      <c r="Q1010" s="16">
        <v>45709</v>
      </c>
      <c r="R1010" s="16">
        <v>-351</v>
      </c>
      <c r="S1010" s="16">
        <v>1</v>
      </c>
      <c r="T1010" s="111">
        <v>0</v>
      </c>
    </row>
    <row r="1011" spans="1:20" ht="15" customHeight="1" x14ac:dyDescent="0.2">
      <c r="A1011" s="12" t="s">
        <v>2125</v>
      </c>
      <c r="B1011" s="56">
        <v>89280960</v>
      </c>
      <c r="C1011" s="12"/>
      <c r="D1011" s="12"/>
      <c r="E1011" s="12"/>
      <c r="F1011" s="12" t="s">
        <v>265</v>
      </c>
      <c r="G1011" s="33">
        <v>2</v>
      </c>
      <c r="H1011" s="33">
        <v>9</v>
      </c>
      <c r="I1011" s="12" t="s">
        <v>782</v>
      </c>
      <c r="J1011" s="12" t="s">
        <v>74</v>
      </c>
      <c r="K1011" s="73" t="s">
        <v>29</v>
      </c>
      <c r="L1011" s="13">
        <v>81301</v>
      </c>
      <c r="M1011" s="13">
        <v>31766</v>
      </c>
      <c r="N1011" s="13">
        <v>9577</v>
      </c>
      <c r="O1011" s="13">
        <v>13848</v>
      </c>
      <c r="P1011" s="13">
        <v>8837</v>
      </c>
      <c r="Q1011" s="13">
        <v>67453</v>
      </c>
      <c r="R1011" s="13">
        <v>1979</v>
      </c>
      <c r="S1011" s="13">
        <v>0</v>
      </c>
      <c r="T1011" s="81">
        <v>0</v>
      </c>
    </row>
    <row r="1012" spans="1:20" ht="15" customHeight="1" x14ac:dyDescent="0.2">
      <c r="A1012" s="15" t="s">
        <v>2126</v>
      </c>
      <c r="B1012" s="60">
        <v>47074323</v>
      </c>
      <c r="C1012" s="15"/>
      <c r="D1012" s="15"/>
      <c r="E1012" s="15"/>
      <c r="F1012" s="15" t="s">
        <v>265</v>
      </c>
      <c r="G1012" s="34">
        <v>2</v>
      </c>
      <c r="H1012" s="34">
        <v>9</v>
      </c>
      <c r="I1012" s="15" t="s">
        <v>1846</v>
      </c>
      <c r="J1012" s="15" t="s">
        <v>39</v>
      </c>
      <c r="K1012" s="74" t="s">
        <v>29</v>
      </c>
      <c r="L1012" s="16">
        <v>81197</v>
      </c>
      <c r="M1012" s="16">
        <v>52940</v>
      </c>
      <c r="N1012" s="16">
        <v>25412</v>
      </c>
      <c r="O1012" s="16">
        <v>45643</v>
      </c>
      <c r="P1012" s="16">
        <v>42847</v>
      </c>
      <c r="Q1012" s="16">
        <v>35554</v>
      </c>
      <c r="R1012" s="16">
        <v>-969</v>
      </c>
      <c r="S1012" s="16">
        <v>0</v>
      </c>
      <c r="T1012" s="111">
        <v>6</v>
      </c>
    </row>
    <row r="1013" spans="1:20" ht="15" customHeight="1" x14ac:dyDescent="0.2">
      <c r="A1013" s="12" t="s">
        <v>2127</v>
      </c>
      <c r="B1013" s="56">
        <v>33588252</v>
      </c>
      <c r="C1013" s="12" t="s">
        <v>2128</v>
      </c>
      <c r="D1013" s="12"/>
      <c r="E1013" s="12" t="s">
        <v>2129</v>
      </c>
      <c r="F1013" s="12" t="s">
        <v>60</v>
      </c>
      <c r="G1013" s="33">
        <v>2</v>
      </c>
      <c r="H1013" s="33">
        <v>13</v>
      </c>
      <c r="I1013" s="12" t="s">
        <v>38</v>
      </c>
      <c r="J1013" s="12" t="s">
        <v>39</v>
      </c>
      <c r="K1013" s="73" t="s">
        <v>29</v>
      </c>
      <c r="L1013" s="13">
        <v>80988</v>
      </c>
      <c r="M1013" s="13">
        <v>8348</v>
      </c>
      <c r="N1013" s="13">
        <v>63362</v>
      </c>
      <c r="O1013" s="13">
        <v>2699</v>
      </c>
      <c r="P1013" s="13">
        <v>1936</v>
      </c>
      <c r="Q1013" s="13">
        <v>78289</v>
      </c>
      <c r="R1013" s="13">
        <v>-905</v>
      </c>
      <c r="S1013" s="13">
        <v>2</v>
      </c>
      <c r="T1013" s="81">
        <v>0</v>
      </c>
    </row>
    <row r="1014" spans="1:20" ht="15" customHeight="1" x14ac:dyDescent="0.2">
      <c r="A1014" s="15" t="s">
        <v>2130</v>
      </c>
      <c r="B1014" s="60">
        <v>28650236</v>
      </c>
      <c r="C1014" s="15" t="s">
        <v>2131</v>
      </c>
      <c r="D1014" s="15"/>
      <c r="E1014" s="15" t="s">
        <v>2132</v>
      </c>
      <c r="F1014" s="15" t="s">
        <v>98</v>
      </c>
      <c r="G1014" s="34">
        <v>2</v>
      </c>
      <c r="H1014" s="34">
        <v>16</v>
      </c>
      <c r="I1014" s="15" t="s">
        <v>38</v>
      </c>
      <c r="J1014" s="15" t="s">
        <v>39</v>
      </c>
      <c r="K1014" s="74" t="s">
        <v>29</v>
      </c>
      <c r="L1014" s="16">
        <v>80677</v>
      </c>
      <c r="M1014" s="16">
        <v>0</v>
      </c>
      <c r="N1014" s="16">
        <v>2815</v>
      </c>
      <c r="O1014" s="16">
        <v>53617</v>
      </c>
      <c r="P1014" s="16">
        <v>49850</v>
      </c>
      <c r="Q1014" s="16">
        <v>27060</v>
      </c>
      <c r="R1014" s="16">
        <v>135</v>
      </c>
      <c r="S1014" s="16">
        <v>2</v>
      </c>
      <c r="T1014" s="111">
        <v>0</v>
      </c>
    </row>
    <row r="1015" spans="1:20" ht="15" customHeight="1" x14ac:dyDescent="0.2">
      <c r="A1015" s="12" t="s">
        <v>2133</v>
      </c>
      <c r="B1015" s="56">
        <v>92935741</v>
      </c>
      <c r="C1015" s="12"/>
      <c r="D1015" s="12"/>
      <c r="E1015" s="12"/>
      <c r="F1015" s="12" t="s">
        <v>265</v>
      </c>
      <c r="G1015" s="33">
        <v>2</v>
      </c>
      <c r="H1015" s="33">
        <v>9</v>
      </c>
      <c r="I1015" s="12" t="s">
        <v>73</v>
      </c>
      <c r="J1015" s="12" t="s">
        <v>74</v>
      </c>
      <c r="K1015" s="73" t="s">
        <v>29</v>
      </c>
      <c r="L1015" s="13">
        <v>80343</v>
      </c>
      <c r="M1015" s="13">
        <v>72812</v>
      </c>
      <c r="N1015" s="13">
        <v>11</v>
      </c>
      <c r="O1015" s="13">
        <v>37775</v>
      </c>
      <c r="P1015" s="13">
        <v>36148</v>
      </c>
      <c r="Q1015" s="13">
        <v>42568</v>
      </c>
      <c r="R1015" s="13">
        <v>765</v>
      </c>
      <c r="S1015" s="13">
        <v>0</v>
      </c>
      <c r="T1015" s="81">
        <v>0</v>
      </c>
    </row>
    <row r="1016" spans="1:20" ht="15" customHeight="1" x14ac:dyDescent="0.2">
      <c r="A1016" s="15" t="s">
        <v>2134</v>
      </c>
      <c r="B1016" s="60">
        <v>19402130</v>
      </c>
      <c r="C1016" s="15"/>
      <c r="D1016" s="15"/>
      <c r="E1016" s="15"/>
      <c r="F1016" s="15" t="s">
        <v>265</v>
      </c>
      <c r="G1016" s="34">
        <v>2</v>
      </c>
      <c r="H1016" s="34">
        <v>9</v>
      </c>
      <c r="I1016" s="15" t="s">
        <v>119</v>
      </c>
      <c r="J1016" s="15" t="s">
        <v>120</v>
      </c>
      <c r="K1016" s="74" t="s">
        <v>29</v>
      </c>
      <c r="L1016" s="16">
        <v>79194</v>
      </c>
      <c r="M1016" s="16">
        <v>36091</v>
      </c>
      <c r="N1016" s="16">
        <v>18973</v>
      </c>
      <c r="O1016" s="16">
        <v>45581</v>
      </c>
      <c r="P1016" s="16">
        <v>37432</v>
      </c>
      <c r="Q1016" s="16">
        <v>33613</v>
      </c>
      <c r="R1016" s="16">
        <v>990</v>
      </c>
      <c r="S1016" s="16">
        <v>0</v>
      </c>
      <c r="T1016" s="111">
        <v>4</v>
      </c>
    </row>
    <row r="1017" spans="1:20" ht="15" customHeight="1" x14ac:dyDescent="0.2">
      <c r="A1017" s="12" t="s">
        <v>2135</v>
      </c>
      <c r="B1017" s="56">
        <v>39669186</v>
      </c>
      <c r="C1017" s="12" t="s">
        <v>2136</v>
      </c>
      <c r="D1017" s="12"/>
      <c r="E1017" s="12" t="s">
        <v>2137</v>
      </c>
      <c r="F1017" s="12" t="s">
        <v>98</v>
      </c>
      <c r="G1017" s="33">
        <v>2</v>
      </c>
      <c r="H1017" s="33">
        <v>16</v>
      </c>
      <c r="I1017" s="12" t="s">
        <v>228</v>
      </c>
      <c r="J1017" s="12" t="s">
        <v>229</v>
      </c>
      <c r="K1017" s="73" t="s">
        <v>29</v>
      </c>
      <c r="L1017" s="13">
        <v>77904</v>
      </c>
      <c r="M1017" s="13">
        <v>0</v>
      </c>
      <c r="N1017" s="13">
        <v>7094</v>
      </c>
      <c r="O1017" s="13">
        <v>57206</v>
      </c>
      <c r="P1017" s="13">
        <v>49902</v>
      </c>
      <c r="Q1017" s="13">
        <v>20698</v>
      </c>
      <c r="R1017" s="13">
        <v>8901</v>
      </c>
      <c r="S1017" s="13">
        <v>2</v>
      </c>
      <c r="T1017" s="81">
        <v>0</v>
      </c>
    </row>
    <row r="1018" spans="1:20" ht="15" customHeight="1" x14ac:dyDescent="0.2">
      <c r="A1018" s="15" t="s">
        <v>2138</v>
      </c>
      <c r="B1018" s="60">
        <v>13178690</v>
      </c>
      <c r="C1018" s="15" t="s">
        <v>2139</v>
      </c>
      <c r="D1018" s="15"/>
      <c r="E1018" s="15" t="s">
        <v>2140</v>
      </c>
      <c r="F1018" s="15" t="s">
        <v>65</v>
      </c>
      <c r="G1018" s="34">
        <v>1</v>
      </c>
      <c r="H1018" s="34">
        <v>30</v>
      </c>
      <c r="I1018" s="15" t="s">
        <v>1133</v>
      </c>
      <c r="J1018" s="15" t="s">
        <v>1078</v>
      </c>
      <c r="K1018" s="74" t="s">
        <v>29</v>
      </c>
      <c r="L1018" s="16">
        <v>77787</v>
      </c>
      <c r="M1018" s="16">
        <v>21007</v>
      </c>
      <c r="N1018" s="16">
        <v>55460</v>
      </c>
      <c r="O1018" s="16">
        <v>15328</v>
      </c>
      <c r="P1018" s="16">
        <v>13577</v>
      </c>
      <c r="Q1018" s="16">
        <v>62459</v>
      </c>
      <c r="R1018" s="16">
        <v>-1308</v>
      </c>
      <c r="S1018" s="16">
        <v>1</v>
      </c>
      <c r="T1018" s="111">
        <v>0</v>
      </c>
    </row>
    <row r="1019" spans="1:20" ht="15" customHeight="1" x14ac:dyDescent="0.2">
      <c r="A1019" s="12" t="s">
        <v>2141</v>
      </c>
      <c r="B1019" s="56">
        <v>3139644</v>
      </c>
      <c r="C1019" s="12"/>
      <c r="D1019" s="12"/>
      <c r="E1019" s="12"/>
      <c r="F1019" s="12" t="s">
        <v>265</v>
      </c>
      <c r="G1019" s="33">
        <v>2</v>
      </c>
      <c r="H1019" s="33">
        <v>9</v>
      </c>
      <c r="I1019" s="12" t="s">
        <v>38</v>
      </c>
      <c r="J1019" s="12" t="s">
        <v>39</v>
      </c>
      <c r="K1019" s="73" t="s">
        <v>29</v>
      </c>
      <c r="L1019" s="13">
        <v>77112</v>
      </c>
      <c r="M1019" s="13">
        <v>3204</v>
      </c>
      <c r="N1019" s="13">
        <v>69338</v>
      </c>
      <c r="O1019" s="13">
        <v>6558</v>
      </c>
      <c r="P1019" s="13">
        <v>0</v>
      </c>
      <c r="Q1019" s="13">
        <v>70554</v>
      </c>
      <c r="R1019" s="13">
        <v>3236</v>
      </c>
      <c r="S1019" s="13">
        <v>0</v>
      </c>
      <c r="T1019" s="81">
        <v>0</v>
      </c>
    </row>
    <row r="1020" spans="1:20" ht="15" customHeight="1" x14ac:dyDescent="0.2">
      <c r="A1020" s="15" t="s">
        <v>2142</v>
      </c>
      <c r="B1020" s="60">
        <v>26191078</v>
      </c>
      <c r="C1020" s="15"/>
      <c r="D1020" s="15"/>
      <c r="E1020" s="15"/>
      <c r="F1020" s="15" t="s">
        <v>265</v>
      </c>
      <c r="G1020" s="34">
        <v>2</v>
      </c>
      <c r="H1020" s="34">
        <v>9</v>
      </c>
      <c r="I1020" s="15" t="s">
        <v>2143</v>
      </c>
      <c r="J1020" s="15" t="s">
        <v>1209</v>
      </c>
      <c r="K1020" s="74" t="s">
        <v>29</v>
      </c>
      <c r="L1020" s="16">
        <v>76862</v>
      </c>
      <c r="M1020" s="16">
        <v>12148</v>
      </c>
      <c r="N1020" s="16">
        <v>44773</v>
      </c>
      <c r="O1020" s="16">
        <v>67507</v>
      </c>
      <c r="P1020" s="16">
        <v>60610</v>
      </c>
      <c r="Q1020" s="16">
        <v>9354</v>
      </c>
      <c r="R1020" s="16">
        <v>-543</v>
      </c>
      <c r="S1020" s="16">
        <v>0</v>
      </c>
      <c r="T1020" s="111">
        <v>2</v>
      </c>
    </row>
    <row r="1021" spans="1:20" ht="15" customHeight="1" x14ac:dyDescent="0.2">
      <c r="A1021" s="12" t="s">
        <v>2144</v>
      </c>
      <c r="B1021" s="56">
        <v>33850686</v>
      </c>
      <c r="C1021" s="12" t="s">
        <v>2145</v>
      </c>
      <c r="D1021" s="12" t="s">
        <v>2146</v>
      </c>
      <c r="E1021" s="12" t="s">
        <v>2147</v>
      </c>
      <c r="F1021" s="12" t="s">
        <v>98</v>
      </c>
      <c r="G1021" s="33">
        <v>1</v>
      </c>
      <c r="H1021" s="33">
        <v>16</v>
      </c>
      <c r="I1021" s="12" t="s">
        <v>27</v>
      </c>
      <c r="J1021" s="12" t="s">
        <v>28</v>
      </c>
      <c r="K1021" s="73" t="s">
        <v>29</v>
      </c>
      <c r="L1021" s="13">
        <v>75937</v>
      </c>
      <c r="M1021" s="13">
        <v>0</v>
      </c>
      <c r="N1021" s="13">
        <v>46561</v>
      </c>
      <c r="O1021" s="13">
        <v>10081</v>
      </c>
      <c r="P1021" s="13">
        <v>91</v>
      </c>
      <c r="Q1021" s="13">
        <v>65856</v>
      </c>
      <c r="R1021" s="13">
        <v>179</v>
      </c>
      <c r="S1021" s="13">
        <v>2</v>
      </c>
      <c r="T1021" s="81">
        <v>0</v>
      </c>
    </row>
    <row r="1022" spans="1:20" ht="15" customHeight="1" x14ac:dyDescent="0.2">
      <c r="A1022" s="15" t="s">
        <v>2148</v>
      </c>
      <c r="B1022" s="60">
        <v>80271455</v>
      </c>
      <c r="C1022" s="15" t="s">
        <v>2149</v>
      </c>
      <c r="D1022" s="15"/>
      <c r="E1022" s="15" t="s">
        <v>2150</v>
      </c>
      <c r="F1022" s="15" t="s">
        <v>60</v>
      </c>
      <c r="G1022" s="34">
        <v>2</v>
      </c>
      <c r="H1022" s="34">
        <v>8</v>
      </c>
      <c r="I1022" s="15" t="s">
        <v>228</v>
      </c>
      <c r="J1022" s="15" t="s">
        <v>229</v>
      </c>
      <c r="K1022" s="74" t="s">
        <v>29</v>
      </c>
      <c r="L1022" s="16">
        <v>75906</v>
      </c>
      <c r="M1022" s="16">
        <v>50267</v>
      </c>
      <c r="N1022" s="16">
        <v>3107</v>
      </c>
      <c r="O1022" s="16">
        <v>54803</v>
      </c>
      <c r="P1022" s="16">
        <v>51386</v>
      </c>
      <c r="Q1022" s="16">
        <v>21104</v>
      </c>
      <c r="R1022" s="16">
        <v>-379</v>
      </c>
      <c r="S1022" s="16">
        <v>2</v>
      </c>
      <c r="T1022" s="111">
        <v>0</v>
      </c>
    </row>
    <row r="1023" spans="1:20" ht="15" customHeight="1" x14ac:dyDescent="0.2">
      <c r="A1023" s="12" t="s">
        <v>2151</v>
      </c>
      <c r="B1023" s="56">
        <v>7299480</v>
      </c>
      <c r="C1023" s="12" t="s">
        <v>41</v>
      </c>
      <c r="D1023" s="12" t="s">
        <v>42</v>
      </c>
      <c r="E1023" s="12" t="s">
        <v>43</v>
      </c>
      <c r="F1023" s="12" t="s">
        <v>98</v>
      </c>
      <c r="G1023" s="33">
        <v>2</v>
      </c>
      <c r="H1023" s="33">
        <v>16</v>
      </c>
      <c r="I1023" s="12" t="s">
        <v>44</v>
      </c>
      <c r="J1023" s="12" t="s">
        <v>39</v>
      </c>
      <c r="K1023" s="73" t="s">
        <v>29</v>
      </c>
      <c r="L1023" s="13">
        <v>75665</v>
      </c>
      <c r="M1023" s="13">
        <v>0</v>
      </c>
      <c r="N1023" s="13">
        <v>75530</v>
      </c>
      <c r="O1023" s="13">
        <v>1662</v>
      </c>
      <c r="P1023" s="13">
        <v>0</v>
      </c>
      <c r="Q1023" s="13">
        <v>74003</v>
      </c>
      <c r="R1023" s="13">
        <v>2792</v>
      </c>
      <c r="S1023" s="13">
        <v>2</v>
      </c>
      <c r="T1023" s="81">
        <v>0</v>
      </c>
    </row>
    <row r="1024" spans="1:20" ht="15" customHeight="1" x14ac:dyDescent="0.2">
      <c r="A1024" s="15" t="s">
        <v>2152</v>
      </c>
      <c r="B1024" s="60">
        <v>32997490</v>
      </c>
      <c r="C1024" s="15" t="s">
        <v>622</v>
      </c>
      <c r="D1024" s="15" t="s">
        <v>623</v>
      </c>
      <c r="E1024" s="15" t="s">
        <v>624</v>
      </c>
      <c r="F1024" s="15" t="s">
        <v>65</v>
      </c>
      <c r="G1024" s="34">
        <v>3</v>
      </c>
      <c r="H1024" s="34">
        <v>43</v>
      </c>
      <c r="I1024" s="15" t="s">
        <v>38</v>
      </c>
      <c r="J1024" s="15" t="s">
        <v>39</v>
      </c>
      <c r="K1024" s="74" t="s">
        <v>29</v>
      </c>
      <c r="L1024" s="16">
        <v>75493</v>
      </c>
      <c r="M1024" s="16">
        <v>21371</v>
      </c>
      <c r="N1024" s="16">
        <v>5969</v>
      </c>
      <c r="O1024" s="16">
        <v>49772</v>
      </c>
      <c r="P1024" s="16">
        <v>0</v>
      </c>
      <c r="Q1024" s="16">
        <v>25721</v>
      </c>
      <c r="R1024" s="16">
        <v>-1903</v>
      </c>
      <c r="S1024" s="16">
        <v>2</v>
      </c>
      <c r="T1024" s="111">
        <v>0</v>
      </c>
    </row>
    <row r="1025" spans="1:20" ht="15" customHeight="1" x14ac:dyDescent="0.2">
      <c r="A1025" s="12" t="s">
        <v>2153</v>
      </c>
      <c r="B1025" s="56">
        <v>10789035</v>
      </c>
      <c r="C1025" s="12" t="s">
        <v>2154</v>
      </c>
      <c r="D1025" s="12"/>
      <c r="E1025" s="12" t="s">
        <v>2155</v>
      </c>
      <c r="F1025" s="12" t="s">
        <v>84</v>
      </c>
      <c r="G1025" s="33">
        <v>2</v>
      </c>
      <c r="H1025" s="33">
        <v>41</v>
      </c>
      <c r="I1025" s="12" t="s">
        <v>2156</v>
      </c>
      <c r="J1025" s="12" t="s">
        <v>120</v>
      </c>
      <c r="K1025" s="73" t="s">
        <v>29</v>
      </c>
      <c r="L1025" s="13">
        <v>73824</v>
      </c>
      <c r="M1025" s="13">
        <v>0</v>
      </c>
      <c r="N1025" s="13">
        <v>51880</v>
      </c>
      <c r="O1025" s="13">
        <v>62590</v>
      </c>
      <c r="P1025" s="13">
        <v>1390</v>
      </c>
      <c r="Q1025" s="13">
        <v>11234</v>
      </c>
      <c r="R1025" s="13">
        <v>4707</v>
      </c>
      <c r="S1025" s="13">
        <v>1</v>
      </c>
      <c r="T1025" s="81">
        <v>0</v>
      </c>
    </row>
    <row r="1026" spans="1:20" ht="15" customHeight="1" x14ac:dyDescent="0.2">
      <c r="A1026" s="15" t="s">
        <v>2157</v>
      </c>
      <c r="B1026" s="60">
        <v>32219232</v>
      </c>
      <c r="C1026" s="15" t="s">
        <v>62</v>
      </c>
      <c r="D1026" s="15"/>
      <c r="E1026" s="15" t="s">
        <v>64</v>
      </c>
      <c r="F1026" s="15" t="s">
        <v>84</v>
      </c>
      <c r="G1026" s="34">
        <v>3</v>
      </c>
      <c r="H1026" s="34">
        <v>41</v>
      </c>
      <c r="I1026" s="15" t="s">
        <v>38</v>
      </c>
      <c r="J1026" s="15" t="s">
        <v>39</v>
      </c>
      <c r="K1026" s="74" t="s">
        <v>29</v>
      </c>
      <c r="L1026" s="16">
        <v>73123</v>
      </c>
      <c r="M1026" s="16">
        <v>0</v>
      </c>
      <c r="N1026" s="16">
        <v>62365</v>
      </c>
      <c r="O1026" s="16">
        <v>2023</v>
      </c>
      <c r="P1026" s="16">
        <v>0</v>
      </c>
      <c r="Q1026" s="16">
        <v>71100</v>
      </c>
      <c r="R1026" s="16">
        <v>3708</v>
      </c>
      <c r="S1026" s="16">
        <v>1</v>
      </c>
      <c r="T1026" s="111">
        <v>0</v>
      </c>
    </row>
    <row r="1027" spans="1:20" ht="15" customHeight="1" x14ac:dyDescent="0.2">
      <c r="A1027" s="12" t="s">
        <v>2158</v>
      </c>
      <c r="B1027" s="56">
        <v>13720915</v>
      </c>
      <c r="C1027" s="12" t="s">
        <v>1815</v>
      </c>
      <c r="D1027" s="12" t="s">
        <v>1816</v>
      </c>
      <c r="E1027" s="12" t="s">
        <v>1817</v>
      </c>
      <c r="F1027" s="12" t="s">
        <v>26</v>
      </c>
      <c r="G1027" s="33">
        <v>3</v>
      </c>
      <c r="H1027" s="33">
        <v>2</v>
      </c>
      <c r="I1027" s="12" t="s">
        <v>38</v>
      </c>
      <c r="J1027" s="12" t="s">
        <v>39</v>
      </c>
      <c r="K1027" s="73" t="s">
        <v>29</v>
      </c>
      <c r="L1027" s="13">
        <v>72911</v>
      </c>
      <c r="M1027" s="13">
        <v>0</v>
      </c>
      <c r="N1027" s="13">
        <v>0</v>
      </c>
      <c r="O1027" s="13">
        <v>21719</v>
      </c>
      <c r="P1027" s="13">
        <v>19633</v>
      </c>
      <c r="Q1027" s="13">
        <v>51192</v>
      </c>
      <c r="R1027" s="13">
        <v>1648</v>
      </c>
      <c r="S1027" s="13">
        <v>2</v>
      </c>
      <c r="T1027" s="81">
        <v>0</v>
      </c>
    </row>
    <row r="1028" spans="1:20" ht="15" customHeight="1" x14ac:dyDescent="0.2">
      <c r="A1028" s="15" t="s">
        <v>2159</v>
      </c>
      <c r="B1028" s="60">
        <v>33924028</v>
      </c>
      <c r="C1028" s="15"/>
      <c r="D1028" s="15"/>
      <c r="E1028" s="15"/>
      <c r="F1028" s="15" t="s">
        <v>265</v>
      </c>
      <c r="G1028" s="34">
        <v>2</v>
      </c>
      <c r="H1028" s="34">
        <v>9</v>
      </c>
      <c r="I1028" s="15" t="s">
        <v>53</v>
      </c>
      <c r="J1028" s="15" t="s">
        <v>54</v>
      </c>
      <c r="K1028" s="74" t="s">
        <v>29</v>
      </c>
      <c r="L1028" s="16">
        <v>71619</v>
      </c>
      <c r="M1028" s="16">
        <v>27796</v>
      </c>
      <c r="N1028" s="16">
        <v>3980</v>
      </c>
      <c r="O1028" s="16">
        <v>64179</v>
      </c>
      <c r="P1028" s="16">
        <v>59839</v>
      </c>
      <c r="Q1028" s="16">
        <v>7440</v>
      </c>
      <c r="R1028" s="16">
        <v>121</v>
      </c>
      <c r="S1028" s="16">
        <v>0</v>
      </c>
      <c r="T1028" s="111">
        <v>6</v>
      </c>
    </row>
    <row r="1029" spans="1:20" ht="15" customHeight="1" x14ac:dyDescent="0.2">
      <c r="A1029" s="12" t="s">
        <v>2160</v>
      </c>
      <c r="B1029" s="56">
        <v>60872983</v>
      </c>
      <c r="C1029" s="12" t="s">
        <v>637</v>
      </c>
      <c r="D1029" s="12" t="s">
        <v>638</v>
      </c>
      <c r="E1029" s="12" t="s">
        <v>639</v>
      </c>
      <c r="F1029" s="12" t="s">
        <v>65</v>
      </c>
      <c r="G1029" s="33">
        <v>3</v>
      </c>
      <c r="H1029" s="33">
        <v>19</v>
      </c>
      <c r="I1029" s="12" t="s">
        <v>38</v>
      </c>
      <c r="J1029" s="12" t="s">
        <v>39</v>
      </c>
      <c r="K1029" s="73" t="s">
        <v>29</v>
      </c>
      <c r="L1029" s="13">
        <v>71561</v>
      </c>
      <c r="M1029" s="13">
        <v>0</v>
      </c>
      <c r="N1029" s="13">
        <v>0</v>
      </c>
      <c r="O1029" s="13">
        <v>1775</v>
      </c>
      <c r="P1029" s="13">
        <v>0</v>
      </c>
      <c r="Q1029" s="13">
        <v>69785</v>
      </c>
      <c r="R1029" s="13">
        <v>2689</v>
      </c>
      <c r="S1029" s="13">
        <v>2</v>
      </c>
      <c r="T1029" s="81">
        <v>0</v>
      </c>
    </row>
    <row r="1030" spans="1:20" ht="15" customHeight="1" x14ac:dyDescent="0.2">
      <c r="A1030" s="15" t="s">
        <v>2161</v>
      </c>
      <c r="B1030" s="60">
        <v>32615247</v>
      </c>
      <c r="C1030" s="15"/>
      <c r="D1030" s="15"/>
      <c r="E1030" s="15"/>
      <c r="F1030" s="15" t="s">
        <v>265</v>
      </c>
      <c r="G1030" s="34">
        <v>2</v>
      </c>
      <c r="H1030" s="34">
        <v>9</v>
      </c>
      <c r="I1030" s="15" t="s">
        <v>1581</v>
      </c>
      <c r="J1030" s="15" t="s">
        <v>211</v>
      </c>
      <c r="K1030" s="74" t="s">
        <v>29</v>
      </c>
      <c r="L1030" s="16">
        <v>70569</v>
      </c>
      <c r="M1030" s="16">
        <v>40274</v>
      </c>
      <c r="N1030" s="16">
        <v>9693</v>
      </c>
      <c r="O1030" s="16">
        <v>36493</v>
      </c>
      <c r="P1030" s="16">
        <v>32656</v>
      </c>
      <c r="Q1030" s="16">
        <v>34076</v>
      </c>
      <c r="R1030" s="16">
        <v>789</v>
      </c>
      <c r="S1030" s="16">
        <v>0</v>
      </c>
      <c r="T1030" s="111">
        <v>1</v>
      </c>
    </row>
    <row r="1031" spans="1:20" ht="15" customHeight="1" x14ac:dyDescent="0.2">
      <c r="A1031" s="12" t="s">
        <v>2162</v>
      </c>
      <c r="B1031" s="56">
        <v>33132044</v>
      </c>
      <c r="C1031" s="12" t="s">
        <v>2163</v>
      </c>
      <c r="D1031" s="12"/>
      <c r="E1031" s="12" t="s">
        <v>2164</v>
      </c>
      <c r="F1031" s="12" t="s">
        <v>26</v>
      </c>
      <c r="G1031" s="33">
        <v>2</v>
      </c>
      <c r="H1031" s="33">
        <v>8</v>
      </c>
      <c r="I1031" s="12" t="s">
        <v>53</v>
      </c>
      <c r="J1031" s="12" t="s">
        <v>54</v>
      </c>
      <c r="K1031" s="73" t="s">
        <v>29</v>
      </c>
      <c r="L1031" s="13">
        <v>70283</v>
      </c>
      <c r="M1031" s="13">
        <v>0</v>
      </c>
      <c r="N1031" s="13">
        <v>219</v>
      </c>
      <c r="O1031" s="13">
        <v>11953</v>
      </c>
      <c r="P1031" s="13">
        <v>7145</v>
      </c>
      <c r="Q1031" s="13">
        <v>58330</v>
      </c>
      <c r="R1031" s="13">
        <v>-277</v>
      </c>
      <c r="S1031" s="13">
        <v>2</v>
      </c>
      <c r="T1031" s="81">
        <v>0</v>
      </c>
    </row>
    <row r="1032" spans="1:20" ht="15" customHeight="1" x14ac:dyDescent="0.2">
      <c r="A1032" s="15" t="s">
        <v>2165</v>
      </c>
      <c r="B1032" s="60">
        <v>27970567</v>
      </c>
      <c r="C1032" s="15" t="s">
        <v>2166</v>
      </c>
      <c r="D1032" s="15"/>
      <c r="E1032" s="15" t="s">
        <v>2167</v>
      </c>
      <c r="F1032" s="15" t="s">
        <v>84</v>
      </c>
      <c r="G1032" s="34">
        <v>2</v>
      </c>
      <c r="H1032" s="34">
        <v>41</v>
      </c>
      <c r="I1032" s="15" t="s">
        <v>119</v>
      </c>
      <c r="J1032" s="15" t="s">
        <v>120</v>
      </c>
      <c r="K1032" s="74" t="s">
        <v>29</v>
      </c>
      <c r="L1032" s="16">
        <v>70195</v>
      </c>
      <c r="M1032" s="16">
        <v>0</v>
      </c>
      <c r="N1032" s="16">
        <v>8062</v>
      </c>
      <c r="O1032" s="16">
        <v>50434</v>
      </c>
      <c r="P1032" s="16">
        <v>47552</v>
      </c>
      <c r="Q1032" s="16">
        <v>19761</v>
      </c>
      <c r="R1032" s="16">
        <v>3475</v>
      </c>
      <c r="S1032" s="16">
        <v>1</v>
      </c>
      <c r="T1032" s="111">
        <v>0</v>
      </c>
    </row>
    <row r="1033" spans="1:20" ht="15" customHeight="1" x14ac:dyDescent="0.2">
      <c r="A1033" s="12" t="s">
        <v>2168</v>
      </c>
      <c r="B1033" s="56">
        <v>23114447</v>
      </c>
      <c r="C1033" s="12" t="s">
        <v>2169</v>
      </c>
      <c r="D1033" s="12"/>
      <c r="E1033" s="12" t="s">
        <v>2170</v>
      </c>
      <c r="F1033" s="12" t="s">
        <v>84</v>
      </c>
      <c r="G1033" s="33">
        <v>2</v>
      </c>
      <c r="H1033" s="33">
        <v>41</v>
      </c>
      <c r="I1033" s="12" t="s">
        <v>38</v>
      </c>
      <c r="J1033" s="12" t="s">
        <v>39</v>
      </c>
      <c r="K1033" s="73" t="s">
        <v>29</v>
      </c>
      <c r="L1033" s="13">
        <v>70010</v>
      </c>
      <c r="M1033" s="13">
        <v>0</v>
      </c>
      <c r="N1033" s="13">
        <v>679</v>
      </c>
      <c r="O1033" s="13">
        <v>53742</v>
      </c>
      <c r="P1033" s="13">
        <v>48842</v>
      </c>
      <c r="Q1033" s="13">
        <v>16269</v>
      </c>
      <c r="R1033" s="13">
        <v>236</v>
      </c>
      <c r="S1033" s="13">
        <v>1</v>
      </c>
      <c r="T1033" s="81">
        <v>0</v>
      </c>
    </row>
    <row r="1034" spans="1:20" ht="15" customHeight="1" x14ac:dyDescent="0.2">
      <c r="A1034" s="15" t="s">
        <v>2171</v>
      </c>
      <c r="B1034" s="60">
        <v>17768068</v>
      </c>
      <c r="C1034" s="15" t="s">
        <v>2172</v>
      </c>
      <c r="D1034" s="15"/>
      <c r="E1034" s="15" t="s">
        <v>2173</v>
      </c>
      <c r="F1034" s="15" t="s">
        <v>84</v>
      </c>
      <c r="G1034" s="34">
        <v>2</v>
      </c>
      <c r="H1034" s="34">
        <v>41</v>
      </c>
      <c r="I1034" s="15" t="s">
        <v>2174</v>
      </c>
      <c r="J1034" s="15" t="s">
        <v>39</v>
      </c>
      <c r="K1034" s="74" t="s">
        <v>29</v>
      </c>
      <c r="L1034" s="16">
        <v>68888</v>
      </c>
      <c r="M1034" s="16">
        <v>0</v>
      </c>
      <c r="N1034" s="16">
        <v>16345</v>
      </c>
      <c r="O1034" s="16">
        <v>45658</v>
      </c>
      <c r="P1034" s="16">
        <v>7939</v>
      </c>
      <c r="Q1034" s="16">
        <v>23229</v>
      </c>
      <c r="R1034" s="16">
        <v>5604</v>
      </c>
      <c r="S1034" s="16">
        <v>1</v>
      </c>
      <c r="T1034" s="111">
        <v>0</v>
      </c>
    </row>
    <row r="1035" spans="1:20" ht="15" customHeight="1" x14ac:dyDescent="0.2">
      <c r="A1035" s="12" t="s">
        <v>2175</v>
      </c>
      <c r="B1035" s="56">
        <v>51556307</v>
      </c>
      <c r="C1035" s="12" t="s">
        <v>509</v>
      </c>
      <c r="D1035" s="12"/>
      <c r="E1035" s="12" t="s">
        <v>510</v>
      </c>
      <c r="F1035" s="12" t="s">
        <v>65</v>
      </c>
      <c r="G1035" s="33">
        <v>2</v>
      </c>
      <c r="H1035" s="33">
        <v>43</v>
      </c>
      <c r="I1035" s="12" t="s">
        <v>44</v>
      </c>
      <c r="J1035" s="12" t="s">
        <v>39</v>
      </c>
      <c r="K1035" s="73" t="s">
        <v>29</v>
      </c>
      <c r="L1035" s="13">
        <v>68721</v>
      </c>
      <c r="M1035" s="13">
        <v>0</v>
      </c>
      <c r="N1035" s="13">
        <v>0</v>
      </c>
      <c r="O1035" s="13">
        <v>22007</v>
      </c>
      <c r="P1035" s="13">
        <v>0</v>
      </c>
      <c r="Q1035" s="13">
        <v>46714</v>
      </c>
      <c r="R1035" s="13">
        <v>21586</v>
      </c>
      <c r="S1035" s="13">
        <v>2</v>
      </c>
      <c r="T1035" s="81">
        <v>0</v>
      </c>
    </row>
    <row r="1036" spans="1:20" ht="15" customHeight="1" x14ac:dyDescent="0.2">
      <c r="A1036" s="15" t="s">
        <v>2176</v>
      </c>
      <c r="B1036" s="60">
        <v>42259084</v>
      </c>
      <c r="C1036" s="15" t="s">
        <v>2177</v>
      </c>
      <c r="D1036" s="15"/>
      <c r="E1036" s="15" t="s">
        <v>2178</v>
      </c>
      <c r="F1036" s="15" t="s">
        <v>65</v>
      </c>
      <c r="G1036" s="34">
        <v>2</v>
      </c>
      <c r="H1036" s="34">
        <v>43</v>
      </c>
      <c r="I1036" s="15" t="s">
        <v>228</v>
      </c>
      <c r="J1036" s="15" t="s">
        <v>229</v>
      </c>
      <c r="K1036" s="74" t="s">
        <v>29</v>
      </c>
      <c r="L1036" s="16">
        <v>68526</v>
      </c>
      <c r="M1036" s="16">
        <v>0</v>
      </c>
      <c r="N1036" s="16">
        <v>56658</v>
      </c>
      <c r="O1036" s="16">
        <v>68165</v>
      </c>
      <c r="P1036" s="16">
        <v>66641</v>
      </c>
      <c r="Q1036" s="16">
        <v>361</v>
      </c>
      <c r="R1036" s="16">
        <v>-5113</v>
      </c>
      <c r="S1036" s="16">
        <v>2</v>
      </c>
      <c r="T1036" s="111">
        <v>0</v>
      </c>
    </row>
    <row r="1037" spans="1:20" ht="15" customHeight="1" x14ac:dyDescent="0.2">
      <c r="A1037" s="12" t="s">
        <v>2179</v>
      </c>
      <c r="B1037" s="56">
        <v>38653626</v>
      </c>
      <c r="C1037" s="12" t="s">
        <v>2180</v>
      </c>
      <c r="D1037" s="12"/>
      <c r="E1037" s="12" t="s">
        <v>2181</v>
      </c>
      <c r="F1037" s="12" t="s">
        <v>84</v>
      </c>
      <c r="G1037" s="33">
        <v>2</v>
      </c>
      <c r="H1037" s="33">
        <v>41</v>
      </c>
      <c r="I1037" s="12" t="s">
        <v>414</v>
      </c>
      <c r="J1037" s="12" t="s">
        <v>74</v>
      </c>
      <c r="K1037" s="73" t="s">
        <v>29</v>
      </c>
      <c r="L1037" s="13">
        <v>68010</v>
      </c>
      <c r="M1037" s="13">
        <v>0</v>
      </c>
      <c r="N1037" s="13">
        <v>9994</v>
      </c>
      <c r="O1037" s="13">
        <v>60038</v>
      </c>
      <c r="P1037" s="13">
        <v>0</v>
      </c>
      <c r="Q1037" s="13">
        <v>7971</v>
      </c>
      <c r="R1037" s="13">
        <v>1796</v>
      </c>
      <c r="S1037" s="13">
        <v>1</v>
      </c>
      <c r="T1037" s="81">
        <v>0</v>
      </c>
    </row>
    <row r="1038" spans="1:20" ht="15" customHeight="1" x14ac:dyDescent="0.2">
      <c r="A1038" s="15" t="s">
        <v>2182</v>
      </c>
      <c r="B1038" s="60">
        <v>7799277</v>
      </c>
      <c r="C1038" s="15" t="s">
        <v>2183</v>
      </c>
      <c r="D1038" s="15"/>
      <c r="E1038" s="15" t="s">
        <v>2184</v>
      </c>
      <c r="F1038" s="15" t="s">
        <v>65</v>
      </c>
      <c r="G1038" s="34">
        <v>2</v>
      </c>
      <c r="H1038" s="34">
        <v>14</v>
      </c>
      <c r="I1038" s="15" t="s">
        <v>38</v>
      </c>
      <c r="J1038" s="15" t="s">
        <v>39</v>
      </c>
      <c r="K1038" s="74" t="s">
        <v>29</v>
      </c>
      <c r="L1038" s="16">
        <v>66777</v>
      </c>
      <c r="M1038" s="16">
        <v>60222</v>
      </c>
      <c r="N1038" s="16">
        <v>2908</v>
      </c>
      <c r="O1038" s="16">
        <v>23146</v>
      </c>
      <c r="P1038" s="16">
        <v>10670</v>
      </c>
      <c r="Q1038" s="16">
        <v>43631</v>
      </c>
      <c r="R1038" s="16">
        <v>4114</v>
      </c>
      <c r="S1038" s="16">
        <v>2</v>
      </c>
      <c r="T1038" s="111">
        <v>0</v>
      </c>
    </row>
    <row r="1039" spans="1:20" ht="15" customHeight="1" x14ac:dyDescent="0.2">
      <c r="A1039" s="12" t="s">
        <v>2185</v>
      </c>
      <c r="B1039" s="56">
        <v>36266751</v>
      </c>
      <c r="C1039" s="12" t="s">
        <v>2186</v>
      </c>
      <c r="D1039" s="12"/>
      <c r="E1039" s="12" t="s">
        <v>2187</v>
      </c>
      <c r="F1039" s="12" t="s">
        <v>98</v>
      </c>
      <c r="G1039" s="33">
        <v>2</v>
      </c>
      <c r="H1039" s="33">
        <v>16</v>
      </c>
      <c r="I1039" s="12" t="s">
        <v>38</v>
      </c>
      <c r="J1039" s="12" t="s">
        <v>39</v>
      </c>
      <c r="K1039" s="73" t="s">
        <v>29</v>
      </c>
      <c r="L1039" s="13">
        <v>66428</v>
      </c>
      <c r="M1039" s="13">
        <v>0</v>
      </c>
      <c r="N1039" s="13">
        <v>3047</v>
      </c>
      <c r="O1039" s="13">
        <v>61864</v>
      </c>
      <c r="P1039" s="13">
        <v>59716</v>
      </c>
      <c r="Q1039" s="13">
        <v>4565</v>
      </c>
      <c r="R1039" s="13">
        <v>-1537</v>
      </c>
      <c r="S1039" s="13">
        <v>2</v>
      </c>
      <c r="T1039" s="81">
        <v>0</v>
      </c>
    </row>
    <row r="1040" spans="1:20" ht="15" customHeight="1" x14ac:dyDescent="0.2">
      <c r="A1040" s="15" t="s">
        <v>2188</v>
      </c>
      <c r="B1040" s="60">
        <v>68228006</v>
      </c>
      <c r="C1040" s="15"/>
      <c r="D1040" s="15"/>
      <c r="E1040" s="15"/>
      <c r="F1040" s="15" t="s">
        <v>265</v>
      </c>
      <c r="G1040" s="34">
        <v>2</v>
      </c>
      <c r="H1040" s="34">
        <v>9</v>
      </c>
      <c r="I1040" s="15" t="s">
        <v>38</v>
      </c>
      <c r="J1040" s="15" t="s">
        <v>39</v>
      </c>
      <c r="K1040" s="74" t="s">
        <v>29</v>
      </c>
      <c r="L1040" s="16">
        <v>65000</v>
      </c>
      <c r="M1040" s="16">
        <v>34784</v>
      </c>
      <c r="N1040" s="16">
        <v>30068</v>
      </c>
      <c r="O1040" s="16">
        <v>13298</v>
      </c>
      <c r="P1040" s="16">
        <v>11234</v>
      </c>
      <c r="Q1040" s="16">
        <v>51702</v>
      </c>
      <c r="R1040" s="16">
        <v>3737</v>
      </c>
      <c r="S1040" s="16">
        <v>0</v>
      </c>
      <c r="T1040" s="111">
        <v>0</v>
      </c>
    </row>
    <row r="1041" spans="1:20" ht="15" customHeight="1" x14ac:dyDescent="0.2">
      <c r="A1041" s="12" t="s">
        <v>2189</v>
      </c>
      <c r="B1041" s="56">
        <v>8850613</v>
      </c>
      <c r="C1041" s="12"/>
      <c r="D1041" s="12"/>
      <c r="E1041" s="12"/>
      <c r="F1041" s="12" t="s">
        <v>265</v>
      </c>
      <c r="G1041" s="33">
        <v>2</v>
      </c>
      <c r="H1041" s="33">
        <v>9</v>
      </c>
      <c r="I1041" s="12" t="s">
        <v>216</v>
      </c>
      <c r="J1041" s="12" t="s">
        <v>217</v>
      </c>
      <c r="K1041" s="73" t="s">
        <v>29</v>
      </c>
      <c r="L1041" s="13">
        <v>64843</v>
      </c>
      <c r="M1041" s="13">
        <v>27735</v>
      </c>
      <c r="N1041" s="13">
        <v>2515</v>
      </c>
      <c r="O1041" s="13">
        <v>52141</v>
      </c>
      <c r="P1041" s="13">
        <v>49120</v>
      </c>
      <c r="Q1041" s="13">
        <v>12702</v>
      </c>
      <c r="R1041" s="13">
        <v>386</v>
      </c>
      <c r="S1041" s="13">
        <v>0</v>
      </c>
      <c r="T1041" s="81">
        <v>5</v>
      </c>
    </row>
    <row r="1042" spans="1:20" ht="15" customHeight="1" x14ac:dyDescent="0.2">
      <c r="A1042" s="15" t="s">
        <v>2190</v>
      </c>
      <c r="B1042" s="60">
        <v>17312083</v>
      </c>
      <c r="C1042" s="15" t="s">
        <v>2191</v>
      </c>
      <c r="D1042" s="15"/>
      <c r="E1042" s="15" t="s">
        <v>2192</v>
      </c>
      <c r="F1042" s="15" t="s">
        <v>98</v>
      </c>
      <c r="G1042" s="34">
        <v>2</v>
      </c>
      <c r="H1042" s="34">
        <v>15</v>
      </c>
      <c r="I1042" s="15" t="s">
        <v>119</v>
      </c>
      <c r="J1042" s="15" t="s">
        <v>120</v>
      </c>
      <c r="K1042" s="74" t="s">
        <v>29</v>
      </c>
      <c r="L1042" s="16">
        <v>64242</v>
      </c>
      <c r="M1042" s="16">
        <v>0</v>
      </c>
      <c r="N1042" s="16">
        <v>1</v>
      </c>
      <c r="O1042" s="16">
        <v>60510</v>
      </c>
      <c r="P1042" s="16">
        <v>0</v>
      </c>
      <c r="Q1042" s="16">
        <v>3732</v>
      </c>
      <c r="R1042" s="16">
        <v>-101</v>
      </c>
      <c r="S1042" s="16">
        <v>3</v>
      </c>
      <c r="T1042" s="111">
        <v>0</v>
      </c>
    </row>
    <row r="1043" spans="1:20" ht="15" customHeight="1" x14ac:dyDescent="0.2">
      <c r="A1043" s="12" t="s">
        <v>2193</v>
      </c>
      <c r="B1043" s="56">
        <v>37470405</v>
      </c>
      <c r="C1043" s="12" t="s">
        <v>2194</v>
      </c>
      <c r="D1043" s="12"/>
      <c r="E1043" s="12" t="s">
        <v>2195</v>
      </c>
      <c r="F1043" s="12" t="s">
        <v>84</v>
      </c>
      <c r="G1043" s="33">
        <v>2</v>
      </c>
      <c r="H1043" s="33">
        <v>41</v>
      </c>
      <c r="I1043" s="12" t="s">
        <v>53</v>
      </c>
      <c r="J1043" s="12" t="s">
        <v>54</v>
      </c>
      <c r="K1043" s="73" t="s">
        <v>29</v>
      </c>
      <c r="L1043" s="13">
        <v>63541</v>
      </c>
      <c r="M1043" s="13">
        <v>0</v>
      </c>
      <c r="N1043" s="13">
        <v>2067</v>
      </c>
      <c r="O1043" s="13">
        <v>11372</v>
      </c>
      <c r="P1043" s="13">
        <v>1690</v>
      </c>
      <c r="Q1043" s="13">
        <v>52170</v>
      </c>
      <c r="R1043" s="13">
        <v>6037</v>
      </c>
      <c r="S1043" s="13">
        <v>1</v>
      </c>
      <c r="T1043" s="81">
        <v>0</v>
      </c>
    </row>
    <row r="1044" spans="1:20" ht="15" customHeight="1" x14ac:dyDescent="0.2">
      <c r="A1044" s="15" t="s">
        <v>2196</v>
      </c>
      <c r="B1044" s="60">
        <v>34747388</v>
      </c>
      <c r="C1044" s="15" t="s">
        <v>2197</v>
      </c>
      <c r="D1044" s="15"/>
      <c r="E1044" s="15" t="s">
        <v>2198</v>
      </c>
      <c r="F1044" s="15" t="s">
        <v>84</v>
      </c>
      <c r="G1044" s="34">
        <v>3</v>
      </c>
      <c r="H1044" s="34">
        <v>41</v>
      </c>
      <c r="I1044" s="15" t="s">
        <v>73</v>
      </c>
      <c r="J1044" s="15" t="s">
        <v>74</v>
      </c>
      <c r="K1044" s="74" t="s">
        <v>29</v>
      </c>
      <c r="L1044" s="16">
        <v>63207</v>
      </c>
      <c r="M1044" s="16">
        <v>9</v>
      </c>
      <c r="N1044" s="16">
        <v>17704</v>
      </c>
      <c r="O1044" s="16">
        <v>42317</v>
      </c>
      <c r="P1044" s="16">
        <v>7822</v>
      </c>
      <c r="Q1044" s="16">
        <v>20889</v>
      </c>
      <c r="R1044" s="16">
        <v>-942</v>
      </c>
      <c r="S1044" s="16">
        <v>1</v>
      </c>
      <c r="T1044" s="111">
        <v>0</v>
      </c>
    </row>
    <row r="1045" spans="1:20" ht="15" customHeight="1" x14ac:dyDescent="0.2">
      <c r="A1045" s="12" t="s">
        <v>2199</v>
      </c>
      <c r="B1045" s="56">
        <v>74244344</v>
      </c>
      <c r="C1045" s="12"/>
      <c r="D1045" s="12"/>
      <c r="E1045" s="12"/>
      <c r="F1045" s="12" t="s">
        <v>265</v>
      </c>
      <c r="G1045" s="33">
        <v>2</v>
      </c>
      <c r="H1045" s="33">
        <v>9</v>
      </c>
      <c r="I1045" s="12" t="s">
        <v>255</v>
      </c>
      <c r="J1045" s="12" t="s">
        <v>39</v>
      </c>
      <c r="K1045" s="73" t="s">
        <v>29</v>
      </c>
      <c r="L1045" s="13">
        <v>62417</v>
      </c>
      <c r="M1045" s="13">
        <v>18670</v>
      </c>
      <c r="N1045" s="13">
        <v>43424</v>
      </c>
      <c r="O1045" s="13">
        <v>1865</v>
      </c>
      <c r="P1045" s="13">
        <v>0</v>
      </c>
      <c r="Q1045" s="13">
        <v>60552</v>
      </c>
      <c r="R1045" s="13">
        <v>3555</v>
      </c>
      <c r="S1045" s="13">
        <v>0</v>
      </c>
      <c r="T1045" s="81">
        <v>1</v>
      </c>
    </row>
    <row r="1046" spans="1:20" ht="15" customHeight="1" x14ac:dyDescent="0.2">
      <c r="A1046" s="15" t="s">
        <v>2200</v>
      </c>
      <c r="B1046" s="60">
        <v>2992317</v>
      </c>
      <c r="C1046" s="15" t="s">
        <v>2201</v>
      </c>
      <c r="D1046" s="15"/>
      <c r="E1046" s="15" t="s">
        <v>2202</v>
      </c>
      <c r="F1046" s="15" t="s">
        <v>60</v>
      </c>
      <c r="G1046" s="34">
        <v>2</v>
      </c>
      <c r="H1046" s="34">
        <v>39</v>
      </c>
      <c r="I1046" s="15" t="s">
        <v>38</v>
      </c>
      <c r="J1046" s="15" t="s">
        <v>39</v>
      </c>
      <c r="K1046" s="74" t="s">
        <v>29</v>
      </c>
      <c r="L1046" s="16">
        <v>62300</v>
      </c>
      <c r="M1046" s="16">
        <v>0</v>
      </c>
      <c r="N1046" s="16">
        <v>4715</v>
      </c>
      <c r="O1046" s="16">
        <v>33065</v>
      </c>
      <c r="P1046" s="16">
        <v>3222</v>
      </c>
      <c r="Q1046" s="16">
        <v>29235</v>
      </c>
      <c r="R1046" s="16">
        <v>726</v>
      </c>
      <c r="S1046" s="16">
        <v>2</v>
      </c>
      <c r="T1046" s="111">
        <v>0</v>
      </c>
    </row>
    <row r="1047" spans="1:20" ht="15" customHeight="1" x14ac:dyDescent="0.2">
      <c r="A1047" s="12" t="s">
        <v>2203</v>
      </c>
      <c r="B1047" s="56">
        <v>8844074</v>
      </c>
      <c r="C1047" s="12"/>
      <c r="D1047" s="12"/>
      <c r="E1047" s="12"/>
      <c r="F1047" s="12" t="s">
        <v>265</v>
      </c>
      <c r="G1047" s="33">
        <v>2</v>
      </c>
      <c r="H1047" s="33">
        <v>9</v>
      </c>
      <c r="I1047" s="12" t="s">
        <v>2204</v>
      </c>
      <c r="J1047" s="12" t="s">
        <v>39</v>
      </c>
      <c r="K1047" s="73" t="s">
        <v>29</v>
      </c>
      <c r="L1047" s="13">
        <v>62228</v>
      </c>
      <c r="M1047" s="13">
        <v>8431</v>
      </c>
      <c r="N1047" s="13">
        <v>51938</v>
      </c>
      <c r="O1047" s="13">
        <v>52885</v>
      </c>
      <c r="P1047" s="13">
        <v>51693</v>
      </c>
      <c r="Q1047" s="13">
        <v>9343</v>
      </c>
      <c r="R1047" s="13">
        <v>1103</v>
      </c>
      <c r="S1047" s="13">
        <v>0</v>
      </c>
      <c r="T1047" s="81">
        <v>0</v>
      </c>
    </row>
    <row r="1048" spans="1:20" ht="15" customHeight="1" x14ac:dyDescent="0.2">
      <c r="A1048" s="15" t="s">
        <v>2205</v>
      </c>
      <c r="B1048" s="60">
        <v>3612679</v>
      </c>
      <c r="C1048" s="15"/>
      <c r="D1048" s="15"/>
      <c r="E1048" s="15"/>
      <c r="F1048" s="15" t="s">
        <v>265</v>
      </c>
      <c r="G1048" s="34">
        <v>2</v>
      </c>
      <c r="H1048" s="34">
        <v>9</v>
      </c>
      <c r="I1048" s="15" t="s">
        <v>255</v>
      </c>
      <c r="J1048" s="15" t="s">
        <v>39</v>
      </c>
      <c r="K1048" s="74" t="s">
        <v>29</v>
      </c>
      <c r="L1048" s="16">
        <v>62063</v>
      </c>
      <c r="M1048" s="16">
        <v>44413</v>
      </c>
      <c r="N1048" s="16">
        <v>12992</v>
      </c>
      <c r="O1048" s="16">
        <v>32790</v>
      </c>
      <c r="P1048" s="16">
        <v>30167</v>
      </c>
      <c r="Q1048" s="16">
        <v>29273</v>
      </c>
      <c r="R1048" s="16">
        <v>656</v>
      </c>
      <c r="S1048" s="16">
        <v>0</v>
      </c>
      <c r="T1048" s="111">
        <v>1</v>
      </c>
    </row>
    <row r="1049" spans="1:20" ht="15" customHeight="1" x14ac:dyDescent="0.2">
      <c r="A1049" s="12" t="s">
        <v>2206</v>
      </c>
      <c r="B1049" s="56">
        <v>35084163</v>
      </c>
      <c r="C1049" s="12" t="s">
        <v>2207</v>
      </c>
      <c r="D1049" s="12"/>
      <c r="E1049" s="12" t="s">
        <v>2208</v>
      </c>
      <c r="F1049" s="12" t="s">
        <v>84</v>
      </c>
      <c r="G1049" s="33">
        <v>2</v>
      </c>
      <c r="H1049" s="33">
        <v>41</v>
      </c>
      <c r="I1049" s="12" t="s">
        <v>38</v>
      </c>
      <c r="J1049" s="12" t="s">
        <v>39</v>
      </c>
      <c r="K1049" s="73" t="s">
        <v>29</v>
      </c>
      <c r="L1049" s="13">
        <v>61905</v>
      </c>
      <c r="M1049" s="13">
        <v>0</v>
      </c>
      <c r="N1049" s="13">
        <v>24474</v>
      </c>
      <c r="O1049" s="13">
        <v>53994</v>
      </c>
      <c r="P1049" s="13">
        <v>51521</v>
      </c>
      <c r="Q1049" s="13">
        <v>7912</v>
      </c>
      <c r="R1049" s="13">
        <v>859</v>
      </c>
      <c r="S1049" s="13">
        <v>1</v>
      </c>
      <c r="T1049" s="81">
        <v>0</v>
      </c>
    </row>
    <row r="1050" spans="1:20" ht="15" customHeight="1" x14ac:dyDescent="0.2">
      <c r="A1050" s="15" t="s">
        <v>2209</v>
      </c>
      <c r="B1050" s="60">
        <v>51010858</v>
      </c>
      <c r="C1050" s="15"/>
      <c r="D1050" s="15"/>
      <c r="E1050" s="15"/>
      <c r="F1050" s="15" t="s">
        <v>265</v>
      </c>
      <c r="G1050" s="34">
        <v>2</v>
      </c>
      <c r="H1050" s="34">
        <v>9</v>
      </c>
      <c r="I1050" s="15" t="s">
        <v>2210</v>
      </c>
      <c r="J1050" s="15" t="s">
        <v>39</v>
      </c>
      <c r="K1050" s="74" t="s">
        <v>29</v>
      </c>
      <c r="L1050" s="16">
        <v>61039</v>
      </c>
      <c r="M1050" s="16">
        <v>50293</v>
      </c>
      <c r="N1050" s="16">
        <v>10577</v>
      </c>
      <c r="O1050" s="16">
        <v>743</v>
      </c>
      <c r="P1050" s="16">
        <v>0</v>
      </c>
      <c r="Q1050" s="16">
        <v>60296</v>
      </c>
      <c r="R1050" s="16">
        <v>3163</v>
      </c>
      <c r="S1050" s="16">
        <v>0</v>
      </c>
      <c r="T1050" s="111">
        <v>0</v>
      </c>
    </row>
    <row r="1051" spans="1:20" ht="15" customHeight="1" x14ac:dyDescent="0.2">
      <c r="A1051" s="12" t="s">
        <v>2211</v>
      </c>
      <c r="B1051" s="56">
        <v>39993186</v>
      </c>
      <c r="C1051" s="12" t="s">
        <v>2212</v>
      </c>
      <c r="D1051" s="12"/>
      <c r="E1051" s="12" t="s">
        <v>2213</v>
      </c>
      <c r="F1051" s="12" t="s">
        <v>84</v>
      </c>
      <c r="G1051" s="33">
        <v>3</v>
      </c>
      <c r="H1051" s="33">
        <v>41</v>
      </c>
      <c r="I1051" s="12" t="s">
        <v>38</v>
      </c>
      <c r="J1051" s="12" t="s">
        <v>39</v>
      </c>
      <c r="K1051" s="73" t="s">
        <v>29</v>
      </c>
      <c r="L1051" s="13">
        <v>60441</v>
      </c>
      <c r="M1051" s="13">
        <v>0</v>
      </c>
      <c r="N1051" s="13">
        <v>39305</v>
      </c>
      <c r="O1051" s="13">
        <v>34653</v>
      </c>
      <c r="P1051" s="13">
        <v>4771</v>
      </c>
      <c r="Q1051" s="13">
        <v>25789</v>
      </c>
      <c r="R1051" s="13">
        <v>888</v>
      </c>
      <c r="S1051" s="13">
        <v>1</v>
      </c>
      <c r="T1051" s="81">
        <v>0</v>
      </c>
    </row>
    <row r="1052" spans="1:20" ht="15" customHeight="1" x14ac:dyDescent="0.2">
      <c r="A1052" s="15" t="s">
        <v>2214</v>
      </c>
      <c r="B1052" s="60">
        <v>11758741</v>
      </c>
      <c r="C1052" s="15" t="s">
        <v>2215</v>
      </c>
      <c r="D1052" s="15" t="s">
        <v>2216</v>
      </c>
      <c r="E1052" s="15" t="s">
        <v>2217</v>
      </c>
      <c r="F1052" s="15" t="s">
        <v>26</v>
      </c>
      <c r="G1052" s="34">
        <v>2</v>
      </c>
      <c r="H1052" s="34">
        <v>2</v>
      </c>
      <c r="I1052" s="15" t="s">
        <v>228</v>
      </c>
      <c r="J1052" s="15" t="s">
        <v>229</v>
      </c>
      <c r="K1052" s="74" t="s">
        <v>29</v>
      </c>
      <c r="L1052" s="16">
        <v>59730</v>
      </c>
      <c r="M1052" s="16">
        <v>0</v>
      </c>
      <c r="N1052" s="16">
        <v>25723</v>
      </c>
      <c r="O1052" s="16">
        <v>40886</v>
      </c>
      <c r="P1052" s="16">
        <v>12782</v>
      </c>
      <c r="Q1052" s="16">
        <v>18844</v>
      </c>
      <c r="R1052" s="16">
        <v>-3414</v>
      </c>
      <c r="S1052" s="16">
        <v>2</v>
      </c>
      <c r="T1052" s="111">
        <v>0</v>
      </c>
    </row>
    <row r="1053" spans="1:20" ht="15" customHeight="1" x14ac:dyDescent="0.2">
      <c r="A1053" s="12" t="s">
        <v>2218</v>
      </c>
      <c r="B1053" s="56">
        <v>45745537</v>
      </c>
      <c r="C1053" s="12" t="s">
        <v>1948</v>
      </c>
      <c r="D1053" s="12"/>
      <c r="E1053" s="12" t="s">
        <v>1949</v>
      </c>
      <c r="F1053" s="12" t="s">
        <v>65</v>
      </c>
      <c r="G1053" s="33">
        <v>2</v>
      </c>
      <c r="H1053" s="33">
        <v>43</v>
      </c>
      <c r="I1053" s="12" t="s">
        <v>73</v>
      </c>
      <c r="J1053" s="12" t="s">
        <v>74</v>
      </c>
      <c r="K1053" s="73" t="s">
        <v>29</v>
      </c>
      <c r="L1053" s="13">
        <v>59591</v>
      </c>
      <c r="M1053" s="13">
        <v>10899</v>
      </c>
      <c r="N1053" s="13">
        <v>8094</v>
      </c>
      <c r="O1053" s="13">
        <v>49919</v>
      </c>
      <c r="P1053" s="13">
        <v>0</v>
      </c>
      <c r="Q1053" s="13">
        <v>9672</v>
      </c>
      <c r="R1053" s="13">
        <v>-5816</v>
      </c>
      <c r="S1053" s="13">
        <v>2</v>
      </c>
      <c r="T1053" s="81">
        <v>0</v>
      </c>
    </row>
    <row r="1054" spans="1:20" ht="15" customHeight="1" x14ac:dyDescent="0.2">
      <c r="A1054" s="15" t="s">
        <v>2219</v>
      </c>
      <c r="B1054" s="60">
        <v>53908413</v>
      </c>
      <c r="C1054" s="15" t="s">
        <v>2220</v>
      </c>
      <c r="D1054" s="15"/>
      <c r="E1054" s="15" t="s">
        <v>2221</v>
      </c>
      <c r="F1054" s="15" t="s">
        <v>84</v>
      </c>
      <c r="G1054" s="34">
        <v>2</v>
      </c>
      <c r="H1054" s="34">
        <v>41</v>
      </c>
      <c r="I1054" s="15" t="s">
        <v>2222</v>
      </c>
      <c r="J1054" s="15" t="s">
        <v>217</v>
      </c>
      <c r="K1054" s="74" t="s">
        <v>29</v>
      </c>
      <c r="L1054" s="16">
        <v>59324</v>
      </c>
      <c r="M1054" s="16">
        <v>0</v>
      </c>
      <c r="N1054" s="16">
        <v>32906</v>
      </c>
      <c r="O1054" s="16">
        <v>18057</v>
      </c>
      <c r="P1054" s="16">
        <v>17855</v>
      </c>
      <c r="Q1054" s="16">
        <v>41267</v>
      </c>
      <c r="R1054" s="16">
        <v>233</v>
      </c>
      <c r="S1054" s="16">
        <v>1</v>
      </c>
      <c r="T1054" s="111">
        <v>0</v>
      </c>
    </row>
    <row r="1055" spans="1:20" ht="15" customHeight="1" x14ac:dyDescent="0.2">
      <c r="A1055" s="12" t="s">
        <v>2223</v>
      </c>
      <c r="B1055" s="56">
        <v>17441197</v>
      </c>
      <c r="C1055" s="12" t="s">
        <v>2224</v>
      </c>
      <c r="D1055" s="12"/>
      <c r="E1055" s="12" t="s">
        <v>2225</v>
      </c>
      <c r="F1055" s="12" t="s">
        <v>65</v>
      </c>
      <c r="G1055" s="33">
        <v>2</v>
      </c>
      <c r="H1055" s="33">
        <v>29</v>
      </c>
      <c r="I1055" s="12" t="s">
        <v>119</v>
      </c>
      <c r="J1055" s="12" t="s">
        <v>120</v>
      </c>
      <c r="K1055" s="73" t="s">
        <v>29</v>
      </c>
      <c r="L1055" s="13">
        <v>59187</v>
      </c>
      <c r="M1055" s="13">
        <v>4583</v>
      </c>
      <c r="N1055" s="13">
        <v>35543</v>
      </c>
      <c r="O1055" s="13">
        <v>33869</v>
      </c>
      <c r="P1055" s="13">
        <v>14743</v>
      </c>
      <c r="Q1055" s="13">
        <v>25317</v>
      </c>
      <c r="R1055" s="13">
        <v>496</v>
      </c>
      <c r="S1055" s="13">
        <v>3</v>
      </c>
      <c r="T1055" s="81">
        <v>0</v>
      </c>
    </row>
    <row r="1056" spans="1:20" ht="15" customHeight="1" x14ac:dyDescent="0.2">
      <c r="A1056" s="15" t="s">
        <v>2226</v>
      </c>
      <c r="B1056" s="60">
        <v>48755901</v>
      </c>
      <c r="C1056" s="15" t="s">
        <v>2227</v>
      </c>
      <c r="D1056" s="15"/>
      <c r="E1056" s="15" t="s">
        <v>2228</v>
      </c>
      <c r="F1056" s="15" t="s">
        <v>65</v>
      </c>
      <c r="G1056" s="34">
        <v>2</v>
      </c>
      <c r="H1056" s="34">
        <v>14</v>
      </c>
      <c r="I1056" s="15" t="s">
        <v>38</v>
      </c>
      <c r="J1056" s="15" t="s">
        <v>39</v>
      </c>
      <c r="K1056" s="74" t="s">
        <v>29</v>
      </c>
      <c r="L1056" s="16">
        <v>58324</v>
      </c>
      <c r="M1056" s="16">
        <v>640</v>
      </c>
      <c r="N1056" s="16">
        <v>40034</v>
      </c>
      <c r="O1056" s="16">
        <v>3455</v>
      </c>
      <c r="P1056" s="16">
        <v>201</v>
      </c>
      <c r="Q1056" s="16">
        <v>54870</v>
      </c>
      <c r="R1056" s="16">
        <v>214</v>
      </c>
      <c r="S1056" s="16">
        <v>2</v>
      </c>
      <c r="T1056" s="111">
        <v>0</v>
      </c>
    </row>
    <row r="1057" spans="1:20" ht="15" customHeight="1" x14ac:dyDescent="0.2">
      <c r="A1057" s="12" t="s">
        <v>2229</v>
      </c>
      <c r="B1057" s="56">
        <v>39664698</v>
      </c>
      <c r="C1057" s="12" t="s">
        <v>672</v>
      </c>
      <c r="D1057" s="12"/>
      <c r="E1057" s="12" t="s">
        <v>673</v>
      </c>
      <c r="F1057" s="12" t="s">
        <v>65</v>
      </c>
      <c r="G1057" s="33">
        <v>2</v>
      </c>
      <c r="H1057" s="33">
        <v>43</v>
      </c>
      <c r="I1057" s="12" t="s">
        <v>107</v>
      </c>
      <c r="J1057" s="12" t="s">
        <v>39</v>
      </c>
      <c r="K1057" s="73" t="s">
        <v>29</v>
      </c>
      <c r="L1057" s="13">
        <v>58036</v>
      </c>
      <c r="M1057" s="13">
        <v>0</v>
      </c>
      <c r="N1057" s="13">
        <v>0</v>
      </c>
      <c r="O1057" s="13">
        <v>13729</v>
      </c>
      <c r="P1057" s="13">
        <v>8669</v>
      </c>
      <c r="Q1057" s="13">
        <v>44308</v>
      </c>
      <c r="R1057" s="13">
        <v>15738</v>
      </c>
      <c r="S1057" s="13">
        <v>1</v>
      </c>
      <c r="T1057" s="81">
        <v>0</v>
      </c>
    </row>
    <row r="1058" spans="1:20" ht="15" customHeight="1" x14ac:dyDescent="0.2">
      <c r="A1058" s="15" t="s">
        <v>2230</v>
      </c>
      <c r="B1058" s="60">
        <v>2853045</v>
      </c>
      <c r="C1058" s="15"/>
      <c r="D1058" s="15"/>
      <c r="E1058" s="15"/>
      <c r="F1058" s="15" t="s">
        <v>265</v>
      </c>
      <c r="G1058" s="34">
        <v>2</v>
      </c>
      <c r="H1058" s="34">
        <v>9</v>
      </c>
      <c r="I1058" s="15" t="s">
        <v>1070</v>
      </c>
      <c r="J1058" s="15" t="s">
        <v>217</v>
      </c>
      <c r="K1058" s="74" t="s">
        <v>29</v>
      </c>
      <c r="L1058" s="16">
        <v>57173</v>
      </c>
      <c r="M1058" s="16">
        <v>5572</v>
      </c>
      <c r="N1058" s="16">
        <v>51025</v>
      </c>
      <c r="O1058" s="16">
        <v>43039</v>
      </c>
      <c r="P1058" s="16">
        <v>41218</v>
      </c>
      <c r="Q1058" s="16">
        <v>14134</v>
      </c>
      <c r="R1058" s="16">
        <v>939</v>
      </c>
      <c r="S1058" s="16">
        <v>0</v>
      </c>
      <c r="T1058" s="111">
        <v>0</v>
      </c>
    </row>
    <row r="1059" spans="1:20" ht="15" customHeight="1" x14ac:dyDescent="0.2">
      <c r="A1059" s="12" t="s">
        <v>2231</v>
      </c>
      <c r="B1059" s="56">
        <v>62178421</v>
      </c>
      <c r="C1059" s="12" t="s">
        <v>67</v>
      </c>
      <c r="D1059" s="12" t="s">
        <v>68</v>
      </c>
      <c r="E1059" s="12" t="s">
        <v>69</v>
      </c>
      <c r="F1059" s="12" t="s">
        <v>98</v>
      </c>
      <c r="G1059" s="33">
        <v>2</v>
      </c>
      <c r="H1059" s="33">
        <v>15</v>
      </c>
      <c r="I1059" s="12" t="s">
        <v>38</v>
      </c>
      <c r="J1059" s="12" t="s">
        <v>39</v>
      </c>
      <c r="K1059" s="73" t="s">
        <v>29</v>
      </c>
      <c r="L1059" s="13">
        <v>57158</v>
      </c>
      <c r="M1059" s="13">
        <v>0</v>
      </c>
      <c r="N1059" s="13">
        <v>10715</v>
      </c>
      <c r="O1059" s="13">
        <v>19173</v>
      </c>
      <c r="P1059" s="13">
        <v>123</v>
      </c>
      <c r="Q1059" s="13">
        <v>37985</v>
      </c>
      <c r="R1059" s="13">
        <v>1580</v>
      </c>
      <c r="S1059" s="13">
        <v>2</v>
      </c>
      <c r="T1059" s="81">
        <v>0</v>
      </c>
    </row>
    <row r="1060" spans="1:20" ht="15" customHeight="1" x14ac:dyDescent="0.2">
      <c r="A1060" s="15" t="s">
        <v>2232</v>
      </c>
      <c r="B1060" s="60">
        <v>62795257</v>
      </c>
      <c r="C1060" s="15"/>
      <c r="D1060" s="15"/>
      <c r="E1060" s="15"/>
      <c r="F1060" s="15" t="s">
        <v>265</v>
      </c>
      <c r="G1060" s="34">
        <v>2</v>
      </c>
      <c r="H1060" s="34">
        <v>9</v>
      </c>
      <c r="I1060" s="15" t="s">
        <v>38</v>
      </c>
      <c r="J1060" s="15" t="s">
        <v>39</v>
      </c>
      <c r="K1060" s="74" t="s">
        <v>29</v>
      </c>
      <c r="L1060" s="16">
        <v>57012</v>
      </c>
      <c r="M1060" s="16">
        <v>12368</v>
      </c>
      <c r="N1060" s="16">
        <v>42672</v>
      </c>
      <c r="O1060" s="16">
        <v>5928</v>
      </c>
      <c r="P1060" s="16">
        <v>0</v>
      </c>
      <c r="Q1060" s="16">
        <v>51084</v>
      </c>
      <c r="R1060" s="16">
        <v>1337</v>
      </c>
      <c r="S1060" s="16">
        <v>0</v>
      </c>
      <c r="T1060" s="111">
        <v>0</v>
      </c>
    </row>
    <row r="1061" spans="1:20" ht="15" customHeight="1" x14ac:dyDescent="0.2">
      <c r="A1061" s="12" t="s">
        <v>2233</v>
      </c>
      <c r="B1061" s="56">
        <v>9105360</v>
      </c>
      <c r="C1061" s="12" t="s">
        <v>1842</v>
      </c>
      <c r="D1061" s="12" t="s">
        <v>1843</v>
      </c>
      <c r="E1061" s="12" t="s">
        <v>1844</v>
      </c>
      <c r="F1061" s="12" t="s">
        <v>98</v>
      </c>
      <c r="G1061" s="33">
        <v>3</v>
      </c>
      <c r="H1061" s="33">
        <v>15</v>
      </c>
      <c r="I1061" s="12" t="s">
        <v>38</v>
      </c>
      <c r="J1061" s="12" t="s">
        <v>39</v>
      </c>
      <c r="K1061" s="73" t="s">
        <v>29</v>
      </c>
      <c r="L1061" s="13">
        <v>56979</v>
      </c>
      <c r="M1061" s="13">
        <v>0</v>
      </c>
      <c r="N1061" s="13">
        <v>18849</v>
      </c>
      <c r="O1061" s="13">
        <v>2900</v>
      </c>
      <c r="P1061" s="13">
        <v>1027</v>
      </c>
      <c r="Q1061" s="13">
        <v>54079</v>
      </c>
      <c r="R1061" s="13">
        <v>2290</v>
      </c>
      <c r="S1061" s="13">
        <v>3</v>
      </c>
      <c r="T1061" s="81">
        <v>0</v>
      </c>
    </row>
    <row r="1062" spans="1:20" ht="15" customHeight="1" x14ac:dyDescent="0.2">
      <c r="A1062" s="15" t="s">
        <v>2234</v>
      </c>
      <c r="B1062" s="60">
        <v>11495073</v>
      </c>
      <c r="C1062" s="15" t="s">
        <v>2235</v>
      </c>
      <c r="D1062" s="15"/>
      <c r="E1062" s="15" t="s">
        <v>2236</v>
      </c>
      <c r="F1062" s="15" t="s">
        <v>98</v>
      </c>
      <c r="G1062" s="34">
        <v>2</v>
      </c>
      <c r="H1062" s="34">
        <v>16</v>
      </c>
      <c r="I1062" s="15" t="s">
        <v>38</v>
      </c>
      <c r="J1062" s="15" t="s">
        <v>39</v>
      </c>
      <c r="K1062" s="74" t="s">
        <v>29</v>
      </c>
      <c r="L1062" s="16">
        <v>56599</v>
      </c>
      <c r="M1062" s="16">
        <v>0</v>
      </c>
      <c r="N1062" s="16">
        <v>11643</v>
      </c>
      <c r="O1062" s="16">
        <v>11622</v>
      </c>
      <c r="P1062" s="16">
        <v>0</v>
      </c>
      <c r="Q1062" s="16">
        <v>44976</v>
      </c>
      <c r="R1062" s="16">
        <v>1985</v>
      </c>
      <c r="S1062" s="16">
        <v>2</v>
      </c>
      <c r="T1062" s="111">
        <v>0</v>
      </c>
    </row>
    <row r="1063" spans="1:20" ht="15" customHeight="1" x14ac:dyDescent="0.2">
      <c r="A1063" s="12" t="s">
        <v>2237</v>
      </c>
      <c r="B1063" s="56">
        <v>32971064</v>
      </c>
      <c r="C1063" s="12" t="s">
        <v>2238</v>
      </c>
      <c r="D1063" s="12"/>
      <c r="E1063" s="12" t="s">
        <v>2239</v>
      </c>
      <c r="F1063" s="12" t="s">
        <v>84</v>
      </c>
      <c r="G1063" s="33">
        <v>3</v>
      </c>
      <c r="H1063" s="33">
        <v>41</v>
      </c>
      <c r="I1063" s="12" t="s">
        <v>38</v>
      </c>
      <c r="J1063" s="12" t="s">
        <v>39</v>
      </c>
      <c r="K1063" s="73" t="s">
        <v>29</v>
      </c>
      <c r="L1063" s="13">
        <v>56548</v>
      </c>
      <c r="M1063" s="13">
        <v>0</v>
      </c>
      <c r="N1063" s="13">
        <v>0</v>
      </c>
      <c r="O1063" s="13">
        <v>38514</v>
      </c>
      <c r="P1063" s="13">
        <v>10106</v>
      </c>
      <c r="Q1063" s="13">
        <v>18035</v>
      </c>
      <c r="R1063" s="13">
        <v>-1974</v>
      </c>
      <c r="S1063" s="13">
        <v>1</v>
      </c>
      <c r="T1063" s="81">
        <v>0</v>
      </c>
    </row>
    <row r="1064" spans="1:20" ht="15" customHeight="1" x14ac:dyDescent="0.2">
      <c r="A1064" s="15" t="s">
        <v>2240</v>
      </c>
      <c r="B1064" s="60">
        <v>17192451</v>
      </c>
      <c r="C1064" s="15" t="s">
        <v>35</v>
      </c>
      <c r="D1064" s="15" t="s">
        <v>36</v>
      </c>
      <c r="E1064" s="15" t="s">
        <v>37</v>
      </c>
      <c r="F1064" s="15" t="s">
        <v>60</v>
      </c>
      <c r="G1064" s="34">
        <v>2</v>
      </c>
      <c r="H1064" s="34">
        <v>8</v>
      </c>
      <c r="I1064" s="15" t="s">
        <v>38</v>
      </c>
      <c r="J1064" s="15" t="s">
        <v>39</v>
      </c>
      <c r="K1064" s="74" t="s">
        <v>29</v>
      </c>
      <c r="L1064" s="16">
        <v>56432</v>
      </c>
      <c r="M1064" s="16">
        <v>0</v>
      </c>
      <c r="N1064" s="16">
        <v>0</v>
      </c>
      <c r="O1064" s="16">
        <v>2105</v>
      </c>
      <c r="P1064" s="16">
        <v>0</v>
      </c>
      <c r="Q1064" s="16">
        <v>54328</v>
      </c>
      <c r="R1064" s="16">
        <v>2471</v>
      </c>
      <c r="S1064" s="16">
        <v>2</v>
      </c>
      <c r="T1064" s="111">
        <v>0</v>
      </c>
    </row>
    <row r="1065" spans="1:20" ht="15" customHeight="1" x14ac:dyDescent="0.2">
      <c r="A1065" s="12" t="s">
        <v>2241</v>
      </c>
      <c r="B1065" s="56">
        <v>17635177</v>
      </c>
      <c r="C1065" s="12" t="s">
        <v>2242</v>
      </c>
      <c r="D1065" s="12"/>
      <c r="E1065" s="12" t="s">
        <v>2243</v>
      </c>
      <c r="F1065" s="12" t="s">
        <v>98</v>
      </c>
      <c r="G1065" s="33">
        <v>3</v>
      </c>
      <c r="H1065" s="33">
        <v>21</v>
      </c>
      <c r="I1065" s="12" t="s">
        <v>38</v>
      </c>
      <c r="J1065" s="12" t="s">
        <v>39</v>
      </c>
      <c r="K1065" s="73" t="s">
        <v>29</v>
      </c>
      <c r="L1065" s="13">
        <v>54714</v>
      </c>
      <c r="M1065" s="13">
        <v>0</v>
      </c>
      <c r="N1065" s="13">
        <v>0</v>
      </c>
      <c r="O1065" s="13">
        <v>3925</v>
      </c>
      <c r="P1065" s="13">
        <v>0</v>
      </c>
      <c r="Q1065" s="13">
        <v>50789</v>
      </c>
      <c r="R1065" s="13">
        <v>1436</v>
      </c>
      <c r="S1065" s="13">
        <v>2</v>
      </c>
      <c r="T1065" s="81">
        <v>0</v>
      </c>
    </row>
    <row r="1066" spans="1:20" ht="15" customHeight="1" x14ac:dyDescent="0.2">
      <c r="A1066" s="15" t="s">
        <v>2244</v>
      </c>
      <c r="B1066" s="60">
        <v>24074692</v>
      </c>
      <c r="C1066" s="15" t="s">
        <v>2245</v>
      </c>
      <c r="D1066" s="15"/>
      <c r="E1066" s="15" t="s">
        <v>2246</v>
      </c>
      <c r="F1066" s="15" t="s">
        <v>98</v>
      </c>
      <c r="G1066" s="34">
        <v>2</v>
      </c>
      <c r="H1066" s="34">
        <v>21</v>
      </c>
      <c r="I1066" s="15" t="s">
        <v>38</v>
      </c>
      <c r="J1066" s="15" t="s">
        <v>39</v>
      </c>
      <c r="K1066" s="74" t="s">
        <v>29</v>
      </c>
      <c r="L1066" s="16">
        <v>54475</v>
      </c>
      <c r="M1066" s="16">
        <v>0</v>
      </c>
      <c r="N1066" s="16">
        <v>7116</v>
      </c>
      <c r="O1066" s="16">
        <v>43003</v>
      </c>
      <c r="P1066" s="16">
        <v>0</v>
      </c>
      <c r="Q1066" s="16">
        <v>11473</v>
      </c>
      <c r="R1066" s="16">
        <v>553</v>
      </c>
      <c r="S1066" s="16">
        <v>2</v>
      </c>
      <c r="T1066" s="111">
        <v>0</v>
      </c>
    </row>
    <row r="1067" spans="1:20" ht="15" customHeight="1" x14ac:dyDescent="0.2">
      <c r="A1067" s="12" t="s">
        <v>2247</v>
      </c>
      <c r="B1067" s="56">
        <v>9004796</v>
      </c>
      <c r="C1067" s="12"/>
      <c r="D1067" s="12"/>
      <c r="E1067" s="12"/>
      <c r="F1067" s="12" t="s">
        <v>265</v>
      </c>
      <c r="G1067" s="33">
        <v>2</v>
      </c>
      <c r="H1067" s="33">
        <v>9</v>
      </c>
      <c r="I1067" s="12" t="s">
        <v>1933</v>
      </c>
      <c r="J1067" s="12" t="s">
        <v>39</v>
      </c>
      <c r="K1067" s="73" t="s">
        <v>29</v>
      </c>
      <c r="L1067" s="13">
        <v>54458</v>
      </c>
      <c r="M1067" s="13">
        <v>22284</v>
      </c>
      <c r="N1067" s="13">
        <v>29313</v>
      </c>
      <c r="O1067" s="13">
        <v>41638</v>
      </c>
      <c r="P1067" s="13">
        <v>39610</v>
      </c>
      <c r="Q1067" s="13">
        <v>12820</v>
      </c>
      <c r="R1067" s="13">
        <v>148</v>
      </c>
      <c r="S1067" s="13">
        <v>0</v>
      </c>
      <c r="T1067" s="81">
        <v>2</v>
      </c>
    </row>
    <row r="1068" spans="1:20" ht="15" customHeight="1" x14ac:dyDescent="0.2">
      <c r="A1068" s="15" t="s">
        <v>2248</v>
      </c>
      <c r="B1068" s="60">
        <v>83325811</v>
      </c>
      <c r="C1068" s="15"/>
      <c r="D1068" s="15"/>
      <c r="E1068" s="15"/>
      <c r="F1068" s="15" t="s">
        <v>265</v>
      </c>
      <c r="G1068" s="34">
        <v>2</v>
      </c>
      <c r="H1068" s="34">
        <v>9</v>
      </c>
      <c r="I1068" s="15" t="s">
        <v>143</v>
      </c>
      <c r="J1068" s="15" t="s">
        <v>144</v>
      </c>
      <c r="K1068" s="74" t="s">
        <v>29</v>
      </c>
      <c r="L1068" s="16">
        <v>54012</v>
      </c>
      <c r="M1068" s="16">
        <v>21456</v>
      </c>
      <c r="N1068" s="16">
        <v>3089</v>
      </c>
      <c r="O1068" s="16">
        <v>11858</v>
      </c>
      <c r="P1068" s="16">
        <v>0</v>
      </c>
      <c r="Q1068" s="16">
        <v>42154</v>
      </c>
      <c r="R1068" s="16">
        <v>2583</v>
      </c>
      <c r="S1068" s="16">
        <v>0</v>
      </c>
      <c r="T1068" s="111">
        <v>0</v>
      </c>
    </row>
    <row r="1069" spans="1:20" ht="15" customHeight="1" x14ac:dyDescent="0.2">
      <c r="A1069" s="12" t="s">
        <v>2249</v>
      </c>
      <c r="B1069" s="56">
        <v>10769660</v>
      </c>
      <c r="C1069" s="12" t="s">
        <v>2250</v>
      </c>
      <c r="D1069" s="12"/>
      <c r="E1069" s="12" t="s">
        <v>2251</v>
      </c>
      <c r="F1069" s="12" t="s">
        <v>65</v>
      </c>
      <c r="G1069" s="33">
        <v>1</v>
      </c>
      <c r="H1069" s="33">
        <v>30</v>
      </c>
      <c r="I1069" s="12" t="s">
        <v>818</v>
      </c>
      <c r="J1069" s="12" t="s">
        <v>819</v>
      </c>
      <c r="K1069" s="73" t="s">
        <v>29</v>
      </c>
      <c r="L1069" s="13">
        <v>53901</v>
      </c>
      <c r="M1069" s="13">
        <v>21420</v>
      </c>
      <c r="N1069" s="13">
        <v>30469</v>
      </c>
      <c r="O1069" s="13">
        <v>19874</v>
      </c>
      <c r="P1069" s="13">
        <v>17651</v>
      </c>
      <c r="Q1069" s="13">
        <v>34027</v>
      </c>
      <c r="R1069" s="13">
        <v>-5726</v>
      </c>
      <c r="S1069" s="13">
        <v>1</v>
      </c>
      <c r="T1069" s="81">
        <v>0</v>
      </c>
    </row>
    <row r="1070" spans="1:20" ht="15" customHeight="1" x14ac:dyDescent="0.2">
      <c r="A1070" s="15" t="s">
        <v>2252</v>
      </c>
      <c r="B1070" s="60">
        <v>11406965</v>
      </c>
      <c r="C1070" s="15" t="s">
        <v>464</v>
      </c>
      <c r="D1070" s="15" t="s">
        <v>465</v>
      </c>
      <c r="E1070" s="15" t="s">
        <v>466</v>
      </c>
      <c r="F1070" s="15" t="s">
        <v>98</v>
      </c>
      <c r="G1070" s="34">
        <v>3</v>
      </c>
      <c r="H1070" s="34">
        <v>16</v>
      </c>
      <c r="I1070" s="15" t="s">
        <v>38</v>
      </c>
      <c r="J1070" s="15" t="s">
        <v>39</v>
      </c>
      <c r="K1070" s="74" t="s">
        <v>29</v>
      </c>
      <c r="L1070" s="16">
        <v>53699</v>
      </c>
      <c r="M1070" s="16">
        <v>0</v>
      </c>
      <c r="N1070" s="16">
        <v>46857</v>
      </c>
      <c r="O1070" s="16">
        <v>4398</v>
      </c>
      <c r="P1070" s="16">
        <v>0</v>
      </c>
      <c r="Q1070" s="16">
        <v>49301</v>
      </c>
      <c r="R1070" s="16">
        <v>729</v>
      </c>
      <c r="S1070" s="16">
        <v>2</v>
      </c>
      <c r="T1070" s="111">
        <v>0</v>
      </c>
    </row>
    <row r="1071" spans="1:20" ht="15" customHeight="1" x14ac:dyDescent="0.2">
      <c r="A1071" s="12" t="s">
        <v>2253</v>
      </c>
      <c r="B1071" s="56">
        <v>1864151</v>
      </c>
      <c r="C1071" s="12"/>
      <c r="D1071" s="12"/>
      <c r="E1071" s="12"/>
      <c r="F1071" s="12" t="s">
        <v>265</v>
      </c>
      <c r="G1071" s="33">
        <v>2</v>
      </c>
      <c r="H1071" s="33">
        <v>9</v>
      </c>
      <c r="I1071" s="12" t="s">
        <v>119</v>
      </c>
      <c r="J1071" s="12" t="s">
        <v>120</v>
      </c>
      <c r="K1071" s="73" t="s">
        <v>29</v>
      </c>
      <c r="L1071" s="13">
        <v>53539</v>
      </c>
      <c r="M1071" s="13">
        <v>32947</v>
      </c>
      <c r="N1071" s="13">
        <v>6374</v>
      </c>
      <c r="O1071" s="13">
        <v>27418</v>
      </c>
      <c r="P1071" s="13">
        <v>25458</v>
      </c>
      <c r="Q1071" s="13">
        <v>26122</v>
      </c>
      <c r="R1071" s="13">
        <v>1314</v>
      </c>
      <c r="S1071" s="13">
        <v>0</v>
      </c>
      <c r="T1071" s="81">
        <v>2</v>
      </c>
    </row>
    <row r="1072" spans="1:20" ht="15" customHeight="1" x14ac:dyDescent="0.2">
      <c r="A1072" s="15" t="s">
        <v>2254</v>
      </c>
      <c r="B1072" s="60">
        <v>52440987</v>
      </c>
      <c r="C1072" s="15" t="s">
        <v>2255</v>
      </c>
      <c r="D1072" s="15"/>
      <c r="E1072" s="15" t="s">
        <v>2256</v>
      </c>
      <c r="F1072" s="15" t="s">
        <v>65</v>
      </c>
      <c r="G1072" s="34">
        <v>2</v>
      </c>
      <c r="H1072" s="34">
        <v>43</v>
      </c>
      <c r="I1072" s="15" t="s">
        <v>587</v>
      </c>
      <c r="J1072" s="15" t="s">
        <v>39</v>
      </c>
      <c r="K1072" s="74" t="s">
        <v>29</v>
      </c>
      <c r="L1072" s="16">
        <v>53464</v>
      </c>
      <c r="M1072" s="16">
        <v>30</v>
      </c>
      <c r="N1072" s="16">
        <v>5973</v>
      </c>
      <c r="O1072" s="16">
        <v>48125</v>
      </c>
      <c r="P1072" s="16">
        <v>34230</v>
      </c>
      <c r="Q1072" s="16">
        <v>5339</v>
      </c>
      <c r="R1072" s="16">
        <v>-504</v>
      </c>
      <c r="S1072" s="16">
        <v>2</v>
      </c>
      <c r="T1072" s="111">
        <v>0</v>
      </c>
    </row>
    <row r="1073" spans="1:20" ht="15" customHeight="1" x14ac:dyDescent="0.2">
      <c r="A1073" s="12" t="s">
        <v>2257</v>
      </c>
      <c r="B1073" s="56">
        <v>92764489</v>
      </c>
      <c r="C1073" s="12" t="s">
        <v>296</v>
      </c>
      <c r="D1073" s="12" t="s">
        <v>297</v>
      </c>
      <c r="E1073" s="12" t="s">
        <v>298</v>
      </c>
      <c r="F1073" s="12" t="s">
        <v>65</v>
      </c>
      <c r="G1073" s="33">
        <v>3</v>
      </c>
      <c r="H1073" s="33">
        <v>14</v>
      </c>
      <c r="I1073" s="12" t="s">
        <v>38</v>
      </c>
      <c r="J1073" s="12" t="s">
        <v>39</v>
      </c>
      <c r="K1073" s="73" t="s">
        <v>29</v>
      </c>
      <c r="L1073" s="13">
        <v>52762</v>
      </c>
      <c r="M1073" s="13">
        <v>4140</v>
      </c>
      <c r="N1073" s="13">
        <v>0</v>
      </c>
      <c r="O1073" s="13">
        <v>50474</v>
      </c>
      <c r="P1073" s="13">
        <v>1615</v>
      </c>
      <c r="Q1073" s="13">
        <v>2288</v>
      </c>
      <c r="R1073" s="13">
        <v>3366</v>
      </c>
      <c r="S1073" s="13">
        <v>1</v>
      </c>
      <c r="T1073" s="81">
        <v>0</v>
      </c>
    </row>
    <row r="1074" spans="1:20" ht="15" customHeight="1" x14ac:dyDescent="0.2">
      <c r="A1074" s="15" t="s">
        <v>2258</v>
      </c>
      <c r="B1074" s="60">
        <v>12272183</v>
      </c>
      <c r="C1074" s="15"/>
      <c r="D1074" s="15"/>
      <c r="E1074" s="15"/>
      <c r="F1074" s="15" t="s">
        <v>265</v>
      </c>
      <c r="G1074" s="34">
        <v>2</v>
      </c>
      <c r="H1074" s="34">
        <v>9</v>
      </c>
      <c r="I1074" s="15" t="s">
        <v>818</v>
      </c>
      <c r="J1074" s="15" t="s">
        <v>819</v>
      </c>
      <c r="K1074" s="74" t="s">
        <v>29</v>
      </c>
      <c r="L1074" s="16">
        <v>52508</v>
      </c>
      <c r="M1074" s="16">
        <v>14416</v>
      </c>
      <c r="N1074" s="16">
        <v>35946</v>
      </c>
      <c r="O1074" s="16">
        <v>3230</v>
      </c>
      <c r="P1074" s="16">
        <v>1832</v>
      </c>
      <c r="Q1074" s="16">
        <v>49279</v>
      </c>
      <c r="R1074" s="16">
        <v>1224</v>
      </c>
      <c r="S1074" s="16">
        <v>0</v>
      </c>
      <c r="T1074" s="111">
        <v>0</v>
      </c>
    </row>
    <row r="1075" spans="1:20" ht="15" customHeight="1" x14ac:dyDescent="0.2">
      <c r="A1075" s="12" t="s">
        <v>2259</v>
      </c>
      <c r="B1075" s="56">
        <v>2024442</v>
      </c>
      <c r="C1075" s="12"/>
      <c r="D1075" s="12"/>
      <c r="E1075" s="12"/>
      <c r="F1075" s="12" t="s">
        <v>265</v>
      </c>
      <c r="G1075" s="33">
        <v>2</v>
      </c>
      <c r="H1075" s="33">
        <v>9</v>
      </c>
      <c r="I1075" s="12" t="s">
        <v>2260</v>
      </c>
      <c r="J1075" s="12" t="s">
        <v>39</v>
      </c>
      <c r="K1075" s="73" t="s">
        <v>29</v>
      </c>
      <c r="L1075" s="13">
        <v>52454</v>
      </c>
      <c r="M1075" s="13">
        <v>44438</v>
      </c>
      <c r="N1075" s="13">
        <v>3534</v>
      </c>
      <c r="O1075" s="13">
        <v>2111</v>
      </c>
      <c r="P1075" s="13">
        <v>0</v>
      </c>
      <c r="Q1075" s="13">
        <v>50342</v>
      </c>
      <c r="R1075" s="13">
        <v>4543</v>
      </c>
      <c r="S1075" s="13">
        <v>0</v>
      </c>
      <c r="T1075" s="81">
        <v>0</v>
      </c>
    </row>
    <row r="1076" spans="1:20" ht="15" customHeight="1" x14ac:dyDescent="0.2">
      <c r="A1076" s="15" t="s">
        <v>2261</v>
      </c>
      <c r="B1076" s="60">
        <v>40434681</v>
      </c>
      <c r="C1076" s="15" t="s">
        <v>2262</v>
      </c>
      <c r="D1076" s="15"/>
      <c r="E1076" s="15" t="s">
        <v>2263</v>
      </c>
      <c r="F1076" s="15" t="s">
        <v>98</v>
      </c>
      <c r="G1076" s="34">
        <v>2</v>
      </c>
      <c r="H1076" s="34">
        <v>16</v>
      </c>
      <c r="I1076" s="15" t="s">
        <v>38</v>
      </c>
      <c r="J1076" s="15" t="s">
        <v>39</v>
      </c>
      <c r="K1076" s="74" t="s">
        <v>29</v>
      </c>
      <c r="L1076" s="16">
        <v>52319</v>
      </c>
      <c r="M1076" s="16">
        <v>0</v>
      </c>
      <c r="N1076" s="16">
        <v>7389</v>
      </c>
      <c r="O1076" s="16">
        <v>44779</v>
      </c>
      <c r="P1076" s="16">
        <v>42532</v>
      </c>
      <c r="Q1076" s="16">
        <v>7539</v>
      </c>
      <c r="R1076" s="16">
        <v>625</v>
      </c>
      <c r="S1076" s="16">
        <v>2</v>
      </c>
      <c r="T1076" s="111">
        <v>0</v>
      </c>
    </row>
    <row r="1077" spans="1:20" ht="15" customHeight="1" x14ac:dyDescent="0.2">
      <c r="A1077" s="12" t="s">
        <v>2264</v>
      </c>
      <c r="B1077" s="56">
        <v>67030395</v>
      </c>
      <c r="C1077" s="12" t="s">
        <v>2265</v>
      </c>
      <c r="D1077" s="12" t="s">
        <v>2266</v>
      </c>
      <c r="E1077" s="12" t="s">
        <v>2266</v>
      </c>
      <c r="F1077" s="12" t="s">
        <v>98</v>
      </c>
      <c r="G1077" s="33">
        <v>2</v>
      </c>
      <c r="H1077" s="33">
        <v>16</v>
      </c>
      <c r="I1077" s="12" t="s">
        <v>38</v>
      </c>
      <c r="J1077" s="12" t="s">
        <v>39</v>
      </c>
      <c r="K1077" s="73" t="s">
        <v>29</v>
      </c>
      <c r="L1077" s="13">
        <v>51546</v>
      </c>
      <c r="M1077" s="13">
        <v>0</v>
      </c>
      <c r="N1077" s="13">
        <v>456</v>
      </c>
      <c r="O1077" s="13">
        <v>34524</v>
      </c>
      <c r="P1077" s="13">
        <v>16449</v>
      </c>
      <c r="Q1077" s="13">
        <v>17022</v>
      </c>
      <c r="R1077" s="13">
        <v>-4739</v>
      </c>
      <c r="S1077" s="13">
        <v>2</v>
      </c>
      <c r="T1077" s="81">
        <v>0</v>
      </c>
    </row>
    <row r="1078" spans="1:20" ht="15" customHeight="1" x14ac:dyDescent="0.2">
      <c r="A1078" s="15" t="s">
        <v>2267</v>
      </c>
      <c r="B1078" s="60">
        <v>18520834</v>
      </c>
      <c r="C1078" s="15" t="s">
        <v>352</v>
      </c>
      <c r="D1078" s="15" t="s">
        <v>353</v>
      </c>
      <c r="E1078" s="15" t="s">
        <v>354</v>
      </c>
      <c r="F1078" s="15" t="s">
        <v>60</v>
      </c>
      <c r="G1078" s="34">
        <v>3</v>
      </c>
      <c r="H1078" s="34">
        <v>13</v>
      </c>
      <c r="I1078" s="15" t="s">
        <v>38</v>
      </c>
      <c r="J1078" s="15" t="s">
        <v>39</v>
      </c>
      <c r="K1078" s="74" t="s">
        <v>29</v>
      </c>
      <c r="L1078" s="16">
        <v>51316</v>
      </c>
      <c r="M1078" s="16">
        <v>0</v>
      </c>
      <c r="N1078" s="16">
        <v>38778</v>
      </c>
      <c r="O1078" s="16">
        <v>1616</v>
      </c>
      <c r="P1078" s="16">
        <v>0</v>
      </c>
      <c r="Q1078" s="16">
        <v>49700</v>
      </c>
      <c r="R1078" s="16">
        <v>1316</v>
      </c>
      <c r="S1078" s="16">
        <v>2</v>
      </c>
      <c r="T1078" s="111">
        <v>0</v>
      </c>
    </row>
    <row r="1079" spans="1:20" ht="15" customHeight="1" x14ac:dyDescent="0.2">
      <c r="A1079" s="12" t="s">
        <v>2268</v>
      </c>
      <c r="B1079" s="56">
        <v>21040668</v>
      </c>
      <c r="C1079" s="12" t="s">
        <v>2269</v>
      </c>
      <c r="D1079" s="12"/>
      <c r="E1079" s="12" t="s">
        <v>2270</v>
      </c>
      <c r="F1079" s="12" t="s">
        <v>98</v>
      </c>
      <c r="G1079" s="33">
        <v>3</v>
      </c>
      <c r="H1079" s="33">
        <v>21</v>
      </c>
      <c r="I1079" s="12" t="s">
        <v>53</v>
      </c>
      <c r="J1079" s="12" t="s">
        <v>54</v>
      </c>
      <c r="K1079" s="73" t="s">
        <v>29</v>
      </c>
      <c r="L1079" s="13">
        <v>51011</v>
      </c>
      <c r="M1079" s="13">
        <v>0</v>
      </c>
      <c r="N1079" s="13">
        <v>8616</v>
      </c>
      <c r="O1079" s="13">
        <v>32039</v>
      </c>
      <c r="P1079" s="13">
        <v>29924</v>
      </c>
      <c r="Q1079" s="13">
        <v>18972</v>
      </c>
      <c r="R1079" s="13">
        <v>-2075</v>
      </c>
      <c r="S1079" s="13">
        <v>16</v>
      </c>
      <c r="T1079" s="81">
        <v>0</v>
      </c>
    </row>
    <row r="1080" spans="1:20" ht="15" customHeight="1" x14ac:dyDescent="0.2">
      <c r="A1080" s="15" t="s">
        <v>2271</v>
      </c>
      <c r="B1080" s="60">
        <v>8257293</v>
      </c>
      <c r="C1080" s="15" t="s">
        <v>274</v>
      </c>
      <c r="D1080" s="15" t="s">
        <v>275</v>
      </c>
      <c r="E1080" s="15" t="s">
        <v>276</v>
      </c>
      <c r="F1080" s="15" t="s">
        <v>65</v>
      </c>
      <c r="G1080" s="34">
        <v>2</v>
      </c>
      <c r="H1080" s="34">
        <v>14</v>
      </c>
      <c r="I1080" s="15" t="s">
        <v>38</v>
      </c>
      <c r="J1080" s="15" t="s">
        <v>39</v>
      </c>
      <c r="K1080" s="74" t="s">
        <v>29</v>
      </c>
      <c r="L1080" s="16">
        <v>50741</v>
      </c>
      <c r="M1080" s="16">
        <v>0</v>
      </c>
      <c r="N1080" s="16">
        <v>11671</v>
      </c>
      <c r="O1080" s="16">
        <v>17731</v>
      </c>
      <c r="P1080" s="16">
        <v>0</v>
      </c>
      <c r="Q1080" s="16">
        <v>33010</v>
      </c>
      <c r="R1080" s="16">
        <v>1304</v>
      </c>
      <c r="S1080" s="16">
        <v>2</v>
      </c>
      <c r="T1080" s="111">
        <v>0</v>
      </c>
    </row>
    <row r="1081" spans="1:20" ht="15" customHeight="1" x14ac:dyDescent="0.2">
      <c r="A1081" s="12" t="s">
        <v>2272</v>
      </c>
      <c r="B1081" s="56">
        <v>9512542</v>
      </c>
      <c r="C1081" s="12" t="s">
        <v>2273</v>
      </c>
      <c r="D1081" s="12" t="s">
        <v>2274</v>
      </c>
      <c r="E1081" s="12" t="s">
        <v>2275</v>
      </c>
      <c r="F1081" s="12" t="s">
        <v>98</v>
      </c>
      <c r="G1081" s="33">
        <v>2</v>
      </c>
      <c r="H1081" s="33">
        <v>15</v>
      </c>
      <c r="I1081" s="12" t="s">
        <v>107</v>
      </c>
      <c r="J1081" s="12" t="s">
        <v>39</v>
      </c>
      <c r="K1081" s="73" t="s">
        <v>29</v>
      </c>
      <c r="L1081" s="13">
        <v>50241</v>
      </c>
      <c r="M1081" s="13">
        <v>0</v>
      </c>
      <c r="N1081" s="13">
        <v>46936</v>
      </c>
      <c r="O1081" s="13">
        <v>2735</v>
      </c>
      <c r="P1081" s="13">
        <v>546</v>
      </c>
      <c r="Q1081" s="13">
        <v>47506</v>
      </c>
      <c r="R1081" s="13">
        <v>448</v>
      </c>
      <c r="S1081" s="13">
        <v>3</v>
      </c>
      <c r="T1081" s="81">
        <v>0</v>
      </c>
    </row>
    <row r="1082" spans="1:20" ht="15" customHeight="1" x14ac:dyDescent="0.2">
      <c r="A1082" s="15" t="s">
        <v>2276</v>
      </c>
      <c r="B1082" s="60">
        <v>44292580</v>
      </c>
      <c r="C1082" s="15" t="s">
        <v>2277</v>
      </c>
      <c r="D1082" s="15"/>
      <c r="E1082" s="15" t="s">
        <v>2278</v>
      </c>
      <c r="F1082" s="15" t="s">
        <v>65</v>
      </c>
      <c r="G1082" s="34">
        <v>2</v>
      </c>
      <c r="H1082" s="34">
        <v>43</v>
      </c>
      <c r="I1082" s="15" t="s">
        <v>27</v>
      </c>
      <c r="J1082" s="15" t="s">
        <v>28</v>
      </c>
      <c r="K1082" s="74" t="s">
        <v>29</v>
      </c>
      <c r="L1082" s="16">
        <v>50017</v>
      </c>
      <c r="M1082" s="16">
        <v>57462</v>
      </c>
      <c r="N1082" s="16">
        <v>0</v>
      </c>
      <c r="O1082" s="16">
        <v>41748</v>
      </c>
      <c r="P1082" s="16">
        <v>24</v>
      </c>
      <c r="Q1082" s="16">
        <v>8269</v>
      </c>
      <c r="R1082" s="16">
        <v>2396</v>
      </c>
      <c r="S1082" s="16">
        <v>2</v>
      </c>
      <c r="T1082" s="111">
        <v>0</v>
      </c>
    </row>
    <row r="1083" spans="1:20" ht="15" customHeight="1" x14ac:dyDescent="0.2">
      <c r="A1083" s="12" t="s">
        <v>2279</v>
      </c>
      <c r="B1083" s="56">
        <v>46403683</v>
      </c>
      <c r="C1083" s="12" t="s">
        <v>137</v>
      </c>
      <c r="D1083" s="12" t="s">
        <v>160</v>
      </c>
      <c r="E1083" s="12" t="s">
        <v>138</v>
      </c>
      <c r="F1083" s="12" t="s">
        <v>98</v>
      </c>
      <c r="G1083" s="33">
        <v>2</v>
      </c>
      <c r="H1083" s="33">
        <v>15</v>
      </c>
      <c r="I1083" s="12" t="s">
        <v>38</v>
      </c>
      <c r="J1083" s="12" t="s">
        <v>39</v>
      </c>
      <c r="K1083" s="73" t="s">
        <v>29</v>
      </c>
      <c r="L1083" s="13">
        <v>48289</v>
      </c>
      <c r="M1083" s="13">
        <v>0</v>
      </c>
      <c r="N1083" s="13">
        <v>42359</v>
      </c>
      <c r="O1083" s="13">
        <v>2113</v>
      </c>
      <c r="P1083" s="13">
        <v>0</v>
      </c>
      <c r="Q1083" s="13">
        <v>46176</v>
      </c>
      <c r="R1083" s="13">
        <v>-1617</v>
      </c>
      <c r="S1083" s="13">
        <v>2</v>
      </c>
      <c r="T1083" s="81">
        <v>0</v>
      </c>
    </row>
    <row r="1084" spans="1:20" ht="15" customHeight="1" x14ac:dyDescent="0.2">
      <c r="A1084" s="15" t="s">
        <v>2280</v>
      </c>
      <c r="B1084" s="60">
        <v>8609934</v>
      </c>
      <c r="C1084" s="15" t="s">
        <v>2281</v>
      </c>
      <c r="D1084" s="15"/>
      <c r="E1084" s="15" t="s">
        <v>2282</v>
      </c>
      <c r="F1084" s="15" t="s">
        <v>60</v>
      </c>
      <c r="G1084" s="34">
        <v>3</v>
      </c>
      <c r="H1084" s="34">
        <v>39</v>
      </c>
      <c r="I1084" s="15" t="s">
        <v>38</v>
      </c>
      <c r="J1084" s="15" t="s">
        <v>39</v>
      </c>
      <c r="K1084" s="74" t="s">
        <v>29</v>
      </c>
      <c r="L1084" s="16">
        <v>48096</v>
      </c>
      <c r="M1084" s="16">
        <v>0</v>
      </c>
      <c r="N1084" s="16">
        <v>0</v>
      </c>
      <c r="O1084" s="16">
        <v>27358</v>
      </c>
      <c r="P1084" s="16">
        <v>0</v>
      </c>
      <c r="Q1084" s="16">
        <v>20737</v>
      </c>
      <c r="R1084" s="16">
        <v>552</v>
      </c>
      <c r="S1084" s="16">
        <v>2</v>
      </c>
      <c r="T1084" s="111">
        <v>0</v>
      </c>
    </row>
    <row r="1085" spans="1:20" ht="15" customHeight="1" x14ac:dyDescent="0.2">
      <c r="A1085" s="12" t="s">
        <v>2283</v>
      </c>
      <c r="B1085" s="56">
        <v>73622748</v>
      </c>
      <c r="C1085" s="12" t="s">
        <v>2284</v>
      </c>
      <c r="D1085" s="12"/>
      <c r="E1085" s="12" t="s">
        <v>2285</v>
      </c>
      <c r="F1085" s="12" t="s">
        <v>98</v>
      </c>
      <c r="G1085" s="33">
        <v>2</v>
      </c>
      <c r="H1085" s="33">
        <v>21</v>
      </c>
      <c r="I1085" s="12" t="s">
        <v>38</v>
      </c>
      <c r="J1085" s="12" t="s">
        <v>39</v>
      </c>
      <c r="K1085" s="73" t="s">
        <v>29</v>
      </c>
      <c r="L1085" s="13">
        <v>46931</v>
      </c>
      <c r="M1085" s="13">
        <v>0</v>
      </c>
      <c r="N1085" s="13">
        <v>1217</v>
      </c>
      <c r="O1085" s="13">
        <v>23228</v>
      </c>
      <c r="P1085" s="13">
        <v>0</v>
      </c>
      <c r="Q1085" s="13">
        <v>23704</v>
      </c>
      <c r="R1085" s="13">
        <v>-1385</v>
      </c>
      <c r="S1085" s="13">
        <v>4</v>
      </c>
      <c r="T1085" s="81">
        <v>0</v>
      </c>
    </row>
    <row r="1086" spans="1:20" ht="15" customHeight="1" x14ac:dyDescent="0.2">
      <c r="A1086" s="15" t="s">
        <v>2286</v>
      </c>
      <c r="B1086" s="60">
        <v>35470647</v>
      </c>
      <c r="C1086" s="15" t="s">
        <v>2287</v>
      </c>
      <c r="D1086" s="15"/>
      <c r="E1086" s="15" t="s">
        <v>2288</v>
      </c>
      <c r="F1086" s="15" t="s">
        <v>98</v>
      </c>
      <c r="G1086" s="34">
        <v>3</v>
      </c>
      <c r="H1086" s="34">
        <v>16</v>
      </c>
      <c r="I1086" s="15" t="s">
        <v>165</v>
      </c>
      <c r="J1086" s="15" t="s">
        <v>39</v>
      </c>
      <c r="K1086" s="74" t="s">
        <v>29</v>
      </c>
      <c r="L1086" s="16">
        <v>46662</v>
      </c>
      <c r="M1086" s="16">
        <v>0</v>
      </c>
      <c r="N1086" s="16">
        <v>33589</v>
      </c>
      <c r="O1086" s="16">
        <v>12795</v>
      </c>
      <c r="P1086" s="16">
        <v>288</v>
      </c>
      <c r="Q1086" s="16">
        <v>33866</v>
      </c>
      <c r="R1086" s="16">
        <v>1049</v>
      </c>
      <c r="S1086" s="16">
        <v>2</v>
      </c>
      <c r="T1086" s="111">
        <v>0</v>
      </c>
    </row>
    <row r="1087" spans="1:20" ht="15" customHeight="1" x14ac:dyDescent="0.2">
      <c r="A1087" s="12" t="s">
        <v>2289</v>
      </c>
      <c r="B1087" s="56">
        <v>3973814</v>
      </c>
      <c r="C1087" s="12"/>
      <c r="D1087" s="12"/>
      <c r="E1087" s="12"/>
      <c r="F1087" s="12" t="s">
        <v>265</v>
      </c>
      <c r="G1087" s="33">
        <v>2</v>
      </c>
      <c r="H1087" s="33">
        <v>9</v>
      </c>
      <c r="I1087" s="12" t="s">
        <v>73</v>
      </c>
      <c r="J1087" s="12" t="s">
        <v>74</v>
      </c>
      <c r="K1087" s="73" t="s">
        <v>29</v>
      </c>
      <c r="L1087" s="13">
        <v>45977</v>
      </c>
      <c r="M1087" s="13">
        <v>20401</v>
      </c>
      <c r="N1087" s="13">
        <v>20791</v>
      </c>
      <c r="O1087" s="13">
        <v>32233</v>
      </c>
      <c r="P1087" s="13">
        <v>29842</v>
      </c>
      <c r="Q1087" s="13">
        <v>13744</v>
      </c>
      <c r="R1087" s="13">
        <v>209</v>
      </c>
      <c r="S1087" s="13">
        <v>0</v>
      </c>
      <c r="T1087" s="81">
        <v>4</v>
      </c>
    </row>
    <row r="1088" spans="1:20" ht="15" customHeight="1" x14ac:dyDescent="0.2">
      <c r="A1088" s="15" t="s">
        <v>2290</v>
      </c>
      <c r="B1088" s="60">
        <v>39738065</v>
      </c>
      <c r="C1088" s="15" t="s">
        <v>2180</v>
      </c>
      <c r="D1088" s="15"/>
      <c r="E1088" s="15" t="s">
        <v>2181</v>
      </c>
      <c r="F1088" s="15" t="s">
        <v>65</v>
      </c>
      <c r="G1088" s="34">
        <v>2</v>
      </c>
      <c r="H1088" s="34">
        <v>43</v>
      </c>
      <c r="I1088" s="15" t="s">
        <v>414</v>
      </c>
      <c r="J1088" s="15" t="s">
        <v>74</v>
      </c>
      <c r="K1088" s="74" t="s">
        <v>29</v>
      </c>
      <c r="L1088" s="16">
        <v>45572</v>
      </c>
      <c r="M1088" s="16">
        <v>2727</v>
      </c>
      <c r="N1088" s="16">
        <v>203</v>
      </c>
      <c r="O1088" s="16">
        <v>31459</v>
      </c>
      <c r="P1088" s="16">
        <v>30762</v>
      </c>
      <c r="Q1088" s="16">
        <v>14112</v>
      </c>
      <c r="R1088" s="16">
        <v>185</v>
      </c>
      <c r="S1088" s="16">
        <v>2</v>
      </c>
      <c r="T1088" s="111">
        <v>0</v>
      </c>
    </row>
    <row r="1089" spans="1:20" ht="15" customHeight="1" x14ac:dyDescent="0.2">
      <c r="A1089" s="12" t="s">
        <v>2291</v>
      </c>
      <c r="B1089" s="56">
        <v>1062439</v>
      </c>
      <c r="C1089" s="12"/>
      <c r="D1089" s="12"/>
      <c r="E1089" s="12"/>
      <c r="F1089" s="12" t="s">
        <v>265</v>
      </c>
      <c r="G1089" s="33">
        <v>2</v>
      </c>
      <c r="H1089" s="33">
        <v>9</v>
      </c>
      <c r="I1089" s="12" t="s">
        <v>524</v>
      </c>
      <c r="J1089" s="12" t="s">
        <v>389</v>
      </c>
      <c r="K1089" s="73" t="s">
        <v>29</v>
      </c>
      <c r="L1089" s="13">
        <v>44405</v>
      </c>
      <c r="M1089" s="13">
        <v>20121</v>
      </c>
      <c r="N1089" s="13">
        <v>2622</v>
      </c>
      <c r="O1089" s="13">
        <v>20661</v>
      </c>
      <c r="P1089" s="13">
        <v>17666</v>
      </c>
      <c r="Q1089" s="13">
        <v>23744</v>
      </c>
      <c r="R1089" s="13">
        <v>1152</v>
      </c>
      <c r="S1089" s="13">
        <v>0</v>
      </c>
      <c r="T1089" s="81">
        <v>1</v>
      </c>
    </row>
    <row r="1090" spans="1:20" ht="15" customHeight="1" x14ac:dyDescent="0.2">
      <c r="A1090" s="15" t="s">
        <v>2292</v>
      </c>
      <c r="B1090" s="60">
        <v>4306351</v>
      </c>
      <c r="C1090" s="15"/>
      <c r="D1090" s="15"/>
      <c r="E1090" s="15"/>
      <c r="F1090" s="15" t="s">
        <v>265</v>
      </c>
      <c r="G1090" s="34">
        <v>2</v>
      </c>
      <c r="H1090" s="34">
        <v>9</v>
      </c>
      <c r="I1090" s="15" t="s">
        <v>38</v>
      </c>
      <c r="J1090" s="15" t="s">
        <v>39</v>
      </c>
      <c r="K1090" s="74" t="s">
        <v>29</v>
      </c>
      <c r="L1090" s="16">
        <v>44098</v>
      </c>
      <c r="M1090" s="16">
        <v>6399</v>
      </c>
      <c r="N1090" s="16">
        <v>25835</v>
      </c>
      <c r="O1090" s="16">
        <v>25837</v>
      </c>
      <c r="P1090" s="16">
        <v>24777</v>
      </c>
      <c r="Q1090" s="16">
        <v>18261</v>
      </c>
      <c r="R1090" s="16">
        <v>2138</v>
      </c>
      <c r="S1090" s="16">
        <v>0</v>
      </c>
      <c r="T1090" s="111">
        <v>0</v>
      </c>
    </row>
    <row r="1091" spans="1:20" ht="15" customHeight="1" x14ac:dyDescent="0.2">
      <c r="A1091" s="12" t="s">
        <v>2293</v>
      </c>
      <c r="B1091" s="56">
        <v>7631026</v>
      </c>
      <c r="C1091" s="12" t="s">
        <v>2294</v>
      </c>
      <c r="D1091" s="12"/>
      <c r="E1091" s="12" t="s">
        <v>2295</v>
      </c>
      <c r="F1091" s="12" t="s">
        <v>65</v>
      </c>
      <c r="G1091" s="33">
        <v>2</v>
      </c>
      <c r="H1091" s="33">
        <v>14</v>
      </c>
      <c r="I1091" s="12" t="s">
        <v>1172</v>
      </c>
      <c r="J1091" s="12" t="s">
        <v>217</v>
      </c>
      <c r="K1091" s="73" t="s">
        <v>29</v>
      </c>
      <c r="L1091" s="13">
        <v>43822</v>
      </c>
      <c r="M1091" s="13">
        <v>30603</v>
      </c>
      <c r="N1091" s="13">
        <v>0</v>
      </c>
      <c r="O1091" s="13">
        <v>32424</v>
      </c>
      <c r="P1091" s="13">
        <v>11663</v>
      </c>
      <c r="Q1091" s="13">
        <v>11398</v>
      </c>
      <c r="R1091" s="13">
        <v>2094</v>
      </c>
      <c r="S1091" s="13">
        <v>2</v>
      </c>
      <c r="T1091" s="81">
        <v>0</v>
      </c>
    </row>
    <row r="1092" spans="1:20" ht="15" customHeight="1" x14ac:dyDescent="0.2">
      <c r="A1092" s="15" t="s">
        <v>2296</v>
      </c>
      <c r="B1092" s="60">
        <v>37134759</v>
      </c>
      <c r="C1092" s="15" t="s">
        <v>2297</v>
      </c>
      <c r="D1092" s="15"/>
      <c r="E1092" s="15" t="s">
        <v>2298</v>
      </c>
      <c r="F1092" s="15" t="s">
        <v>65</v>
      </c>
      <c r="G1092" s="34">
        <v>2</v>
      </c>
      <c r="H1092" s="34">
        <v>43</v>
      </c>
      <c r="I1092" s="15" t="s">
        <v>119</v>
      </c>
      <c r="J1092" s="15" t="s">
        <v>120</v>
      </c>
      <c r="K1092" s="74" t="s">
        <v>29</v>
      </c>
      <c r="L1092" s="16">
        <v>42736</v>
      </c>
      <c r="M1092" s="16">
        <v>19645</v>
      </c>
      <c r="N1092" s="16">
        <v>21444</v>
      </c>
      <c r="O1092" s="16">
        <v>21131</v>
      </c>
      <c r="P1092" s="16">
        <v>0</v>
      </c>
      <c r="Q1092" s="16">
        <v>21605</v>
      </c>
      <c r="R1092" s="16">
        <v>1330</v>
      </c>
      <c r="S1092" s="16">
        <v>2</v>
      </c>
      <c r="T1092" s="111">
        <v>0</v>
      </c>
    </row>
    <row r="1093" spans="1:20" ht="15" customHeight="1" x14ac:dyDescent="0.2">
      <c r="A1093" s="12" t="s">
        <v>2299</v>
      </c>
      <c r="B1093" s="56">
        <v>53822116</v>
      </c>
      <c r="C1093" s="12" t="s">
        <v>2300</v>
      </c>
      <c r="D1093" s="12"/>
      <c r="E1093" s="12" t="s">
        <v>2301</v>
      </c>
      <c r="F1093" s="12" t="s">
        <v>84</v>
      </c>
      <c r="G1093" s="33">
        <v>2</v>
      </c>
      <c r="H1093" s="33">
        <v>41</v>
      </c>
      <c r="I1093" s="12" t="s">
        <v>528</v>
      </c>
      <c r="J1093" s="12" t="s">
        <v>217</v>
      </c>
      <c r="K1093" s="73" t="s">
        <v>29</v>
      </c>
      <c r="L1093" s="13">
        <v>42677</v>
      </c>
      <c r="M1093" s="13">
        <v>0</v>
      </c>
      <c r="N1093" s="13">
        <v>20</v>
      </c>
      <c r="O1093" s="13">
        <v>23788</v>
      </c>
      <c r="P1093" s="13">
        <v>16656</v>
      </c>
      <c r="Q1093" s="13">
        <v>18889</v>
      </c>
      <c r="R1093" s="13">
        <v>10610</v>
      </c>
      <c r="S1093" s="13">
        <v>1</v>
      </c>
      <c r="T1093" s="81">
        <v>0</v>
      </c>
    </row>
    <row r="1094" spans="1:20" ht="15" customHeight="1" x14ac:dyDescent="0.2">
      <c r="A1094" s="15" t="s">
        <v>2302</v>
      </c>
      <c r="B1094" s="60">
        <v>34088029</v>
      </c>
      <c r="C1094" s="15" t="s">
        <v>2238</v>
      </c>
      <c r="D1094" s="15"/>
      <c r="E1094" s="15" t="s">
        <v>2239</v>
      </c>
      <c r="F1094" s="15" t="s">
        <v>65</v>
      </c>
      <c r="G1094" s="34">
        <v>3</v>
      </c>
      <c r="H1094" s="34">
        <v>43</v>
      </c>
      <c r="I1094" s="15" t="s">
        <v>38</v>
      </c>
      <c r="J1094" s="15" t="s">
        <v>39</v>
      </c>
      <c r="K1094" s="74" t="s">
        <v>29</v>
      </c>
      <c r="L1094" s="16">
        <v>41968</v>
      </c>
      <c r="M1094" s="16">
        <v>0</v>
      </c>
      <c r="N1094" s="16">
        <v>119</v>
      </c>
      <c r="O1094" s="16">
        <v>15814</v>
      </c>
      <c r="P1094" s="16">
        <v>13688</v>
      </c>
      <c r="Q1094" s="16">
        <v>26155</v>
      </c>
      <c r="R1094" s="16">
        <v>1565</v>
      </c>
      <c r="S1094" s="16">
        <v>2</v>
      </c>
      <c r="T1094" s="111">
        <v>0</v>
      </c>
    </row>
    <row r="1095" spans="1:20" ht="15" customHeight="1" x14ac:dyDescent="0.2">
      <c r="A1095" s="12" t="s">
        <v>2303</v>
      </c>
      <c r="B1095" s="56">
        <v>92858380</v>
      </c>
      <c r="C1095" s="12" t="s">
        <v>2304</v>
      </c>
      <c r="D1095" s="12"/>
      <c r="E1095" s="12" t="s">
        <v>2305</v>
      </c>
      <c r="F1095" s="12" t="s">
        <v>98</v>
      </c>
      <c r="G1095" s="33">
        <v>2</v>
      </c>
      <c r="H1095" s="33">
        <v>15</v>
      </c>
      <c r="I1095" s="12" t="s">
        <v>73</v>
      </c>
      <c r="J1095" s="12" t="s">
        <v>74</v>
      </c>
      <c r="K1095" s="73" t="s">
        <v>29</v>
      </c>
      <c r="L1095" s="13">
        <v>41820</v>
      </c>
      <c r="M1095" s="13">
        <v>0</v>
      </c>
      <c r="N1095" s="13">
        <v>33198</v>
      </c>
      <c r="O1095" s="13">
        <v>26436</v>
      </c>
      <c r="P1095" s="13">
        <v>9813</v>
      </c>
      <c r="Q1095" s="13">
        <v>15384</v>
      </c>
      <c r="R1095" s="13">
        <v>581</v>
      </c>
      <c r="S1095" s="13">
        <v>2</v>
      </c>
      <c r="T1095" s="81">
        <v>0</v>
      </c>
    </row>
    <row r="1096" spans="1:20" ht="15" customHeight="1" x14ac:dyDescent="0.2">
      <c r="A1096" s="15" t="s">
        <v>2306</v>
      </c>
      <c r="B1096" s="60">
        <v>2275781</v>
      </c>
      <c r="C1096" s="15"/>
      <c r="D1096" s="15"/>
      <c r="E1096" s="15"/>
      <c r="F1096" s="15" t="s">
        <v>265</v>
      </c>
      <c r="G1096" s="34">
        <v>2</v>
      </c>
      <c r="H1096" s="34">
        <v>9</v>
      </c>
      <c r="I1096" s="15" t="s">
        <v>577</v>
      </c>
      <c r="J1096" s="15" t="s">
        <v>578</v>
      </c>
      <c r="K1096" s="74" t="s">
        <v>29</v>
      </c>
      <c r="L1096" s="16">
        <v>41311</v>
      </c>
      <c r="M1096" s="16">
        <v>24438</v>
      </c>
      <c r="N1096" s="16">
        <v>2622</v>
      </c>
      <c r="O1096" s="16">
        <v>29444</v>
      </c>
      <c r="P1096" s="16">
        <v>28144</v>
      </c>
      <c r="Q1096" s="16">
        <v>11866</v>
      </c>
      <c r="R1096" s="16">
        <v>19</v>
      </c>
      <c r="S1096" s="16">
        <v>0</v>
      </c>
      <c r="T1096" s="111">
        <v>1</v>
      </c>
    </row>
    <row r="1097" spans="1:20" ht="15" customHeight="1" x14ac:dyDescent="0.2">
      <c r="A1097" s="12" t="s">
        <v>2307</v>
      </c>
      <c r="B1097" s="56">
        <v>53776852</v>
      </c>
      <c r="C1097" s="12"/>
      <c r="D1097" s="12"/>
      <c r="E1097" s="12"/>
      <c r="F1097" s="12" t="s">
        <v>265</v>
      </c>
      <c r="G1097" s="33">
        <v>2</v>
      </c>
      <c r="H1097" s="33">
        <v>9</v>
      </c>
      <c r="I1097" s="12" t="s">
        <v>1061</v>
      </c>
      <c r="J1097" s="12" t="s">
        <v>39</v>
      </c>
      <c r="K1097" s="73" t="s">
        <v>29</v>
      </c>
      <c r="L1097" s="13">
        <v>41076</v>
      </c>
      <c r="M1097" s="13">
        <v>15190</v>
      </c>
      <c r="N1097" s="13">
        <v>21198</v>
      </c>
      <c r="O1097" s="13">
        <v>16573</v>
      </c>
      <c r="P1097" s="13">
        <v>13655</v>
      </c>
      <c r="Q1097" s="13">
        <v>24504</v>
      </c>
      <c r="R1097" s="13">
        <v>421</v>
      </c>
      <c r="S1097" s="13">
        <v>0</v>
      </c>
      <c r="T1097" s="81">
        <v>1</v>
      </c>
    </row>
    <row r="1098" spans="1:20" ht="15" customHeight="1" x14ac:dyDescent="0.2">
      <c r="A1098" s="15" t="s">
        <v>2308</v>
      </c>
      <c r="B1098" s="60">
        <v>44782130</v>
      </c>
      <c r="C1098" s="15" t="s">
        <v>2309</v>
      </c>
      <c r="D1098" s="15"/>
      <c r="E1098" s="15" t="s">
        <v>2310</v>
      </c>
      <c r="F1098" s="15" t="s">
        <v>98</v>
      </c>
      <c r="G1098" s="34">
        <v>2</v>
      </c>
      <c r="H1098" s="34">
        <v>16</v>
      </c>
      <c r="I1098" s="15" t="s">
        <v>119</v>
      </c>
      <c r="J1098" s="15" t="s">
        <v>120</v>
      </c>
      <c r="K1098" s="74" t="s">
        <v>29</v>
      </c>
      <c r="L1098" s="16">
        <v>40920</v>
      </c>
      <c r="M1098" s="16">
        <v>0</v>
      </c>
      <c r="N1098" s="16">
        <v>4048</v>
      </c>
      <c r="O1098" s="16">
        <v>36558</v>
      </c>
      <c r="P1098" s="16">
        <v>36061</v>
      </c>
      <c r="Q1098" s="16">
        <v>4362</v>
      </c>
      <c r="R1098" s="16">
        <v>531</v>
      </c>
      <c r="S1098" s="16">
        <v>2</v>
      </c>
      <c r="T1098" s="111">
        <v>0</v>
      </c>
    </row>
    <row r="1099" spans="1:20" ht="15" customHeight="1" x14ac:dyDescent="0.2">
      <c r="A1099" s="12" t="s">
        <v>2311</v>
      </c>
      <c r="B1099" s="56">
        <v>36452762</v>
      </c>
      <c r="C1099" s="12" t="s">
        <v>2312</v>
      </c>
      <c r="D1099" s="12"/>
      <c r="E1099" s="12" t="s">
        <v>2313</v>
      </c>
      <c r="F1099" s="12" t="s">
        <v>65</v>
      </c>
      <c r="G1099" s="33">
        <v>2</v>
      </c>
      <c r="H1099" s="33">
        <v>43</v>
      </c>
      <c r="I1099" s="12" t="s">
        <v>992</v>
      </c>
      <c r="J1099" s="12" t="s">
        <v>120</v>
      </c>
      <c r="K1099" s="73" t="s">
        <v>29</v>
      </c>
      <c r="L1099" s="13">
        <v>40682</v>
      </c>
      <c r="M1099" s="13">
        <v>27339</v>
      </c>
      <c r="N1099" s="13">
        <v>0</v>
      </c>
      <c r="O1099" s="13">
        <v>14411</v>
      </c>
      <c r="P1099" s="13">
        <v>0</v>
      </c>
      <c r="Q1099" s="13">
        <v>26271</v>
      </c>
      <c r="R1099" s="13">
        <v>5871</v>
      </c>
      <c r="S1099" s="13">
        <v>2</v>
      </c>
      <c r="T1099" s="81">
        <v>0</v>
      </c>
    </row>
    <row r="1100" spans="1:20" ht="15" customHeight="1" x14ac:dyDescent="0.2">
      <c r="A1100" s="15" t="s">
        <v>2314</v>
      </c>
      <c r="B1100" s="60">
        <v>33423888</v>
      </c>
      <c r="C1100" s="15" t="s">
        <v>2315</v>
      </c>
      <c r="D1100" s="15"/>
      <c r="E1100" s="15" t="s">
        <v>2316</v>
      </c>
      <c r="F1100" s="15" t="s">
        <v>84</v>
      </c>
      <c r="G1100" s="34">
        <v>2</v>
      </c>
      <c r="H1100" s="34">
        <v>41</v>
      </c>
      <c r="I1100" s="15" t="s">
        <v>38</v>
      </c>
      <c r="J1100" s="15" t="s">
        <v>39</v>
      </c>
      <c r="K1100" s="74" t="s">
        <v>29</v>
      </c>
      <c r="L1100" s="16">
        <v>40669</v>
      </c>
      <c r="M1100" s="16">
        <v>0</v>
      </c>
      <c r="N1100" s="16">
        <v>12998</v>
      </c>
      <c r="O1100" s="16">
        <v>29911</v>
      </c>
      <c r="P1100" s="16">
        <v>12556</v>
      </c>
      <c r="Q1100" s="16">
        <v>10758</v>
      </c>
      <c r="R1100" s="16">
        <v>3804</v>
      </c>
      <c r="S1100" s="16">
        <v>1</v>
      </c>
      <c r="T1100" s="111">
        <v>0</v>
      </c>
    </row>
    <row r="1101" spans="1:20" ht="15" customHeight="1" x14ac:dyDescent="0.2">
      <c r="A1101" s="12" t="s">
        <v>2317</v>
      </c>
      <c r="B1101" s="56">
        <v>33817677</v>
      </c>
      <c r="C1101" s="12" t="s">
        <v>146</v>
      </c>
      <c r="D1101" s="12" t="s">
        <v>147</v>
      </c>
      <c r="E1101" s="12" t="s">
        <v>148</v>
      </c>
      <c r="F1101" s="12" t="s">
        <v>98</v>
      </c>
      <c r="G1101" s="33">
        <v>3</v>
      </c>
      <c r="H1101" s="33">
        <v>16</v>
      </c>
      <c r="I1101" s="12" t="s">
        <v>38</v>
      </c>
      <c r="J1101" s="12" t="s">
        <v>39</v>
      </c>
      <c r="K1101" s="73" t="s">
        <v>29</v>
      </c>
      <c r="L1101" s="13">
        <v>39955</v>
      </c>
      <c r="M1101" s="13">
        <v>0</v>
      </c>
      <c r="N1101" s="13">
        <v>24112</v>
      </c>
      <c r="O1101" s="13">
        <v>9550</v>
      </c>
      <c r="P1101" s="13">
        <v>0</v>
      </c>
      <c r="Q1101" s="13">
        <v>30405</v>
      </c>
      <c r="R1101" s="13">
        <v>7917</v>
      </c>
      <c r="S1101" s="13">
        <v>2</v>
      </c>
      <c r="T1101" s="81">
        <v>0</v>
      </c>
    </row>
    <row r="1102" spans="1:20" ht="15" customHeight="1" x14ac:dyDescent="0.2">
      <c r="A1102" s="15" t="s">
        <v>2318</v>
      </c>
      <c r="B1102" s="60">
        <v>62284385</v>
      </c>
      <c r="C1102" s="15"/>
      <c r="D1102" s="15"/>
      <c r="E1102" s="15"/>
      <c r="F1102" s="15" t="s">
        <v>265</v>
      </c>
      <c r="G1102" s="34">
        <v>2</v>
      </c>
      <c r="H1102" s="34">
        <v>9</v>
      </c>
      <c r="I1102" s="15" t="s">
        <v>770</v>
      </c>
      <c r="J1102" s="15" t="s">
        <v>39</v>
      </c>
      <c r="K1102" s="74" t="s">
        <v>29</v>
      </c>
      <c r="L1102" s="16">
        <v>39815</v>
      </c>
      <c r="M1102" s="16">
        <v>25014</v>
      </c>
      <c r="N1102" s="16">
        <v>14564</v>
      </c>
      <c r="O1102" s="16">
        <v>640</v>
      </c>
      <c r="P1102" s="16">
        <v>0</v>
      </c>
      <c r="Q1102" s="16">
        <v>39175</v>
      </c>
      <c r="R1102" s="16">
        <v>1869</v>
      </c>
      <c r="S1102" s="16">
        <v>0</v>
      </c>
      <c r="T1102" s="111">
        <v>0</v>
      </c>
    </row>
    <row r="1103" spans="1:20" ht="15" customHeight="1" x14ac:dyDescent="0.2">
      <c r="A1103" s="12" t="s">
        <v>2319</v>
      </c>
      <c r="B1103" s="56">
        <v>54024532</v>
      </c>
      <c r="C1103" s="12" t="s">
        <v>2320</v>
      </c>
      <c r="D1103" s="12"/>
      <c r="E1103" s="12" t="s">
        <v>2321</v>
      </c>
      <c r="F1103" s="12" t="s">
        <v>84</v>
      </c>
      <c r="G1103" s="33">
        <v>2</v>
      </c>
      <c r="H1103" s="33">
        <v>41</v>
      </c>
      <c r="I1103" s="12" t="s">
        <v>73</v>
      </c>
      <c r="J1103" s="12" t="s">
        <v>74</v>
      </c>
      <c r="K1103" s="73" t="s">
        <v>29</v>
      </c>
      <c r="L1103" s="13">
        <v>39719</v>
      </c>
      <c r="M1103" s="13">
        <v>0</v>
      </c>
      <c r="N1103" s="13">
        <v>12212</v>
      </c>
      <c r="O1103" s="13">
        <v>607</v>
      </c>
      <c r="P1103" s="13">
        <v>0</v>
      </c>
      <c r="Q1103" s="13">
        <v>39112</v>
      </c>
      <c r="R1103" s="13">
        <v>383</v>
      </c>
      <c r="S1103" s="13">
        <v>1</v>
      </c>
      <c r="T1103" s="81">
        <v>0</v>
      </c>
    </row>
    <row r="1104" spans="1:20" ht="15" customHeight="1" x14ac:dyDescent="0.2">
      <c r="A1104" s="15" t="s">
        <v>2322</v>
      </c>
      <c r="B1104" s="60">
        <v>11491029</v>
      </c>
      <c r="C1104" s="15" t="s">
        <v>2323</v>
      </c>
      <c r="D1104" s="15"/>
      <c r="E1104" s="15" t="s">
        <v>2324</v>
      </c>
      <c r="F1104" s="15" t="s">
        <v>84</v>
      </c>
      <c r="G1104" s="34">
        <v>2</v>
      </c>
      <c r="H1104" s="34">
        <v>41</v>
      </c>
      <c r="I1104" s="15" t="s">
        <v>2210</v>
      </c>
      <c r="J1104" s="15" t="s">
        <v>39</v>
      </c>
      <c r="K1104" s="74" t="s">
        <v>29</v>
      </c>
      <c r="L1104" s="16">
        <v>39196</v>
      </c>
      <c r="M1104" s="16">
        <v>0</v>
      </c>
      <c r="N1104" s="16">
        <v>15262</v>
      </c>
      <c r="O1104" s="16">
        <v>32553</v>
      </c>
      <c r="P1104" s="16">
        <v>30027</v>
      </c>
      <c r="Q1104" s="16">
        <v>6643</v>
      </c>
      <c r="R1104" s="16">
        <v>748</v>
      </c>
      <c r="S1104" s="16">
        <v>1</v>
      </c>
      <c r="T1104" s="111">
        <v>0</v>
      </c>
    </row>
    <row r="1105" spans="1:20" ht="15" customHeight="1" x14ac:dyDescent="0.2">
      <c r="A1105" s="12" t="s">
        <v>2325</v>
      </c>
      <c r="B1105" s="56">
        <v>18684408</v>
      </c>
      <c r="C1105" s="12" t="s">
        <v>2326</v>
      </c>
      <c r="D1105" s="12"/>
      <c r="E1105" s="12" t="s">
        <v>2327</v>
      </c>
      <c r="F1105" s="12" t="s">
        <v>98</v>
      </c>
      <c r="G1105" s="33">
        <v>3</v>
      </c>
      <c r="H1105" s="33">
        <v>16</v>
      </c>
      <c r="I1105" s="12" t="s">
        <v>38</v>
      </c>
      <c r="J1105" s="12" t="s">
        <v>39</v>
      </c>
      <c r="K1105" s="73" t="s">
        <v>29</v>
      </c>
      <c r="L1105" s="13">
        <v>38558</v>
      </c>
      <c r="M1105" s="13">
        <v>0</v>
      </c>
      <c r="N1105" s="13">
        <v>15210</v>
      </c>
      <c r="O1105" s="13">
        <v>22900</v>
      </c>
      <c r="P1105" s="13">
        <v>18431</v>
      </c>
      <c r="Q1105" s="13">
        <v>15658</v>
      </c>
      <c r="R1105" s="13">
        <v>-33</v>
      </c>
      <c r="S1105" s="13">
        <v>2</v>
      </c>
      <c r="T1105" s="81">
        <v>0</v>
      </c>
    </row>
    <row r="1106" spans="1:20" ht="15" customHeight="1" x14ac:dyDescent="0.2">
      <c r="A1106" s="15" t="s">
        <v>2328</v>
      </c>
      <c r="B1106" s="60">
        <v>47825528</v>
      </c>
      <c r="C1106" s="15" t="s">
        <v>1027</v>
      </c>
      <c r="D1106" s="15"/>
      <c r="E1106" s="15" t="s">
        <v>1028</v>
      </c>
      <c r="F1106" s="15" t="s">
        <v>84</v>
      </c>
      <c r="G1106" s="34">
        <v>2</v>
      </c>
      <c r="H1106" s="34">
        <v>41</v>
      </c>
      <c r="I1106" s="15" t="s">
        <v>38</v>
      </c>
      <c r="J1106" s="15" t="s">
        <v>39</v>
      </c>
      <c r="K1106" s="74" t="s">
        <v>29</v>
      </c>
      <c r="L1106" s="16">
        <v>37900</v>
      </c>
      <c r="M1106" s="16">
        <v>0</v>
      </c>
      <c r="N1106" s="16">
        <v>36910</v>
      </c>
      <c r="O1106" s="16">
        <v>239</v>
      </c>
      <c r="P1106" s="16">
        <v>1</v>
      </c>
      <c r="Q1106" s="16">
        <v>37661</v>
      </c>
      <c r="R1106" s="16">
        <v>-457</v>
      </c>
      <c r="S1106" s="16">
        <v>1</v>
      </c>
      <c r="T1106" s="111">
        <v>0</v>
      </c>
    </row>
    <row r="1107" spans="1:20" ht="15" customHeight="1" x14ac:dyDescent="0.2">
      <c r="A1107" s="12" t="s">
        <v>2329</v>
      </c>
      <c r="B1107" s="56">
        <v>1997612</v>
      </c>
      <c r="C1107" s="12"/>
      <c r="D1107" s="12"/>
      <c r="E1107" s="12"/>
      <c r="F1107" s="12" t="s">
        <v>265</v>
      </c>
      <c r="G1107" s="33">
        <v>2</v>
      </c>
      <c r="H1107" s="33">
        <v>9</v>
      </c>
      <c r="I1107" s="12" t="s">
        <v>38</v>
      </c>
      <c r="J1107" s="12" t="s">
        <v>39</v>
      </c>
      <c r="K1107" s="73" t="s">
        <v>29</v>
      </c>
      <c r="L1107" s="13">
        <v>37686</v>
      </c>
      <c r="M1107" s="13">
        <v>18370</v>
      </c>
      <c r="N1107" s="13">
        <v>17853</v>
      </c>
      <c r="O1107" s="13">
        <v>1001</v>
      </c>
      <c r="P1107" s="13">
        <v>0</v>
      </c>
      <c r="Q1107" s="13">
        <v>36684</v>
      </c>
      <c r="R1107" s="13">
        <v>2255</v>
      </c>
      <c r="S1107" s="13">
        <v>0</v>
      </c>
      <c r="T1107" s="81">
        <v>0</v>
      </c>
    </row>
    <row r="1108" spans="1:20" ht="15" customHeight="1" x14ac:dyDescent="0.2">
      <c r="A1108" s="15" t="s">
        <v>2330</v>
      </c>
      <c r="B1108" s="60">
        <v>336036</v>
      </c>
      <c r="C1108" s="15" t="s">
        <v>2331</v>
      </c>
      <c r="D1108" s="15"/>
      <c r="E1108" s="15" t="s">
        <v>2332</v>
      </c>
      <c r="F1108" s="15" t="s">
        <v>98</v>
      </c>
      <c r="G1108" s="34">
        <v>2</v>
      </c>
      <c r="H1108" s="34">
        <v>15</v>
      </c>
      <c r="I1108" s="15" t="s">
        <v>38</v>
      </c>
      <c r="J1108" s="15" t="s">
        <v>39</v>
      </c>
      <c r="K1108" s="74" t="s">
        <v>29</v>
      </c>
      <c r="L1108" s="16">
        <v>37559</v>
      </c>
      <c r="M1108" s="16">
        <v>0</v>
      </c>
      <c r="N1108" s="16">
        <v>374</v>
      </c>
      <c r="O1108" s="16">
        <v>17935</v>
      </c>
      <c r="P1108" s="16">
        <v>0</v>
      </c>
      <c r="Q1108" s="16">
        <v>19624</v>
      </c>
      <c r="R1108" s="16">
        <v>-321</v>
      </c>
      <c r="S1108" s="16">
        <v>2</v>
      </c>
      <c r="T1108" s="111">
        <v>0</v>
      </c>
    </row>
    <row r="1109" spans="1:20" ht="15" customHeight="1" x14ac:dyDescent="0.2">
      <c r="A1109" s="12" t="s">
        <v>2333</v>
      </c>
      <c r="B1109" s="56">
        <v>12102128</v>
      </c>
      <c r="C1109" s="12" t="s">
        <v>2334</v>
      </c>
      <c r="D1109" s="12"/>
      <c r="E1109" s="12" t="s">
        <v>2335</v>
      </c>
      <c r="F1109" s="12" t="s">
        <v>84</v>
      </c>
      <c r="G1109" s="33">
        <v>2</v>
      </c>
      <c r="H1109" s="33">
        <v>41</v>
      </c>
      <c r="I1109" s="12" t="s">
        <v>107</v>
      </c>
      <c r="J1109" s="12" t="s">
        <v>39</v>
      </c>
      <c r="K1109" s="73" t="s">
        <v>29</v>
      </c>
      <c r="L1109" s="13">
        <v>37554</v>
      </c>
      <c r="M1109" s="13">
        <v>0</v>
      </c>
      <c r="N1109" s="13">
        <v>24963</v>
      </c>
      <c r="O1109" s="13">
        <v>28818</v>
      </c>
      <c r="P1109" s="13">
        <v>0</v>
      </c>
      <c r="Q1109" s="13">
        <v>8736</v>
      </c>
      <c r="R1109" s="13">
        <v>-4583</v>
      </c>
      <c r="S1109" s="13">
        <v>1</v>
      </c>
      <c r="T1109" s="81">
        <v>0</v>
      </c>
    </row>
    <row r="1110" spans="1:20" ht="15" customHeight="1" x14ac:dyDescent="0.2">
      <c r="A1110" s="15" t="s">
        <v>2336</v>
      </c>
      <c r="B1110" s="60">
        <v>53263331</v>
      </c>
      <c r="C1110" s="15" t="s">
        <v>2337</v>
      </c>
      <c r="D1110" s="15"/>
      <c r="E1110" s="15" t="s">
        <v>2338</v>
      </c>
      <c r="F1110" s="15" t="s">
        <v>65</v>
      </c>
      <c r="G1110" s="34">
        <v>2</v>
      </c>
      <c r="H1110" s="34">
        <v>29</v>
      </c>
      <c r="I1110" s="15" t="s">
        <v>38</v>
      </c>
      <c r="J1110" s="15" t="s">
        <v>39</v>
      </c>
      <c r="K1110" s="74" t="s">
        <v>29</v>
      </c>
      <c r="L1110" s="16">
        <v>37441</v>
      </c>
      <c r="M1110" s="16">
        <v>0</v>
      </c>
      <c r="N1110" s="16">
        <v>26104</v>
      </c>
      <c r="O1110" s="16">
        <v>30879</v>
      </c>
      <c r="P1110" s="16">
        <v>0</v>
      </c>
      <c r="Q1110" s="16">
        <v>6561</v>
      </c>
      <c r="R1110" s="16">
        <v>-412</v>
      </c>
      <c r="S1110" s="16">
        <v>2</v>
      </c>
      <c r="T1110" s="111">
        <v>0</v>
      </c>
    </row>
    <row r="1111" spans="1:20" ht="15" customHeight="1" x14ac:dyDescent="0.2">
      <c r="A1111" s="12" t="s">
        <v>2339</v>
      </c>
      <c r="B1111" s="56">
        <v>88325113</v>
      </c>
      <c r="C1111" s="12"/>
      <c r="D1111" s="12"/>
      <c r="E1111" s="12"/>
      <c r="F1111" s="12" t="s">
        <v>265</v>
      </c>
      <c r="G1111" s="33">
        <v>2</v>
      </c>
      <c r="H1111" s="33">
        <v>9</v>
      </c>
      <c r="I1111" s="12" t="s">
        <v>2340</v>
      </c>
      <c r="J1111" s="12" t="s">
        <v>74</v>
      </c>
      <c r="K1111" s="73" t="s">
        <v>29</v>
      </c>
      <c r="L1111" s="13">
        <v>37114</v>
      </c>
      <c r="M1111" s="13">
        <v>14121</v>
      </c>
      <c r="N1111" s="13">
        <v>21685</v>
      </c>
      <c r="O1111" s="13">
        <v>15655</v>
      </c>
      <c r="P1111" s="13">
        <v>14096</v>
      </c>
      <c r="Q1111" s="13">
        <v>21459</v>
      </c>
      <c r="R1111" s="13">
        <v>1154</v>
      </c>
      <c r="S1111" s="13">
        <v>0</v>
      </c>
      <c r="T1111" s="81">
        <v>4</v>
      </c>
    </row>
    <row r="1112" spans="1:20" ht="15" customHeight="1" x14ac:dyDescent="0.2">
      <c r="A1112" s="15" t="s">
        <v>2341</v>
      </c>
      <c r="B1112" s="60">
        <v>4414354</v>
      </c>
      <c r="C1112" s="15"/>
      <c r="D1112" s="15"/>
      <c r="E1112" s="15"/>
      <c r="F1112" s="15" t="s">
        <v>265</v>
      </c>
      <c r="G1112" s="34">
        <v>2</v>
      </c>
      <c r="H1112" s="34">
        <v>9</v>
      </c>
      <c r="I1112" s="15" t="s">
        <v>255</v>
      </c>
      <c r="J1112" s="15" t="s">
        <v>39</v>
      </c>
      <c r="K1112" s="74" t="s">
        <v>29</v>
      </c>
      <c r="L1112" s="16">
        <v>36985</v>
      </c>
      <c r="M1112" s="16">
        <v>21206</v>
      </c>
      <c r="N1112" s="16">
        <v>11406</v>
      </c>
      <c r="O1112" s="16">
        <v>15790</v>
      </c>
      <c r="P1112" s="16">
        <v>13354</v>
      </c>
      <c r="Q1112" s="16">
        <v>21195</v>
      </c>
      <c r="R1112" s="16">
        <v>392</v>
      </c>
      <c r="S1112" s="16">
        <v>0</v>
      </c>
      <c r="T1112" s="111">
        <v>2</v>
      </c>
    </row>
    <row r="1113" spans="1:20" ht="15" customHeight="1" x14ac:dyDescent="0.2">
      <c r="A1113" s="12" t="s">
        <v>2342</v>
      </c>
      <c r="B1113" s="56">
        <v>18140913</v>
      </c>
      <c r="C1113" s="12"/>
      <c r="D1113" s="12"/>
      <c r="E1113" s="12"/>
      <c r="F1113" s="12" t="s">
        <v>265</v>
      </c>
      <c r="G1113" s="33">
        <v>2</v>
      </c>
      <c r="H1113" s="33">
        <v>9</v>
      </c>
      <c r="I1113" s="12" t="s">
        <v>1249</v>
      </c>
      <c r="J1113" s="12" t="s">
        <v>120</v>
      </c>
      <c r="K1113" s="73" t="s">
        <v>29</v>
      </c>
      <c r="L1113" s="13">
        <v>36688</v>
      </c>
      <c r="M1113" s="13">
        <v>26282</v>
      </c>
      <c r="N1113" s="13">
        <v>10114</v>
      </c>
      <c r="O1113" s="13">
        <v>2213</v>
      </c>
      <c r="P1113" s="13">
        <v>0</v>
      </c>
      <c r="Q1113" s="13">
        <v>34475</v>
      </c>
      <c r="R1113" s="13">
        <v>3039</v>
      </c>
      <c r="S1113" s="13">
        <v>0</v>
      </c>
      <c r="T1113" s="81">
        <v>1</v>
      </c>
    </row>
    <row r="1114" spans="1:20" ht="15" customHeight="1" x14ac:dyDescent="0.2">
      <c r="A1114" s="15" t="s">
        <v>2343</v>
      </c>
      <c r="B1114" s="60">
        <v>2285107</v>
      </c>
      <c r="C1114" s="15"/>
      <c r="D1114" s="15"/>
      <c r="E1114" s="15"/>
      <c r="F1114" s="15" t="s">
        <v>265</v>
      </c>
      <c r="G1114" s="34">
        <v>2</v>
      </c>
      <c r="H1114" s="34">
        <v>9</v>
      </c>
      <c r="I1114" s="15" t="s">
        <v>165</v>
      </c>
      <c r="J1114" s="15" t="s">
        <v>39</v>
      </c>
      <c r="K1114" s="74" t="s">
        <v>29</v>
      </c>
      <c r="L1114" s="16">
        <v>36671</v>
      </c>
      <c r="M1114" s="16">
        <v>20352</v>
      </c>
      <c r="N1114" s="16">
        <v>15232</v>
      </c>
      <c r="O1114" s="16">
        <v>2951</v>
      </c>
      <c r="P1114" s="16">
        <v>0</v>
      </c>
      <c r="Q1114" s="16">
        <v>33720</v>
      </c>
      <c r="R1114" s="16">
        <v>2196</v>
      </c>
      <c r="S1114" s="16">
        <v>0</v>
      </c>
      <c r="T1114" s="111">
        <v>0</v>
      </c>
    </row>
    <row r="1115" spans="1:20" ht="15" customHeight="1" x14ac:dyDescent="0.2">
      <c r="A1115" s="12" t="s">
        <v>2344</v>
      </c>
      <c r="B1115" s="56">
        <v>46743997</v>
      </c>
      <c r="C1115" s="12" t="s">
        <v>2345</v>
      </c>
      <c r="D1115" s="12"/>
      <c r="E1115" s="12" t="s">
        <v>2346</v>
      </c>
      <c r="F1115" s="12" t="s">
        <v>65</v>
      </c>
      <c r="G1115" s="33">
        <v>2</v>
      </c>
      <c r="H1115" s="33">
        <v>43</v>
      </c>
      <c r="I1115" s="12" t="s">
        <v>38</v>
      </c>
      <c r="J1115" s="12" t="s">
        <v>39</v>
      </c>
      <c r="K1115" s="73" t="s">
        <v>29</v>
      </c>
      <c r="L1115" s="13">
        <v>36312</v>
      </c>
      <c r="M1115" s="13">
        <v>0</v>
      </c>
      <c r="N1115" s="13">
        <v>17239</v>
      </c>
      <c r="O1115" s="13">
        <v>20712</v>
      </c>
      <c r="P1115" s="13">
        <v>0</v>
      </c>
      <c r="Q1115" s="13">
        <v>15600</v>
      </c>
      <c r="R1115" s="13">
        <v>427</v>
      </c>
      <c r="S1115" s="13">
        <v>2</v>
      </c>
      <c r="T1115" s="81">
        <v>0</v>
      </c>
    </row>
    <row r="1116" spans="1:20" ht="15" customHeight="1" x14ac:dyDescent="0.2">
      <c r="A1116" s="15" t="s">
        <v>2347</v>
      </c>
      <c r="B1116" s="60">
        <v>28683892</v>
      </c>
      <c r="C1116" s="15" t="s">
        <v>2348</v>
      </c>
      <c r="D1116" s="15"/>
      <c r="E1116" s="15" t="s">
        <v>2349</v>
      </c>
      <c r="F1116" s="15" t="s">
        <v>84</v>
      </c>
      <c r="G1116" s="34">
        <v>2</v>
      </c>
      <c r="H1116" s="34">
        <v>41</v>
      </c>
      <c r="I1116" s="15" t="s">
        <v>38</v>
      </c>
      <c r="J1116" s="15" t="s">
        <v>39</v>
      </c>
      <c r="K1116" s="74" t="s">
        <v>29</v>
      </c>
      <c r="L1116" s="16">
        <v>35775</v>
      </c>
      <c r="M1116" s="16">
        <v>0</v>
      </c>
      <c r="N1116" s="16">
        <v>16532</v>
      </c>
      <c r="O1116" s="16">
        <v>20411</v>
      </c>
      <c r="P1116" s="16">
        <v>7666</v>
      </c>
      <c r="Q1116" s="16">
        <v>15364</v>
      </c>
      <c r="R1116" s="16">
        <v>-2190</v>
      </c>
      <c r="S1116" s="16">
        <v>1</v>
      </c>
      <c r="T1116" s="111">
        <v>0</v>
      </c>
    </row>
    <row r="1117" spans="1:20" ht="15" customHeight="1" x14ac:dyDescent="0.2">
      <c r="A1117" s="12" t="s">
        <v>2350</v>
      </c>
      <c r="B1117" s="56">
        <v>40475846</v>
      </c>
      <c r="C1117" s="12" t="s">
        <v>2351</v>
      </c>
      <c r="D1117" s="12" t="s">
        <v>2352</v>
      </c>
      <c r="E1117" s="12" t="s">
        <v>2352</v>
      </c>
      <c r="F1117" s="12" t="s">
        <v>65</v>
      </c>
      <c r="G1117" s="33">
        <v>2</v>
      </c>
      <c r="H1117" s="33">
        <v>43</v>
      </c>
      <c r="I1117" s="12" t="s">
        <v>372</v>
      </c>
      <c r="J1117" s="12" t="s">
        <v>229</v>
      </c>
      <c r="K1117" s="73" t="s">
        <v>29</v>
      </c>
      <c r="L1117" s="13">
        <v>35649</v>
      </c>
      <c r="M1117" s="13">
        <v>23167</v>
      </c>
      <c r="N1117" s="13">
        <v>0</v>
      </c>
      <c r="O1117" s="13">
        <v>14263</v>
      </c>
      <c r="P1117" s="13">
        <v>5322</v>
      </c>
      <c r="Q1117" s="13">
        <v>21386</v>
      </c>
      <c r="R1117" s="13">
        <v>885</v>
      </c>
      <c r="S1117" s="13">
        <v>2</v>
      </c>
      <c r="T1117" s="81">
        <v>0</v>
      </c>
    </row>
    <row r="1118" spans="1:20" ht="15" customHeight="1" x14ac:dyDescent="0.2">
      <c r="A1118" s="15" t="s">
        <v>2353</v>
      </c>
      <c r="B1118" s="60">
        <v>35340796</v>
      </c>
      <c r="C1118" s="15" t="s">
        <v>2354</v>
      </c>
      <c r="D1118" s="15"/>
      <c r="E1118" s="15" t="s">
        <v>2355</v>
      </c>
      <c r="F1118" s="15" t="s">
        <v>65</v>
      </c>
      <c r="G1118" s="34">
        <v>2</v>
      </c>
      <c r="H1118" s="34">
        <v>44</v>
      </c>
      <c r="I1118" s="15" t="s">
        <v>119</v>
      </c>
      <c r="J1118" s="15" t="s">
        <v>120</v>
      </c>
      <c r="K1118" s="74" t="s">
        <v>29</v>
      </c>
      <c r="L1118" s="16">
        <v>35146</v>
      </c>
      <c r="M1118" s="16">
        <v>0</v>
      </c>
      <c r="N1118" s="16">
        <v>3559</v>
      </c>
      <c r="O1118" s="16">
        <v>29836</v>
      </c>
      <c r="P1118" s="16">
        <v>28772</v>
      </c>
      <c r="Q1118" s="16">
        <v>5310</v>
      </c>
      <c r="R1118" s="16">
        <v>269</v>
      </c>
      <c r="S1118" s="16">
        <v>2</v>
      </c>
      <c r="T1118" s="111">
        <v>0</v>
      </c>
    </row>
    <row r="1119" spans="1:20" ht="15" customHeight="1" x14ac:dyDescent="0.2">
      <c r="A1119" s="12" t="s">
        <v>2356</v>
      </c>
      <c r="B1119" s="56">
        <v>73092827</v>
      </c>
      <c r="C1119" s="12"/>
      <c r="D1119" s="12"/>
      <c r="E1119" s="12"/>
      <c r="F1119" s="12" t="s">
        <v>265</v>
      </c>
      <c r="G1119" s="33">
        <v>2</v>
      </c>
      <c r="H1119" s="33">
        <v>9</v>
      </c>
      <c r="I1119" s="12" t="s">
        <v>38</v>
      </c>
      <c r="J1119" s="12" t="s">
        <v>39</v>
      </c>
      <c r="K1119" s="73" t="s">
        <v>29</v>
      </c>
      <c r="L1119" s="13">
        <v>34511</v>
      </c>
      <c r="M1119" s="13">
        <v>21861</v>
      </c>
      <c r="N1119" s="13">
        <v>12080</v>
      </c>
      <c r="O1119" s="13">
        <v>14925</v>
      </c>
      <c r="P1119" s="13">
        <v>13457</v>
      </c>
      <c r="Q1119" s="13">
        <v>19586</v>
      </c>
      <c r="R1119" s="13">
        <v>44</v>
      </c>
      <c r="S1119" s="13">
        <v>0</v>
      </c>
      <c r="T1119" s="81">
        <v>1</v>
      </c>
    </row>
    <row r="1120" spans="1:20" ht="15" customHeight="1" x14ac:dyDescent="0.2">
      <c r="A1120" s="15" t="s">
        <v>2357</v>
      </c>
      <c r="B1120" s="60">
        <v>47873449</v>
      </c>
      <c r="C1120" s="15" t="s">
        <v>2358</v>
      </c>
      <c r="D1120" s="15"/>
      <c r="E1120" s="15" t="s">
        <v>2359</v>
      </c>
      <c r="F1120" s="15" t="s">
        <v>65</v>
      </c>
      <c r="G1120" s="34">
        <v>2</v>
      </c>
      <c r="H1120" s="34">
        <v>43</v>
      </c>
      <c r="I1120" s="15" t="s">
        <v>1133</v>
      </c>
      <c r="J1120" s="15" t="s">
        <v>1078</v>
      </c>
      <c r="K1120" s="74" t="s">
        <v>29</v>
      </c>
      <c r="L1120" s="16">
        <v>34055</v>
      </c>
      <c r="M1120" s="16">
        <v>2873</v>
      </c>
      <c r="N1120" s="16">
        <v>0</v>
      </c>
      <c r="O1120" s="16">
        <v>14993</v>
      </c>
      <c r="P1120" s="16">
        <v>9275</v>
      </c>
      <c r="Q1120" s="16">
        <v>19063</v>
      </c>
      <c r="R1120" s="16">
        <v>-15561</v>
      </c>
      <c r="S1120" s="16">
        <v>2</v>
      </c>
      <c r="T1120" s="111">
        <v>0</v>
      </c>
    </row>
    <row r="1121" spans="1:20" ht="15" customHeight="1" x14ac:dyDescent="0.2">
      <c r="A1121" s="12" t="s">
        <v>2360</v>
      </c>
      <c r="B1121" s="56">
        <v>37753531</v>
      </c>
      <c r="C1121" s="12" t="s">
        <v>2361</v>
      </c>
      <c r="D1121" s="12"/>
      <c r="E1121" s="12" t="s">
        <v>2362</v>
      </c>
      <c r="F1121" s="12" t="s">
        <v>84</v>
      </c>
      <c r="G1121" s="33">
        <v>3</v>
      </c>
      <c r="H1121" s="33">
        <v>41</v>
      </c>
      <c r="I1121" s="12" t="s">
        <v>38</v>
      </c>
      <c r="J1121" s="12" t="s">
        <v>39</v>
      </c>
      <c r="K1121" s="73" t="s">
        <v>29</v>
      </c>
      <c r="L1121" s="13">
        <v>33839</v>
      </c>
      <c r="M1121" s="13">
        <v>0</v>
      </c>
      <c r="N1121" s="13">
        <v>827</v>
      </c>
      <c r="O1121" s="13">
        <v>20215</v>
      </c>
      <c r="P1121" s="13">
        <v>17730</v>
      </c>
      <c r="Q1121" s="13">
        <v>13624</v>
      </c>
      <c r="R1121" s="13">
        <v>667</v>
      </c>
      <c r="S1121" s="13">
        <v>1</v>
      </c>
      <c r="T1121" s="81">
        <v>0</v>
      </c>
    </row>
    <row r="1122" spans="1:20" ht="15" customHeight="1" x14ac:dyDescent="0.2">
      <c r="A1122" s="15" t="s">
        <v>2363</v>
      </c>
      <c r="B1122" s="60">
        <v>38253318</v>
      </c>
      <c r="C1122" s="15" t="s">
        <v>2364</v>
      </c>
      <c r="D1122" s="15"/>
      <c r="E1122" s="15" t="s">
        <v>2365</v>
      </c>
      <c r="F1122" s="15" t="s">
        <v>84</v>
      </c>
      <c r="G1122" s="34">
        <v>2</v>
      </c>
      <c r="H1122" s="34">
        <v>41</v>
      </c>
      <c r="I1122" s="15" t="s">
        <v>53</v>
      </c>
      <c r="J1122" s="15" t="s">
        <v>54</v>
      </c>
      <c r="K1122" s="74" t="s">
        <v>29</v>
      </c>
      <c r="L1122" s="16">
        <v>33695</v>
      </c>
      <c r="M1122" s="16">
        <v>0</v>
      </c>
      <c r="N1122" s="16">
        <v>27502</v>
      </c>
      <c r="O1122" s="16">
        <v>29383</v>
      </c>
      <c r="P1122" s="16">
        <v>29057</v>
      </c>
      <c r="Q1122" s="16">
        <v>4312</v>
      </c>
      <c r="R1122" s="16">
        <v>653</v>
      </c>
      <c r="S1122" s="16">
        <v>1</v>
      </c>
      <c r="T1122" s="111">
        <v>0</v>
      </c>
    </row>
    <row r="1123" spans="1:20" ht="15" customHeight="1" x14ac:dyDescent="0.2">
      <c r="A1123" s="12" t="s">
        <v>2366</v>
      </c>
      <c r="B1123" s="56">
        <v>44663846</v>
      </c>
      <c r="C1123" s="12" t="s">
        <v>2367</v>
      </c>
      <c r="D1123" s="12"/>
      <c r="E1123" s="12" t="s">
        <v>2368</v>
      </c>
      <c r="F1123" s="12" t="s">
        <v>84</v>
      </c>
      <c r="G1123" s="33">
        <v>2</v>
      </c>
      <c r="H1123" s="33">
        <v>41</v>
      </c>
      <c r="I1123" s="12" t="s">
        <v>38</v>
      </c>
      <c r="J1123" s="12" t="s">
        <v>39</v>
      </c>
      <c r="K1123" s="73" t="s">
        <v>29</v>
      </c>
      <c r="L1123" s="13">
        <v>33680</v>
      </c>
      <c r="M1123" s="13">
        <v>0</v>
      </c>
      <c r="N1123" s="13">
        <v>0</v>
      </c>
      <c r="O1123" s="13">
        <v>28156</v>
      </c>
      <c r="P1123" s="13">
        <v>25957</v>
      </c>
      <c r="Q1123" s="13">
        <v>5524</v>
      </c>
      <c r="R1123" s="13">
        <v>-879</v>
      </c>
      <c r="S1123" s="13">
        <v>1</v>
      </c>
      <c r="T1123" s="81">
        <v>0</v>
      </c>
    </row>
    <row r="1124" spans="1:20" ht="15" customHeight="1" x14ac:dyDescent="0.2">
      <c r="A1124" s="15" t="s">
        <v>2369</v>
      </c>
      <c r="B1124" s="60">
        <v>27842177</v>
      </c>
      <c r="C1124" s="15" t="s">
        <v>2370</v>
      </c>
      <c r="D1124" s="15"/>
      <c r="E1124" s="15" t="s">
        <v>2371</v>
      </c>
      <c r="F1124" s="15" t="s">
        <v>98</v>
      </c>
      <c r="G1124" s="34">
        <v>2</v>
      </c>
      <c r="H1124" s="34">
        <v>15</v>
      </c>
      <c r="I1124" s="15" t="s">
        <v>38</v>
      </c>
      <c r="J1124" s="15" t="s">
        <v>39</v>
      </c>
      <c r="K1124" s="74" t="s">
        <v>29</v>
      </c>
      <c r="L1124" s="16">
        <v>33107</v>
      </c>
      <c r="M1124" s="16">
        <v>0</v>
      </c>
      <c r="N1124" s="16">
        <v>17794</v>
      </c>
      <c r="O1124" s="16">
        <v>25513</v>
      </c>
      <c r="P1124" s="16">
        <v>14453</v>
      </c>
      <c r="Q1124" s="16">
        <v>7594</v>
      </c>
      <c r="R1124" s="16">
        <v>-2439</v>
      </c>
      <c r="S1124" s="16">
        <v>2</v>
      </c>
      <c r="T1124" s="111">
        <v>0</v>
      </c>
    </row>
    <row r="1125" spans="1:20" ht="15" customHeight="1" x14ac:dyDescent="0.2">
      <c r="A1125" s="12" t="s">
        <v>2372</v>
      </c>
      <c r="B1125" s="56">
        <v>46241852</v>
      </c>
      <c r="C1125" s="12" t="s">
        <v>2373</v>
      </c>
      <c r="D1125" s="12"/>
      <c r="E1125" s="12" t="s">
        <v>2374</v>
      </c>
      <c r="F1125" s="12" t="s">
        <v>65</v>
      </c>
      <c r="G1125" s="33">
        <v>2</v>
      </c>
      <c r="H1125" s="33">
        <v>14</v>
      </c>
      <c r="I1125" s="12" t="s">
        <v>53</v>
      </c>
      <c r="J1125" s="12" t="s">
        <v>54</v>
      </c>
      <c r="K1125" s="73" t="s">
        <v>29</v>
      </c>
      <c r="L1125" s="13">
        <v>32846</v>
      </c>
      <c r="M1125" s="13">
        <v>3094</v>
      </c>
      <c r="N1125" s="13">
        <v>29401</v>
      </c>
      <c r="O1125" s="13">
        <v>260</v>
      </c>
      <c r="P1125" s="13">
        <v>0</v>
      </c>
      <c r="Q1125" s="13">
        <v>32586</v>
      </c>
      <c r="R1125" s="13">
        <v>459</v>
      </c>
      <c r="S1125" s="13">
        <v>2</v>
      </c>
      <c r="T1125" s="81">
        <v>0</v>
      </c>
    </row>
    <row r="1126" spans="1:20" ht="15" customHeight="1" x14ac:dyDescent="0.2">
      <c r="A1126" s="15" t="s">
        <v>2375</v>
      </c>
      <c r="B1126" s="60">
        <v>15761217</v>
      </c>
      <c r="C1126" s="15" t="s">
        <v>2376</v>
      </c>
      <c r="D1126" s="15"/>
      <c r="E1126" s="15" t="s">
        <v>2377</v>
      </c>
      <c r="F1126" s="15" t="s">
        <v>98</v>
      </c>
      <c r="G1126" s="34">
        <v>2</v>
      </c>
      <c r="H1126" s="34">
        <v>21</v>
      </c>
      <c r="I1126" s="15" t="s">
        <v>1585</v>
      </c>
      <c r="J1126" s="15" t="s">
        <v>1586</v>
      </c>
      <c r="K1126" s="74" t="s">
        <v>29</v>
      </c>
      <c r="L1126" s="16">
        <v>32609</v>
      </c>
      <c r="M1126" s="16">
        <v>0</v>
      </c>
      <c r="N1126" s="16">
        <v>2297</v>
      </c>
      <c r="O1126" s="16">
        <v>30399</v>
      </c>
      <c r="P1126" s="16">
        <v>0</v>
      </c>
      <c r="Q1126" s="16">
        <v>2209</v>
      </c>
      <c r="R1126" s="16">
        <v>-387</v>
      </c>
      <c r="S1126" s="16">
        <v>2</v>
      </c>
      <c r="T1126" s="111">
        <v>0</v>
      </c>
    </row>
    <row r="1127" spans="1:20" ht="15" customHeight="1" x14ac:dyDescent="0.2">
      <c r="A1127" s="12" t="s">
        <v>2378</v>
      </c>
      <c r="B1127" s="56">
        <v>8240446</v>
      </c>
      <c r="C1127" s="12"/>
      <c r="D1127" s="12"/>
      <c r="E1127" s="12"/>
      <c r="F1127" s="12" t="s">
        <v>265</v>
      </c>
      <c r="G1127" s="33">
        <v>2</v>
      </c>
      <c r="H1127" s="33">
        <v>9</v>
      </c>
      <c r="I1127" s="12" t="s">
        <v>2379</v>
      </c>
      <c r="J1127" s="12" t="s">
        <v>217</v>
      </c>
      <c r="K1127" s="73" t="s">
        <v>29</v>
      </c>
      <c r="L1127" s="13">
        <v>32478</v>
      </c>
      <c r="M1127" s="13">
        <v>13483</v>
      </c>
      <c r="N1127" s="13">
        <v>1680</v>
      </c>
      <c r="O1127" s="13">
        <v>30253</v>
      </c>
      <c r="P1127" s="13">
        <v>27570</v>
      </c>
      <c r="Q1127" s="13">
        <v>2225</v>
      </c>
      <c r="R1127" s="13">
        <v>-1203</v>
      </c>
      <c r="S1127" s="13">
        <v>0</v>
      </c>
      <c r="T1127" s="81">
        <v>4</v>
      </c>
    </row>
    <row r="1128" spans="1:20" ht="15" customHeight="1" x14ac:dyDescent="0.2">
      <c r="A1128" s="15" t="s">
        <v>2380</v>
      </c>
      <c r="B1128" s="60">
        <v>8673569</v>
      </c>
      <c r="C1128" s="15" t="s">
        <v>2381</v>
      </c>
      <c r="D1128" s="15"/>
      <c r="E1128" s="15" t="s">
        <v>2382</v>
      </c>
      <c r="F1128" s="15" t="s">
        <v>98</v>
      </c>
      <c r="G1128" s="34">
        <v>2</v>
      </c>
      <c r="H1128" s="34">
        <v>16</v>
      </c>
      <c r="I1128" s="15" t="s">
        <v>38</v>
      </c>
      <c r="J1128" s="15" t="s">
        <v>39</v>
      </c>
      <c r="K1128" s="74" t="s">
        <v>29</v>
      </c>
      <c r="L1128" s="16">
        <v>32362</v>
      </c>
      <c r="M1128" s="16">
        <v>0</v>
      </c>
      <c r="N1128" s="16">
        <v>0</v>
      </c>
      <c r="O1128" s="16">
        <v>3746</v>
      </c>
      <c r="P1128" s="16">
        <v>8</v>
      </c>
      <c r="Q1128" s="16">
        <v>28616</v>
      </c>
      <c r="R1128" s="16">
        <v>2055</v>
      </c>
      <c r="S1128" s="16">
        <v>2</v>
      </c>
      <c r="T1128" s="111">
        <v>0</v>
      </c>
    </row>
    <row r="1129" spans="1:20" ht="15" customHeight="1" x14ac:dyDescent="0.2">
      <c r="A1129" s="12" t="s">
        <v>2383</v>
      </c>
      <c r="B1129" s="56">
        <v>40429946</v>
      </c>
      <c r="C1129" s="12" t="s">
        <v>2384</v>
      </c>
      <c r="D1129" s="12"/>
      <c r="E1129" s="12" t="s">
        <v>2385</v>
      </c>
      <c r="F1129" s="12" t="s">
        <v>60</v>
      </c>
      <c r="G1129" s="33">
        <v>2</v>
      </c>
      <c r="H1129" s="33">
        <v>13</v>
      </c>
      <c r="I1129" s="12" t="s">
        <v>2386</v>
      </c>
      <c r="J1129" s="12" t="s">
        <v>54</v>
      </c>
      <c r="K1129" s="73" t="s">
        <v>29</v>
      </c>
      <c r="L1129" s="13">
        <v>32201</v>
      </c>
      <c r="M1129" s="13">
        <v>8507</v>
      </c>
      <c r="N1129" s="13">
        <v>0</v>
      </c>
      <c r="O1129" s="13">
        <v>574</v>
      </c>
      <c r="P1129" s="13">
        <v>0</v>
      </c>
      <c r="Q1129" s="13">
        <v>31627</v>
      </c>
      <c r="R1129" s="13">
        <v>577</v>
      </c>
      <c r="S1129" s="13">
        <v>2</v>
      </c>
      <c r="T1129" s="81">
        <v>0</v>
      </c>
    </row>
    <row r="1130" spans="1:20" ht="15" customHeight="1" x14ac:dyDescent="0.2">
      <c r="A1130" s="15" t="s">
        <v>2387</v>
      </c>
      <c r="B1130" s="60">
        <v>20155248</v>
      </c>
      <c r="C1130" s="15" t="s">
        <v>2388</v>
      </c>
      <c r="D1130" s="15"/>
      <c r="E1130" s="15" t="s">
        <v>2389</v>
      </c>
      <c r="F1130" s="15" t="s">
        <v>98</v>
      </c>
      <c r="G1130" s="34">
        <v>2</v>
      </c>
      <c r="H1130" s="34">
        <v>16</v>
      </c>
      <c r="I1130" s="15" t="s">
        <v>107</v>
      </c>
      <c r="J1130" s="15" t="s">
        <v>39</v>
      </c>
      <c r="K1130" s="74" t="s">
        <v>29</v>
      </c>
      <c r="L1130" s="16">
        <v>32166</v>
      </c>
      <c r="M1130" s="16">
        <v>0</v>
      </c>
      <c r="N1130" s="16">
        <v>585</v>
      </c>
      <c r="O1130" s="16">
        <v>11399</v>
      </c>
      <c r="P1130" s="16">
        <v>103</v>
      </c>
      <c r="Q1130" s="16">
        <v>20767</v>
      </c>
      <c r="R1130" s="16">
        <v>-1381</v>
      </c>
      <c r="S1130" s="16">
        <v>4</v>
      </c>
      <c r="T1130" s="111">
        <v>0</v>
      </c>
    </row>
    <row r="1131" spans="1:20" ht="15" customHeight="1" x14ac:dyDescent="0.2">
      <c r="A1131" s="12" t="s">
        <v>2390</v>
      </c>
      <c r="B1131" s="56">
        <v>44746352</v>
      </c>
      <c r="C1131" s="12"/>
      <c r="D1131" s="12"/>
      <c r="E1131" s="12"/>
      <c r="F1131" s="12" t="s">
        <v>265</v>
      </c>
      <c r="G1131" s="33">
        <v>2</v>
      </c>
      <c r="H1131" s="33">
        <v>9</v>
      </c>
      <c r="I1131" s="12" t="s">
        <v>1635</v>
      </c>
      <c r="J1131" s="12" t="s">
        <v>39</v>
      </c>
      <c r="K1131" s="73" t="s">
        <v>29</v>
      </c>
      <c r="L1131" s="13">
        <v>32136</v>
      </c>
      <c r="M1131" s="13">
        <v>20177</v>
      </c>
      <c r="N1131" s="13">
        <v>11417</v>
      </c>
      <c r="O1131" s="13">
        <v>6192</v>
      </c>
      <c r="P1131" s="13">
        <v>3317</v>
      </c>
      <c r="Q1131" s="13">
        <v>25944</v>
      </c>
      <c r="R1131" s="13">
        <v>992</v>
      </c>
      <c r="S1131" s="13">
        <v>0</v>
      </c>
      <c r="T1131" s="81">
        <v>0</v>
      </c>
    </row>
    <row r="1132" spans="1:20" ht="15" customHeight="1" x14ac:dyDescent="0.2">
      <c r="A1132" s="15" t="s">
        <v>2391</v>
      </c>
      <c r="B1132" s="60">
        <v>57487987</v>
      </c>
      <c r="C1132" s="15" t="s">
        <v>2392</v>
      </c>
      <c r="D1132" s="15"/>
      <c r="E1132" s="15" t="s">
        <v>2393</v>
      </c>
      <c r="F1132" s="15" t="s">
        <v>65</v>
      </c>
      <c r="G1132" s="34">
        <v>3</v>
      </c>
      <c r="H1132" s="34">
        <v>43</v>
      </c>
      <c r="I1132" s="15" t="s">
        <v>38</v>
      </c>
      <c r="J1132" s="15" t="s">
        <v>39</v>
      </c>
      <c r="K1132" s="74" t="s">
        <v>29</v>
      </c>
      <c r="L1132" s="16">
        <v>31966</v>
      </c>
      <c r="M1132" s="16">
        <v>0</v>
      </c>
      <c r="N1132" s="16">
        <v>30911</v>
      </c>
      <c r="O1132" s="16">
        <v>6288</v>
      </c>
      <c r="P1132" s="16">
        <v>123</v>
      </c>
      <c r="Q1132" s="16">
        <v>25679</v>
      </c>
      <c r="R1132" s="16">
        <v>-5234</v>
      </c>
      <c r="S1132" s="16">
        <v>2</v>
      </c>
      <c r="T1132" s="111">
        <v>0</v>
      </c>
    </row>
    <row r="1133" spans="1:20" ht="15" customHeight="1" x14ac:dyDescent="0.2">
      <c r="A1133" s="12" t="s">
        <v>2394</v>
      </c>
      <c r="B1133" s="56">
        <v>20110153</v>
      </c>
      <c r="C1133" s="12" t="s">
        <v>2395</v>
      </c>
      <c r="D1133" s="12"/>
      <c r="E1133" s="12" t="s">
        <v>2396</v>
      </c>
      <c r="F1133" s="12" t="s">
        <v>84</v>
      </c>
      <c r="G1133" s="33">
        <v>2</v>
      </c>
      <c r="H1133" s="33">
        <v>41</v>
      </c>
      <c r="I1133" s="12" t="s">
        <v>2397</v>
      </c>
      <c r="J1133" s="12" t="s">
        <v>229</v>
      </c>
      <c r="K1133" s="73" t="s">
        <v>29</v>
      </c>
      <c r="L1133" s="13">
        <v>31898</v>
      </c>
      <c r="M1133" s="13">
        <v>0</v>
      </c>
      <c r="N1133" s="13">
        <v>3932</v>
      </c>
      <c r="O1133" s="13">
        <v>26624</v>
      </c>
      <c r="P1133" s="13">
        <v>0</v>
      </c>
      <c r="Q1133" s="13">
        <v>5274</v>
      </c>
      <c r="R1133" s="13">
        <v>189</v>
      </c>
      <c r="S1133" s="13">
        <v>1</v>
      </c>
      <c r="T1133" s="81">
        <v>0</v>
      </c>
    </row>
    <row r="1134" spans="1:20" ht="15" customHeight="1" x14ac:dyDescent="0.2">
      <c r="A1134" s="15" t="s">
        <v>2398</v>
      </c>
      <c r="B1134" s="60">
        <v>15213150</v>
      </c>
      <c r="C1134" s="15" t="s">
        <v>207</v>
      </c>
      <c r="D1134" s="15" t="s">
        <v>208</v>
      </c>
      <c r="E1134" s="15" t="s">
        <v>209</v>
      </c>
      <c r="F1134" s="15" t="s">
        <v>98</v>
      </c>
      <c r="G1134" s="34">
        <v>3</v>
      </c>
      <c r="H1134" s="34">
        <v>15</v>
      </c>
      <c r="I1134" s="15" t="s">
        <v>210</v>
      </c>
      <c r="J1134" s="15" t="s">
        <v>211</v>
      </c>
      <c r="K1134" s="74" t="s">
        <v>29</v>
      </c>
      <c r="L1134" s="16">
        <v>31849</v>
      </c>
      <c r="M1134" s="16">
        <v>0</v>
      </c>
      <c r="N1134" s="16">
        <v>3111</v>
      </c>
      <c r="O1134" s="16">
        <v>3948</v>
      </c>
      <c r="P1134" s="16">
        <v>0</v>
      </c>
      <c r="Q1134" s="16">
        <v>27901</v>
      </c>
      <c r="R1134" s="16">
        <v>2736</v>
      </c>
      <c r="S1134" s="16">
        <v>4</v>
      </c>
      <c r="T1134" s="111">
        <v>0</v>
      </c>
    </row>
    <row r="1135" spans="1:20" ht="15" customHeight="1" x14ac:dyDescent="0.2">
      <c r="A1135" s="12" t="s">
        <v>2399</v>
      </c>
      <c r="B1135" s="56">
        <v>52076716</v>
      </c>
      <c r="C1135" s="12" t="s">
        <v>2400</v>
      </c>
      <c r="D1135" s="12"/>
      <c r="E1135" s="12" t="s">
        <v>2401</v>
      </c>
      <c r="F1135" s="12" t="s">
        <v>84</v>
      </c>
      <c r="G1135" s="33">
        <v>3</v>
      </c>
      <c r="H1135" s="33">
        <v>41</v>
      </c>
      <c r="I1135" s="12" t="s">
        <v>38</v>
      </c>
      <c r="J1135" s="12" t="s">
        <v>39</v>
      </c>
      <c r="K1135" s="73" t="s">
        <v>29</v>
      </c>
      <c r="L1135" s="13">
        <v>31699</v>
      </c>
      <c r="M1135" s="13">
        <v>0</v>
      </c>
      <c r="N1135" s="13">
        <v>0</v>
      </c>
      <c r="O1135" s="13">
        <v>1203</v>
      </c>
      <c r="P1135" s="13">
        <v>0</v>
      </c>
      <c r="Q1135" s="13">
        <v>30496</v>
      </c>
      <c r="R1135" s="13">
        <v>-3767</v>
      </c>
      <c r="S1135" s="13">
        <v>1</v>
      </c>
      <c r="T1135" s="81">
        <v>0</v>
      </c>
    </row>
    <row r="1136" spans="1:20" ht="15" customHeight="1" x14ac:dyDescent="0.2">
      <c r="A1136" s="15" t="s">
        <v>2402</v>
      </c>
      <c r="B1136" s="60">
        <v>4831810</v>
      </c>
      <c r="C1136" s="15"/>
      <c r="D1136" s="15"/>
      <c r="E1136" s="15"/>
      <c r="F1136" s="15" t="s">
        <v>265</v>
      </c>
      <c r="G1136" s="34">
        <v>2</v>
      </c>
      <c r="H1136" s="34">
        <v>9</v>
      </c>
      <c r="I1136" s="15" t="s">
        <v>2403</v>
      </c>
      <c r="J1136" s="15" t="s">
        <v>229</v>
      </c>
      <c r="K1136" s="74" t="s">
        <v>29</v>
      </c>
      <c r="L1136" s="16">
        <v>31581</v>
      </c>
      <c r="M1136" s="16">
        <v>20117</v>
      </c>
      <c r="N1136" s="16">
        <v>1076</v>
      </c>
      <c r="O1136" s="16">
        <v>22242</v>
      </c>
      <c r="P1136" s="16">
        <v>19623</v>
      </c>
      <c r="Q1136" s="16">
        <v>9339</v>
      </c>
      <c r="R1136" s="16">
        <v>856</v>
      </c>
      <c r="S1136" s="16">
        <v>0</v>
      </c>
      <c r="T1136" s="111">
        <v>1</v>
      </c>
    </row>
    <row r="1137" spans="1:20" ht="15" customHeight="1" x14ac:dyDescent="0.2">
      <c r="A1137" s="12" t="s">
        <v>2404</v>
      </c>
      <c r="B1137" s="56">
        <v>48718183</v>
      </c>
      <c r="C1137" s="12"/>
      <c r="D1137" s="12"/>
      <c r="E1137" s="12"/>
      <c r="F1137" s="12" t="s">
        <v>265</v>
      </c>
      <c r="G1137" s="33">
        <v>2</v>
      </c>
      <c r="H1137" s="33">
        <v>9</v>
      </c>
      <c r="I1137" s="12" t="s">
        <v>38</v>
      </c>
      <c r="J1137" s="12" t="s">
        <v>39</v>
      </c>
      <c r="K1137" s="73" t="s">
        <v>29</v>
      </c>
      <c r="L1137" s="13">
        <v>31519</v>
      </c>
      <c r="M1137" s="13">
        <v>13137</v>
      </c>
      <c r="N1137" s="13">
        <v>18016</v>
      </c>
      <c r="O1137" s="13">
        <v>666</v>
      </c>
      <c r="P1137" s="13">
        <v>0</v>
      </c>
      <c r="Q1137" s="13">
        <v>30853</v>
      </c>
      <c r="R1137" s="13">
        <v>1643</v>
      </c>
      <c r="S1137" s="13">
        <v>0</v>
      </c>
      <c r="T1137" s="81">
        <v>0</v>
      </c>
    </row>
    <row r="1138" spans="1:20" ht="15" customHeight="1" x14ac:dyDescent="0.2">
      <c r="A1138" s="15" t="s">
        <v>2405</v>
      </c>
      <c r="B1138" s="60">
        <v>35713491</v>
      </c>
      <c r="C1138" s="15" t="s">
        <v>2406</v>
      </c>
      <c r="D1138" s="15"/>
      <c r="E1138" s="15" t="s">
        <v>2407</v>
      </c>
      <c r="F1138" s="15" t="s">
        <v>84</v>
      </c>
      <c r="G1138" s="34">
        <v>2</v>
      </c>
      <c r="H1138" s="34">
        <v>41</v>
      </c>
      <c r="I1138" s="15" t="s">
        <v>38</v>
      </c>
      <c r="J1138" s="15" t="s">
        <v>39</v>
      </c>
      <c r="K1138" s="74" t="s">
        <v>29</v>
      </c>
      <c r="L1138" s="16">
        <v>31141</v>
      </c>
      <c r="M1138" s="16">
        <v>0</v>
      </c>
      <c r="N1138" s="16">
        <v>10314</v>
      </c>
      <c r="O1138" s="16">
        <v>20042</v>
      </c>
      <c r="P1138" s="16">
        <v>13424</v>
      </c>
      <c r="Q1138" s="16">
        <v>11100</v>
      </c>
      <c r="R1138" s="16">
        <v>2252</v>
      </c>
      <c r="S1138" s="16">
        <v>1</v>
      </c>
      <c r="T1138" s="111">
        <v>0</v>
      </c>
    </row>
    <row r="1139" spans="1:20" ht="15" customHeight="1" x14ac:dyDescent="0.2">
      <c r="A1139" s="12" t="s">
        <v>2408</v>
      </c>
      <c r="B1139" s="56">
        <v>34878543</v>
      </c>
      <c r="C1139" s="12" t="s">
        <v>2409</v>
      </c>
      <c r="D1139" s="12"/>
      <c r="E1139" s="12" t="s">
        <v>2410</v>
      </c>
      <c r="F1139" s="12" t="s">
        <v>84</v>
      </c>
      <c r="G1139" s="33">
        <v>3</v>
      </c>
      <c r="H1139" s="33">
        <v>41</v>
      </c>
      <c r="I1139" s="12" t="s">
        <v>38</v>
      </c>
      <c r="J1139" s="12" t="s">
        <v>39</v>
      </c>
      <c r="K1139" s="73" t="s">
        <v>29</v>
      </c>
      <c r="L1139" s="13">
        <v>30993</v>
      </c>
      <c r="M1139" s="13">
        <v>0</v>
      </c>
      <c r="N1139" s="13">
        <v>0</v>
      </c>
      <c r="O1139" s="13">
        <v>22005</v>
      </c>
      <c r="P1139" s="13">
        <v>2309</v>
      </c>
      <c r="Q1139" s="13">
        <v>8988</v>
      </c>
      <c r="R1139" s="13">
        <v>-59902</v>
      </c>
      <c r="S1139" s="13">
        <v>1</v>
      </c>
      <c r="T1139" s="81">
        <v>0</v>
      </c>
    </row>
    <row r="1140" spans="1:20" ht="15" customHeight="1" x14ac:dyDescent="0.2">
      <c r="A1140" s="15" t="s">
        <v>2411</v>
      </c>
      <c r="B1140" s="60">
        <v>40303299</v>
      </c>
      <c r="C1140" s="15" t="s">
        <v>222</v>
      </c>
      <c r="D1140" s="15" t="s">
        <v>223</v>
      </c>
      <c r="E1140" s="15" t="s">
        <v>224</v>
      </c>
      <c r="F1140" s="15" t="s">
        <v>98</v>
      </c>
      <c r="G1140" s="34">
        <v>2</v>
      </c>
      <c r="H1140" s="34">
        <v>16</v>
      </c>
      <c r="I1140" s="15" t="s">
        <v>38</v>
      </c>
      <c r="J1140" s="15" t="s">
        <v>39</v>
      </c>
      <c r="K1140" s="74" t="s">
        <v>29</v>
      </c>
      <c r="L1140" s="16">
        <v>30838</v>
      </c>
      <c r="M1140" s="16">
        <v>0</v>
      </c>
      <c r="N1140" s="16">
        <v>23262</v>
      </c>
      <c r="O1140" s="16">
        <v>5950</v>
      </c>
      <c r="P1140" s="16">
        <v>0</v>
      </c>
      <c r="Q1140" s="16">
        <v>24887</v>
      </c>
      <c r="R1140" s="16">
        <v>-4318</v>
      </c>
      <c r="S1140" s="16">
        <v>2</v>
      </c>
      <c r="T1140" s="111">
        <v>0</v>
      </c>
    </row>
    <row r="1141" spans="1:20" ht="15" customHeight="1" x14ac:dyDescent="0.2">
      <c r="A1141" s="12" t="s">
        <v>2412</v>
      </c>
      <c r="B1141" s="56">
        <v>67915868</v>
      </c>
      <c r="C1141" s="12"/>
      <c r="D1141" s="12"/>
      <c r="E1141" s="12"/>
      <c r="F1141" s="12" t="s">
        <v>265</v>
      </c>
      <c r="G1141" s="33">
        <v>2</v>
      </c>
      <c r="H1141" s="33">
        <v>9</v>
      </c>
      <c r="I1141" s="12" t="s">
        <v>2413</v>
      </c>
      <c r="J1141" s="12" t="s">
        <v>39</v>
      </c>
      <c r="K1141" s="73" t="s">
        <v>29</v>
      </c>
      <c r="L1141" s="13">
        <v>30796</v>
      </c>
      <c r="M1141" s="13">
        <v>8627</v>
      </c>
      <c r="N1141" s="13">
        <v>19928</v>
      </c>
      <c r="O1141" s="13">
        <v>3467</v>
      </c>
      <c r="P1141" s="13">
        <v>1</v>
      </c>
      <c r="Q1141" s="13">
        <v>27329</v>
      </c>
      <c r="R1141" s="13">
        <v>743</v>
      </c>
      <c r="S1141" s="13">
        <v>0</v>
      </c>
      <c r="T1141" s="81">
        <v>0</v>
      </c>
    </row>
    <row r="1142" spans="1:20" ht="15" customHeight="1" x14ac:dyDescent="0.2">
      <c r="A1142" s="15" t="s">
        <v>2414</v>
      </c>
      <c r="B1142" s="60">
        <v>35274306</v>
      </c>
      <c r="C1142" s="15" t="s">
        <v>2415</v>
      </c>
      <c r="D1142" s="15"/>
      <c r="E1142" s="15" t="s">
        <v>2416</v>
      </c>
      <c r="F1142" s="15" t="s">
        <v>65</v>
      </c>
      <c r="G1142" s="34">
        <v>2</v>
      </c>
      <c r="H1142" s="34">
        <v>14</v>
      </c>
      <c r="I1142" s="15" t="s">
        <v>1357</v>
      </c>
      <c r="J1142" s="15" t="s">
        <v>1358</v>
      </c>
      <c r="K1142" s="74" t="s">
        <v>29</v>
      </c>
      <c r="L1142" s="16">
        <v>30544</v>
      </c>
      <c r="M1142" s="16">
        <v>90</v>
      </c>
      <c r="N1142" s="16">
        <v>30319</v>
      </c>
      <c r="O1142" s="16">
        <v>341</v>
      </c>
      <c r="P1142" s="16">
        <v>0</v>
      </c>
      <c r="Q1142" s="16">
        <v>30203</v>
      </c>
      <c r="R1142" s="16">
        <v>771</v>
      </c>
      <c r="S1142" s="16">
        <v>2</v>
      </c>
      <c r="T1142" s="111">
        <v>0</v>
      </c>
    </row>
    <row r="1143" spans="1:20" ht="15" customHeight="1" x14ac:dyDescent="0.2">
      <c r="A1143" s="12" t="s">
        <v>2417</v>
      </c>
      <c r="B1143" s="56">
        <v>3535065</v>
      </c>
      <c r="C1143" s="12"/>
      <c r="D1143" s="12"/>
      <c r="E1143" s="12"/>
      <c r="F1143" s="12" t="s">
        <v>265</v>
      </c>
      <c r="G1143" s="33">
        <v>2</v>
      </c>
      <c r="H1143" s="33">
        <v>9</v>
      </c>
      <c r="I1143" s="12" t="s">
        <v>44</v>
      </c>
      <c r="J1143" s="12" t="s">
        <v>39</v>
      </c>
      <c r="K1143" s="73" t="s">
        <v>29</v>
      </c>
      <c r="L1143" s="13">
        <v>30389</v>
      </c>
      <c r="M1143" s="13">
        <v>12657</v>
      </c>
      <c r="N1143" s="13">
        <v>17193</v>
      </c>
      <c r="O1143" s="13">
        <v>18294</v>
      </c>
      <c r="P1143" s="13">
        <v>17251</v>
      </c>
      <c r="Q1143" s="13">
        <v>12095</v>
      </c>
      <c r="R1143" s="13">
        <v>-587</v>
      </c>
      <c r="S1143" s="13">
        <v>0</v>
      </c>
      <c r="T1143" s="81">
        <v>2</v>
      </c>
    </row>
    <row r="1144" spans="1:20" ht="15" customHeight="1" x14ac:dyDescent="0.2">
      <c r="A1144" s="15" t="s">
        <v>2418</v>
      </c>
      <c r="B1144" s="60">
        <v>2671743</v>
      </c>
      <c r="C1144" s="15" t="s">
        <v>2265</v>
      </c>
      <c r="D1144" s="15" t="s">
        <v>2266</v>
      </c>
      <c r="E1144" s="15" t="s">
        <v>2266</v>
      </c>
      <c r="F1144" s="15" t="s">
        <v>98</v>
      </c>
      <c r="G1144" s="34">
        <v>2</v>
      </c>
      <c r="H1144" s="34">
        <v>16</v>
      </c>
      <c r="I1144" s="15" t="s">
        <v>38</v>
      </c>
      <c r="J1144" s="15" t="s">
        <v>39</v>
      </c>
      <c r="K1144" s="74" t="s">
        <v>29</v>
      </c>
      <c r="L1144" s="16">
        <v>30035</v>
      </c>
      <c r="M1144" s="16">
        <v>0</v>
      </c>
      <c r="N1144" s="16">
        <v>869</v>
      </c>
      <c r="O1144" s="16">
        <v>24800</v>
      </c>
      <c r="P1144" s="16">
        <v>17278</v>
      </c>
      <c r="Q1144" s="16">
        <v>5235</v>
      </c>
      <c r="R1144" s="16">
        <v>938</v>
      </c>
      <c r="S1144" s="16">
        <v>2</v>
      </c>
      <c r="T1144" s="111">
        <v>0</v>
      </c>
    </row>
    <row r="1145" spans="1:20" ht="15" customHeight="1" x14ac:dyDescent="0.2">
      <c r="A1145" s="12" t="s">
        <v>2419</v>
      </c>
      <c r="B1145" s="56">
        <v>48176336</v>
      </c>
      <c r="C1145" s="12" t="s">
        <v>2420</v>
      </c>
      <c r="D1145" s="12"/>
      <c r="E1145" s="12" t="s">
        <v>2421</v>
      </c>
      <c r="F1145" s="12" t="s">
        <v>65</v>
      </c>
      <c r="G1145" s="33">
        <v>2</v>
      </c>
      <c r="H1145" s="33">
        <v>43</v>
      </c>
      <c r="I1145" s="12" t="s">
        <v>107</v>
      </c>
      <c r="J1145" s="12" t="s">
        <v>39</v>
      </c>
      <c r="K1145" s="73" t="s">
        <v>29</v>
      </c>
      <c r="L1145" s="13">
        <v>29961</v>
      </c>
      <c r="M1145" s="13">
        <v>0</v>
      </c>
      <c r="N1145" s="13">
        <v>0</v>
      </c>
      <c r="O1145" s="13">
        <v>15822</v>
      </c>
      <c r="P1145" s="13">
        <v>14806</v>
      </c>
      <c r="Q1145" s="13">
        <v>14138</v>
      </c>
      <c r="R1145" s="13">
        <v>-3745</v>
      </c>
      <c r="S1145" s="13">
        <v>2</v>
      </c>
      <c r="T1145" s="81">
        <v>0</v>
      </c>
    </row>
    <row r="1146" spans="1:20" ht="15" customHeight="1" x14ac:dyDescent="0.2">
      <c r="A1146" s="15" t="s">
        <v>2422</v>
      </c>
      <c r="B1146" s="60">
        <v>39676772</v>
      </c>
      <c r="C1146" s="15" t="s">
        <v>2423</v>
      </c>
      <c r="D1146" s="15"/>
      <c r="E1146" s="15" t="s">
        <v>2424</v>
      </c>
      <c r="F1146" s="15" t="s">
        <v>65</v>
      </c>
      <c r="G1146" s="34">
        <v>2</v>
      </c>
      <c r="H1146" s="34">
        <v>43</v>
      </c>
      <c r="I1146" s="15" t="s">
        <v>210</v>
      </c>
      <c r="J1146" s="15" t="s">
        <v>211</v>
      </c>
      <c r="K1146" s="74" t="s">
        <v>29</v>
      </c>
      <c r="L1146" s="16">
        <v>29956</v>
      </c>
      <c r="M1146" s="16">
        <v>9508</v>
      </c>
      <c r="N1146" s="16">
        <v>11525</v>
      </c>
      <c r="O1146" s="16">
        <v>21423</v>
      </c>
      <c r="P1146" s="16">
        <v>8432</v>
      </c>
      <c r="Q1146" s="16">
        <v>8533</v>
      </c>
      <c r="R1146" s="16">
        <v>2008</v>
      </c>
      <c r="S1146" s="16">
        <v>2</v>
      </c>
      <c r="T1146" s="111">
        <v>0</v>
      </c>
    </row>
    <row r="1147" spans="1:20" ht="15" customHeight="1" x14ac:dyDescent="0.2">
      <c r="A1147" s="12" t="s">
        <v>2425</v>
      </c>
      <c r="B1147" s="56">
        <v>49686505</v>
      </c>
      <c r="C1147" s="12" t="s">
        <v>2426</v>
      </c>
      <c r="D1147" s="12"/>
      <c r="E1147" s="12" t="s">
        <v>2427</v>
      </c>
      <c r="F1147" s="12" t="s">
        <v>84</v>
      </c>
      <c r="G1147" s="33">
        <v>2</v>
      </c>
      <c r="H1147" s="33">
        <v>41</v>
      </c>
      <c r="I1147" s="12" t="s">
        <v>2222</v>
      </c>
      <c r="J1147" s="12" t="s">
        <v>217</v>
      </c>
      <c r="K1147" s="73" t="s">
        <v>29</v>
      </c>
      <c r="L1147" s="13">
        <v>29927</v>
      </c>
      <c r="M1147" s="13">
        <v>0</v>
      </c>
      <c r="N1147" s="13">
        <v>2549</v>
      </c>
      <c r="O1147" s="13">
        <v>24128</v>
      </c>
      <c r="P1147" s="13">
        <v>22738</v>
      </c>
      <c r="Q1147" s="13">
        <v>5799</v>
      </c>
      <c r="R1147" s="13">
        <v>564</v>
      </c>
      <c r="S1147" s="13">
        <v>1</v>
      </c>
      <c r="T1147" s="81">
        <v>0</v>
      </c>
    </row>
    <row r="1148" spans="1:20" ht="15" customHeight="1" x14ac:dyDescent="0.2">
      <c r="A1148" s="15" t="s">
        <v>2428</v>
      </c>
      <c r="B1148" s="60">
        <v>67341487</v>
      </c>
      <c r="C1148" s="15"/>
      <c r="D1148" s="15"/>
      <c r="E1148" s="15"/>
      <c r="F1148" s="15" t="s">
        <v>265</v>
      </c>
      <c r="G1148" s="34">
        <v>2</v>
      </c>
      <c r="H1148" s="34">
        <v>9</v>
      </c>
      <c r="I1148" s="15" t="s">
        <v>2429</v>
      </c>
      <c r="J1148" s="15" t="s">
        <v>39</v>
      </c>
      <c r="K1148" s="74" t="s">
        <v>29</v>
      </c>
      <c r="L1148" s="16">
        <v>29271</v>
      </c>
      <c r="M1148" s="16">
        <v>16998</v>
      </c>
      <c r="N1148" s="16">
        <v>11227</v>
      </c>
      <c r="O1148" s="16">
        <v>297</v>
      </c>
      <c r="P1148" s="16">
        <v>0</v>
      </c>
      <c r="Q1148" s="16">
        <v>28975</v>
      </c>
      <c r="R1148" s="16">
        <v>2333</v>
      </c>
      <c r="S1148" s="16">
        <v>0</v>
      </c>
      <c r="T1148" s="111">
        <v>0</v>
      </c>
    </row>
    <row r="1149" spans="1:20" ht="15" customHeight="1" x14ac:dyDescent="0.2">
      <c r="A1149" s="12" t="s">
        <v>2430</v>
      </c>
      <c r="B1149" s="56">
        <v>51118615</v>
      </c>
      <c r="C1149" s="12" t="s">
        <v>2431</v>
      </c>
      <c r="D1149" s="12"/>
      <c r="E1149" s="12" t="s">
        <v>2432</v>
      </c>
      <c r="F1149" s="12" t="s">
        <v>65</v>
      </c>
      <c r="G1149" s="33">
        <v>2</v>
      </c>
      <c r="H1149" s="33">
        <v>43</v>
      </c>
      <c r="I1149" s="12" t="s">
        <v>38</v>
      </c>
      <c r="J1149" s="12" t="s">
        <v>39</v>
      </c>
      <c r="K1149" s="73" t="s">
        <v>29</v>
      </c>
      <c r="L1149" s="13">
        <v>29234</v>
      </c>
      <c r="M1149" s="13">
        <v>2601</v>
      </c>
      <c r="N1149" s="13">
        <v>0</v>
      </c>
      <c r="O1149" s="13">
        <v>23941</v>
      </c>
      <c r="P1149" s="13">
        <v>19851</v>
      </c>
      <c r="Q1149" s="13">
        <v>5293</v>
      </c>
      <c r="R1149" s="13">
        <v>-728</v>
      </c>
      <c r="S1149" s="13">
        <v>2</v>
      </c>
      <c r="T1149" s="81">
        <v>0</v>
      </c>
    </row>
    <row r="1150" spans="1:20" ht="15" customHeight="1" x14ac:dyDescent="0.2">
      <c r="A1150" s="15" t="s">
        <v>2433</v>
      </c>
      <c r="B1150" s="60">
        <v>44527444</v>
      </c>
      <c r="C1150" s="15" t="s">
        <v>745</v>
      </c>
      <c r="D1150" s="15" t="s">
        <v>746</v>
      </c>
      <c r="E1150" s="15" t="s">
        <v>747</v>
      </c>
      <c r="F1150" s="15" t="s">
        <v>98</v>
      </c>
      <c r="G1150" s="34">
        <v>3</v>
      </c>
      <c r="H1150" s="34">
        <v>15</v>
      </c>
      <c r="I1150" s="15" t="s">
        <v>38</v>
      </c>
      <c r="J1150" s="15" t="s">
        <v>39</v>
      </c>
      <c r="K1150" s="74" t="s">
        <v>29</v>
      </c>
      <c r="L1150" s="16">
        <v>28654</v>
      </c>
      <c r="M1150" s="16">
        <v>0</v>
      </c>
      <c r="N1150" s="16">
        <v>3660</v>
      </c>
      <c r="O1150" s="16">
        <v>647</v>
      </c>
      <c r="P1150" s="16">
        <v>0</v>
      </c>
      <c r="Q1150" s="16">
        <v>28007</v>
      </c>
      <c r="R1150" s="16">
        <v>-2914</v>
      </c>
      <c r="S1150" s="16">
        <v>2</v>
      </c>
      <c r="T1150" s="111">
        <v>0</v>
      </c>
    </row>
    <row r="1151" spans="1:20" ht="15" customHeight="1" x14ac:dyDescent="0.2">
      <c r="A1151" s="12" t="s">
        <v>2434</v>
      </c>
      <c r="B1151" s="56">
        <v>57563728</v>
      </c>
      <c r="C1151" s="12"/>
      <c r="D1151" s="12"/>
      <c r="E1151" s="12"/>
      <c r="F1151" s="12" t="s">
        <v>265</v>
      </c>
      <c r="G1151" s="33">
        <v>2</v>
      </c>
      <c r="H1151" s="33">
        <v>9</v>
      </c>
      <c r="I1151" s="12" t="s">
        <v>2435</v>
      </c>
      <c r="J1151" s="12" t="s">
        <v>39</v>
      </c>
      <c r="K1151" s="73" t="s">
        <v>29</v>
      </c>
      <c r="L1151" s="13">
        <v>28428</v>
      </c>
      <c r="M1151" s="13">
        <v>16129</v>
      </c>
      <c r="N1151" s="13">
        <v>11584</v>
      </c>
      <c r="O1151" s="13">
        <v>8208</v>
      </c>
      <c r="P1151" s="13">
        <v>6743</v>
      </c>
      <c r="Q1151" s="13">
        <v>20221</v>
      </c>
      <c r="R1151" s="13">
        <v>855</v>
      </c>
      <c r="S1151" s="13">
        <v>0</v>
      </c>
      <c r="T1151" s="81">
        <v>1</v>
      </c>
    </row>
    <row r="1152" spans="1:20" ht="15" customHeight="1" x14ac:dyDescent="0.2">
      <c r="A1152" s="15" t="s">
        <v>2436</v>
      </c>
      <c r="B1152" s="60">
        <v>20062766</v>
      </c>
      <c r="C1152" s="15"/>
      <c r="D1152" s="15"/>
      <c r="E1152" s="15"/>
      <c r="F1152" s="15" t="s">
        <v>265</v>
      </c>
      <c r="G1152" s="34">
        <v>2</v>
      </c>
      <c r="H1152" s="34">
        <v>9</v>
      </c>
      <c r="I1152" s="15" t="s">
        <v>2437</v>
      </c>
      <c r="J1152" s="15" t="s">
        <v>120</v>
      </c>
      <c r="K1152" s="74" t="s">
        <v>29</v>
      </c>
      <c r="L1152" s="16">
        <v>28283</v>
      </c>
      <c r="M1152" s="16">
        <v>13337</v>
      </c>
      <c r="N1152" s="16">
        <v>4566</v>
      </c>
      <c r="O1152" s="16">
        <v>5035</v>
      </c>
      <c r="P1152" s="16">
        <v>3234</v>
      </c>
      <c r="Q1152" s="16">
        <v>23248</v>
      </c>
      <c r="R1152" s="16">
        <v>1048</v>
      </c>
      <c r="S1152" s="16">
        <v>0</v>
      </c>
      <c r="T1152" s="111">
        <v>1</v>
      </c>
    </row>
    <row r="1153" spans="1:20" ht="15" customHeight="1" x14ac:dyDescent="0.2">
      <c r="A1153" s="12" t="s">
        <v>2438</v>
      </c>
      <c r="B1153" s="56">
        <v>56392166</v>
      </c>
      <c r="C1153" s="12" t="s">
        <v>2439</v>
      </c>
      <c r="D1153" s="12"/>
      <c r="E1153" s="12" t="s">
        <v>2440</v>
      </c>
      <c r="F1153" s="12" t="s">
        <v>65</v>
      </c>
      <c r="G1153" s="33">
        <v>2</v>
      </c>
      <c r="H1153" s="33">
        <v>14</v>
      </c>
      <c r="I1153" s="12" t="s">
        <v>38</v>
      </c>
      <c r="J1153" s="12" t="s">
        <v>39</v>
      </c>
      <c r="K1153" s="73" t="s">
        <v>29</v>
      </c>
      <c r="L1153" s="13">
        <v>28229</v>
      </c>
      <c r="M1153" s="13">
        <v>106</v>
      </c>
      <c r="N1153" s="13">
        <v>23794</v>
      </c>
      <c r="O1153" s="13">
        <v>3173</v>
      </c>
      <c r="P1153" s="13">
        <v>2432</v>
      </c>
      <c r="Q1153" s="13">
        <v>25055</v>
      </c>
      <c r="R1153" s="13">
        <v>-2693</v>
      </c>
      <c r="S1153" s="13">
        <v>2</v>
      </c>
      <c r="T1153" s="81">
        <v>0</v>
      </c>
    </row>
    <row r="1154" spans="1:20" ht="15" customHeight="1" x14ac:dyDescent="0.2">
      <c r="A1154" s="15" t="s">
        <v>2441</v>
      </c>
      <c r="B1154" s="60">
        <v>23241540</v>
      </c>
      <c r="C1154" s="15"/>
      <c r="D1154" s="15"/>
      <c r="E1154" s="15"/>
      <c r="F1154" s="15" t="s">
        <v>265</v>
      </c>
      <c r="G1154" s="34">
        <v>2</v>
      </c>
      <c r="H1154" s="34">
        <v>9</v>
      </c>
      <c r="I1154" s="15" t="s">
        <v>2442</v>
      </c>
      <c r="J1154" s="15" t="s">
        <v>120</v>
      </c>
      <c r="K1154" s="74" t="s">
        <v>29</v>
      </c>
      <c r="L1154" s="16">
        <v>28177</v>
      </c>
      <c r="M1154" s="16">
        <v>9176</v>
      </c>
      <c r="N1154" s="16">
        <v>18944</v>
      </c>
      <c r="O1154" s="16">
        <v>2877</v>
      </c>
      <c r="P1154" s="16">
        <v>0</v>
      </c>
      <c r="Q1154" s="16">
        <v>25299</v>
      </c>
      <c r="R1154" s="16">
        <v>1783</v>
      </c>
      <c r="S1154" s="16">
        <v>0</v>
      </c>
      <c r="T1154" s="111">
        <v>0</v>
      </c>
    </row>
    <row r="1155" spans="1:20" ht="15" customHeight="1" x14ac:dyDescent="0.2">
      <c r="A1155" s="12" t="s">
        <v>2443</v>
      </c>
      <c r="B1155" s="56">
        <v>69720894</v>
      </c>
      <c r="C1155" s="12" t="s">
        <v>296</v>
      </c>
      <c r="D1155" s="12" t="s">
        <v>297</v>
      </c>
      <c r="E1155" s="12" t="s">
        <v>298</v>
      </c>
      <c r="F1155" s="12" t="s">
        <v>98</v>
      </c>
      <c r="G1155" s="33">
        <v>3</v>
      </c>
      <c r="H1155" s="33">
        <v>16</v>
      </c>
      <c r="I1155" s="12" t="s">
        <v>38</v>
      </c>
      <c r="J1155" s="12" t="s">
        <v>39</v>
      </c>
      <c r="K1155" s="73" t="s">
        <v>29</v>
      </c>
      <c r="L1155" s="13">
        <v>27993</v>
      </c>
      <c r="M1155" s="13">
        <v>0</v>
      </c>
      <c r="N1155" s="13">
        <v>0</v>
      </c>
      <c r="O1155" s="13">
        <v>1481</v>
      </c>
      <c r="P1155" s="13">
        <v>0</v>
      </c>
      <c r="Q1155" s="13">
        <v>26511</v>
      </c>
      <c r="R1155" s="13">
        <v>813</v>
      </c>
      <c r="S1155" s="13">
        <v>2</v>
      </c>
      <c r="T1155" s="81">
        <v>0</v>
      </c>
    </row>
    <row r="1156" spans="1:20" ht="15" customHeight="1" x14ac:dyDescent="0.2">
      <c r="A1156" s="15" t="s">
        <v>2444</v>
      </c>
      <c r="B1156" s="60">
        <v>4051232</v>
      </c>
      <c r="C1156" s="15" t="s">
        <v>1893</v>
      </c>
      <c r="D1156" s="15"/>
      <c r="E1156" s="15" t="s">
        <v>1894</v>
      </c>
      <c r="F1156" s="15" t="s">
        <v>84</v>
      </c>
      <c r="G1156" s="34">
        <v>2</v>
      </c>
      <c r="H1156" s="34">
        <v>41</v>
      </c>
      <c r="I1156" s="15" t="s">
        <v>107</v>
      </c>
      <c r="J1156" s="15" t="s">
        <v>39</v>
      </c>
      <c r="K1156" s="74" t="s">
        <v>29</v>
      </c>
      <c r="L1156" s="16">
        <v>27880</v>
      </c>
      <c r="M1156" s="16">
        <v>0</v>
      </c>
      <c r="N1156" s="16">
        <v>0</v>
      </c>
      <c r="O1156" s="16">
        <v>20713</v>
      </c>
      <c r="P1156" s="16">
        <v>17666</v>
      </c>
      <c r="Q1156" s="16">
        <v>7167</v>
      </c>
      <c r="R1156" s="16">
        <v>863</v>
      </c>
      <c r="S1156" s="16">
        <v>1</v>
      </c>
      <c r="T1156" s="111">
        <v>0</v>
      </c>
    </row>
    <row r="1157" spans="1:20" ht="15" customHeight="1" x14ac:dyDescent="0.2">
      <c r="A1157" s="12" t="s">
        <v>2445</v>
      </c>
      <c r="B1157" s="56">
        <v>37663090</v>
      </c>
      <c r="C1157" s="12" t="s">
        <v>2446</v>
      </c>
      <c r="D1157" s="12"/>
      <c r="E1157" s="12" t="s">
        <v>2447</v>
      </c>
      <c r="F1157" s="12" t="s">
        <v>84</v>
      </c>
      <c r="G1157" s="33">
        <v>2</v>
      </c>
      <c r="H1157" s="33">
        <v>41</v>
      </c>
      <c r="I1157" s="12" t="s">
        <v>38</v>
      </c>
      <c r="J1157" s="12" t="s">
        <v>39</v>
      </c>
      <c r="K1157" s="73" t="s">
        <v>29</v>
      </c>
      <c r="L1157" s="13">
        <v>27795</v>
      </c>
      <c r="M1157" s="13">
        <v>0</v>
      </c>
      <c r="N1157" s="13">
        <v>16998</v>
      </c>
      <c r="O1157" s="13">
        <v>1601</v>
      </c>
      <c r="P1157" s="13">
        <v>0</v>
      </c>
      <c r="Q1157" s="13">
        <v>26194</v>
      </c>
      <c r="R1157" s="13">
        <v>-1395</v>
      </c>
      <c r="S1157" s="13">
        <v>1</v>
      </c>
      <c r="T1157" s="81">
        <v>0</v>
      </c>
    </row>
    <row r="1158" spans="1:20" ht="15" customHeight="1" x14ac:dyDescent="0.2">
      <c r="A1158" s="15" t="s">
        <v>2448</v>
      </c>
      <c r="B1158" s="60">
        <v>7554076</v>
      </c>
      <c r="C1158" s="15" t="s">
        <v>917</v>
      </c>
      <c r="D1158" s="15" t="s">
        <v>918</v>
      </c>
      <c r="E1158" s="15" t="s">
        <v>919</v>
      </c>
      <c r="F1158" s="15" t="s">
        <v>98</v>
      </c>
      <c r="G1158" s="34">
        <v>3</v>
      </c>
      <c r="H1158" s="34">
        <v>15</v>
      </c>
      <c r="I1158" s="15" t="s">
        <v>38</v>
      </c>
      <c r="J1158" s="15" t="s">
        <v>39</v>
      </c>
      <c r="K1158" s="74" t="s">
        <v>29</v>
      </c>
      <c r="L1158" s="16">
        <v>27682</v>
      </c>
      <c r="M1158" s="16">
        <v>0</v>
      </c>
      <c r="N1158" s="16">
        <v>0</v>
      </c>
      <c r="O1158" s="16">
        <v>1113</v>
      </c>
      <c r="P1158" s="16">
        <v>0</v>
      </c>
      <c r="Q1158" s="16">
        <v>26569</v>
      </c>
      <c r="R1158" s="16">
        <v>1525</v>
      </c>
      <c r="S1158" s="16">
        <v>2</v>
      </c>
      <c r="T1158" s="111">
        <v>0</v>
      </c>
    </row>
    <row r="1159" spans="1:20" ht="15" customHeight="1" x14ac:dyDescent="0.2">
      <c r="A1159" s="12" t="s">
        <v>2449</v>
      </c>
      <c r="B1159" s="56">
        <v>5040680</v>
      </c>
      <c r="C1159" s="12"/>
      <c r="D1159" s="12"/>
      <c r="E1159" s="12"/>
      <c r="F1159" s="12" t="s">
        <v>265</v>
      </c>
      <c r="G1159" s="33">
        <v>2</v>
      </c>
      <c r="H1159" s="33">
        <v>9</v>
      </c>
      <c r="I1159" s="12" t="s">
        <v>53</v>
      </c>
      <c r="J1159" s="12" t="s">
        <v>54</v>
      </c>
      <c r="K1159" s="73" t="s">
        <v>29</v>
      </c>
      <c r="L1159" s="13">
        <v>27533</v>
      </c>
      <c r="M1159" s="13">
        <v>19943</v>
      </c>
      <c r="N1159" s="13">
        <v>7360</v>
      </c>
      <c r="O1159" s="13">
        <v>16317</v>
      </c>
      <c r="P1159" s="13">
        <v>15372</v>
      </c>
      <c r="Q1159" s="13">
        <v>11216</v>
      </c>
      <c r="R1159" s="13">
        <v>339</v>
      </c>
      <c r="S1159" s="13">
        <v>0</v>
      </c>
      <c r="T1159" s="81">
        <v>2</v>
      </c>
    </row>
    <row r="1160" spans="1:20" ht="15" customHeight="1" x14ac:dyDescent="0.2">
      <c r="A1160" s="15" t="s">
        <v>2450</v>
      </c>
      <c r="B1160" s="60">
        <v>35911258</v>
      </c>
      <c r="C1160" s="15" t="s">
        <v>2451</v>
      </c>
      <c r="D1160" s="15"/>
      <c r="E1160" s="15" t="s">
        <v>2452</v>
      </c>
      <c r="F1160" s="15" t="s">
        <v>65</v>
      </c>
      <c r="G1160" s="34">
        <v>2</v>
      </c>
      <c r="H1160" s="34">
        <v>43</v>
      </c>
      <c r="I1160" s="15" t="s">
        <v>38</v>
      </c>
      <c r="J1160" s="15" t="s">
        <v>39</v>
      </c>
      <c r="K1160" s="74" t="s">
        <v>29</v>
      </c>
      <c r="L1160" s="16">
        <v>27482</v>
      </c>
      <c r="M1160" s="16">
        <v>0</v>
      </c>
      <c r="N1160" s="16">
        <v>14600</v>
      </c>
      <c r="O1160" s="16">
        <v>152</v>
      </c>
      <c r="P1160" s="16">
        <v>0</v>
      </c>
      <c r="Q1160" s="16">
        <v>27330</v>
      </c>
      <c r="R1160" s="16">
        <v>661</v>
      </c>
      <c r="S1160" s="16">
        <v>2</v>
      </c>
      <c r="T1160" s="111">
        <v>0</v>
      </c>
    </row>
    <row r="1161" spans="1:20" ht="15" customHeight="1" x14ac:dyDescent="0.2">
      <c r="A1161" s="12" t="s">
        <v>2453</v>
      </c>
      <c r="B1161" s="56">
        <v>250699</v>
      </c>
      <c r="C1161" s="12" t="s">
        <v>2454</v>
      </c>
      <c r="D1161" s="12"/>
      <c r="E1161" s="12" t="s">
        <v>2455</v>
      </c>
      <c r="F1161" s="12" t="s">
        <v>98</v>
      </c>
      <c r="G1161" s="33">
        <v>2</v>
      </c>
      <c r="H1161" s="33">
        <v>21</v>
      </c>
      <c r="I1161" s="12" t="s">
        <v>38</v>
      </c>
      <c r="J1161" s="12" t="s">
        <v>39</v>
      </c>
      <c r="K1161" s="73" t="s">
        <v>29</v>
      </c>
      <c r="L1161" s="13">
        <v>27382</v>
      </c>
      <c r="M1161" s="13">
        <v>0</v>
      </c>
      <c r="N1161" s="13">
        <v>3984</v>
      </c>
      <c r="O1161" s="13">
        <v>19331</v>
      </c>
      <c r="P1161" s="13">
        <v>0</v>
      </c>
      <c r="Q1161" s="13">
        <v>8051</v>
      </c>
      <c r="R1161" s="13">
        <v>1027</v>
      </c>
      <c r="S1161" s="13">
        <v>2</v>
      </c>
      <c r="T1161" s="81">
        <v>0</v>
      </c>
    </row>
    <row r="1162" spans="1:20" ht="15" customHeight="1" x14ac:dyDescent="0.2">
      <c r="A1162" s="15" t="s">
        <v>2456</v>
      </c>
      <c r="B1162" s="60">
        <v>18394228</v>
      </c>
      <c r="C1162" s="15" t="s">
        <v>2457</v>
      </c>
      <c r="D1162" s="15"/>
      <c r="E1162" s="15" t="s">
        <v>2458</v>
      </c>
      <c r="F1162" s="15" t="s">
        <v>65</v>
      </c>
      <c r="G1162" s="34">
        <v>2</v>
      </c>
      <c r="H1162" s="34">
        <v>43</v>
      </c>
      <c r="I1162" s="15" t="s">
        <v>119</v>
      </c>
      <c r="J1162" s="15" t="s">
        <v>120</v>
      </c>
      <c r="K1162" s="74" t="s">
        <v>29</v>
      </c>
      <c r="L1162" s="16">
        <v>27244</v>
      </c>
      <c r="M1162" s="16">
        <v>6001</v>
      </c>
      <c r="N1162" s="16">
        <v>12523</v>
      </c>
      <c r="O1162" s="16">
        <v>18237</v>
      </c>
      <c r="P1162" s="16">
        <v>16779</v>
      </c>
      <c r="Q1162" s="16">
        <v>9007</v>
      </c>
      <c r="R1162" s="16">
        <v>-24</v>
      </c>
      <c r="S1162" s="16">
        <v>2</v>
      </c>
      <c r="T1162" s="111">
        <v>0</v>
      </c>
    </row>
    <row r="1163" spans="1:20" ht="15" customHeight="1" x14ac:dyDescent="0.2">
      <c r="A1163" s="12" t="s">
        <v>2459</v>
      </c>
      <c r="B1163" s="56">
        <v>44471172</v>
      </c>
      <c r="C1163" s="12" t="s">
        <v>2460</v>
      </c>
      <c r="D1163" s="12"/>
      <c r="E1163" s="12" t="s">
        <v>2461</v>
      </c>
      <c r="F1163" s="12" t="s">
        <v>84</v>
      </c>
      <c r="G1163" s="33">
        <v>2</v>
      </c>
      <c r="H1163" s="33">
        <v>41</v>
      </c>
      <c r="I1163" s="12" t="s">
        <v>38</v>
      </c>
      <c r="J1163" s="12" t="s">
        <v>39</v>
      </c>
      <c r="K1163" s="73" t="s">
        <v>29</v>
      </c>
      <c r="L1163" s="13">
        <v>26945</v>
      </c>
      <c r="M1163" s="13">
        <v>0</v>
      </c>
      <c r="N1163" s="13">
        <v>14529</v>
      </c>
      <c r="O1163" s="13">
        <v>2526</v>
      </c>
      <c r="P1163" s="13">
        <v>0</v>
      </c>
      <c r="Q1163" s="13">
        <v>24419</v>
      </c>
      <c r="R1163" s="13">
        <v>1502</v>
      </c>
      <c r="S1163" s="13">
        <v>1</v>
      </c>
      <c r="T1163" s="81">
        <v>0</v>
      </c>
    </row>
    <row r="1164" spans="1:20" ht="15" customHeight="1" x14ac:dyDescent="0.2">
      <c r="A1164" s="15" t="s">
        <v>2462</v>
      </c>
      <c r="B1164" s="60">
        <v>38429045</v>
      </c>
      <c r="C1164" s="15" t="s">
        <v>2463</v>
      </c>
      <c r="D1164" s="15"/>
      <c r="E1164" s="15" t="s">
        <v>2464</v>
      </c>
      <c r="F1164" s="15" t="s">
        <v>98</v>
      </c>
      <c r="G1164" s="34">
        <v>2</v>
      </c>
      <c r="H1164" s="34">
        <v>16</v>
      </c>
      <c r="I1164" s="15" t="s">
        <v>803</v>
      </c>
      <c r="J1164" s="15" t="s">
        <v>329</v>
      </c>
      <c r="K1164" s="74" t="s">
        <v>29</v>
      </c>
      <c r="L1164" s="16">
        <v>26928</v>
      </c>
      <c r="M1164" s="16">
        <v>0</v>
      </c>
      <c r="N1164" s="16">
        <v>0</v>
      </c>
      <c r="O1164" s="16">
        <v>18078</v>
      </c>
      <c r="P1164" s="16">
        <v>0</v>
      </c>
      <c r="Q1164" s="16">
        <v>8851</v>
      </c>
      <c r="R1164" s="16">
        <v>689</v>
      </c>
      <c r="S1164" s="16">
        <v>2</v>
      </c>
      <c r="T1164" s="111">
        <v>0</v>
      </c>
    </row>
    <row r="1165" spans="1:20" ht="15" customHeight="1" x14ac:dyDescent="0.2">
      <c r="A1165" s="12" t="s">
        <v>2465</v>
      </c>
      <c r="B1165" s="56">
        <v>36586946</v>
      </c>
      <c r="C1165" s="12" t="s">
        <v>2466</v>
      </c>
      <c r="D1165" s="12"/>
      <c r="E1165" s="12" t="s">
        <v>2467</v>
      </c>
      <c r="F1165" s="12" t="s">
        <v>65</v>
      </c>
      <c r="G1165" s="33">
        <v>2</v>
      </c>
      <c r="H1165" s="33">
        <v>43</v>
      </c>
      <c r="I1165" s="12" t="s">
        <v>971</v>
      </c>
      <c r="J1165" s="12" t="s">
        <v>229</v>
      </c>
      <c r="K1165" s="73" t="s">
        <v>29</v>
      </c>
      <c r="L1165" s="13">
        <v>26534</v>
      </c>
      <c r="M1165" s="13">
        <v>5740</v>
      </c>
      <c r="N1165" s="13">
        <v>214</v>
      </c>
      <c r="O1165" s="13">
        <v>19327</v>
      </c>
      <c r="P1165" s="13">
        <v>18257</v>
      </c>
      <c r="Q1165" s="13">
        <v>7207</v>
      </c>
      <c r="R1165" s="13">
        <v>922</v>
      </c>
      <c r="S1165" s="13">
        <v>2</v>
      </c>
      <c r="T1165" s="81">
        <v>0</v>
      </c>
    </row>
    <row r="1166" spans="1:20" ht="15" customHeight="1" x14ac:dyDescent="0.2">
      <c r="A1166" s="15" t="s">
        <v>2468</v>
      </c>
      <c r="B1166" s="60">
        <v>4791645</v>
      </c>
      <c r="C1166" s="15"/>
      <c r="D1166" s="15"/>
      <c r="E1166" s="15"/>
      <c r="F1166" s="15" t="s">
        <v>265</v>
      </c>
      <c r="G1166" s="34">
        <v>2</v>
      </c>
      <c r="H1166" s="34">
        <v>9</v>
      </c>
      <c r="I1166" s="15" t="s">
        <v>38</v>
      </c>
      <c r="J1166" s="15" t="s">
        <v>39</v>
      </c>
      <c r="K1166" s="74" t="s">
        <v>29</v>
      </c>
      <c r="L1166" s="16">
        <v>26382</v>
      </c>
      <c r="M1166" s="16">
        <v>23349</v>
      </c>
      <c r="N1166" s="16">
        <v>2992</v>
      </c>
      <c r="O1166" s="16">
        <v>1031</v>
      </c>
      <c r="P1166" s="16">
        <v>0</v>
      </c>
      <c r="Q1166" s="16">
        <v>25351</v>
      </c>
      <c r="R1166" s="16">
        <v>1713</v>
      </c>
      <c r="S1166" s="16">
        <v>0</v>
      </c>
      <c r="T1166" s="111">
        <v>0</v>
      </c>
    </row>
    <row r="1167" spans="1:20" ht="15" customHeight="1" x14ac:dyDescent="0.2">
      <c r="A1167" s="12" t="s">
        <v>2469</v>
      </c>
      <c r="B1167" s="56">
        <v>17826860</v>
      </c>
      <c r="C1167" s="12" t="s">
        <v>2470</v>
      </c>
      <c r="D1167" s="12"/>
      <c r="E1167" s="12" t="s">
        <v>2471</v>
      </c>
      <c r="F1167" s="12" t="s">
        <v>65</v>
      </c>
      <c r="G1167" s="33">
        <v>2</v>
      </c>
      <c r="H1167" s="33">
        <v>43</v>
      </c>
      <c r="I1167" s="12" t="s">
        <v>132</v>
      </c>
      <c r="J1167" s="12" t="s">
        <v>133</v>
      </c>
      <c r="K1167" s="73" t="s">
        <v>29</v>
      </c>
      <c r="L1167" s="13">
        <v>26351</v>
      </c>
      <c r="M1167" s="13">
        <v>3891</v>
      </c>
      <c r="N1167" s="13">
        <v>1</v>
      </c>
      <c r="O1167" s="13">
        <v>19018</v>
      </c>
      <c r="P1167" s="13">
        <v>15467</v>
      </c>
      <c r="Q1167" s="13">
        <v>7333</v>
      </c>
      <c r="R1167" s="13">
        <v>2227</v>
      </c>
      <c r="S1167" s="13">
        <v>2</v>
      </c>
      <c r="T1167" s="81">
        <v>0</v>
      </c>
    </row>
    <row r="1168" spans="1:20" ht="15" customHeight="1" x14ac:dyDescent="0.2">
      <c r="A1168" s="15" t="s">
        <v>2472</v>
      </c>
      <c r="B1168" s="60">
        <v>7397614</v>
      </c>
      <c r="C1168" s="15" t="s">
        <v>76</v>
      </c>
      <c r="D1168" s="15" t="s">
        <v>77</v>
      </c>
      <c r="E1168" s="15" t="s">
        <v>78</v>
      </c>
      <c r="F1168" s="15" t="s">
        <v>98</v>
      </c>
      <c r="G1168" s="34">
        <v>2</v>
      </c>
      <c r="H1168" s="34">
        <v>16</v>
      </c>
      <c r="I1168" s="15" t="s">
        <v>27</v>
      </c>
      <c r="J1168" s="15" t="s">
        <v>28</v>
      </c>
      <c r="K1168" s="74" t="s">
        <v>29</v>
      </c>
      <c r="L1168" s="16">
        <v>26338</v>
      </c>
      <c r="M1168" s="16">
        <v>0</v>
      </c>
      <c r="N1168" s="16">
        <v>18778</v>
      </c>
      <c r="O1168" s="16">
        <v>6547</v>
      </c>
      <c r="P1168" s="16">
        <v>0</v>
      </c>
      <c r="Q1168" s="16">
        <v>19790</v>
      </c>
      <c r="R1168" s="16">
        <v>6539</v>
      </c>
      <c r="S1168" s="16">
        <v>2</v>
      </c>
      <c r="T1168" s="111">
        <v>0</v>
      </c>
    </row>
    <row r="1169" spans="1:20" ht="15" customHeight="1" x14ac:dyDescent="0.2">
      <c r="A1169" s="12" t="s">
        <v>2473</v>
      </c>
      <c r="B1169" s="56">
        <v>55823094</v>
      </c>
      <c r="C1169" s="12" t="s">
        <v>2474</v>
      </c>
      <c r="D1169" s="12"/>
      <c r="E1169" s="12" t="s">
        <v>2475</v>
      </c>
      <c r="F1169" s="12" t="s">
        <v>65</v>
      </c>
      <c r="G1169" s="33">
        <v>2</v>
      </c>
      <c r="H1169" s="33">
        <v>43</v>
      </c>
      <c r="I1169" s="12" t="s">
        <v>38</v>
      </c>
      <c r="J1169" s="12" t="s">
        <v>39</v>
      </c>
      <c r="K1169" s="73" t="s">
        <v>29</v>
      </c>
      <c r="L1169" s="13">
        <v>25568</v>
      </c>
      <c r="M1169" s="13">
        <v>15920</v>
      </c>
      <c r="N1169" s="13">
        <v>1397</v>
      </c>
      <c r="O1169" s="13">
        <v>14074</v>
      </c>
      <c r="P1169" s="13">
        <v>6038</v>
      </c>
      <c r="Q1169" s="13">
        <v>11495</v>
      </c>
      <c r="R1169" s="13">
        <v>4564</v>
      </c>
      <c r="S1169" s="13">
        <v>2</v>
      </c>
      <c r="T1169" s="81">
        <v>0</v>
      </c>
    </row>
    <row r="1170" spans="1:20" ht="15" customHeight="1" x14ac:dyDescent="0.2">
      <c r="A1170" s="15" t="s">
        <v>2476</v>
      </c>
      <c r="B1170" s="60">
        <v>53505681</v>
      </c>
      <c r="C1170" s="15"/>
      <c r="D1170" s="15"/>
      <c r="E1170" s="15"/>
      <c r="F1170" s="15" t="s">
        <v>265</v>
      </c>
      <c r="G1170" s="34">
        <v>2</v>
      </c>
      <c r="H1170" s="34">
        <v>9</v>
      </c>
      <c r="I1170" s="15" t="s">
        <v>2477</v>
      </c>
      <c r="J1170" s="15" t="s">
        <v>39</v>
      </c>
      <c r="K1170" s="74" t="s">
        <v>29</v>
      </c>
      <c r="L1170" s="16">
        <v>25178</v>
      </c>
      <c r="M1170" s="16">
        <v>17182</v>
      </c>
      <c r="N1170" s="16">
        <v>6209</v>
      </c>
      <c r="O1170" s="16">
        <v>4064</v>
      </c>
      <c r="P1170" s="16">
        <v>1833</v>
      </c>
      <c r="Q1170" s="16">
        <v>21114</v>
      </c>
      <c r="R1170" s="16">
        <v>624</v>
      </c>
      <c r="S1170" s="16">
        <v>0</v>
      </c>
      <c r="T1170" s="111">
        <v>0</v>
      </c>
    </row>
    <row r="1171" spans="1:20" ht="15" customHeight="1" x14ac:dyDescent="0.2">
      <c r="A1171" s="12" t="s">
        <v>2478</v>
      </c>
      <c r="B1171" s="56">
        <v>17314501</v>
      </c>
      <c r="C1171" s="12"/>
      <c r="D1171" s="12"/>
      <c r="E1171" s="12"/>
      <c r="F1171" s="12" t="s">
        <v>265</v>
      </c>
      <c r="G1171" s="33">
        <v>2</v>
      </c>
      <c r="H1171" s="33">
        <v>9</v>
      </c>
      <c r="I1171" s="12" t="s">
        <v>2479</v>
      </c>
      <c r="J1171" s="12" t="s">
        <v>120</v>
      </c>
      <c r="K1171" s="73" t="s">
        <v>29</v>
      </c>
      <c r="L1171" s="13">
        <v>25083</v>
      </c>
      <c r="M1171" s="13">
        <v>7048</v>
      </c>
      <c r="N1171" s="13">
        <v>16835</v>
      </c>
      <c r="O1171" s="13">
        <v>3746</v>
      </c>
      <c r="P1171" s="13">
        <v>0</v>
      </c>
      <c r="Q1171" s="13">
        <v>21337</v>
      </c>
      <c r="R1171" s="13">
        <v>1163</v>
      </c>
      <c r="S1171" s="13">
        <v>0</v>
      </c>
      <c r="T1171" s="81">
        <v>0</v>
      </c>
    </row>
    <row r="1172" spans="1:20" ht="15" customHeight="1" x14ac:dyDescent="0.2">
      <c r="A1172" s="15" t="s">
        <v>2480</v>
      </c>
      <c r="B1172" s="60">
        <v>47631123</v>
      </c>
      <c r="C1172" s="15" t="s">
        <v>2481</v>
      </c>
      <c r="D1172" s="15"/>
      <c r="E1172" s="15" t="s">
        <v>2482</v>
      </c>
      <c r="F1172" s="15" t="s">
        <v>98</v>
      </c>
      <c r="G1172" s="34">
        <v>2</v>
      </c>
      <c r="H1172" s="34">
        <v>16</v>
      </c>
      <c r="I1172" s="15" t="s">
        <v>38</v>
      </c>
      <c r="J1172" s="15" t="s">
        <v>39</v>
      </c>
      <c r="K1172" s="74" t="s">
        <v>29</v>
      </c>
      <c r="L1172" s="16">
        <v>25013</v>
      </c>
      <c r="M1172" s="16">
        <v>0</v>
      </c>
      <c r="N1172" s="16">
        <v>19329</v>
      </c>
      <c r="O1172" s="16">
        <v>4723</v>
      </c>
      <c r="P1172" s="16">
        <v>0</v>
      </c>
      <c r="Q1172" s="16">
        <v>20290</v>
      </c>
      <c r="R1172" s="16">
        <v>8920</v>
      </c>
      <c r="S1172" s="16">
        <v>2</v>
      </c>
      <c r="T1172" s="111">
        <v>0</v>
      </c>
    </row>
    <row r="1173" spans="1:20" ht="15" customHeight="1" x14ac:dyDescent="0.2">
      <c r="A1173" s="12" t="s">
        <v>2483</v>
      </c>
      <c r="B1173" s="56">
        <v>43167610</v>
      </c>
      <c r="C1173" s="12" t="s">
        <v>1439</v>
      </c>
      <c r="D1173" s="12"/>
      <c r="E1173" s="12" t="s">
        <v>1440</v>
      </c>
      <c r="F1173" s="12" t="s">
        <v>65</v>
      </c>
      <c r="G1173" s="33">
        <v>2</v>
      </c>
      <c r="H1173" s="33">
        <v>43</v>
      </c>
      <c r="I1173" s="12" t="s">
        <v>38</v>
      </c>
      <c r="J1173" s="12" t="s">
        <v>39</v>
      </c>
      <c r="K1173" s="73" t="s">
        <v>29</v>
      </c>
      <c r="L1173" s="13">
        <v>24812</v>
      </c>
      <c r="M1173" s="13">
        <v>0</v>
      </c>
      <c r="N1173" s="13">
        <v>18507</v>
      </c>
      <c r="O1173" s="13">
        <v>4850</v>
      </c>
      <c r="P1173" s="13">
        <v>0</v>
      </c>
      <c r="Q1173" s="13">
        <v>19963</v>
      </c>
      <c r="R1173" s="13">
        <v>4265</v>
      </c>
      <c r="S1173" s="13">
        <v>2</v>
      </c>
      <c r="T1173" s="81">
        <v>0</v>
      </c>
    </row>
    <row r="1174" spans="1:20" ht="15" customHeight="1" x14ac:dyDescent="0.2">
      <c r="A1174" s="15" t="s">
        <v>2484</v>
      </c>
      <c r="B1174" s="60">
        <v>68969625</v>
      </c>
      <c r="C1174" s="15"/>
      <c r="D1174" s="15"/>
      <c r="E1174" s="15"/>
      <c r="F1174" s="15" t="s">
        <v>265</v>
      </c>
      <c r="G1174" s="34">
        <v>2</v>
      </c>
      <c r="H1174" s="34">
        <v>9</v>
      </c>
      <c r="I1174" s="15" t="s">
        <v>2485</v>
      </c>
      <c r="J1174" s="15" t="s">
        <v>39</v>
      </c>
      <c r="K1174" s="74" t="s">
        <v>29</v>
      </c>
      <c r="L1174" s="16">
        <v>24808</v>
      </c>
      <c r="M1174" s="16">
        <v>12906</v>
      </c>
      <c r="N1174" s="16">
        <v>11414</v>
      </c>
      <c r="O1174" s="16">
        <v>4078</v>
      </c>
      <c r="P1174" s="16">
        <v>2505</v>
      </c>
      <c r="Q1174" s="16">
        <v>20729</v>
      </c>
      <c r="R1174" s="16">
        <v>1227</v>
      </c>
      <c r="S1174" s="16">
        <v>0</v>
      </c>
      <c r="T1174" s="111">
        <v>0</v>
      </c>
    </row>
    <row r="1175" spans="1:20" ht="15" customHeight="1" x14ac:dyDescent="0.2">
      <c r="A1175" s="12" t="s">
        <v>2486</v>
      </c>
      <c r="B1175" s="56">
        <v>38320462</v>
      </c>
      <c r="C1175" s="12" t="s">
        <v>2487</v>
      </c>
      <c r="D1175" s="12"/>
      <c r="E1175" s="12" t="s">
        <v>2488</v>
      </c>
      <c r="F1175" s="12" t="s">
        <v>84</v>
      </c>
      <c r="G1175" s="33">
        <v>2</v>
      </c>
      <c r="H1175" s="33">
        <v>41</v>
      </c>
      <c r="I1175" s="12" t="s">
        <v>132</v>
      </c>
      <c r="J1175" s="12" t="s">
        <v>133</v>
      </c>
      <c r="K1175" s="73" t="s">
        <v>29</v>
      </c>
      <c r="L1175" s="13">
        <v>24714</v>
      </c>
      <c r="M1175" s="13">
        <v>0</v>
      </c>
      <c r="N1175" s="13">
        <v>270</v>
      </c>
      <c r="O1175" s="13">
        <v>10667</v>
      </c>
      <c r="P1175" s="13">
        <v>5558</v>
      </c>
      <c r="Q1175" s="13">
        <v>14047</v>
      </c>
      <c r="R1175" s="13">
        <v>2266</v>
      </c>
      <c r="S1175" s="13">
        <v>1</v>
      </c>
      <c r="T1175" s="81">
        <v>0</v>
      </c>
    </row>
    <row r="1176" spans="1:20" ht="15" customHeight="1" x14ac:dyDescent="0.2">
      <c r="A1176" s="15" t="s">
        <v>2489</v>
      </c>
      <c r="B1176" s="60">
        <v>54335401</v>
      </c>
      <c r="C1176" s="15"/>
      <c r="D1176" s="15"/>
      <c r="E1176" s="15"/>
      <c r="F1176" s="15" t="s">
        <v>265</v>
      </c>
      <c r="G1176" s="34">
        <v>2</v>
      </c>
      <c r="H1176" s="34">
        <v>9</v>
      </c>
      <c r="I1176" s="15" t="s">
        <v>2490</v>
      </c>
      <c r="J1176" s="15" t="s">
        <v>39</v>
      </c>
      <c r="K1176" s="74" t="s">
        <v>29</v>
      </c>
      <c r="L1176" s="16">
        <v>24299</v>
      </c>
      <c r="M1176" s="16">
        <v>11075</v>
      </c>
      <c r="N1176" s="16">
        <v>12064</v>
      </c>
      <c r="O1176" s="16">
        <v>1436</v>
      </c>
      <c r="P1176" s="16">
        <v>100</v>
      </c>
      <c r="Q1176" s="16">
        <v>22863</v>
      </c>
      <c r="R1176" s="16">
        <v>469</v>
      </c>
      <c r="S1176" s="16">
        <v>0</v>
      </c>
      <c r="T1176" s="111">
        <v>0</v>
      </c>
    </row>
    <row r="1177" spans="1:20" ht="15" customHeight="1" x14ac:dyDescent="0.2">
      <c r="A1177" s="12" t="s">
        <v>2491</v>
      </c>
      <c r="B1177" s="56">
        <v>24361690</v>
      </c>
      <c r="C1177" s="12" t="s">
        <v>2492</v>
      </c>
      <c r="D1177" s="12"/>
      <c r="E1177" s="12" t="s">
        <v>2493</v>
      </c>
      <c r="F1177" s="12" t="s">
        <v>98</v>
      </c>
      <c r="G1177" s="33">
        <v>2</v>
      </c>
      <c r="H1177" s="33">
        <v>16</v>
      </c>
      <c r="I1177" s="12" t="s">
        <v>38</v>
      </c>
      <c r="J1177" s="12" t="s">
        <v>39</v>
      </c>
      <c r="K1177" s="73" t="s">
        <v>29</v>
      </c>
      <c r="L1177" s="13">
        <v>24255</v>
      </c>
      <c r="M1177" s="13">
        <v>0</v>
      </c>
      <c r="N1177" s="13">
        <v>11191</v>
      </c>
      <c r="O1177" s="13">
        <v>6559</v>
      </c>
      <c r="P1177" s="13">
        <v>0</v>
      </c>
      <c r="Q1177" s="13">
        <v>17696</v>
      </c>
      <c r="R1177" s="13">
        <v>7163</v>
      </c>
      <c r="S1177" s="13">
        <v>2</v>
      </c>
      <c r="T1177" s="81">
        <v>0</v>
      </c>
    </row>
    <row r="1178" spans="1:20" ht="15" customHeight="1" x14ac:dyDescent="0.2">
      <c r="A1178" s="15" t="s">
        <v>2494</v>
      </c>
      <c r="B1178" s="60">
        <v>17364795</v>
      </c>
      <c r="C1178" s="15" t="s">
        <v>175</v>
      </c>
      <c r="D1178" s="15" t="s">
        <v>176</v>
      </c>
      <c r="E1178" s="15" t="s">
        <v>177</v>
      </c>
      <c r="F1178" s="15" t="s">
        <v>98</v>
      </c>
      <c r="G1178" s="34">
        <v>2</v>
      </c>
      <c r="H1178" s="34">
        <v>16</v>
      </c>
      <c r="I1178" s="15" t="s">
        <v>119</v>
      </c>
      <c r="J1178" s="15" t="s">
        <v>120</v>
      </c>
      <c r="K1178" s="74" t="s">
        <v>29</v>
      </c>
      <c r="L1178" s="16">
        <v>24157</v>
      </c>
      <c r="M1178" s="16">
        <v>0</v>
      </c>
      <c r="N1178" s="16">
        <v>0</v>
      </c>
      <c r="O1178" s="16">
        <v>1101</v>
      </c>
      <c r="P1178" s="16">
        <v>0</v>
      </c>
      <c r="Q1178" s="16">
        <v>23056</v>
      </c>
      <c r="R1178" s="16">
        <v>692</v>
      </c>
      <c r="S1178" s="16">
        <v>2</v>
      </c>
      <c r="T1178" s="111">
        <v>0</v>
      </c>
    </row>
    <row r="1179" spans="1:20" ht="15" customHeight="1" x14ac:dyDescent="0.2">
      <c r="A1179" s="12" t="s">
        <v>2495</v>
      </c>
      <c r="B1179" s="56">
        <v>460065</v>
      </c>
      <c r="C1179" s="12" t="s">
        <v>2496</v>
      </c>
      <c r="D1179" s="12"/>
      <c r="E1179" s="12" t="s">
        <v>2497</v>
      </c>
      <c r="F1179" s="12" t="s">
        <v>98</v>
      </c>
      <c r="G1179" s="33">
        <v>2</v>
      </c>
      <c r="H1179" s="33">
        <v>16</v>
      </c>
      <c r="I1179" s="12" t="s">
        <v>53</v>
      </c>
      <c r="J1179" s="12" t="s">
        <v>54</v>
      </c>
      <c r="K1179" s="73" t="s">
        <v>29</v>
      </c>
      <c r="L1179" s="13">
        <v>24099</v>
      </c>
      <c r="M1179" s="13">
        <v>0</v>
      </c>
      <c r="N1179" s="13">
        <v>7227</v>
      </c>
      <c r="O1179" s="13">
        <v>13257</v>
      </c>
      <c r="P1179" s="13">
        <v>1</v>
      </c>
      <c r="Q1179" s="13">
        <v>10842</v>
      </c>
      <c r="R1179" s="13">
        <v>-3165</v>
      </c>
      <c r="S1179" s="13">
        <v>2</v>
      </c>
      <c r="T1179" s="81">
        <v>0</v>
      </c>
    </row>
    <row r="1180" spans="1:20" ht="15" customHeight="1" x14ac:dyDescent="0.2">
      <c r="A1180" s="15" t="s">
        <v>2498</v>
      </c>
      <c r="B1180" s="60">
        <v>35534511</v>
      </c>
      <c r="C1180" s="15" t="s">
        <v>2499</v>
      </c>
      <c r="D1180" s="15"/>
      <c r="E1180" s="15" t="s">
        <v>2500</v>
      </c>
      <c r="F1180" s="15" t="s">
        <v>84</v>
      </c>
      <c r="G1180" s="34">
        <v>2</v>
      </c>
      <c r="H1180" s="34">
        <v>41</v>
      </c>
      <c r="I1180" s="15" t="s">
        <v>2501</v>
      </c>
      <c r="J1180" s="15" t="s">
        <v>74</v>
      </c>
      <c r="K1180" s="74" t="s">
        <v>29</v>
      </c>
      <c r="L1180" s="16">
        <v>23695</v>
      </c>
      <c r="M1180" s="16">
        <v>0</v>
      </c>
      <c r="N1180" s="16">
        <v>19738</v>
      </c>
      <c r="O1180" s="16">
        <v>18411</v>
      </c>
      <c r="P1180" s="16">
        <v>18379</v>
      </c>
      <c r="Q1180" s="16">
        <v>5284</v>
      </c>
      <c r="R1180" s="16">
        <v>102</v>
      </c>
      <c r="S1180" s="16">
        <v>1</v>
      </c>
      <c r="T1180" s="111">
        <v>0</v>
      </c>
    </row>
    <row r="1181" spans="1:20" ht="15" customHeight="1" x14ac:dyDescent="0.2">
      <c r="A1181" s="12" t="s">
        <v>2502</v>
      </c>
      <c r="B1181" s="56">
        <v>7253654</v>
      </c>
      <c r="C1181" s="12" t="s">
        <v>2503</v>
      </c>
      <c r="D1181" s="12"/>
      <c r="E1181" s="12" t="s">
        <v>2504</v>
      </c>
      <c r="F1181" s="12" t="s">
        <v>98</v>
      </c>
      <c r="G1181" s="33">
        <v>2</v>
      </c>
      <c r="H1181" s="33">
        <v>16</v>
      </c>
      <c r="I1181" s="12" t="s">
        <v>38</v>
      </c>
      <c r="J1181" s="12" t="s">
        <v>39</v>
      </c>
      <c r="K1181" s="73" t="s">
        <v>29</v>
      </c>
      <c r="L1181" s="13">
        <v>23533</v>
      </c>
      <c r="M1181" s="13">
        <v>0</v>
      </c>
      <c r="N1181" s="13">
        <v>12296</v>
      </c>
      <c r="O1181" s="13">
        <v>8856</v>
      </c>
      <c r="P1181" s="13">
        <v>2647</v>
      </c>
      <c r="Q1181" s="13">
        <v>14677</v>
      </c>
      <c r="R1181" s="13">
        <v>949</v>
      </c>
      <c r="S1181" s="13">
        <v>2</v>
      </c>
      <c r="T1181" s="81">
        <v>0</v>
      </c>
    </row>
    <row r="1182" spans="1:20" ht="15" customHeight="1" x14ac:dyDescent="0.2">
      <c r="A1182" s="15" t="s">
        <v>2505</v>
      </c>
      <c r="B1182" s="60">
        <v>53846242</v>
      </c>
      <c r="C1182" s="15"/>
      <c r="D1182" s="15"/>
      <c r="E1182" s="15"/>
      <c r="F1182" s="15" t="s">
        <v>265</v>
      </c>
      <c r="G1182" s="34">
        <v>2</v>
      </c>
      <c r="H1182" s="34">
        <v>9</v>
      </c>
      <c r="I1182" s="15" t="s">
        <v>2506</v>
      </c>
      <c r="J1182" s="15" t="s">
        <v>39</v>
      </c>
      <c r="K1182" s="74" t="s">
        <v>29</v>
      </c>
      <c r="L1182" s="16">
        <v>23280</v>
      </c>
      <c r="M1182" s="16">
        <v>19361</v>
      </c>
      <c r="N1182" s="16">
        <v>3871</v>
      </c>
      <c r="O1182" s="16">
        <v>317</v>
      </c>
      <c r="P1182" s="16">
        <v>0</v>
      </c>
      <c r="Q1182" s="16">
        <v>22963</v>
      </c>
      <c r="R1182" s="16">
        <v>1341</v>
      </c>
      <c r="S1182" s="16">
        <v>0</v>
      </c>
      <c r="T1182" s="111">
        <v>0</v>
      </c>
    </row>
    <row r="1183" spans="1:20" ht="15" customHeight="1" x14ac:dyDescent="0.2">
      <c r="A1183" s="12" t="s">
        <v>2507</v>
      </c>
      <c r="B1183" s="56">
        <v>43182278</v>
      </c>
      <c r="C1183" s="12"/>
      <c r="D1183" s="12"/>
      <c r="E1183" s="12"/>
      <c r="F1183" s="12" t="s">
        <v>265</v>
      </c>
      <c r="G1183" s="33">
        <v>2</v>
      </c>
      <c r="H1183" s="33">
        <v>9</v>
      </c>
      <c r="I1183" s="12" t="s">
        <v>38</v>
      </c>
      <c r="J1183" s="12" t="s">
        <v>39</v>
      </c>
      <c r="K1183" s="73" t="s">
        <v>29</v>
      </c>
      <c r="L1183" s="13">
        <v>23141</v>
      </c>
      <c r="M1183" s="13">
        <v>7312</v>
      </c>
      <c r="N1183" s="13">
        <v>15138</v>
      </c>
      <c r="O1183" s="13">
        <v>861</v>
      </c>
      <c r="P1183" s="13">
        <v>0</v>
      </c>
      <c r="Q1183" s="13">
        <v>22280</v>
      </c>
      <c r="R1183" s="13">
        <v>1138</v>
      </c>
      <c r="S1183" s="13">
        <v>0</v>
      </c>
      <c r="T1183" s="81">
        <v>0</v>
      </c>
    </row>
    <row r="1184" spans="1:20" ht="15" customHeight="1" x14ac:dyDescent="0.2">
      <c r="A1184" s="15" t="s">
        <v>2508</v>
      </c>
      <c r="B1184" s="60">
        <v>45331622</v>
      </c>
      <c r="C1184" s="15" t="s">
        <v>2509</v>
      </c>
      <c r="D1184" s="15"/>
      <c r="E1184" s="15" t="s">
        <v>2510</v>
      </c>
      <c r="F1184" s="15" t="s">
        <v>65</v>
      </c>
      <c r="G1184" s="34">
        <v>2</v>
      </c>
      <c r="H1184" s="34">
        <v>43</v>
      </c>
      <c r="I1184" s="15" t="s">
        <v>1004</v>
      </c>
      <c r="J1184" s="15" t="s">
        <v>39</v>
      </c>
      <c r="K1184" s="74" t="s">
        <v>29</v>
      </c>
      <c r="L1184" s="16">
        <v>23007</v>
      </c>
      <c r="M1184" s="16">
        <v>1228</v>
      </c>
      <c r="N1184" s="16">
        <v>4908</v>
      </c>
      <c r="O1184" s="16">
        <v>12759</v>
      </c>
      <c r="P1184" s="16">
        <v>12592</v>
      </c>
      <c r="Q1184" s="16">
        <v>10248</v>
      </c>
      <c r="R1184" s="16">
        <v>247</v>
      </c>
      <c r="S1184" s="16">
        <v>2</v>
      </c>
      <c r="T1184" s="111">
        <v>0</v>
      </c>
    </row>
    <row r="1185" spans="1:20" ht="15" customHeight="1" x14ac:dyDescent="0.2">
      <c r="A1185" s="12" t="s">
        <v>2511</v>
      </c>
      <c r="B1185" s="56">
        <v>946465</v>
      </c>
      <c r="C1185" s="12"/>
      <c r="D1185" s="12"/>
      <c r="E1185" s="12"/>
      <c r="F1185" s="12" t="s">
        <v>265</v>
      </c>
      <c r="G1185" s="33">
        <v>2</v>
      </c>
      <c r="H1185" s="33">
        <v>9</v>
      </c>
      <c r="I1185" s="12" t="s">
        <v>1223</v>
      </c>
      <c r="J1185" s="12" t="s">
        <v>39</v>
      </c>
      <c r="K1185" s="73" t="s">
        <v>29</v>
      </c>
      <c r="L1185" s="13">
        <v>22977</v>
      </c>
      <c r="M1185" s="13">
        <v>17560</v>
      </c>
      <c r="N1185" s="13">
        <v>4228</v>
      </c>
      <c r="O1185" s="13">
        <v>418</v>
      </c>
      <c r="P1185" s="13">
        <v>0</v>
      </c>
      <c r="Q1185" s="13">
        <v>22559</v>
      </c>
      <c r="R1185" s="13">
        <v>1091</v>
      </c>
      <c r="S1185" s="13">
        <v>0</v>
      </c>
      <c r="T1185" s="81">
        <v>0</v>
      </c>
    </row>
    <row r="1186" spans="1:20" ht="15" customHeight="1" x14ac:dyDescent="0.2">
      <c r="A1186" s="15" t="s">
        <v>2512</v>
      </c>
      <c r="B1186" s="60">
        <v>51604356</v>
      </c>
      <c r="C1186" s="15" t="s">
        <v>2513</v>
      </c>
      <c r="D1186" s="15"/>
      <c r="E1186" s="15" t="s">
        <v>2514</v>
      </c>
      <c r="F1186" s="15" t="s">
        <v>65</v>
      </c>
      <c r="G1186" s="34">
        <v>2</v>
      </c>
      <c r="H1186" s="34">
        <v>43</v>
      </c>
      <c r="I1186" s="15" t="s">
        <v>2515</v>
      </c>
      <c r="J1186" s="15" t="s">
        <v>39</v>
      </c>
      <c r="K1186" s="74" t="s">
        <v>29</v>
      </c>
      <c r="L1186" s="16">
        <v>22966</v>
      </c>
      <c r="M1186" s="16">
        <v>0</v>
      </c>
      <c r="N1186" s="16">
        <v>6840</v>
      </c>
      <c r="O1186" s="16">
        <v>13824</v>
      </c>
      <c r="P1186" s="16">
        <v>0</v>
      </c>
      <c r="Q1186" s="16">
        <v>9142</v>
      </c>
      <c r="R1186" s="16">
        <v>1955</v>
      </c>
      <c r="S1186" s="16">
        <v>2</v>
      </c>
      <c r="T1186" s="111">
        <v>0</v>
      </c>
    </row>
    <row r="1187" spans="1:20" ht="15" customHeight="1" x14ac:dyDescent="0.2">
      <c r="A1187" s="12" t="s">
        <v>2516</v>
      </c>
      <c r="B1187" s="56">
        <v>45854066</v>
      </c>
      <c r="C1187" s="12" t="s">
        <v>2517</v>
      </c>
      <c r="D1187" s="12"/>
      <c r="E1187" s="12" t="s">
        <v>2518</v>
      </c>
      <c r="F1187" s="12" t="s">
        <v>98</v>
      </c>
      <c r="G1187" s="33">
        <v>2</v>
      </c>
      <c r="H1187" s="33">
        <v>16</v>
      </c>
      <c r="I1187" s="12" t="s">
        <v>38</v>
      </c>
      <c r="J1187" s="12" t="s">
        <v>39</v>
      </c>
      <c r="K1187" s="73" t="s">
        <v>29</v>
      </c>
      <c r="L1187" s="13">
        <v>22585</v>
      </c>
      <c r="M1187" s="13">
        <v>0</v>
      </c>
      <c r="N1187" s="13">
        <v>11703</v>
      </c>
      <c r="O1187" s="13">
        <v>10103</v>
      </c>
      <c r="P1187" s="13">
        <v>9163</v>
      </c>
      <c r="Q1187" s="13">
        <v>12481</v>
      </c>
      <c r="R1187" s="13">
        <v>563</v>
      </c>
      <c r="S1187" s="13">
        <v>2</v>
      </c>
      <c r="T1187" s="81">
        <v>0</v>
      </c>
    </row>
    <row r="1188" spans="1:20" ht="15" customHeight="1" x14ac:dyDescent="0.2">
      <c r="A1188" s="15" t="s">
        <v>2519</v>
      </c>
      <c r="B1188" s="60">
        <v>6975532</v>
      </c>
      <c r="C1188" s="15"/>
      <c r="D1188" s="15"/>
      <c r="E1188" s="15"/>
      <c r="F1188" s="15" t="s">
        <v>265</v>
      </c>
      <c r="G1188" s="34">
        <v>2</v>
      </c>
      <c r="H1188" s="34">
        <v>9</v>
      </c>
      <c r="I1188" s="15" t="s">
        <v>73</v>
      </c>
      <c r="J1188" s="15" t="s">
        <v>74</v>
      </c>
      <c r="K1188" s="74" t="s">
        <v>29</v>
      </c>
      <c r="L1188" s="16">
        <v>22299</v>
      </c>
      <c r="M1188" s="16">
        <v>10634</v>
      </c>
      <c r="N1188" s="16">
        <v>504</v>
      </c>
      <c r="O1188" s="16">
        <v>13235</v>
      </c>
      <c r="P1188" s="16">
        <v>8833</v>
      </c>
      <c r="Q1188" s="16">
        <v>9064</v>
      </c>
      <c r="R1188" s="16">
        <v>-283</v>
      </c>
      <c r="S1188" s="16">
        <v>0</v>
      </c>
      <c r="T1188" s="111">
        <v>0</v>
      </c>
    </row>
    <row r="1189" spans="1:20" ht="15" customHeight="1" x14ac:dyDescent="0.2">
      <c r="A1189" s="12" t="s">
        <v>2520</v>
      </c>
      <c r="B1189" s="56">
        <v>43978697</v>
      </c>
      <c r="C1189" s="12" t="s">
        <v>2521</v>
      </c>
      <c r="D1189" s="12"/>
      <c r="E1189" s="12" t="s">
        <v>2522</v>
      </c>
      <c r="F1189" s="12" t="s">
        <v>65</v>
      </c>
      <c r="G1189" s="33">
        <v>2</v>
      </c>
      <c r="H1189" s="33">
        <v>43</v>
      </c>
      <c r="I1189" s="12" t="s">
        <v>107</v>
      </c>
      <c r="J1189" s="12" t="s">
        <v>39</v>
      </c>
      <c r="K1189" s="73" t="s">
        <v>29</v>
      </c>
      <c r="L1189" s="13">
        <v>22045</v>
      </c>
      <c r="M1189" s="13">
        <v>0</v>
      </c>
      <c r="N1189" s="13">
        <v>276</v>
      </c>
      <c r="O1189" s="13">
        <v>12381</v>
      </c>
      <c r="P1189" s="13">
        <v>11561</v>
      </c>
      <c r="Q1189" s="13">
        <v>9664</v>
      </c>
      <c r="R1189" s="13">
        <v>274</v>
      </c>
      <c r="S1189" s="13">
        <v>2</v>
      </c>
      <c r="T1189" s="81">
        <v>0</v>
      </c>
    </row>
    <row r="1190" spans="1:20" ht="15" customHeight="1" x14ac:dyDescent="0.2">
      <c r="A1190" s="15" t="s">
        <v>2523</v>
      </c>
      <c r="B1190" s="60">
        <v>5548335</v>
      </c>
      <c r="C1190" s="15"/>
      <c r="D1190" s="15"/>
      <c r="E1190" s="15"/>
      <c r="F1190" s="15" t="s">
        <v>265</v>
      </c>
      <c r="G1190" s="34">
        <v>2</v>
      </c>
      <c r="H1190" s="34">
        <v>9</v>
      </c>
      <c r="I1190" s="15" t="s">
        <v>2524</v>
      </c>
      <c r="J1190" s="15" t="s">
        <v>54</v>
      </c>
      <c r="K1190" s="74" t="s">
        <v>29</v>
      </c>
      <c r="L1190" s="16">
        <v>21781</v>
      </c>
      <c r="M1190" s="16">
        <v>5144</v>
      </c>
      <c r="N1190" s="16">
        <v>6646</v>
      </c>
      <c r="O1190" s="16">
        <v>3288</v>
      </c>
      <c r="P1190" s="16">
        <v>0</v>
      </c>
      <c r="Q1190" s="16">
        <v>18493</v>
      </c>
      <c r="R1190" s="16">
        <v>752</v>
      </c>
      <c r="S1190" s="16">
        <v>0</v>
      </c>
      <c r="T1190" s="111">
        <v>0</v>
      </c>
    </row>
    <row r="1191" spans="1:20" ht="15" customHeight="1" x14ac:dyDescent="0.2">
      <c r="A1191" s="12" t="s">
        <v>2525</v>
      </c>
      <c r="B1191" s="56">
        <v>16944141</v>
      </c>
      <c r="C1191" s="12" t="s">
        <v>2526</v>
      </c>
      <c r="D1191" s="12"/>
      <c r="E1191" s="12" t="s">
        <v>2527</v>
      </c>
      <c r="F1191" s="12" t="s">
        <v>98</v>
      </c>
      <c r="G1191" s="33">
        <v>2</v>
      </c>
      <c r="H1191" s="33">
        <v>21</v>
      </c>
      <c r="I1191" s="12" t="s">
        <v>38</v>
      </c>
      <c r="J1191" s="12" t="s">
        <v>39</v>
      </c>
      <c r="K1191" s="73" t="s">
        <v>29</v>
      </c>
      <c r="L1191" s="13">
        <v>21749</v>
      </c>
      <c r="M1191" s="13">
        <v>0</v>
      </c>
      <c r="N1191" s="13">
        <v>10252</v>
      </c>
      <c r="O1191" s="13">
        <v>9540</v>
      </c>
      <c r="P1191" s="13">
        <v>0</v>
      </c>
      <c r="Q1191" s="13">
        <v>12209</v>
      </c>
      <c r="R1191" s="13">
        <v>1209</v>
      </c>
      <c r="S1191" s="13">
        <v>2</v>
      </c>
      <c r="T1191" s="81">
        <v>0</v>
      </c>
    </row>
    <row r="1192" spans="1:20" ht="15" customHeight="1" x14ac:dyDescent="0.2">
      <c r="A1192" s="15" t="s">
        <v>2528</v>
      </c>
      <c r="B1192" s="60">
        <v>4998845</v>
      </c>
      <c r="C1192" s="15"/>
      <c r="D1192" s="15"/>
      <c r="E1192" s="15"/>
      <c r="F1192" s="15" t="s">
        <v>265</v>
      </c>
      <c r="G1192" s="34">
        <v>2</v>
      </c>
      <c r="H1192" s="34">
        <v>9</v>
      </c>
      <c r="I1192" s="15" t="s">
        <v>2529</v>
      </c>
      <c r="J1192" s="15" t="s">
        <v>144</v>
      </c>
      <c r="K1192" s="74" t="s">
        <v>29</v>
      </c>
      <c r="L1192" s="16">
        <v>21393</v>
      </c>
      <c r="M1192" s="16">
        <v>14048</v>
      </c>
      <c r="N1192" s="16">
        <v>6276</v>
      </c>
      <c r="O1192" s="16">
        <v>656</v>
      </c>
      <c r="P1192" s="16">
        <v>0</v>
      </c>
      <c r="Q1192" s="16">
        <v>20737</v>
      </c>
      <c r="R1192" s="16">
        <v>901</v>
      </c>
      <c r="S1192" s="16">
        <v>0</v>
      </c>
      <c r="T1192" s="111">
        <v>0</v>
      </c>
    </row>
    <row r="1193" spans="1:20" ht="15" customHeight="1" x14ac:dyDescent="0.2">
      <c r="A1193" s="12" t="s">
        <v>2530</v>
      </c>
      <c r="B1193" s="56">
        <v>48786608</v>
      </c>
      <c r="C1193" s="12" t="s">
        <v>722</v>
      </c>
      <c r="D1193" s="12"/>
      <c r="E1193" s="12" t="s">
        <v>723</v>
      </c>
      <c r="F1193" s="12" t="s">
        <v>65</v>
      </c>
      <c r="G1193" s="33">
        <v>2</v>
      </c>
      <c r="H1193" s="33">
        <v>14</v>
      </c>
      <c r="I1193" s="12" t="s">
        <v>528</v>
      </c>
      <c r="J1193" s="12" t="s">
        <v>217</v>
      </c>
      <c r="K1193" s="73" t="s">
        <v>29</v>
      </c>
      <c r="L1193" s="13">
        <v>21338</v>
      </c>
      <c r="M1193" s="13">
        <v>501</v>
      </c>
      <c r="N1193" s="13">
        <v>20407</v>
      </c>
      <c r="O1193" s="13">
        <v>503</v>
      </c>
      <c r="P1193" s="13">
        <v>0</v>
      </c>
      <c r="Q1193" s="13">
        <v>20835</v>
      </c>
      <c r="R1193" s="13">
        <v>558</v>
      </c>
      <c r="S1193" s="13">
        <v>2</v>
      </c>
      <c r="T1193" s="81">
        <v>0</v>
      </c>
    </row>
    <row r="1194" spans="1:20" ht="15" customHeight="1" x14ac:dyDescent="0.2">
      <c r="A1194" s="15" t="s">
        <v>2531</v>
      </c>
      <c r="B1194" s="60">
        <v>5289612</v>
      </c>
      <c r="C1194" s="15" t="s">
        <v>2532</v>
      </c>
      <c r="D1194" s="15"/>
      <c r="E1194" s="15" t="s">
        <v>2533</v>
      </c>
      <c r="F1194" s="15" t="s">
        <v>65</v>
      </c>
      <c r="G1194" s="34">
        <v>2</v>
      </c>
      <c r="H1194" s="34">
        <v>10</v>
      </c>
      <c r="I1194" s="15" t="s">
        <v>73</v>
      </c>
      <c r="J1194" s="15" t="s">
        <v>74</v>
      </c>
      <c r="K1194" s="74" t="s">
        <v>29</v>
      </c>
      <c r="L1194" s="16">
        <v>21256</v>
      </c>
      <c r="M1194" s="16">
        <v>11987</v>
      </c>
      <c r="N1194" s="16">
        <v>881</v>
      </c>
      <c r="O1194" s="16">
        <v>7102</v>
      </c>
      <c r="P1194" s="16">
        <v>0</v>
      </c>
      <c r="Q1194" s="16">
        <v>14154</v>
      </c>
      <c r="R1194" s="16">
        <v>3002</v>
      </c>
      <c r="S1194" s="16">
        <v>2</v>
      </c>
      <c r="T1194" s="111">
        <v>0</v>
      </c>
    </row>
    <row r="1195" spans="1:20" ht="15" customHeight="1" x14ac:dyDescent="0.2">
      <c r="A1195" s="12" t="s">
        <v>2534</v>
      </c>
      <c r="B1195" s="56">
        <v>7115294</v>
      </c>
      <c r="C1195" s="12" t="s">
        <v>2535</v>
      </c>
      <c r="D1195" s="12"/>
      <c r="E1195" s="12" t="s">
        <v>2536</v>
      </c>
      <c r="F1195" s="12" t="s">
        <v>84</v>
      </c>
      <c r="G1195" s="33">
        <v>3</v>
      </c>
      <c r="H1195" s="33">
        <v>41</v>
      </c>
      <c r="I1195" s="12" t="s">
        <v>38</v>
      </c>
      <c r="J1195" s="12" t="s">
        <v>39</v>
      </c>
      <c r="K1195" s="73" t="s">
        <v>29</v>
      </c>
      <c r="L1195" s="13">
        <v>21005</v>
      </c>
      <c r="M1195" s="13">
        <v>0</v>
      </c>
      <c r="N1195" s="13">
        <v>32</v>
      </c>
      <c r="O1195" s="13">
        <v>15333</v>
      </c>
      <c r="P1195" s="13">
        <v>0</v>
      </c>
      <c r="Q1195" s="13">
        <v>5672</v>
      </c>
      <c r="R1195" s="13">
        <v>-458</v>
      </c>
      <c r="S1195" s="13">
        <v>1</v>
      </c>
      <c r="T1195" s="81">
        <v>0</v>
      </c>
    </row>
    <row r="1196" spans="1:20" ht="15" customHeight="1" x14ac:dyDescent="0.2">
      <c r="A1196" s="15" t="s">
        <v>2537</v>
      </c>
      <c r="B1196" s="60">
        <v>15173776</v>
      </c>
      <c r="C1196" s="15" t="s">
        <v>2538</v>
      </c>
      <c r="D1196" s="15"/>
      <c r="E1196" s="15" t="s">
        <v>2539</v>
      </c>
      <c r="F1196" s="15" t="s">
        <v>26</v>
      </c>
      <c r="G1196" s="34">
        <v>2</v>
      </c>
      <c r="H1196" s="34">
        <v>8</v>
      </c>
      <c r="I1196" s="15" t="s">
        <v>210</v>
      </c>
      <c r="J1196" s="15" t="s">
        <v>211</v>
      </c>
      <c r="K1196" s="74" t="s">
        <v>29</v>
      </c>
      <c r="L1196" s="16">
        <v>20972</v>
      </c>
      <c r="M1196" s="16">
        <v>2071</v>
      </c>
      <c r="N1196" s="16">
        <v>0</v>
      </c>
      <c r="O1196" s="16">
        <v>2216</v>
      </c>
      <c r="P1196" s="16">
        <v>2066</v>
      </c>
      <c r="Q1196" s="16">
        <v>18755</v>
      </c>
      <c r="R1196" s="16">
        <v>-502</v>
      </c>
      <c r="S1196" s="16">
        <v>1</v>
      </c>
      <c r="T1196" s="111">
        <v>0</v>
      </c>
    </row>
    <row r="1197" spans="1:20" ht="15" customHeight="1" x14ac:dyDescent="0.2">
      <c r="A1197" s="12" t="s">
        <v>2540</v>
      </c>
      <c r="B1197" s="56">
        <v>35542555</v>
      </c>
      <c r="C1197" s="12" t="s">
        <v>2541</v>
      </c>
      <c r="D1197" s="12"/>
      <c r="E1197" s="12" t="s">
        <v>2542</v>
      </c>
      <c r="F1197" s="12" t="s">
        <v>84</v>
      </c>
      <c r="G1197" s="33">
        <v>3</v>
      </c>
      <c r="H1197" s="33">
        <v>41</v>
      </c>
      <c r="I1197" s="12" t="s">
        <v>38</v>
      </c>
      <c r="J1197" s="12" t="s">
        <v>39</v>
      </c>
      <c r="K1197" s="73" t="s">
        <v>29</v>
      </c>
      <c r="L1197" s="13">
        <v>20904</v>
      </c>
      <c r="M1197" s="13">
        <v>0</v>
      </c>
      <c r="N1197" s="13">
        <v>7615</v>
      </c>
      <c r="O1197" s="13">
        <v>11091</v>
      </c>
      <c r="P1197" s="13">
        <v>0</v>
      </c>
      <c r="Q1197" s="13">
        <v>9812</v>
      </c>
      <c r="R1197" s="13">
        <v>-285</v>
      </c>
      <c r="S1197" s="13">
        <v>1</v>
      </c>
      <c r="T1197" s="81">
        <v>0</v>
      </c>
    </row>
    <row r="1198" spans="1:20" ht="15" customHeight="1" x14ac:dyDescent="0.2">
      <c r="A1198" s="15" t="s">
        <v>2543</v>
      </c>
      <c r="B1198" s="60">
        <v>43730498</v>
      </c>
      <c r="C1198" s="15"/>
      <c r="D1198" s="15"/>
      <c r="E1198" s="15"/>
      <c r="F1198" s="15" t="s">
        <v>265</v>
      </c>
      <c r="G1198" s="34">
        <v>2</v>
      </c>
      <c r="H1198" s="34">
        <v>9</v>
      </c>
      <c r="I1198" s="15" t="s">
        <v>38</v>
      </c>
      <c r="J1198" s="15" t="s">
        <v>39</v>
      </c>
      <c r="K1198" s="74" t="s">
        <v>29</v>
      </c>
      <c r="L1198" s="16">
        <v>20436</v>
      </c>
      <c r="M1198" s="16">
        <v>12157</v>
      </c>
      <c r="N1198" s="16">
        <v>1917</v>
      </c>
      <c r="O1198" s="16">
        <v>999</v>
      </c>
      <c r="P1198" s="16">
        <v>0</v>
      </c>
      <c r="Q1198" s="16">
        <v>19437</v>
      </c>
      <c r="R1198" s="16">
        <v>941</v>
      </c>
      <c r="S1198" s="16">
        <v>0</v>
      </c>
      <c r="T1198" s="111">
        <v>0</v>
      </c>
    </row>
    <row r="1199" spans="1:20" ht="15" customHeight="1" x14ac:dyDescent="0.2">
      <c r="A1199" s="12" t="s">
        <v>2544</v>
      </c>
      <c r="B1199" s="56">
        <v>16683062</v>
      </c>
      <c r="C1199" s="12" t="s">
        <v>1979</v>
      </c>
      <c r="D1199" s="12"/>
      <c r="E1199" s="12" t="s">
        <v>1980</v>
      </c>
      <c r="F1199" s="12" t="s">
        <v>98</v>
      </c>
      <c r="G1199" s="33">
        <v>2</v>
      </c>
      <c r="H1199" s="33">
        <v>15</v>
      </c>
      <c r="I1199" s="12" t="s">
        <v>119</v>
      </c>
      <c r="J1199" s="12" t="s">
        <v>120</v>
      </c>
      <c r="K1199" s="73" t="s">
        <v>29</v>
      </c>
      <c r="L1199" s="13">
        <v>20122</v>
      </c>
      <c r="M1199" s="13">
        <v>9215</v>
      </c>
      <c r="N1199" s="13">
        <v>0</v>
      </c>
      <c r="O1199" s="13">
        <v>1246</v>
      </c>
      <c r="P1199" s="13">
        <v>12</v>
      </c>
      <c r="Q1199" s="13">
        <v>18876</v>
      </c>
      <c r="R1199" s="13">
        <v>-88</v>
      </c>
      <c r="S1199" s="13">
        <v>2</v>
      </c>
      <c r="T1199" s="81">
        <v>0</v>
      </c>
    </row>
    <row r="1200" spans="1:20" ht="15" customHeight="1" x14ac:dyDescent="0.2">
      <c r="A1200" s="15" t="s">
        <v>2545</v>
      </c>
      <c r="B1200" s="60">
        <v>30949267</v>
      </c>
      <c r="C1200" s="15"/>
      <c r="D1200" s="15"/>
      <c r="E1200" s="15"/>
      <c r="F1200" s="15" t="s">
        <v>265</v>
      </c>
      <c r="G1200" s="34">
        <v>2</v>
      </c>
      <c r="H1200" s="34">
        <v>9</v>
      </c>
      <c r="I1200" s="15" t="s">
        <v>2546</v>
      </c>
      <c r="J1200" s="15" t="s">
        <v>183</v>
      </c>
      <c r="K1200" s="74" t="s">
        <v>29</v>
      </c>
      <c r="L1200" s="16">
        <v>20121</v>
      </c>
      <c r="M1200" s="16">
        <v>8010</v>
      </c>
      <c r="N1200" s="16">
        <v>10127</v>
      </c>
      <c r="O1200" s="16">
        <v>17392</v>
      </c>
      <c r="P1200" s="16">
        <v>16315</v>
      </c>
      <c r="Q1200" s="16">
        <v>2729</v>
      </c>
      <c r="R1200" s="16">
        <v>-100</v>
      </c>
      <c r="S1200" s="16">
        <v>0</v>
      </c>
      <c r="T1200" s="111">
        <v>0</v>
      </c>
    </row>
    <row r="1201" spans="1:20" ht="15" customHeight="1" x14ac:dyDescent="0.2">
      <c r="A1201" s="12" t="s">
        <v>2547</v>
      </c>
      <c r="B1201" s="56">
        <v>57440521</v>
      </c>
      <c r="C1201" s="12"/>
      <c r="D1201" s="12"/>
      <c r="E1201" s="12"/>
      <c r="F1201" s="12" t="s">
        <v>265</v>
      </c>
      <c r="G1201" s="33">
        <v>2</v>
      </c>
      <c r="H1201" s="33">
        <v>9</v>
      </c>
      <c r="I1201" s="12" t="s">
        <v>38</v>
      </c>
      <c r="J1201" s="12" t="s">
        <v>39</v>
      </c>
      <c r="K1201" s="73" t="s">
        <v>29</v>
      </c>
      <c r="L1201" s="13">
        <v>20062</v>
      </c>
      <c r="M1201" s="13">
        <v>3396</v>
      </c>
      <c r="N1201" s="13">
        <v>15170</v>
      </c>
      <c r="O1201" s="13">
        <v>4145</v>
      </c>
      <c r="P1201" s="13">
        <v>0</v>
      </c>
      <c r="Q1201" s="13">
        <v>15917</v>
      </c>
      <c r="R1201" s="13">
        <v>887</v>
      </c>
      <c r="S1201" s="13">
        <v>0</v>
      </c>
      <c r="T1201" s="81">
        <v>0</v>
      </c>
    </row>
    <row r="1202" spans="1:20" ht="15" customHeight="1" x14ac:dyDescent="0.2">
      <c r="A1202" s="15" t="s">
        <v>2548</v>
      </c>
      <c r="B1202" s="60">
        <v>53184438</v>
      </c>
      <c r="C1202" s="15"/>
      <c r="D1202" s="15"/>
      <c r="E1202" s="15"/>
      <c r="F1202" s="15" t="s">
        <v>265</v>
      </c>
      <c r="G1202" s="34">
        <v>2</v>
      </c>
      <c r="H1202" s="34">
        <v>9</v>
      </c>
      <c r="I1202" s="15" t="s">
        <v>2549</v>
      </c>
      <c r="J1202" s="15" t="s">
        <v>39</v>
      </c>
      <c r="K1202" s="74" t="s">
        <v>29</v>
      </c>
      <c r="L1202" s="16">
        <v>20060</v>
      </c>
      <c r="M1202" s="16">
        <v>16849</v>
      </c>
      <c r="N1202" s="16">
        <v>3139</v>
      </c>
      <c r="O1202" s="16">
        <v>399</v>
      </c>
      <c r="P1202" s="16">
        <v>0</v>
      </c>
      <c r="Q1202" s="16">
        <v>19661</v>
      </c>
      <c r="R1202" s="16">
        <v>1195</v>
      </c>
      <c r="S1202" s="16">
        <v>0</v>
      </c>
      <c r="T1202" s="111">
        <v>2</v>
      </c>
    </row>
    <row r="1203" spans="1:20" ht="15" customHeight="1" x14ac:dyDescent="0.2">
      <c r="A1203" s="12" t="s">
        <v>2550</v>
      </c>
      <c r="B1203" s="56">
        <v>17502881</v>
      </c>
      <c r="C1203" s="12"/>
      <c r="D1203" s="12"/>
      <c r="E1203" s="12"/>
      <c r="F1203" s="12" t="s">
        <v>265</v>
      </c>
      <c r="G1203" s="33">
        <v>2</v>
      </c>
      <c r="H1203" s="33">
        <v>9</v>
      </c>
      <c r="I1203" s="12" t="s">
        <v>119</v>
      </c>
      <c r="J1203" s="12" t="s">
        <v>120</v>
      </c>
      <c r="K1203" s="73" t="s">
        <v>29</v>
      </c>
      <c r="L1203" s="13">
        <v>20029</v>
      </c>
      <c r="M1203" s="13">
        <v>7013</v>
      </c>
      <c r="N1203" s="13">
        <v>2267</v>
      </c>
      <c r="O1203" s="13">
        <v>10091</v>
      </c>
      <c r="P1203" s="13">
        <v>9006</v>
      </c>
      <c r="Q1203" s="13">
        <v>9938</v>
      </c>
      <c r="R1203" s="13">
        <v>392</v>
      </c>
      <c r="S1203" s="13">
        <v>0</v>
      </c>
      <c r="T1203" s="81">
        <v>0</v>
      </c>
    </row>
    <row r="1204" spans="1:20" ht="15" customHeight="1" x14ac:dyDescent="0.2">
      <c r="A1204" s="15" t="s">
        <v>2551</v>
      </c>
      <c r="B1204" s="60">
        <v>42047025</v>
      </c>
      <c r="C1204" s="15" t="s">
        <v>2552</v>
      </c>
      <c r="D1204" s="15"/>
      <c r="E1204" s="15" t="s">
        <v>2553</v>
      </c>
      <c r="F1204" s="15" t="s">
        <v>65</v>
      </c>
      <c r="G1204" s="34">
        <v>2</v>
      </c>
      <c r="H1204" s="34">
        <v>43</v>
      </c>
      <c r="I1204" s="15" t="s">
        <v>305</v>
      </c>
      <c r="J1204" s="15" t="s">
        <v>229</v>
      </c>
      <c r="K1204" s="74" t="s">
        <v>29</v>
      </c>
      <c r="L1204" s="16">
        <v>19896</v>
      </c>
      <c r="M1204" s="16">
        <v>1875</v>
      </c>
      <c r="N1204" s="16">
        <v>0</v>
      </c>
      <c r="O1204" s="16">
        <v>12946</v>
      </c>
      <c r="P1204" s="16">
        <v>8573</v>
      </c>
      <c r="Q1204" s="16">
        <v>6950</v>
      </c>
      <c r="R1204" s="16">
        <v>-33</v>
      </c>
      <c r="S1204" s="16">
        <v>2</v>
      </c>
      <c r="T1204" s="111">
        <v>0</v>
      </c>
    </row>
    <row r="1205" spans="1:20" ht="15" customHeight="1" x14ac:dyDescent="0.2">
      <c r="A1205" s="12" t="s">
        <v>2554</v>
      </c>
      <c r="B1205" s="56">
        <v>60717928</v>
      </c>
      <c r="C1205" s="12" t="s">
        <v>2555</v>
      </c>
      <c r="D1205" s="12"/>
      <c r="E1205" s="12" t="s">
        <v>2556</v>
      </c>
      <c r="F1205" s="12" t="s">
        <v>65</v>
      </c>
      <c r="G1205" s="33">
        <v>2</v>
      </c>
      <c r="H1205" s="33">
        <v>43</v>
      </c>
      <c r="I1205" s="12" t="s">
        <v>38</v>
      </c>
      <c r="J1205" s="12" t="s">
        <v>39</v>
      </c>
      <c r="K1205" s="73" t="s">
        <v>29</v>
      </c>
      <c r="L1205" s="13">
        <v>19811</v>
      </c>
      <c r="M1205" s="13">
        <v>0</v>
      </c>
      <c r="N1205" s="13">
        <v>19274</v>
      </c>
      <c r="O1205" s="13">
        <v>897</v>
      </c>
      <c r="P1205" s="13">
        <v>0</v>
      </c>
      <c r="Q1205" s="13">
        <v>18914</v>
      </c>
      <c r="R1205" s="13">
        <v>678</v>
      </c>
      <c r="S1205" s="13">
        <v>2</v>
      </c>
      <c r="T1205" s="81">
        <v>0</v>
      </c>
    </row>
    <row r="1206" spans="1:20" ht="15" customHeight="1" x14ac:dyDescent="0.2">
      <c r="A1206" s="15" t="s">
        <v>2557</v>
      </c>
      <c r="B1206" s="60">
        <v>50053267</v>
      </c>
      <c r="C1206" s="15" t="s">
        <v>459</v>
      </c>
      <c r="D1206" s="15"/>
      <c r="E1206" s="15" t="s">
        <v>460</v>
      </c>
      <c r="F1206" s="15" t="s">
        <v>65</v>
      </c>
      <c r="G1206" s="34">
        <v>3</v>
      </c>
      <c r="H1206" s="34">
        <v>43</v>
      </c>
      <c r="I1206" s="15" t="s">
        <v>38</v>
      </c>
      <c r="J1206" s="15" t="s">
        <v>39</v>
      </c>
      <c r="K1206" s="74" t="s">
        <v>29</v>
      </c>
      <c r="L1206" s="16">
        <v>19773</v>
      </c>
      <c r="M1206" s="16">
        <v>584</v>
      </c>
      <c r="N1206" s="16">
        <v>16007</v>
      </c>
      <c r="O1206" s="16">
        <v>1015</v>
      </c>
      <c r="P1206" s="16">
        <v>0</v>
      </c>
      <c r="Q1206" s="16">
        <v>18758</v>
      </c>
      <c r="R1206" s="16">
        <v>831</v>
      </c>
      <c r="S1206" s="16">
        <v>2</v>
      </c>
      <c r="T1206" s="111">
        <v>0</v>
      </c>
    </row>
    <row r="1207" spans="1:20" ht="15" customHeight="1" x14ac:dyDescent="0.2">
      <c r="A1207" s="12" t="s">
        <v>2558</v>
      </c>
      <c r="B1207" s="56">
        <v>32422628</v>
      </c>
      <c r="C1207" s="12"/>
      <c r="D1207" s="12"/>
      <c r="E1207" s="12"/>
      <c r="F1207" s="12" t="s">
        <v>265</v>
      </c>
      <c r="G1207" s="33">
        <v>2</v>
      </c>
      <c r="H1207" s="33">
        <v>9</v>
      </c>
      <c r="I1207" s="12" t="s">
        <v>2559</v>
      </c>
      <c r="J1207" s="12" t="s">
        <v>183</v>
      </c>
      <c r="K1207" s="73" t="s">
        <v>29</v>
      </c>
      <c r="L1207" s="13">
        <v>19742</v>
      </c>
      <c r="M1207" s="13">
        <v>5235</v>
      </c>
      <c r="N1207" s="13">
        <v>12764</v>
      </c>
      <c r="O1207" s="13">
        <v>9348</v>
      </c>
      <c r="P1207" s="13">
        <v>7119</v>
      </c>
      <c r="Q1207" s="13">
        <v>10394</v>
      </c>
      <c r="R1207" s="13">
        <v>468</v>
      </c>
      <c r="S1207" s="13">
        <v>0</v>
      </c>
      <c r="T1207" s="81">
        <v>0</v>
      </c>
    </row>
    <row r="1208" spans="1:20" ht="15" customHeight="1" x14ac:dyDescent="0.2">
      <c r="A1208" s="15" t="s">
        <v>2560</v>
      </c>
      <c r="B1208" s="60">
        <v>1235921</v>
      </c>
      <c r="C1208" s="15"/>
      <c r="D1208" s="15"/>
      <c r="E1208" s="15"/>
      <c r="F1208" s="15" t="s">
        <v>265</v>
      </c>
      <c r="G1208" s="34">
        <v>2</v>
      </c>
      <c r="H1208" s="34">
        <v>9</v>
      </c>
      <c r="I1208" s="15" t="s">
        <v>182</v>
      </c>
      <c r="J1208" s="15" t="s">
        <v>183</v>
      </c>
      <c r="K1208" s="74" t="s">
        <v>29</v>
      </c>
      <c r="L1208" s="16">
        <v>19739</v>
      </c>
      <c r="M1208" s="16">
        <v>12725</v>
      </c>
      <c r="N1208" s="16">
        <v>4115</v>
      </c>
      <c r="O1208" s="16">
        <v>1795</v>
      </c>
      <c r="P1208" s="16">
        <v>0</v>
      </c>
      <c r="Q1208" s="16">
        <v>17945</v>
      </c>
      <c r="R1208" s="16">
        <v>339</v>
      </c>
      <c r="S1208" s="16">
        <v>0</v>
      </c>
      <c r="T1208" s="111">
        <v>1</v>
      </c>
    </row>
    <row r="1209" spans="1:20" ht="15" customHeight="1" x14ac:dyDescent="0.2">
      <c r="A1209" s="12" t="s">
        <v>2561</v>
      </c>
      <c r="B1209" s="56">
        <v>48756121</v>
      </c>
      <c r="C1209" s="12" t="s">
        <v>2562</v>
      </c>
      <c r="D1209" s="12"/>
      <c r="E1209" s="12" t="s">
        <v>2563</v>
      </c>
      <c r="F1209" s="12" t="s">
        <v>65</v>
      </c>
      <c r="G1209" s="33">
        <v>2</v>
      </c>
      <c r="H1209" s="33">
        <v>43</v>
      </c>
      <c r="I1209" s="12" t="s">
        <v>38</v>
      </c>
      <c r="J1209" s="12" t="s">
        <v>39</v>
      </c>
      <c r="K1209" s="73" t="s">
        <v>29</v>
      </c>
      <c r="L1209" s="13">
        <v>19558</v>
      </c>
      <c r="M1209" s="13">
        <v>342</v>
      </c>
      <c r="N1209" s="13">
        <v>0</v>
      </c>
      <c r="O1209" s="13">
        <v>3480</v>
      </c>
      <c r="P1209" s="13">
        <v>492</v>
      </c>
      <c r="Q1209" s="13">
        <v>16078</v>
      </c>
      <c r="R1209" s="13">
        <v>4657</v>
      </c>
      <c r="S1209" s="13">
        <v>2</v>
      </c>
      <c r="T1209" s="81">
        <v>0</v>
      </c>
    </row>
    <row r="1210" spans="1:20" ht="15" customHeight="1" x14ac:dyDescent="0.2">
      <c r="A1210" s="15" t="s">
        <v>2564</v>
      </c>
      <c r="B1210" s="60">
        <v>1582158</v>
      </c>
      <c r="C1210" s="15" t="s">
        <v>2565</v>
      </c>
      <c r="D1210" s="15"/>
      <c r="E1210" s="15" t="s">
        <v>2566</v>
      </c>
      <c r="F1210" s="15" t="s">
        <v>98</v>
      </c>
      <c r="G1210" s="34">
        <v>2</v>
      </c>
      <c r="H1210" s="34">
        <v>16</v>
      </c>
      <c r="I1210" s="15" t="s">
        <v>53</v>
      </c>
      <c r="J1210" s="15" t="s">
        <v>54</v>
      </c>
      <c r="K1210" s="74" t="s">
        <v>29</v>
      </c>
      <c r="L1210" s="16">
        <v>19523</v>
      </c>
      <c r="M1210" s="16">
        <v>0</v>
      </c>
      <c r="N1210" s="16">
        <v>13747</v>
      </c>
      <c r="O1210" s="16">
        <v>3878</v>
      </c>
      <c r="P1210" s="16">
        <v>0</v>
      </c>
      <c r="Q1210" s="16">
        <v>15645</v>
      </c>
      <c r="R1210" s="16">
        <v>1961</v>
      </c>
      <c r="S1210" s="16">
        <v>3</v>
      </c>
      <c r="T1210" s="111">
        <v>0</v>
      </c>
    </row>
    <row r="1211" spans="1:20" ht="15" customHeight="1" x14ac:dyDescent="0.2">
      <c r="A1211" s="12" t="s">
        <v>2567</v>
      </c>
      <c r="B1211" s="56">
        <v>18310649</v>
      </c>
      <c r="C1211" s="12"/>
      <c r="D1211" s="12"/>
      <c r="E1211" s="12"/>
      <c r="F1211" s="12" t="s">
        <v>265</v>
      </c>
      <c r="G1211" s="33">
        <v>2</v>
      </c>
      <c r="H1211" s="33">
        <v>9</v>
      </c>
      <c r="I1211" s="12" t="s">
        <v>615</v>
      </c>
      <c r="J1211" s="12" t="s">
        <v>120</v>
      </c>
      <c r="K1211" s="73" t="s">
        <v>29</v>
      </c>
      <c r="L1211" s="13">
        <v>19518</v>
      </c>
      <c r="M1211" s="13">
        <v>14400</v>
      </c>
      <c r="N1211" s="13">
        <v>4004</v>
      </c>
      <c r="O1211" s="13">
        <v>1824</v>
      </c>
      <c r="P1211" s="13">
        <v>0</v>
      </c>
      <c r="Q1211" s="13">
        <v>17694</v>
      </c>
      <c r="R1211" s="13">
        <v>902</v>
      </c>
      <c r="S1211" s="13">
        <v>0</v>
      </c>
      <c r="T1211" s="81">
        <v>0</v>
      </c>
    </row>
    <row r="1212" spans="1:20" ht="15" customHeight="1" x14ac:dyDescent="0.2">
      <c r="A1212" s="15" t="s">
        <v>2568</v>
      </c>
      <c r="B1212" s="60">
        <v>2232228</v>
      </c>
      <c r="C1212" s="15"/>
      <c r="D1212" s="15"/>
      <c r="E1212" s="15"/>
      <c r="F1212" s="15" t="s">
        <v>265</v>
      </c>
      <c r="G1212" s="34">
        <v>2</v>
      </c>
      <c r="H1212" s="34">
        <v>9</v>
      </c>
      <c r="I1212" s="15" t="s">
        <v>38</v>
      </c>
      <c r="J1212" s="15" t="s">
        <v>39</v>
      </c>
      <c r="K1212" s="74" t="s">
        <v>29</v>
      </c>
      <c r="L1212" s="16">
        <v>18914</v>
      </c>
      <c r="M1212" s="16">
        <v>13050</v>
      </c>
      <c r="N1212" s="16">
        <v>5619</v>
      </c>
      <c r="O1212" s="16">
        <v>2395</v>
      </c>
      <c r="P1212" s="16">
        <v>0</v>
      </c>
      <c r="Q1212" s="16">
        <v>16519</v>
      </c>
      <c r="R1212" s="16">
        <v>1198</v>
      </c>
      <c r="S1212" s="16">
        <v>0</v>
      </c>
      <c r="T1212" s="111">
        <v>0</v>
      </c>
    </row>
    <row r="1213" spans="1:20" ht="15" customHeight="1" x14ac:dyDescent="0.2">
      <c r="A1213" s="12" t="s">
        <v>2569</v>
      </c>
      <c r="B1213" s="56">
        <v>57771416</v>
      </c>
      <c r="C1213" s="12" t="s">
        <v>2570</v>
      </c>
      <c r="D1213" s="12" t="s">
        <v>2571</v>
      </c>
      <c r="E1213" s="12" t="s">
        <v>2571</v>
      </c>
      <c r="F1213" s="12" t="s">
        <v>65</v>
      </c>
      <c r="G1213" s="33">
        <v>2</v>
      </c>
      <c r="H1213" s="33">
        <v>14</v>
      </c>
      <c r="I1213" s="12" t="s">
        <v>38</v>
      </c>
      <c r="J1213" s="12" t="s">
        <v>39</v>
      </c>
      <c r="K1213" s="73" t="s">
        <v>29</v>
      </c>
      <c r="L1213" s="13">
        <v>18784</v>
      </c>
      <c r="M1213" s="13">
        <v>13696</v>
      </c>
      <c r="N1213" s="13">
        <v>4808</v>
      </c>
      <c r="O1213" s="13">
        <v>6367</v>
      </c>
      <c r="P1213" s="13">
        <v>5897</v>
      </c>
      <c r="Q1213" s="13">
        <v>12418</v>
      </c>
      <c r="R1213" s="13">
        <v>361</v>
      </c>
      <c r="S1213" s="13">
        <v>2</v>
      </c>
      <c r="T1213" s="81">
        <v>0</v>
      </c>
    </row>
    <row r="1214" spans="1:20" ht="15" customHeight="1" x14ac:dyDescent="0.2">
      <c r="A1214" s="15" t="s">
        <v>2572</v>
      </c>
      <c r="B1214" s="60">
        <v>2115870</v>
      </c>
      <c r="C1214" s="15"/>
      <c r="D1214" s="15"/>
      <c r="E1214" s="15"/>
      <c r="F1214" s="15" t="s">
        <v>265</v>
      </c>
      <c r="G1214" s="34">
        <v>2</v>
      </c>
      <c r="H1214" s="34">
        <v>9</v>
      </c>
      <c r="I1214" s="15" t="s">
        <v>2573</v>
      </c>
      <c r="J1214" s="15" t="s">
        <v>39</v>
      </c>
      <c r="K1214" s="74" t="s">
        <v>29</v>
      </c>
      <c r="L1214" s="16">
        <v>18554</v>
      </c>
      <c r="M1214" s="16">
        <v>13401</v>
      </c>
      <c r="N1214" s="16">
        <v>4017</v>
      </c>
      <c r="O1214" s="16">
        <v>760</v>
      </c>
      <c r="P1214" s="16">
        <v>0</v>
      </c>
      <c r="Q1214" s="16">
        <v>17794</v>
      </c>
      <c r="R1214" s="16">
        <v>1021</v>
      </c>
      <c r="S1214" s="16">
        <v>0</v>
      </c>
      <c r="T1214" s="111">
        <v>0</v>
      </c>
    </row>
    <row r="1215" spans="1:20" ht="15" customHeight="1" x14ac:dyDescent="0.2">
      <c r="A1215" s="12" t="s">
        <v>2574</v>
      </c>
      <c r="B1215" s="56">
        <v>13673855</v>
      </c>
      <c r="C1215" s="12" t="s">
        <v>2575</v>
      </c>
      <c r="D1215" s="12"/>
      <c r="E1215" s="12" t="s">
        <v>2576</v>
      </c>
      <c r="F1215" s="12" t="s">
        <v>98</v>
      </c>
      <c r="G1215" s="33">
        <v>2</v>
      </c>
      <c r="H1215" s="33">
        <v>16</v>
      </c>
      <c r="I1215" s="12" t="s">
        <v>38</v>
      </c>
      <c r="J1215" s="12" t="s">
        <v>39</v>
      </c>
      <c r="K1215" s="73" t="s">
        <v>29</v>
      </c>
      <c r="L1215" s="13">
        <v>18545</v>
      </c>
      <c r="M1215" s="13">
        <v>0</v>
      </c>
      <c r="N1215" s="13">
        <v>2048</v>
      </c>
      <c r="O1215" s="13">
        <v>9330</v>
      </c>
      <c r="P1215" s="13">
        <v>1217</v>
      </c>
      <c r="Q1215" s="13">
        <v>9215</v>
      </c>
      <c r="R1215" s="13">
        <v>-3275</v>
      </c>
      <c r="S1215" s="13">
        <v>2</v>
      </c>
      <c r="T1215" s="81">
        <v>0</v>
      </c>
    </row>
    <row r="1216" spans="1:20" ht="15" customHeight="1" x14ac:dyDescent="0.2">
      <c r="A1216" s="15" t="s">
        <v>2577</v>
      </c>
      <c r="B1216" s="60">
        <v>37526080</v>
      </c>
      <c r="C1216" s="15" t="s">
        <v>2578</v>
      </c>
      <c r="D1216" s="15"/>
      <c r="E1216" s="15" t="s">
        <v>2579</v>
      </c>
      <c r="F1216" s="15" t="s">
        <v>65</v>
      </c>
      <c r="G1216" s="34">
        <v>2</v>
      </c>
      <c r="H1216" s="34">
        <v>43</v>
      </c>
      <c r="I1216" s="15" t="s">
        <v>38</v>
      </c>
      <c r="J1216" s="15" t="s">
        <v>39</v>
      </c>
      <c r="K1216" s="74" t="s">
        <v>29</v>
      </c>
      <c r="L1216" s="16">
        <v>18497</v>
      </c>
      <c r="M1216" s="16">
        <v>220</v>
      </c>
      <c r="N1216" s="16">
        <v>10621</v>
      </c>
      <c r="O1216" s="16">
        <v>7553</v>
      </c>
      <c r="P1216" s="16">
        <v>6175</v>
      </c>
      <c r="Q1216" s="16">
        <v>10944</v>
      </c>
      <c r="R1216" s="16">
        <v>712</v>
      </c>
      <c r="S1216" s="16">
        <v>2</v>
      </c>
      <c r="T1216" s="111">
        <v>0</v>
      </c>
    </row>
    <row r="1217" spans="1:20" ht="15" customHeight="1" x14ac:dyDescent="0.2">
      <c r="A1217" s="12" t="s">
        <v>2580</v>
      </c>
      <c r="B1217" s="56">
        <v>44728700</v>
      </c>
      <c r="C1217" s="12" t="s">
        <v>2581</v>
      </c>
      <c r="D1217" s="12"/>
      <c r="E1217" s="12" t="s">
        <v>2582</v>
      </c>
      <c r="F1217" s="12" t="s">
        <v>65</v>
      </c>
      <c r="G1217" s="33">
        <v>2</v>
      </c>
      <c r="H1217" s="33">
        <v>43</v>
      </c>
      <c r="I1217" s="12" t="s">
        <v>73</v>
      </c>
      <c r="J1217" s="12" t="s">
        <v>74</v>
      </c>
      <c r="K1217" s="73" t="s">
        <v>29</v>
      </c>
      <c r="L1217" s="13">
        <v>18324</v>
      </c>
      <c r="M1217" s="13">
        <v>0</v>
      </c>
      <c r="N1217" s="13">
        <v>124</v>
      </c>
      <c r="O1217" s="13">
        <v>7188</v>
      </c>
      <c r="P1217" s="13">
        <v>5497</v>
      </c>
      <c r="Q1217" s="13">
        <v>11136</v>
      </c>
      <c r="R1217" s="13">
        <v>897</v>
      </c>
      <c r="S1217" s="13">
        <v>2</v>
      </c>
      <c r="T1217" s="81">
        <v>0</v>
      </c>
    </row>
    <row r="1218" spans="1:20" ht="15" customHeight="1" x14ac:dyDescent="0.2">
      <c r="A1218" s="15" t="s">
        <v>2583</v>
      </c>
      <c r="B1218" s="60">
        <v>2083914</v>
      </c>
      <c r="C1218" s="15"/>
      <c r="D1218" s="15"/>
      <c r="E1218" s="15"/>
      <c r="F1218" s="15" t="s">
        <v>265</v>
      </c>
      <c r="G1218" s="34">
        <v>2</v>
      </c>
      <c r="H1218" s="34">
        <v>9</v>
      </c>
      <c r="I1218" s="15" t="s">
        <v>2546</v>
      </c>
      <c r="J1218" s="15" t="s">
        <v>183</v>
      </c>
      <c r="K1218" s="74" t="s">
        <v>29</v>
      </c>
      <c r="L1218" s="16">
        <v>18255</v>
      </c>
      <c r="M1218" s="16">
        <v>10793</v>
      </c>
      <c r="N1218" s="16">
        <v>7135</v>
      </c>
      <c r="O1218" s="16">
        <v>12929</v>
      </c>
      <c r="P1218" s="16">
        <v>12248</v>
      </c>
      <c r="Q1218" s="16">
        <v>5326</v>
      </c>
      <c r="R1218" s="16">
        <v>79</v>
      </c>
      <c r="S1218" s="16">
        <v>0</v>
      </c>
      <c r="T1218" s="111">
        <v>1</v>
      </c>
    </row>
    <row r="1219" spans="1:20" ht="15" customHeight="1" x14ac:dyDescent="0.2">
      <c r="A1219" s="12" t="s">
        <v>2584</v>
      </c>
      <c r="B1219" s="56">
        <v>73302408</v>
      </c>
      <c r="C1219" s="12" t="s">
        <v>2585</v>
      </c>
      <c r="D1219" s="12"/>
      <c r="E1219" s="12" t="s">
        <v>2586</v>
      </c>
      <c r="F1219" s="12" t="s">
        <v>98</v>
      </c>
      <c r="G1219" s="33">
        <v>2</v>
      </c>
      <c r="H1219" s="33">
        <v>21</v>
      </c>
      <c r="I1219" s="12" t="s">
        <v>73</v>
      </c>
      <c r="J1219" s="12" t="s">
        <v>74</v>
      </c>
      <c r="K1219" s="73" t="s">
        <v>29</v>
      </c>
      <c r="L1219" s="13">
        <v>18226</v>
      </c>
      <c r="M1219" s="13">
        <v>0</v>
      </c>
      <c r="N1219" s="13">
        <v>0</v>
      </c>
      <c r="O1219" s="13">
        <v>15827</v>
      </c>
      <c r="P1219" s="13">
        <v>0</v>
      </c>
      <c r="Q1219" s="13">
        <v>2398</v>
      </c>
      <c r="R1219" s="13">
        <v>-142</v>
      </c>
      <c r="S1219" s="13">
        <v>2</v>
      </c>
      <c r="T1219" s="81">
        <v>0</v>
      </c>
    </row>
    <row r="1220" spans="1:20" ht="15" customHeight="1" x14ac:dyDescent="0.2">
      <c r="A1220" s="15" t="s">
        <v>2587</v>
      </c>
      <c r="B1220" s="60">
        <v>45756448</v>
      </c>
      <c r="C1220" s="15" t="s">
        <v>2588</v>
      </c>
      <c r="D1220" s="15"/>
      <c r="E1220" s="15" t="s">
        <v>2589</v>
      </c>
      <c r="F1220" s="15" t="s">
        <v>65</v>
      </c>
      <c r="G1220" s="34">
        <v>2</v>
      </c>
      <c r="H1220" s="34">
        <v>10</v>
      </c>
      <c r="I1220" s="15" t="s">
        <v>38</v>
      </c>
      <c r="J1220" s="15" t="s">
        <v>39</v>
      </c>
      <c r="K1220" s="74" t="s">
        <v>29</v>
      </c>
      <c r="L1220" s="16">
        <v>18119</v>
      </c>
      <c r="M1220" s="16">
        <v>0</v>
      </c>
      <c r="N1220" s="16">
        <v>13544</v>
      </c>
      <c r="O1220" s="16">
        <v>1579</v>
      </c>
      <c r="P1220" s="16">
        <v>0</v>
      </c>
      <c r="Q1220" s="16">
        <v>16540</v>
      </c>
      <c r="R1220" s="16">
        <v>-809</v>
      </c>
      <c r="S1220" s="16">
        <v>2</v>
      </c>
      <c r="T1220" s="111">
        <v>0</v>
      </c>
    </row>
    <row r="1221" spans="1:20" ht="15" customHeight="1" x14ac:dyDescent="0.2">
      <c r="A1221" s="12" t="s">
        <v>2590</v>
      </c>
      <c r="B1221" s="56">
        <v>20622809</v>
      </c>
      <c r="C1221" s="12"/>
      <c r="D1221" s="12"/>
      <c r="E1221" s="12"/>
      <c r="F1221" s="12" t="s">
        <v>265</v>
      </c>
      <c r="G1221" s="33">
        <v>2</v>
      </c>
      <c r="H1221" s="33">
        <v>9</v>
      </c>
      <c r="I1221" s="12" t="s">
        <v>119</v>
      </c>
      <c r="J1221" s="12" t="s">
        <v>120</v>
      </c>
      <c r="K1221" s="73" t="s">
        <v>29</v>
      </c>
      <c r="L1221" s="13">
        <v>18081</v>
      </c>
      <c r="M1221" s="13">
        <v>8151</v>
      </c>
      <c r="N1221" s="13">
        <v>9679</v>
      </c>
      <c r="O1221" s="13">
        <v>956</v>
      </c>
      <c r="P1221" s="13">
        <v>0</v>
      </c>
      <c r="Q1221" s="13">
        <v>17125</v>
      </c>
      <c r="R1221" s="13">
        <v>713</v>
      </c>
      <c r="S1221" s="13">
        <v>0</v>
      </c>
      <c r="T1221" s="81">
        <v>0</v>
      </c>
    </row>
    <row r="1222" spans="1:20" ht="15" customHeight="1" x14ac:dyDescent="0.2">
      <c r="A1222" s="15" t="s">
        <v>2591</v>
      </c>
      <c r="B1222" s="60">
        <v>59620708</v>
      </c>
      <c r="C1222" s="15"/>
      <c r="D1222" s="15"/>
      <c r="E1222" s="15"/>
      <c r="F1222" s="15" t="s">
        <v>265</v>
      </c>
      <c r="G1222" s="34">
        <v>2</v>
      </c>
      <c r="H1222" s="34">
        <v>9</v>
      </c>
      <c r="I1222" s="15" t="s">
        <v>38</v>
      </c>
      <c r="J1222" s="15" t="s">
        <v>39</v>
      </c>
      <c r="K1222" s="74" t="s">
        <v>29</v>
      </c>
      <c r="L1222" s="16">
        <v>18052</v>
      </c>
      <c r="M1222" s="16">
        <v>13763</v>
      </c>
      <c r="N1222" s="16">
        <v>4139</v>
      </c>
      <c r="O1222" s="16">
        <v>242</v>
      </c>
      <c r="P1222" s="16">
        <v>0</v>
      </c>
      <c r="Q1222" s="16">
        <v>17810</v>
      </c>
      <c r="R1222" s="16">
        <v>908</v>
      </c>
      <c r="S1222" s="16">
        <v>0</v>
      </c>
      <c r="T1222" s="111">
        <v>0</v>
      </c>
    </row>
    <row r="1223" spans="1:20" ht="15" customHeight="1" x14ac:dyDescent="0.2">
      <c r="A1223" s="12" t="s">
        <v>2592</v>
      </c>
      <c r="B1223" s="56">
        <v>53146221</v>
      </c>
      <c r="C1223" s="12" t="s">
        <v>2593</v>
      </c>
      <c r="D1223" s="12"/>
      <c r="E1223" s="12" t="s">
        <v>2594</v>
      </c>
      <c r="F1223" s="12" t="s">
        <v>65</v>
      </c>
      <c r="G1223" s="33">
        <v>2</v>
      </c>
      <c r="H1223" s="33">
        <v>29</v>
      </c>
      <c r="I1223" s="12" t="s">
        <v>1167</v>
      </c>
      <c r="J1223" s="12" t="s">
        <v>39</v>
      </c>
      <c r="K1223" s="73" t="s">
        <v>29</v>
      </c>
      <c r="L1223" s="13">
        <v>18010</v>
      </c>
      <c r="M1223" s="13">
        <v>107</v>
      </c>
      <c r="N1223" s="13">
        <v>7819</v>
      </c>
      <c r="O1223" s="13">
        <v>7796</v>
      </c>
      <c r="P1223" s="13">
        <v>0</v>
      </c>
      <c r="Q1223" s="13">
        <v>10215</v>
      </c>
      <c r="R1223" s="13">
        <v>34</v>
      </c>
      <c r="S1223" s="13">
        <v>2</v>
      </c>
      <c r="T1223" s="81">
        <v>0</v>
      </c>
    </row>
    <row r="1224" spans="1:20" ht="15" customHeight="1" x14ac:dyDescent="0.2">
      <c r="A1224" s="15" t="s">
        <v>2595</v>
      </c>
      <c r="B1224" s="60">
        <v>2588819</v>
      </c>
      <c r="C1224" s="15"/>
      <c r="D1224" s="15"/>
      <c r="E1224" s="15"/>
      <c r="F1224" s="15" t="s">
        <v>265</v>
      </c>
      <c r="G1224" s="34">
        <v>2</v>
      </c>
      <c r="H1224" s="34">
        <v>9</v>
      </c>
      <c r="I1224" s="15" t="s">
        <v>119</v>
      </c>
      <c r="J1224" s="15" t="s">
        <v>120</v>
      </c>
      <c r="K1224" s="74" t="s">
        <v>29</v>
      </c>
      <c r="L1224" s="16">
        <v>18010</v>
      </c>
      <c r="M1224" s="16">
        <v>10247</v>
      </c>
      <c r="N1224" s="16">
        <v>7472</v>
      </c>
      <c r="O1224" s="16">
        <v>1900</v>
      </c>
      <c r="P1224" s="16">
        <v>0</v>
      </c>
      <c r="Q1224" s="16">
        <v>16110</v>
      </c>
      <c r="R1224" s="16">
        <v>430</v>
      </c>
      <c r="S1224" s="16">
        <v>0</v>
      </c>
      <c r="T1224" s="111">
        <v>0</v>
      </c>
    </row>
    <row r="1225" spans="1:20" ht="15" customHeight="1" x14ac:dyDescent="0.2">
      <c r="A1225" s="12" t="s">
        <v>2596</v>
      </c>
      <c r="B1225" s="56">
        <v>44921281</v>
      </c>
      <c r="C1225" s="12" t="s">
        <v>2597</v>
      </c>
      <c r="D1225" s="12"/>
      <c r="E1225" s="12" t="s">
        <v>2598</v>
      </c>
      <c r="F1225" s="12" t="s">
        <v>65</v>
      </c>
      <c r="G1225" s="33">
        <v>2</v>
      </c>
      <c r="H1225" s="33">
        <v>43</v>
      </c>
      <c r="I1225" s="12" t="s">
        <v>216</v>
      </c>
      <c r="J1225" s="12" t="s">
        <v>217</v>
      </c>
      <c r="K1225" s="73" t="s">
        <v>29</v>
      </c>
      <c r="L1225" s="13">
        <v>17967</v>
      </c>
      <c r="M1225" s="13">
        <v>0</v>
      </c>
      <c r="N1225" s="13">
        <v>8440</v>
      </c>
      <c r="O1225" s="13">
        <v>9233</v>
      </c>
      <c r="P1225" s="13">
        <v>9084</v>
      </c>
      <c r="Q1225" s="13">
        <v>8733</v>
      </c>
      <c r="R1225" s="13">
        <v>484</v>
      </c>
      <c r="S1225" s="13">
        <v>2</v>
      </c>
      <c r="T1225" s="81">
        <v>0</v>
      </c>
    </row>
    <row r="1226" spans="1:20" ht="15" customHeight="1" x14ac:dyDescent="0.2">
      <c r="A1226" s="15" t="s">
        <v>2599</v>
      </c>
      <c r="B1226" s="60">
        <v>63055668</v>
      </c>
      <c r="C1226" s="15" t="s">
        <v>506</v>
      </c>
      <c r="D1226" s="15" t="s">
        <v>507</v>
      </c>
      <c r="E1226" s="15" t="s">
        <v>507</v>
      </c>
      <c r="F1226" s="15" t="s">
        <v>65</v>
      </c>
      <c r="G1226" s="34">
        <v>3</v>
      </c>
      <c r="H1226" s="34">
        <v>14</v>
      </c>
      <c r="I1226" s="15" t="s">
        <v>38</v>
      </c>
      <c r="J1226" s="15" t="s">
        <v>39</v>
      </c>
      <c r="K1226" s="74" t="s">
        <v>29</v>
      </c>
      <c r="L1226" s="16">
        <v>17914</v>
      </c>
      <c r="M1226" s="16">
        <v>0</v>
      </c>
      <c r="N1226" s="16">
        <v>17728</v>
      </c>
      <c r="O1226" s="16">
        <v>172</v>
      </c>
      <c r="P1226" s="16">
        <v>86</v>
      </c>
      <c r="Q1226" s="16">
        <v>17742</v>
      </c>
      <c r="R1226" s="16">
        <v>242</v>
      </c>
      <c r="S1226" s="16">
        <v>2</v>
      </c>
      <c r="T1226" s="111">
        <v>0</v>
      </c>
    </row>
    <row r="1227" spans="1:20" ht="15" customHeight="1" x14ac:dyDescent="0.2">
      <c r="A1227" s="12" t="s">
        <v>2600</v>
      </c>
      <c r="B1227" s="56">
        <v>35977097</v>
      </c>
      <c r="C1227" s="12" t="s">
        <v>2601</v>
      </c>
      <c r="D1227" s="12"/>
      <c r="E1227" s="12" t="s">
        <v>2602</v>
      </c>
      <c r="F1227" s="12" t="s">
        <v>65</v>
      </c>
      <c r="G1227" s="33">
        <v>2</v>
      </c>
      <c r="H1227" s="33">
        <v>44</v>
      </c>
      <c r="I1227" s="12" t="s">
        <v>38</v>
      </c>
      <c r="J1227" s="12" t="s">
        <v>39</v>
      </c>
      <c r="K1227" s="73" t="s">
        <v>29</v>
      </c>
      <c r="L1227" s="13">
        <v>17901</v>
      </c>
      <c r="M1227" s="13">
        <v>0</v>
      </c>
      <c r="N1227" s="13">
        <v>5753</v>
      </c>
      <c r="O1227" s="13">
        <v>9179</v>
      </c>
      <c r="P1227" s="13">
        <v>3821</v>
      </c>
      <c r="Q1227" s="13">
        <v>8722</v>
      </c>
      <c r="R1227" s="13">
        <v>1002</v>
      </c>
      <c r="S1227" s="13">
        <v>2</v>
      </c>
      <c r="T1227" s="81">
        <v>0</v>
      </c>
    </row>
    <row r="1228" spans="1:20" ht="15" customHeight="1" x14ac:dyDescent="0.2">
      <c r="A1228" s="15" t="s">
        <v>2603</v>
      </c>
      <c r="B1228" s="60">
        <v>3634239</v>
      </c>
      <c r="C1228" s="15" t="s">
        <v>365</v>
      </c>
      <c r="D1228" s="15" t="s">
        <v>366</v>
      </c>
      <c r="E1228" s="15" t="s">
        <v>367</v>
      </c>
      <c r="F1228" s="15" t="s">
        <v>65</v>
      </c>
      <c r="G1228" s="34">
        <v>3</v>
      </c>
      <c r="H1228" s="34">
        <v>19</v>
      </c>
      <c r="I1228" s="15" t="s">
        <v>38</v>
      </c>
      <c r="J1228" s="15" t="s">
        <v>39</v>
      </c>
      <c r="K1228" s="74" t="s">
        <v>29</v>
      </c>
      <c r="L1228" s="16">
        <v>17685</v>
      </c>
      <c r="M1228" s="16">
        <v>0</v>
      </c>
      <c r="N1228" s="16">
        <v>0</v>
      </c>
      <c r="O1228" s="16">
        <v>344</v>
      </c>
      <c r="P1228" s="16">
        <v>0</v>
      </c>
      <c r="Q1228" s="16">
        <v>17342</v>
      </c>
      <c r="R1228" s="16">
        <v>711</v>
      </c>
      <c r="S1228" s="16">
        <v>2</v>
      </c>
      <c r="T1228" s="111">
        <v>0</v>
      </c>
    </row>
    <row r="1229" spans="1:20" ht="15" customHeight="1" x14ac:dyDescent="0.2">
      <c r="A1229" s="12" t="s">
        <v>2604</v>
      </c>
      <c r="B1229" s="56">
        <v>20833976</v>
      </c>
      <c r="C1229" s="12"/>
      <c r="D1229" s="12"/>
      <c r="E1229" s="12"/>
      <c r="F1229" s="12" t="s">
        <v>265</v>
      </c>
      <c r="G1229" s="33">
        <v>2</v>
      </c>
      <c r="H1229" s="33">
        <v>9</v>
      </c>
      <c r="I1229" s="12" t="s">
        <v>1938</v>
      </c>
      <c r="J1229" s="12" t="s">
        <v>120</v>
      </c>
      <c r="K1229" s="73" t="s">
        <v>29</v>
      </c>
      <c r="L1229" s="13">
        <v>17680</v>
      </c>
      <c r="M1229" s="13">
        <v>13948</v>
      </c>
      <c r="N1229" s="13">
        <v>0</v>
      </c>
      <c r="O1229" s="13">
        <v>820</v>
      </c>
      <c r="P1229" s="13">
        <v>0</v>
      </c>
      <c r="Q1229" s="13">
        <v>16860</v>
      </c>
      <c r="R1229" s="13">
        <v>936</v>
      </c>
      <c r="S1229" s="13">
        <v>0</v>
      </c>
      <c r="T1229" s="81">
        <v>0</v>
      </c>
    </row>
    <row r="1230" spans="1:20" ht="15" customHeight="1" x14ac:dyDescent="0.2">
      <c r="A1230" s="15" t="s">
        <v>2605</v>
      </c>
      <c r="B1230" s="60">
        <v>50579044</v>
      </c>
      <c r="C1230" s="15" t="s">
        <v>2606</v>
      </c>
      <c r="D1230" s="15"/>
      <c r="E1230" s="15" t="s">
        <v>2607</v>
      </c>
      <c r="F1230" s="15" t="s">
        <v>98</v>
      </c>
      <c r="G1230" s="34">
        <v>2</v>
      </c>
      <c r="H1230" s="34">
        <v>15</v>
      </c>
      <c r="I1230" s="15" t="s">
        <v>38</v>
      </c>
      <c r="J1230" s="15" t="s">
        <v>39</v>
      </c>
      <c r="K1230" s="74" t="s">
        <v>29</v>
      </c>
      <c r="L1230" s="16">
        <v>17667</v>
      </c>
      <c r="M1230" s="16">
        <v>0</v>
      </c>
      <c r="N1230" s="16">
        <v>0</v>
      </c>
      <c r="O1230" s="16">
        <v>13142</v>
      </c>
      <c r="P1230" s="16">
        <v>0</v>
      </c>
      <c r="Q1230" s="16">
        <v>4526</v>
      </c>
      <c r="R1230" s="16">
        <v>1495</v>
      </c>
      <c r="S1230" s="16">
        <v>4</v>
      </c>
      <c r="T1230" s="111">
        <v>0</v>
      </c>
    </row>
    <row r="1231" spans="1:20" ht="15" customHeight="1" x14ac:dyDescent="0.2">
      <c r="A1231" s="12" t="s">
        <v>2608</v>
      </c>
      <c r="B1231" s="56">
        <v>45860531</v>
      </c>
      <c r="C1231" s="12" t="s">
        <v>2609</v>
      </c>
      <c r="D1231" s="12"/>
      <c r="E1231" s="12" t="s">
        <v>2610</v>
      </c>
      <c r="F1231" s="12" t="s">
        <v>84</v>
      </c>
      <c r="G1231" s="33">
        <v>2</v>
      </c>
      <c r="H1231" s="33">
        <v>41</v>
      </c>
      <c r="I1231" s="12" t="s">
        <v>38</v>
      </c>
      <c r="J1231" s="12" t="s">
        <v>39</v>
      </c>
      <c r="K1231" s="73" t="s">
        <v>29</v>
      </c>
      <c r="L1231" s="13">
        <v>17608</v>
      </c>
      <c r="M1231" s="13">
        <v>0</v>
      </c>
      <c r="N1231" s="13">
        <v>10802</v>
      </c>
      <c r="O1231" s="13">
        <v>9444</v>
      </c>
      <c r="P1231" s="13">
        <v>4393</v>
      </c>
      <c r="Q1231" s="13">
        <v>8164</v>
      </c>
      <c r="R1231" s="13">
        <v>-2802</v>
      </c>
      <c r="S1231" s="13">
        <v>1</v>
      </c>
      <c r="T1231" s="81">
        <v>0</v>
      </c>
    </row>
    <row r="1232" spans="1:20" ht="15" customHeight="1" x14ac:dyDescent="0.2">
      <c r="A1232" s="15" t="s">
        <v>2611</v>
      </c>
      <c r="B1232" s="60">
        <v>25104230</v>
      </c>
      <c r="C1232" s="15" t="s">
        <v>2612</v>
      </c>
      <c r="D1232" s="15"/>
      <c r="E1232" s="15" t="s">
        <v>2613</v>
      </c>
      <c r="F1232" s="15" t="s">
        <v>84</v>
      </c>
      <c r="G1232" s="34">
        <v>2</v>
      </c>
      <c r="H1232" s="34">
        <v>41</v>
      </c>
      <c r="I1232" s="15" t="s">
        <v>38</v>
      </c>
      <c r="J1232" s="15" t="s">
        <v>39</v>
      </c>
      <c r="K1232" s="74" t="s">
        <v>29</v>
      </c>
      <c r="L1232" s="16">
        <v>17586</v>
      </c>
      <c r="M1232" s="16">
        <v>266</v>
      </c>
      <c r="N1232" s="16">
        <v>0</v>
      </c>
      <c r="O1232" s="16">
        <v>13773</v>
      </c>
      <c r="P1232" s="16">
        <v>4103</v>
      </c>
      <c r="Q1232" s="16">
        <v>3813</v>
      </c>
      <c r="R1232" s="16">
        <v>-2791</v>
      </c>
      <c r="S1232" s="16">
        <v>1</v>
      </c>
      <c r="T1232" s="111">
        <v>0</v>
      </c>
    </row>
    <row r="1233" spans="1:20" ht="15" customHeight="1" x14ac:dyDescent="0.2">
      <c r="A1233" s="12" t="s">
        <v>2614</v>
      </c>
      <c r="B1233" s="56">
        <v>37678915</v>
      </c>
      <c r="C1233" s="12" t="s">
        <v>2615</v>
      </c>
      <c r="D1233" s="12"/>
      <c r="E1233" s="12" t="s">
        <v>2616</v>
      </c>
      <c r="F1233" s="12" t="s">
        <v>98</v>
      </c>
      <c r="G1233" s="33">
        <v>2</v>
      </c>
      <c r="H1233" s="33">
        <v>16</v>
      </c>
      <c r="I1233" s="12" t="s">
        <v>38</v>
      </c>
      <c r="J1233" s="12" t="s">
        <v>39</v>
      </c>
      <c r="K1233" s="73" t="s">
        <v>29</v>
      </c>
      <c r="L1233" s="13">
        <v>17513</v>
      </c>
      <c r="M1233" s="13">
        <v>0</v>
      </c>
      <c r="N1233" s="13">
        <v>10</v>
      </c>
      <c r="O1233" s="13">
        <v>13860</v>
      </c>
      <c r="P1233" s="13">
        <v>8795</v>
      </c>
      <c r="Q1233" s="13">
        <v>3652</v>
      </c>
      <c r="R1233" s="13">
        <v>-822</v>
      </c>
      <c r="S1233" s="13">
        <v>2</v>
      </c>
      <c r="T1233" s="81">
        <v>0</v>
      </c>
    </row>
    <row r="1234" spans="1:20" ht="15" customHeight="1" x14ac:dyDescent="0.2">
      <c r="A1234" s="15" t="s">
        <v>2617</v>
      </c>
      <c r="B1234" s="60">
        <v>30944783</v>
      </c>
      <c r="C1234" s="15" t="s">
        <v>2618</v>
      </c>
      <c r="D1234" s="15"/>
      <c r="E1234" s="15" t="s">
        <v>2619</v>
      </c>
      <c r="F1234" s="15" t="s">
        <v>84</v>
      </c>
      <c r="G1234" s="34">
        <v>2</v>
      </c>
      <c r="H1234" s="34">
        <v>41</v>
      </c>
      <c r="I1234" s="15" t="s">
        <v>388</v>
      </c>
      <c r="J1234" s="15" t="s">
        <v>389</v>
      </c>
      <c r="K1234" s="74" t="s">
        <v>29</v>
      </c>
      <c r="L1234" s="16">
        <v>17490</v>
      </c>
      <c r="M1234" s="16">
        <v>0</v>
      </c>
      <c r="N1234" s="16">
        <v>0</v>
      </c>
      <c r="O1234" s="16">
        <v>11828</v>
      </c>
      <c r="P1234" s="16">
        <v>8429</v>
      </c>
      <c r="Q1234" s="16">
        <v>5662</v>
      </c>
      <c r="R1234" s="16">
        <v>268</v>
      </c>
      <c r="S1234" s="16">
        <v>1</v>
      </c>
      <c r="T1234" s="111">
        <v>0</v>
      </c>
    </row>
    <row r="1235" spans="1:20" ht="15" customHeight="1" x14ac:dyDescent="0.2">
      <c r="A1235" s="12" t="s">
        <v>2620</v>
      </c>
      <c r="B1235" s="56">
        <v>2814832</v>
      </c>
      <c r="C1235" s="12"/>
      <c r="D1235" s="12"/>
      <c r="E1235" s="12"/>
      <c r="F1235" s="12" t="s">
        <v>265</v>
      </c>
      <c r="G1235" s="33">
        <v>2</v>
      </c>
      <c r="H1235" s="33">
        <v>9</v>
      </c>
      <c r="I1235" s="12" t="s">
        <v>38</v>
      </c>
      <c r="J1235" s="12" t="s">
        <v>39</v>
      </c>
      <c r="K1235" s="73" t="s">
        <v>29</v>
      </c>
      <c r="L1235" s="13">
        <v>17467</v>
      </c>
      <c r="M1235" s="13">
        <v>11581</v>
      </c>
      <c r="N1235" s="13">
        <v>5044</v>
      </c>
      <c r="O1235" s="13">
        <v>411</v>
      </c>
      <c r="P1235" s="13">
        <v>0</v>
      </c>
      <c r="Q1235" s="13">
        <v>17056</v>
      </c>
      <c r="R1235" s="13">
        <v>789</v>
      </c>
      <c r="S1235" s="13">
        <v>0</v>
      </c>
      <c r="T1235" s="81">
        <v>0</v>
      </c>
    </row>
    <row r="1236" spans="1:20" ht="15" customHeight="1" x14ac:dyDescent="0.2">
      <c r="A1236" s="15" t="s">
        <v>2621</v>
      </c>
      <c r="B1236" s="60">
        <v>92675578</v>
      </c>
      <c r="C1236" s="15"/>
      <c r="D1236" s="15"/>
      <c r="E1236" s="15"/>
      <c r="F1236" s="15" t="s">
        <v>265</v>
      </c>
      <c r="G1236" s="34">
        <v>2</v>
      </c>
      <c r="H1236" s="34">
        <v>9</v>
      </c>
      <c r="I1236" s="15" t="s">
        <v>73</v>
      </c>
      <c r="J1236" s="15" t="s">
        <v>74</v>
      </c>
      <c r="K1236" s="74" t="s">
        <v>29</v>
      </c>
      <c r="L1236" s="16">
        <v>17381</v>
      </c>
      <c r="M1236" s="16">
        <v>10460</v>
      </c>
      <c r="N1236" s="16">
        <v>0</v>
      </c>
      <c r="O1236" s="16">
        <v>1000</v>
      </c>
      <c r="P1236" s="16">
        <v>0</v>
      </c>
      <c r="Q1236" s="16">
        <v>16381</v>
      </c>
      <c r="R1236" s="16">
        <v>1087</v>
      </c>
      <c r="S1236" s="16">
        <v>0</v>
      </c>
      <c r="T1236" s="111">
        <v>0</v>
      </c>
    </row>
    <row r="1237" spans="1:20" ht="15" customHeight="1" x14ac:dyDescent="0.2">
      <c r="A1237" s="12" t="s">
        <v>2622</v>
      </c>
      <c r="B1237" s="56">
        <v>8030215</v>
      </c>
      <c r="C1237" s="12" t="s">
        <v>167</v>
      </c>
      <c r="D1237" s="12" t="s">
        <v>168</v>
      </c>
      <c r="E1237" s="12" t="s">
        <v>169</v>
      </c>
      <c r="F1237" s="12" t="s">
        <v>98</v>
      </c>
      <c r="G1237" s="33">
        <v>2</v>
      </c>
      <c r="H1237" s="33">
        <v>16</v>
      </c>
      <c r="I1237" s="12" t="s">
        <v>38</v>
      </c>
      <c r="J1237" s="12" t="s">
        <v>39</v>
      </c>
      <c r="K1237" s="73" t="s">
        <v>29</v>
      </c>
      <c r="L1237" s="13">
        <v>17305</v>
      </c>
      <c r="M1237" s="13">
        <v>0</v>
      </c>
      <c r="N1237" s="13">
        <v>0</v>
      </c>
      <c r="O1237" s="13">
        <v>2549</v>
      </c>
      <c r="P1237" s="13">
        <v>0</v>
      </c>
      <c r="Q1237" s="13">
        <v>14756</v>
      </c>
      <c r="R1237" s="13">
        <v>391</v>
      </c>
      <c r="S1237" s="13">
        <v>2</v>
      </c>
      <c r="T1237" s="81">
        <v>0</v>
      </c>
    </row>
    <row r="1238" spans="1:20" ht="15" customHeight="1" x14ac:dyDescent="0.2">
      <c r="A1238" s="15" t="s">
        <v>2623</v>
      </c>
      <c r="B1238" s="60">
        <v>58513168</v>
      </c>
      <c r="C1238" s="15" t="s">
        <v>1189</v>
      </c>
      <c r="D1238" s="15" t="s">
        <v>1190</v>
      </c>
      <c r="E1238" s="15" t="s">
        <v>1190</v>
      </c>
      <c r="F1238" s="15" t="s">
        <v>65</v>
      </c>
      <c r="G1238" s="34">
        <v>2</v>
      </c>
      <c r="H1238" s="34">
        <v>43</v>
      </c>
      <c r="I1238" s="15" t="s">
        <v>38</v>
      </c>
      <c r="J1238" s="15" t="s">
        <v>39</v>
      </c>
      <c r="K1238" s="74" t="s">
        <v>29</v>
      </c>
      <c r="L1238" s="16">
        <v>17226</v>
      </c>
      <c r="M1238" s="16">
        <v>103</v>
      </c>
      <c r="N1238" s="16">
        <v>11784</v>
      </c>
      <c r="O1238" s="16">
        <v>978</v>
      </c>
      <c r="P1238" s="16">
        <v>0</v>
      </c>
      <c r="Q1238" s="16">
        <v>16248</v>
      </c>
      <c r="R1238" s="16">
        <v>167</v>
      </c>
      <c r="S1238" s="16">
        <v>2</v>
      </c>
      <c r="T1238" s="111">
        <v>0</v>
      </c>
    </row>
    <row r="1239" spans="1:20" ht="15" customHeight="1" x14ac:dyDescent="0.2">
      <c r="A1239" s="12" t="s">
        <v>2624</v>
      </c>
      <c r="B1239" s="56">
        <v>21995256</v>
      </c>
      <c r="C1239" s="12" t="s">
        <v>2625</v>
      </c>
      <c r="D1239" s="12"/>
      <c r="E1239" s="12" t="s">
        <v>2626</v>
      </c>
      <c r="F1239" s="12" t="s">
        <v>84</v>
      </c>
      <c r="G1239" s="33">
        <v>2</v>
      </c>
      <c r="H1239" s="33">
        <v>41</v>
      </c>
      <c r="I1239" s="12" t="s">
        <v>53</v>
      </c>
      <c r="J1239" s="12" t="s">
        <v>54</v>
      </c>
      <c r="K1239" s="73" t="s">
        <v>29</v>
      </c>
      <c r="L1239" s="13">
        <v>17138</v>
      </c>
      <c r="M1239" s="13">
        <v>0</v>
      </c>
      <c r="N1239" s="13">
        <v>11213</v>
      </c>
      <c r="O1239" s="13">
        <v>2429</v>
      </c>
      <c r="P1239" s="13">
        <v>1312</v>
      </c>
      <c r="Q1239" s="13">
        <v>14709</v>
      </c>
      <c r="R1239" s="13">
        <v>-889</v>
      </c>
      <c r="S1239" s="13">
        <v>1</v>
      </c>
      <c r="T1239" s="81">
        <v>0</v>
      </c>
    </row>
    <row r="1240" spans="1:20" ht="15" customHeight="1" x14ac:dyDescent="0.2">
      <c r="A1240" s="15" t="s">
        <v>2627</v>
      </c>
      <c r="B1240" s="60">
        <v>41791005</v>
      </c>
      <c r="C1240" s="15"/>
      <c r="D1240" s="15"/>
      <c r="E1240" s="15"/>
      <c r="F1240" s="15" t="s">
        <v>265</v>
      </c>
      <c r="G1240" s="34">
        <v>2</v>
      </c>
      <c r="H1240" s="34">
        <v>9</v>
      </c>
      <c r="I1240" s="15" t="s">
        <v>2628</v>
      </c>
      <c r="J1240" s="15" t="s">
        <v>120</v>
      </c>
      <c r="K1240" s="74" t="s">
        <v>29</v>
      </c>
      <c r="L1240" s="16">
        <v>17091</v>
      </c>
      <c r="M1240" s="16">
        <v>13263</v>
      </c>
      <c r="N1240" s="16">
        <v>2352</v>
      </c>
      <c r="O1240" s="16">
        <v>3390</v>
      </c>
      <c r="P1240" s="16">
        <v>588</v>
      </c>
      <c r="Q1240" s="16">
        <v>13701</v>
      </c>
      <c r="R1240" s="16">
        <v>670</v>
      </c>
      <c r="S1240" s="16">
        <v>0</v>
      </c>
      <c r="T1240" s="111">
        <v>0</v>
      </c>
    </row>
    <row r="1241" spans="1:20" ht="15" customHeight="1" x14ac:dyDescent="0.2">
      <c r="A1241" s="12" t="s">
        <v>2629</v>
      </c>
      <c r="B1241" s="56">
        <v>39321657</v>
      </c>
      <c r="C1241" s="12" t="s">
        <v>2630</v>
      </c>
      <c r="D1241" s="12"/>
      <c r="E1241" s="12" t="s">
        <v>2631</v>
      </c>
      <c r="F1241" s="12" t="s">
        <v>84</v>
      </c>
      <c r="G1241" s="33">
        <v>3</v>
      </c>
      <c r="H1241" s="33">
        <v>41</v>
      </c>
      <c r="I1241" s="12" t="s">
        <v>38</v>
      </c>
      <c r="J1241" s="12" t="s">
        <v>39</v>
      </c>
      <c r="K1241" s="73" t="s">
        <v>29</v>
      </c>
      <c r="L1241" s="13">
        <v>17034</v>
      </c>
      <c r="M1241" s="13">
        <v>0</v>
      </c>
      <c r="N1241" s="13">
        <v>3273</v>
      </c>
      <c r="O1241" s="13">
        <v>2833</v>
      </c>
      <c r="P1241" s="13">
        <v>0</v>
      </c>
      <c r="Q1241" s="13">
        <v>14201</v>
      </c>
      <c r="R1241" s="13">
        <v>1401</v>
      </c>
      <c r="S1241" s="13">
        <v>1</v>
      </c>
      <c r="T1241" s="81">
        <v>0</v>
      </c>
    </row>
    <row r="1242" spans="1:20" ht="15" customHeight="1" x14ac:dyDescent="0.2">
      <c r="A1242" s="15" t="s">
        <v>2632</v>
      </c>
      <c r="B1242" s="60">
        <v>28979546</v>
      </c>
      <c r="C1242" s="15" t="s">
        <v>2633</v>
      </c>
      <c r="D1242" s="15"/>
      <c r="E1242" s="15" t="s">
        <v>2634</v>
      </c>
      <c r="F1242" s="15" t="s">
        <v>84</v>
      </c>
      <c r="G1242" s="34">
        <v>2</v>
      </c>
      <c r="H1242" s="34">
        <v>41</v>
      </c>
      <c r="I1242" s="15" t="s">
        <v>38</v>
      </c>
      <c r="J1242" s="15" t="s">
        <v>39</v>
      </c>
      <c r="K1242" s="74" t="s">
        <v>29</v>
      </c>
      <c r="L1242" s="16">
        <v>17015</v>
      </c>
      <c r="M1242" s="16">
        <v>0</v>
      </c>
      <c r="N1242" s="16">
        <v>8706</v>
      </c>
      <c r="O1242" s="16">
        <v>7110</v>
      </c>
      <c r="P1242" s="16">
        <v>3695</v>
      </c>
      <c r="Q1242" s="16">
        <v>9905</v>
      </c>
      <c r="R1242" s="16">
        <v>438</v>
      </c>
      <c r="S1242" s="16">
        <v>1</v>
      </c>
      <c r="T1242" s="111">
        <v>0</v>
      </c>
    </row>
    <row r="1243" spans="1:20" ht="15" customHeight="1" x14ac:dyDescent="0.2">
      <c r="A1243" s="12" t="s">
        <v>2635</v>
      </c>
      <c r="B1243" s="56">
        <v>4062902</v>
      </c>
      <c r="C1243" s="12" t="s">
        <v>2636</v>
      </c>
      <c r="D1243" s="12"/>
      <c r="E1243" s="12" t="s">
        <v>2637</v>
      </c>
      <c r="F1243" s="12" t="s">
        <v>98</v>
      </c>
      <c r="G1243" s="33">
        <v>2</v>
      </c>
      <c r="H1243" s="33">
        <v>21</v>
      </c>
      <c r="I1243" s="12" t="s">
        <v>38</v>
      </c>
      <c r="J1243" s="12" t="s">
        <v>39</v>
      </c>
      <c r="K1243" s="73" t="s">
        <v>29</v>
      </c>
      <c r="L1243" s="13">
        <v>16963</v>
      </c>
      <c r="M1243" s="13">
        <v>0</v>
      </c>
      <c r="N1243" s="13">
        <v>3</v>
      </c>
      <c r="O1243" s="13">
        <v>11927</v>
      </c>
      <c r="P1243" s="13">
        <v>0</v>
      </c>
      <c r="Q1243" s="13">
        <v>5036</v>
      </c>
      <c r="R1243" s="13">
        <v>851</v>
      </c>
      <c r="S1243" s="13">
        <v>2</v>
      </c>
      <c r="T1243" s="81">
        <v>0</v>
      </c>
    </row>
    <row r="1244" spans="1:20" ht="15" customHeight="1" x14ac:dyDescent="0.2">
      <c r="A1244" s="15" t="s">
        <v>2638</v>
      </c>
      <c r="B1244" s="60">
        <v>41592532</v>
      </c>
      <c r="C1244" s="15" t="s">
        <v>2570</v>
      </c>
      <c r="D1244" s="15" t="s">
        <v>2571</v>
      </c>
      <c r="E1244" s="15" t="s">
        <v>2571</v>
      </c>
      <c r="F1244" s="15" t="s">
        <v>98</v>
      </c>
      <c r="G1244" s="34">
        <v>2</v>
      </c>
      <c r="H1244" s="34">
        <v>16</v>
      </c>
      <c r="I1244" s="15" t="s">
        <v>38</v>
      </c>
      <c r="J1244" s="15" t="s">
        <v>39</v>
      </c>
      <c r="K1244" s="74" t="s">
        <v>29</v>
      </c>
      <c r="L1244" s="16">
        <v>16681</v>
      </c>
      <c r="M1244" s="16">
        <v>0</v>
      </c>
      <c r="N1244" s="16">
        <v>9452</v>
      </c>
      <c r="O1244" s="16">
        <v>11242</v>
      </c>
      <c r="P1244" s="16">
        <v>6331</v>
      </c>
      <c r="Q1244" s="16">
        <v>5439</v>
      </c>
      <c r="R1244" s="16">
        <v>839</v>
      </c>
      <c r="S1244" s="16">
        <v>2</v>
      </c>
      <c r="T1244" s="111">
        <v>0</v>
      </c>
    </row>
    <row r="1245" spans="1:20" ht="15" customHeight="1" x14ac:dyDescent="0.2">
      <c r="A1245" s="12" t="s">
        <v>2639</v>
      </c>
      <c r="B1245" s="56">
        <v>92875780</v>
      </c>
      <c r="C1245" s="12" t="s">
        <v>502</v>
      </c>
      <c r="D1245" s="12" t="s">
        <v>503</v>
      </c>
      <c r="E1245" s="12" t="s">
        <v>504</v>
      </c>
      <c r="F1245" s="12" t="s">
        <v>98</v>
      </c>
      <c r="G1245" s="33">
        <v>2</v>
      </c>
      <c r="H1245" s="33">
        <v>15</v>
      </c>
      <c r="I1245" s="12" t="s">
        <v>73</v>
      </c>
      <c r="J1245" s="12" t="s">
        <v>74</v>
      </c>
      <c r="K1245" s="73" t="s">
        <v>29</v>
      </c>
      <c r="L1245" s="13">
        <v>16602</v>
      </c>
      <c r="M1245" s="13">
        <v>0</v>
      </c>
      <c r="N1245" s="13">
        <v>365</v>
      </c>
      <c r="O1245" s="13">
        <v>197</v>
      </c>
      <c r="P1245" s="13">
        <v>0</v>
      </c>
      <c r="Q1245" s="13">
        <v>16404</v>
      </c>
      <c r="R1245" s="13">
        <v>-654</v>
      </c>
      <c r="S1245" s="13">
        <v>2</v>
      </c>
      <c r="T1245" s="81">
        <v>0</v>
      </c>
    </row>
    <row r="1246" spans="1:20" ht="15" customHeight="1" x14ac:dyDescent="0.2">
      <c r="A1246" s="15" t="s">
        <v>2640</v>
      </c>
      <c r="B1246" s="60">
        <v>2929977</v>
      </c>
      <c r="C1246" s="15" t="s">
        <v>2641</v>
      </c>
      <c r="D1246" s="15"/>
      <c r="E1246" s="15" t="s">
        <v>2642</v>
      </c>
      <c r="F1246" s="15" t="s">
        <v>65</v>
      </c>
      <c r="G1246" s="34">
        <v>1</v>
      </c>
      <c r="H1246" s="34">
        <v>30</v>
      </c>
      <c r="I1246" s="15" t="s">
        <v>2643</v>
      </c>
      <c r="J1246" s="15" t="s">
        <v>2644</v>
      </c>
      <c r="K1246" s="74" t="s">
        <v>29</v>
      </c>
      <c r="L1246" s="16">
        <v>16550</v>
      </c>
      <c r="M1246" s="16">
        <v>11333</v>
      </c>
      <c r="N1246" s="16">
        <v>1172</v>
      </c>
      <c r="O1246" s="16">
        <v>5269</v>
      </c>
      <c r="P1246" s="16">
        <v>3086</v>
      </c>
      <c r="Q1246" s="16">
        <v>11281</v>
      </c>
      <c r="R1246" s="16">
        <v>-596</v>
      </c>
      <c r="S1246" s="16">
        <v>2</v>
      </c>
      <c r="T1246" s="111">
        <v>0</v>
      </c>
    </row>
    <row r="1247" spans="1:20" ht="15" customHeight="1" x14ac:dyDescent="0.2">
      <c r="A1247" s="12" t="s">
        <v>2645</v>
      </c>
      <c r="B1247" s="56">
        <v>1288797</v>
      </c>
      <c r="C1247" s="12"/>
      <c r="D1247" s="12"/>
      <c r="E1247" s="12"/>
      <c r="F1247" s="12" t="s">
        <v>265</v>
      </c>
      <c r="G1247" s="33">
        <v>2</v>
      </c>
      <c r="H1247" s="33">
        <v>9</v>
      </c>
      <c r="I1247" s="12" t="s">
        <v>2646</v>
      </c>
      <c r="J1247" s="12" t="s">
        <v>39</v>
      </c>
      <c r="K1247" s="73" t="s">
        <v>29</v>
      </c>
      <c r="L1247" s="13">
        <v>16452</v>
      </c>
      <c r="M1247" s="13">
        <v>10834</v>
      </c>
      <c r="N1247" s="13">
        <v>5617</v>
      </c>
      <c r="O1247" s="13">
        <v>514</v>
      </c>
      <c r="P1247" s="13">
        <v>0</v>
      </c>
      <c r="Q1247" s="13">
        <v>15938</v>
      </c>
      <c r="R1247" s="13">
        <v>660</v>
      </c>
      <c r="S1247" s="13">
        <v>0</v>
      </c>
      <c r="T1247" s="81">
        <v>0</v>
      </c>
    </row>
    <row r="1248" spans="1:20" ht="15" customHeight="1" x14ac:dyDescent="0.2">
      <c r="A1248" s="15" t="s">
        <v>2647</v>
      </c>
      <c r="B1248" s="60">
        <v>32074986</v>
      </c>
      <c r="C1248" s="15" t="s">
        <v>2648</v>
      </c>
      <c r="D1248" s="15"/>
      <c r="E1248" s="15" t="s">
        <v>2649</v>
      </c>
      <c r="F1248" s="15" t="s">
        <v>84</v>
      </c>
      <c r="G1248" s="34">
        <v>2</v>
      </c>
      <c r="H1248" s="34">
        <v>41</v>
      </c>
      <c r="I1248" s="15" t="s">
        <v>404</v>
      </c>
      <c r="J1248" s="15" t="s">
        <v>401</v>
      </c>
      <c r="K1248" s="74" t="s">
        <v>29</v>
      </c>
      <c r="L1248" s="16">
        <v>16403</v>
      </c>
      <c r="M1248" s="16">
        <v>0</v>
      </c>
      <c r="N1248" s="16">
        <v>4417</v>
      </c>
      <c r="O1248" s="16">
        <v>6164</v>
      </c>
      <c r="P1248" s="16">
        <v>5542</v>
      </c>
      <c r="Q1248" s="16">
        <v>10239</v>
      </c>
      <c r="R1248" s="16">
        <v>2962</v>
      </c>
      <c r="S1248" s="16">
        <v>1</v>
      </c>
      <c r="T1248" s="111">
        <v>0</v>
      </c>
    </row>
    <row r="1249" spans="1:20" ht="15" customHeight="1" x14ac:dyDescent="0.2">
      <c r="A1249" s="12" t="s">
        <v>2650</v>
      </c>
      <c r="B1249" s="56">
        <v>42066258</v>
      </c>
      <c r="C1249" s="12" t="s">
        <v>2651</v>
      </c>
      <c r="D1249" s="12"/>
      <c r="E1249" s="12" t="s">
        <v>2652</v>
      </c>
      <c r="F1249" s="12" t="s">
        <v>98</v>
      </c>
      <c r="G1249" s="33">
        <v>2</v>
      </c>
      <c r="H1249" s="33">
        <v>15</v>
      </c>
      <c r="I1249" s="12" t="s">
        <v>53</v>
      </c>
      <c r="J1249" s="12" t="s">
        <v>54</v>
      </c>
      <c r="K1249" s="73" t="s">
        <v>29</v>
      </c>
      <c r="L1249" s="13">
        <v>15796</v>
      </c>
      <c r="M1249" s="13">
        <v>0</v>
      </c>
      <c r="N1249" s="13">
        <v>6799</v>
      </c>
      <c r="O1249" s="13">
        <v>3988</v>
      </c>
      <c r="P1249" s="13">
        <v>787</v>
      </c>
      <c r="Q1249" s="13">
        <v>11808</v>
      </c>
      <c r="R1249" s="13">
        <v>371</v>
      </c>
      <c r="S1249" s="13">
        <v>3</v>
      </c>
      <c r="T1249" s="81">
        <v>0</v>
      </c>
    </row>
    <row r="1250" spans="1:20" ht="15" customHeight="1" x14ac:dyDescent="0.2">
      <c r="A1250" s="15" t="s">
        <v>2653</v>
      </c>
      <c r="B1250" s="60">
        <v>42107706</v>
      </c>
      <c r="C1250" s="15"/>
      <c r="D1250" s="15"/>
      <c r="E1250" s="15"/>
      <c r="F1250" s="15" t="s">
        <v>265</v>
      </c>
      <c r="G1250" s="34">
        <v>2</v>
      </c>
      <c r="H1250" s="34">
        <v>9</v>
      </c>
      <c r="I1250" s="15" t="s">
        <v>53</v>
      </c>
      <c r="J1250" s="15" t="s">
        <v>54</v>
      </c>
      <c r="K1250" s="74" t="s">
        <v>29</v>
      </c>
      <c r="L1250" s="16">
        <v>15745</v>
      </c>
      <c r="M1250" s="16">
        <v>10943</v>
      </c>
      <c r="N1250" s="16">
        <v>1872</v>
      </c>
      <c r="O1250" s="16">
        <v>1013</v>
      </c>
      <c r="P1250" s="16">
        <v>0</v>
      </c>
      <c r="Q1250" s="16">
        <v>14732</v>
      </c>
      <c r="R1250" s="16">
        <v>1010</v>
      </c>
      <c r="S1250" s="16">
        <v>0</v>
      </c>
      <c r="T1250" s="111">
        <v>0</v>
      </c>
    </row>
    <row r="1251" spans="1:20" ht="15" customHeight="1" x14ac:dyDescent="0.2">
      <c r="A1251" s="12" t="s">
        <v>2654</v>
      </c>
      <c r="B1251" s="56">
        <v>33851064</v>
      </c>
      <c r="C1251" s="12" t="s">
        <v>2655</v>
      </c>
      <c r="D1251" s="12"/>
      <c r="E1251" s="12" t="s">
        <v>2656</v>
      </c>
      <c r="F1251" s="12" t="s">
        <v>98</v>
      </c>
      <c r="G1251" s="33">
        <v>2</v>
      </c>
      <c r="H1251" s="33">
        <v>16</v>
      </c>
      <c r="I1251" s="12" t="s">
        <v>53</v>
      </c>
      <c r="J1251" s="12" t="s">
        <v>54</v>
      </c>
      <c r="K1251" s="73" t="s">
        <v>29</v>
      </c>
      <c r="L1251" s="13">
        <v>15666</v>
      </c>
      <c r="M1251" s="13">
        <v>0</v>
      </c>
      <c r="N1251" s="13">
        <v>6796</v>
      </c>
      <c r="O1251" s="13">
        <v>7317</v>
      </c>
      <c r="P1251" s="13">
        <v>2581</v>
      </c>
      <c r="Q1251" s="13">
        <v>8349</v>
      </c>
      <c r="R1251" s="13">
        <v>-84</v>
      </c>
      <c r="S1251" s="13">
        <v>3</v>
      </c>
      <c r="T1251" s="81">
        <v>0</v>
      </c>
    </row>
    <row r="1252" spans="1:20" ht="15" customHeight="1" x14ac:dyDescent="0.2">
      <c r="A1252" s="15" t="s">
        <v>2657</v>
      </c>
      <c r="B1252" s="60">
        <v>5097757</v>
      </c>
      <c r="C1252" s="15"/>
      <c r="D1252" s="15"/>
      <c r="E1252" s="15"/>
      <c r="F1252" s="15" t="s">
        <v>265</v>
      </c>
      <c r="G1252" s="34">
        <v>2</v>
      </c>
      <c r="H1252" s="34">
        <v>9</v>
      </c>
      <c r="I1252" s="15" t="s">
        <v>228</v>
      </c>
      <c r="J1252" s="15" t="s">
        <v>229</v>
      </c>
      <c r="K1252" s="74" t="s">
        <v>29</v>
      </c>
      <c r="L1252" s="16">
        <v>15577</v>
      </c>
      <c r="M1252" s="16">
        <v>12698</v>
      </c>
      <c r="N1252" s="16">
        <v>236</v>
      </c>
      <c r="O1252" s="16">
        <v>8616</v>
      </c>
      <c r="P1252" s="16">
        <v>8351</v>
      </c>
      <c r="Q1252" s="16">
        <v>6962</v>
      </c>
      <c r="R1252" s="16">
        <v>-646</v>
      </c>
      <c r="S1252" s="16">
        <v>0</v>
      </c>
      <c r="T1252" s="111">
        <v>1</v>
      </c>
    </row>
    <row r="1253" spans="1:20" ht="15" customHeight="1" x14ac:dyDescent="0.2">
      <c r="A1253" s="12" t="s">
        <v>2658</v>
      </c>
      <c r="B1253" s="56">
        <v>58330558</v>
      </c>
      <c r="C1253" s="12" t="s">
        <v>67</v>
      </c>
      <c r="D1253" s="12" t="s">
        <v>68</v>
      </c>
      <c r="E1253" s="12" t="s">
        <v>69</v>
      </c>
      <c r="F1253" s="12" t="s">
        <v>65</v>
      </c>
      <c r="G1253" s="33">
        <v>2</v>
      </c>
      <c r="H1253" s="33">
        <v>43</v>
      </c>
      <c r="I1253" s="12" t="s">
        <v>38</v>
      </c>
      <c r="J1253" s="12" t="s">
        <v>39</v>
      </c>
      <c r="K1253" s="73" t="s">
        <v>29</v>
      </c>
      <c r="L1253" s="13">
        <v>15533</v>
      </c>
      <c r="M1253" s="13">
        <v>0</v>
      </c>
      <c r="N1253" s="13">
        <v>15533</v>
      </c>
      <c r="O1253" s="13">
        <v>68</v>
      </c>
      <c r="P1253" s="13">
        <v>0</v>
      </c>
      <c r="Q1253" s="13">
        <v>15465</v>
      </c>
      <c r="R1253" s="13">
        <v>463</v>
      </c>
      <c r="S1253" s="13">
        <v>2</v>
      </c>
      <c r="T1253" s="81">
        <v>0</v>
      </c>
    </row>
    <row r="1254" spans="1:20" ht="15" customHeight="1" x14ac:dyDescent="0.2">
      <c r="A1254" s="15" t="s">
        <v>2659</v>
      </c>
      <c r="B1254" s="60">
        <v>73631483</v>
      </c>
      <c r="C1254" s="15"/>
      <c r="D1254" s="15"/>
      <c r="E1254" s="15"/>
      <c r="F1254" s="15" t="s">
        <v>265</v>
      </c>
      <c r="G1254" s="34">
        <v>2</v>
      </c>
      <c r="H1254" s="34">
        <v>9</v>
      </c>
      <c r="I1254" s="15" t="s">
        <v>2660</v>
      </c>
      <c r="J1254" s="15" t="s">
        <v>54</v>
      </c>
      <c r="K1254" s="74" t="s">
        <v>29</v>
      </c>
      <c r="L1254" s="16">
        <v>15334</v>
      </c>
      <c r="M1254" s="16">
        <v>6390</v>
      </c>
      <c r="N1254" s="16">
        <v>6519</v>
      </c>
      <c r="O1254" s="16">
        <v>1135</v>
      </c>
      <c r="P1254" s="16">
        <v>0</v>
      </c>
      <c r="Q1254" s="16">
        <v>14199</v>
      </c>
      <c r="R1254" s="16">
        <v>636</v>
      </c>
      <c r="S1254" s="16">
        <v>0</v>
      </c>
      <c r="T1254" s="111">
        <v>0</v>
      </c>
    </row>
    <row r="1255" spans="1:20" ht="15" customHeight="1" x14ac:dyDescent="0.2">
      <c r="A1255" s="12" t="s">
        <v>2661</v>
      </c>
      <c r="B1255" s="56">
        <v>32708748</v>
      </c>
      <c r="C1255" s="12" t="s">
        <v>2662</v>
      </c>
      <c r="D1255" s="12"/>
      <c r="E1255" s="12" t="s">
        <v>2663</v>
      </c>
      <c r="F1255" s="12" t="s">
        <v>84</v>
      </c>
      <c r="G1255" s="33">
        <v>2</v>
      </c>
      <c r="H1255" s="33">
        <v>41</v>
      </c>
      <c r="I1255" s="12" t="s">
        <v>228</v>
      </c>
      <c r="J1255" s="12" t="s">
        <v>229</v>
      </c>
      <c r="K1255" s="73" t="s">
        <v>29</v>
      </c>
      <c r="L1255" s="13">
        <v>15105</v>
      </c>
      <c r="M1255" s="13">
        <v>0</v>
      </c>
      <c r="N1255" s="13">
        <v>7</v>
      </c>
      <c r="O1255" s="13">
        <v>14520</v>
      </c>
      <c r="P1255" s="13">
        <v>9676</v>
      </c>
      <c r="Q1255" s="13">
        <v>585</v>
      </c>
      <c r="R1255" s="13">
        <v>-2213</v>
      </c>
      <c r="S1255" s="13">
        <v>1</v>
      </c>
      <c r="T1255" s="81">
        <v>0</v>
      </c>
    </row>
    <row r="1256" spans="1:20" ht="15" customHeight="1" x14ac:dyDescent="0.2">
      <c r="A1256" s="15" t="s">
        <v>2664</v>
      </c>
      <c r="B1256" s="60">
        <v>16564240</v>
      </c>
      <c r="C1256" s="15"/>
      <c r="D1256" s="15"/>
      <c r="E1256" s="15"/>
      <c r="F1256" s="15" t="s">
        <v>265</v>
      </c>
      <c r="G1256" s="34">
        <v>2</v>
      </c>
      <c r="H1256" s="34">
        <v>9</v>
      </c>
      <c r="I1256" s="15" t="s">
        <v>38</v>
      </c>
      <c r="J1256" s="15" t="s">
        <v>39</v>
      </c>
      <c r="K1256" s="74" t="s">
        <v>29</v>
      </c>
      <c r="L1256" s="16">
        <v>14973</v>
      </c>
      <c r="M1256" s="16">
        <v>9692</v>
      </c>
      <c r="N1256" s="16">
        <v>4854</v>
      </c>
      <c r="O1256" s="16">
        <v>13456</v>
      </c>
      <c r="P1256" s="16">
        <v>13208</v>
      </c>
      <c r="Q1256" s="16">
        <v>1516</v>
      </c>
      <c r="R1256" s="16">
        <v>-565</v>
      </c>
      <c r="S1256" s="16">
        <v>0</v>
      </c>
      <c r="T1256" s="111">
        <v>15</v>
      </c>
    </row>
    <row r="1257" spans="1:20" ht="15" customHeight="1" x14ac:dyDescent="0.2">
      <c r="A1257" s="12" t="s">
        <v>2665</v>
      </c>
      <c r="B1257" s="56">
        <v>57545436</v>
      </c>
      <c r="C1257" s="12"/>
      <c r="D1257" s="12"/>
      <c r="E1257" s="12"/>
      <c r="F1257" s="12" t="s">
        <v>265</v>
      </c>
      <c r="G1257" s="33">
        <v>2</v>
      </c>
      <c r="H1257" s="33">
        <v>9</v>
      </c>
      <c r="I1257" s="12" t="s">
        <v>1846</v>
      </c>
      <c r="J1257" s="12" t="s">
        <v>39</v>
      </c>
      <c r="K1257" s="73" t="s">
        <v>29</v>
      </c>
      <c r="L1257" s="13">
        <v>14929</v>
      </c>
      <c r="M1257" s="13">
        <v>8375</v>
      </c>
      <c r="N1257" s="13">
        <v>5880</v>
      </c>
      <c r="O1257" s="13">
        <v>1266</v>
      </c>
      <c r="P1257" s="13">
        <v>0</v>
      </c>
      <c r="Q1257" s="13">
        <v>13663</v>
      </c>
      <c r="R1257" s="13">
        <v>280</v>
      </c>
      <c r="S1257" s="13">
        <v>0</v>
      </c>
      <c r="T1257" s="81">
        <v>0</v>
      </c>
    </row>
    <row r="1258" spans="1:20" ht="15" customHeight="1" x14ac:dyDescent="0.2">
      <c r="A1258" s="15" t="s">
        <v>2666</v>
      </c>
      <c r="B1258" s="60">
        <v>72600026</v>
      </c>
      <c r="C1258" s="15" t="s">
        <v>2667</v>
      </c>
      <c r="D1258" s="15"/>
      <c r="E1258" s="15" t="s">
        <v>2668</v>
      </c>
      <c r="F1258" s="15" t="s">
        <v>98</v>
      </c>
      <c r="G1258" s="34">
        <v>3</v>
      </c>
      <c r="H1258" s="34">
        <v>16</v>
      </c>
      <c r="I1258" s="15" t="s">
        <v>38</v>
      </c>
      <c r="J1258" s="15" t="s">
        <v>39</v>
      </c>
      <c r="K1258" s="74" t="s">
        <v>29</v>
      </c>
      <c r="L1258" s="16">
        <v>14731</v>
      </c>
      <c r="M1258" s="16">
        <v>0</v>
      </c>
      <c r="N1258" s="16">
        <v>6442</v>
      </c>
      <c r="O1258" s="16">
        <v>7420</v>
      </c>
      <c r="P1258" s="16">
        <v>2843</v>
      </c>
      <c r="Q1258" s="16">
        <v>7311</v>
      </c>
      <c r="R1258" s="16">
        <v>-857</v>
      </c>
      <c r="S1258" s="16">
        <v>2</v>
      </c>
      <c r="T1258" s="111">
        <v>0</v>
      </c>
    </row>
    <row r="1259" spans="1:20" ht="15" customHeight="1" x14ac:dyDescent="0.2">
      <c r="A1259" s="12" t="s">
        <v>2669</v>
      </c>
      <c r="B1259" s="56">
        <v>43215815</v>
      </c>
      <c r="C1259" s="12" t="s">
        <v>2670</v>
      </c>
      <c r="D1259" s="12"/>
      <c r="E1259" s="12" t="s">
        <v>2671</v>
      </c>
      <c r="F1259" s="12" t="s">
        <v>84</v>
      </c>
      <c r="G1259" s="33">
        <v>3</v>
      </c>
      <c r="H1259" s="33">
        <v>41</v>
      </c>
      <c r="I1259" s="12" t="s">
        <v>38</v>
      </c>
      <c r="J1259" s="12" t="s">
        <v>39</v>
      </c>
      <c r="K1259" s="73" t="s">
        <v>29</v>
      </c>
      <c r="L1259" s="13">
        <v>14724</v>
      </c>
      <c r="M1259" s="13">
        <v>0</v>
      </c>
      <c r="N1259" s="13">
        <v>0</v>
      </c>
      <c r="O1259" s="13">
        <v>14274</v>
      </c>
      <c r="P1259" s="13">
        <v>0</v>
      </c>
      <c r="Q1259" s="13">
        <v>450</v>
      </c>
      <c r="R1259" s="13">
        <v>-77</v>
      </c>
      <c r="S1259" s="13">
        <v>1</v>
      </c>
      <c r="T1259" s="81">
        <v>0</v>
      </c>
    </row>
    <row r="1260" spans="1:20" ht="15" customHeight="1" x14ac:dyDescent="0.2">
      <c r="A1260" s="15" t="s">
        <v>2672</v>
      </c>
      <c r="B1260" s="60">
        <v>18846364</v>
      </c>
      <c r="C1260" s="15" t="s">
        <v>448</v>
      </c>
      <c r="D1260" s="15" t="s">
        <v>449</v>
      </c>
      <c r="E1260" s="15" t="s">
        <v>450</v>
      </c>
      <c r="F1260" s="15" t="s">
        <v>65</v>
      </c>
      <c r="G1260" s="34">
        <v>2</v>
      </c>
      <c r="H1260" s="34">
        <v>19</v>
      </c>
      <c r="I1260" s="15" t="s">
        <v>38</v>
      </c>
      <c r="J1260" s="15" t="s">
        <v>39</v>
      </c>
      <c r="K1260" s="74" t="s">
        <v>29</v>
      </c>
      <c r="L1260" s="16">
        <v>14651</v>
      </c>
      <c r="M1260" s="16">
        <v>0</v>
      </c>
      <c r="N1260" s="16">
        <v>0</v>
      </c>
      <c r="O1260" s="16">
        <v>219</v>
      </c>
      <c r="P1260" s="16">
        <v>0</v>
      </c>
      <c r="Q1260" s="16">
        <v>14432</v>
      </c>
      <c r="R1260" s="16">
        <v>570</v>
      </c>
      <c r="S1260" s="16">
        <v>2</v>
      </c>
      <c r="T1260" s="111">
        <v>0</v>
      </c>
    </row>
    <row r="1261" spans="1:20" ht="15" customHeight="1" x14ac:dyDescent="0.2">
      <c r="A1261" s="12" t="s">
        <v>2673</v>
      </c>
      <c r="B1261" s="56">
        <v>49947715</v>
      </c>
      <c r="C1261" s="12" t="s">
        <v>2674</v>
      </c>
      <c r="D1261" s="12"/>
      <c r="E1261" s="12" t="s">
        <v>2675</v>
      </c>
      <c r="F1261" s="12" t="s">
        <v>65</v>
      </c>
      <c r="G1261" s="33">
        <v>2</v>
      </c>
      <c r="H1261" s="33">
        <v>43</v>
      </c>
      <c r="I1261" s="12" t="s">
        <v>2676</v>
      </c>
      <c r="J1261" s="12" t="s">
        <v>389</v>
      </c>
      <c r="K1261" s="73" t="s">
        <v>29</v>
      </c>
      <c r="L1261" s="13">
        <v>14241</v>
      </c>
      <c r="M1261" s="13">
        <v>9239</v>
      </c>
      <c r="N1261" s="13">
        <v>4682</v>
      </c>
      <c r="O1261" s="13">
        <v>1116</v>
      </c>
      <c r="P1261" s="13">
        <v>0</v>
      </c>
      <c r="Q1261" s="13">
        <v>13126</v>
      </c>
      <c r="R1261" s="13">
        <v>1331</v>
      </c>
      <c r="S1261" s="13">
        <v>2</v>
      </c>
      <c r="T1261" s="81">
        <v>0</v>
      </c>
    </row>
    <row r="1262" spans="1:20" ht="15" customHeight="1" x14ac:dyDescent="0.2">
      <c r="A1262" s="15" t="s">
        <v>2677</v>
      </c>
      <c r="B1262" s="60">
        <v>31531997</v>
      </c>
      <c r="C1262" s="15" t="s">
        <v>2678</v>
      </c>
      <c r="D1262" s="15"/>
      <c r="E1262" s="15" t="s">
        <v>2679</v>
      </c>
      <c r="F1262" s="15" t="s">
        <v>84</v>
      </c>
      <c r="G1262" s="34">
        <v>2</v>
      </c>
      <c r="H1262" s="34">
        <v>41</v>
      </c>
      <c r="I1262" s="15" t="s">
        <v>577</v>
      </c>
      <c r="J1262" s="15" t="s">
        <v>578</v>
      </c>
      <c r="K1262" s="74" t="s">
        <v>29</v>
      </c>
      <c r="L1262" s="16">
        <v>14203</v>
      </c>
      <c r="M1262" s="16">
        <v>0</v>
      </c>
      <c r="N1262" s="16">
        <v>5292</v>
      </c>
      <c r="O1262" s="16">
        <v>7312</v>
      </c>
      <c r="P1262" s="16">
        <v>948</v>
      </c>
      <c r="Q1262" s="16">
        <v>6891</v>
      </c>
      <c r="R1262" s="16">
        <v>-655</v>
      </c>
      <c r="S1262" s="16">
        <v>1</v>
      </c>
      <c r="T1262" s="111">
        <v>0</v>
      </c>
    </row>
    <row r="1263" spans="1:20" ht="15" customHeight="1" x14ac:dyDescent="0.2">
      <c r="A1263" s="12" t="s">
        <v>2680</v>
      </c>
      <c r="B1263" s="56">
        <v>34978626</v>
      </c>
      <c r="C1263" s="12" t="s">
        <v>2681</v>
      </c>
      <c r="D1263" s="12"/>
      <c r="E1263" s="12" t="s">
        <v>2682</v>
      </c>
      <c r="F1263" s="12" t="s">
        <v>98</v>
      </c>
      <c r="G1263" s="33">
        <v>2</v>
      </c>
      <c r="H1263" s="33">
        <v>16</v>
      </c>
      <c r="I1263" s="12" t="s">
        <v>38</v>
      </c>
      <c r="J1263" s="12" t="s">
        <v>39</v>
      </c>
      <c r="K1263" s="73" t="s">
        <v>29</v>
      </c>
      <c r="L1263" s="13">
        <v>13910</v>
      </c>
      <c r="M1263" s="13">
        <v>0</v>
      </c>
      <c r="N1263" s="13">
        <v>205</v>
      </c>
      <c r="O1263" s="13">
        <v>13166</v>
      </c>
      <c r="P1263" s="13">
        <v>0</v>
      </c>
      <c r="Q1263" s="13">
        <v>744</v>
      </c>
      <c r="R1263" s="13">
        <v>122</v>
      </c>
      <c r="S1263" s="13">
        <v>2</v>
      </c>
      <c r="T1263" s="81">
        <v>0</v>
      </c>
    </row>
    <row r="1264" spans="1:20" ht="15" customHeight="1" x14ac:dyDescent="0.2">
      <c r="A1264" s="15" t="s">
        <v>2683</v>
      </c>
      <c r="B1264" s="60">
        <v>12651789</v>
      </c>
      <c r="C1264" s="15" t="s">
        <v>2684</v>
      </c>
      <c r="D1264" s="15"/>
      <c r="E1264" s="15" t="s">
        <v>2685</v>
      </c>
      <c r="F1264" s="15" t="s">
        <v>84</v>
      </c>
      <c r="G1264" s="34">
        <v>2</v>
      </c>
      <c r="H1264" s="34">
        <v>41</v>
      </c>
      <c r="I1264" s="15" t="s">
        <v>38</v>
      </c>
      <c r="J1264" s="15" t="s">
        <v>39</v>
      </c>
      <c r="K1264" s="74" t="s">
        <v>29</v>
      </c>
      <c r="L1264" s="16">
        <v>13863</v>
      </c>
      <c r="M1264" s="16">
        <v>0</v>
      </c>
      <c r="N1264" s="16">
        <v>6539</v>
      </c>
      <c r="O1264" s="16">
        <v>10490</v>
      </c>
      <c r="P1264" s="16">
        <v>4306</v>
      </c>
      <c r="Q1264" s="16">
        <v>3373</v>
      </c>
      <c r="R1264" s="16">
        <v>508</v>
      </c>
      <c r="S1264" s="16">
        <v>1</v>
      </c>
      <c r="T1264" s="111">
        <v>0</v>
      </c>
    </row>
    <row r="1265" spans="1:20" ht="15" customHeight="1" x14ac:dyDescent="0.2">
      <c r="A1265" s="12" t="s">
        <v>2686</v>
      </c>
      <c r="B1265" s="56">
        <v>3639902</v>
      </c>
      <c r="C1265" s="12"/>
      <c r="D1265" s="12"/>
      <c r="E1265" s="12"/>
      <c r="F1265" s="12" t="s">
        <v>265</v>
      </c>
      <c r="G1265" s="33">
        <v>2</v>
      </c>
      <c r="H1265" s="33">
        <v>9</v>
      </c>
      <c r="I1265" s="12" t="s">
        <v>182</v>
      </c>
      <c r="J1265" s="12" t="s">
        <v>183</v>
      </c>
      <c r="K1265" s="73" t="s">
        <v>29</v>
      </c>
      <c r="L1265" s="13">
        <v>13844</v>
      </c>
      <c r="M1265" s="13">
        <v>5729</v>
      </c>
      <c r="N1265" s="13">
        <v>5545</v>
      </c>
      <c r="O1265" s="13">
        <v>1367</v>
      </c>
      <c r="P1265" s="13">
        <v>320</v>
      </c>
      <c r="Q1265" s="13">
        <v>12478</v>
      </c>
      <c r="R1265" s="13">
        <v>4</v>
      </c>
      <c r="S1265" s="13">
        <v>0</v>
      </c>
      <c r="T1265" s="81">
        <v>0</v>
      </c>
    </row>
    <row r="1266" spans="1:20" ht="15" customHeight="1" x14ac:dyDescent="0.2">
      <c r="A1266" s="15" t="s">
        <v>2687</v>
      </c>
      <c r="B1266" s="60">
        <v>17508380</v>
      </c>
      <c r="C1266" s="15" t="s">
        <v>2688</v>
      </c>
      <c r="D1266" s="15"/>
      <c r="E1266" s="15" t="s">
        <v>2689</v>
      </c>
      <c r="F1266" s="15" t="s">
        <v>98</v>
      </c>
      <c r="G1266" s="34">
        <v>2</v>
      </c>
      <c r="H1266" s="34">
        <v>21</v>
      </c>
      <c r="I1266" s="15" t="s">
        <v>73</v>
      </c>
      <c r="J1266" s="15" t="s">
        <v>74</v>
      </c>
      <c r="K1266" s="74" t="s">
        <v>29</v>
      </c>
      <c r="L1266" s="16">
        <v>13821</v>
      </c>
      <c r="M1266" s="16">
        <v>0</v>
      </c>
      <c r="N1266" s="16">
        <v>30</v>
      </c>
      <c r="O1266" s="16">
        <v>6914</v>
      </c>
      <c r="P1266" s="16">
        <v>0</v>
      </c>
      <c r="Q1266" s="16">
        <v>6906</v>
      </c>
      <c r="R1266" s="16">
        <v>77</v>
      </c>
      <c r="S1266" s="16">
        <v>3</v>
      </c>
      <c r="T1266" s="111">
        <v>0</v>
      </c>
    </row>
    <row r="1267" spans="1:20" ht="15" customHeight="1" x14ac:dyDescent="0.2">
      <c r="A1267" s="12" t="s">
        <v>2690</v>
      </c>
      <c r="B1267" s="56">
        <v>42723848</v>
      </c>
      <c r="C1267" s="12" t="s">
        <v>2691</v>
      </c>
      <c r="D1267" s="12" t="s">
        <v>2692</v>
      </c>
      <c r="E1267" s="12" t="s">
        <v>2693</v>
      </c>
      <c r="F1267" s="12" t="s">
        <v>65</v>
      </c>
      <c r="G1267" s="33">
        <v>2</v>
      </c>
      <c r="H1267" s="33">
        <v>14</v>
      </c>
      <c r="I1267" s="12" t="s">
        <v>73</v>
      </c>
      <c r="J1267" s="12" t="s">
        <v>74</v>
      </c>
      <c r="K1267" s="73" t="s">
        <v>29</v>
      </c>
      <c r="L1267" s="13">
        <v>13797</v>
      </c>
      <c r="M1267" s="13">
        <v>10376</v>
      </c>
      <c r="N1267" s="13">
        <v>528</v>
      </c>
      <c r="O1267" s="13">
        <v>3675</v>
      </c>
      <c r="P1267" s="13">
        <v>2209</v>
      </c>
      <c r="Q1267" s="13">
        <v>10122</v>
      </c>
      <c r="R1267" s="13">
        <v>263</v>
      </c>
      <c r="S1267" s="13">
        <v>2</v>
      </c>
      <c r="T1267" s="81">
        <v>0</v>
      </c>
    </row>
    <row r="1268" spans="1:20" ht="15" customHeight="1" x14ac:dyDescent="0.2">
      <c r="A1268" s="15" t="s">
        <v>2694</v>
      </c>
      <c r="B1268" s="60">
        <v>4478231</v>
      </c>
      <c r="C1268" s="15"/>
      <c r="D1268" s="15"/>
      <c r="E1268" s="15"/>
      <c r="F1268" s="15" t="s">
        <v>265</v>
      </c>
      <c r="G1268" s="34">
        <v>2</v>
      </c>
      <c r="H1268" s="34">
        <v>9</v>
      </c>
      <c r="I1268" s="15" t="s">
        <v>38</v>
      </c>
      <c r="J1268" s="15" t="s">
        <v>39</v>
      </c>
      <c r="K1268" s="74" t="s">
        <v>29</v>
      </c>
      <c r="L1268" s="16">
        <v>13634</v>
      </c>
      <c r="M1268" s="16">
        <v>5387</v>
      </c>
      <c r="N1268" s="16">
        <v>7601</v>
      </c>
      <c r="O1268" s="16">
        <v>1175</v>
      </c>
      <c r="P1268" s="16">
        <v>0</v>
      </c>
      <c r="Q1268" s="16">
        <v>12460</v>
      </c>
      <c r="R1268" s="16">
        <v>604</v>
      </c>
      <c r="S1268" s="16">
        <v>0</v>
      </c>
      <c r="T1268" s="111">
        <v>0</v>
      </c>
    </row>
    <row r="1269" spans="1:20" ht="15" customHeight="1" x14ac:dyDescent="0.2">
      <c r="A1269" s="12" t="s">
        <v>2695</v>
      </c>
      <c r="B1269" s="56">
        <v>49555647</v>
      </c>
      <c r="C1269" s="12" t="s">
        <v>2696</v>
      </c>
      <c r="D1269" s="12"/>
      <c r="E1269" s="12" t="s">
        <v>2697</v>
      </c>
      <c r="F1269" s="12" t="s">
        <v>65</v>
      </c>
      <c r="G1269" s="33">
        <v>2</v>
      </c>
      <c r="H1269" s="33">
        <v>43</v>
      </c>
      <c r="I1269" s="12" t="s">
        <v>38</v>
      </c>
      <c r="J1269" s="12" t="s">
        <v>39</v>
      </c>
      <c r="K1269" s="73" t="s">
        <v>29</v>
      </c>
      <c r="L1269" s="13">
        <v>13592</v>
      </c>
      <c r="M1269" s="13">
        <v>0</v>
      </c>
      <c r="N1269" s="13">
        <v>12579</v>
      </c>
      <c r="O1269" s="13">
        <v>8566</v>
      </c>
      <c r="P1269" s="13">
        <v>8492</v>
      </c>
      <c r="Q1269" s="13">
        <v>5026</v>
      </c>
      <c r="R1269" s="13">
        <v>-158</v>
      </c>
      <c r="S1269" s="13">
        <v>2</v>
      </c>
      <c r="T1269" s="81">
        <v>0</v>
      </c>
    </row>
    <row r="1270" spans="1:20" ht="15" customHeight="1" x14ac:dyDescent="0.2">
      <c r="A1270" s="15" t="s">
        <v>2698</v>
      </c>
      <c r="B1270" s="60">
        <v>15227994</v>
      </c>
      <c r="C1270" s="15" t="s">
        <v>659</v>
      </c>
      <c r="D1270" s="15" t="s">
        <v>660</v>
      </c>
      <c r="E1270" s="15" t="s">
        <v>661</v>
      </c>
      <c r="F1270" s="15" t="s">
        <v>98</v>
      </c>
      <c r="G1270" s="34">
        <v>2</v>
      </c>
      <c r="H1270" s="34">
        <v>16</v>
      </c>
      <c r="I1270" s="15" t="s">
        <v>38</v>
      </c>
      <c r="J1270" s="15" t="s">
        <v>39</v>
      </c>
      <c r="K1270" s="74" t="s">
        <v>29</v>
      </c>
      <c r="L1270" s="16">
        <v>13539</v>
      </c>
      <c r="M1270" s="16">
        <v>0</v>
      </c>
      <c r="N1270" s="16">
        <v>13</v>
      </c>
      <c r="O1270" s="16">
        <v>2717</v>
      </c>
      <c r="P1270" s="16">
        <v>0</v>
      </c>
      <c r="Q1270" s="16">
        <v>10823</v>
      </c>
      <c r="R1270" s="16">
        <v>2385</v>
      </c>
      <c r="S1270" s="16">
        <v>3</v>
      </c>
      <c r="T1270" s="111">
        <v>0</v>
      </c>
    </row>
    <row r="1271" spans="1:20" ht="15" customHeight="1" x14ac:dyDescent="0.2">
      <c r="A1271" s="12" t="s">
        <v>2699</v>
      </c>
      <c r="B1271" s="56">
        <v>45548763</v>
      </c>
      <c r="C1271" s="12" t="s">
        <v>2700</v>
      </c>
      <c r="D1271" s="12"/>
      <c r="E1271" s="12" t="s">
        <v>2701</v>
      </c>
      <c r="F1271" s="12" t="s">
        <v>84</v>
      </c>
      <c r="G1271" s="33">
        <v>2</v>
      </c>
      <c r="H1271" s="33">
        <v>41</v>
      </c>
      <c r="I1271" s="12" t="s">
        <v>38</v>
      </c>
      <c r="J1271" s="12" t="s">
        <v>39</v>
      </c>
      <c r="K1271" s="73" t="s">
        <v>29</v>
      </c>
      <c r="L1271" s="13">
        <v>13503</v>
      </c>
      <c r="M1271" s="13">
        <v>0</v>
      </c>
      <c r="N1271" s="13">
        <v>0</v>
      </c>
      <c r="O1271" s="13">
        <v>5159</v>
      </c>
      <c r="P1271" s="13">
        <v>392</v>
      </c>
      <c r="Q1271" s="13">
        <v>8344</v>
      </c>
      <c r="R1271" s="13">
        <v>-1354</v>
      </c>
      <c r="S1271" s="13">
        <v>1</v>
      </c>
      <c r="T1271" s="81">
        <v>0</v>
      </c>
    </row>
    <row r="1272" spans="1:20" ht="15" customHeight="1" x14ac:dyDescent="0.2">
      <c r="A1272" s="15" t="s">
        <v>2702</v>
      </c>
      <c r="B1272" s="60">
        <v>44478623</v>
      </c>
      <c r="C1272" s="15" t="s">
        <v>2703</v>
      </c>
      <c r="D1272" s="15"/>
      <c r="E1272" s="15" t="s">
        <v>2704</v>
      </c>
      <c r="F1272" s="15" t="s">
        <v>65</v>
      </c>
      <c r="G1272" s="34">
        <v>2</v>
      </c>
      <c r="H1272" s="34">
        <v>43</v>
      </c>
      <c r="I1272" s="15" t="s">
        <v>1061</v>
      </c>
      <c r="J1272" s="15" t="s">
        <v>39</v>
      </c>
      <c r="K1272" s="74" t="s">
        <v>29</v>
      </c>
      <c r="L1272" s="16">
        <v>13447</v>
      </c>
      <c r="M1272" s="16">
        <v>4629</v>
      </c>
      <c r="N1272" s="16">
        <v>5236</v>
      </c>
      <c r="O1272" s="16">
        <v>2317</v>
      </c>
      <c r="P1272" s="16">
        <v>2084</v>
      </c>
      <c r="Q1272" s="16">
        <v>11130</v>
      </c>
      <c r="R1272" s="16">
        <v>357</v>
      </c>
      <c r="S1272" s="16">
        <v>2</v>
      </c>
      <c r="T1272" s="111">
        <v>0</v>
      </c>
    </row>
    <row r="1273" spans="1:20" ht="15" customHeight="1" x14ac:dyDescent="0.2">
      <c r="A1273" s="12" t="s">
        <v>2705</v>
      </c>
      <c r="B1273" s="56">
        <v>714671</v>
      </c>
      <c r="C1273" s="12" t="s">
        <v>2706</v>
      </c>
      <c r="D1273" s="12"/>
      <c r="E1273" s="12" t="s">
        <v>2707</v>
      </c>
      <c r="F1273" s="12" t="s">
        <v>84</v>
      </c>
      <c r="G1273" s="33">
        <v>2</v>
      </c>
      <c r="H1273" s="33">
        <v>41</v>
      </c>
      <c r="I1273" s="12" t="s">
        <v>38</v>
      </c>
      <c r="J1273" s="12" t="s">
        <v>39</v>
      </c>
      <c r="K1273" s="73" t="s">
        <v>29</v>
      </c>
      <c r="L1273" s="13">
        <v>13378</v>
      </c>
      <c r="M1273" s="13">
        <v>0</v>
      </c>
      <c r="N1273" s="13">
        <v>9</v>
      </c>
      <c r="O1273" s="13">
        <v>7178</v>
      </c>
      <c r="P1273" s="13">
        <v>5149</v>
      </c>
      <c r="Q1273" s="13">
        <v>6200</v>
      </c>
      <c r="R1273" s="13">
        <v>-4561</v>
      </c>
      <c r="S1273" s="13">
        <v>1</v>
      </c>
      <c r="T1273" s="81">
        <v>0</v>
      </c>
    </row>
    <row r="1274" spans="1:20" ht="15" customHeight="1" x14ac:dyDescent="0.2">
      <c r="A1274" s="15" t="s">
        <v>2708</v>
      </c>
      <c r="B1274" s="60">
        <v>991739</v>
      </c>
      <c r="C1274" s="15"/>
      <c r="D1274" s="15"/>
      <c r="E1274" s="15"/>
      <c r="F1274" s="15" t="s">
        <v>265</v>
      </c>
      <c r="G1274" s="34">
        <v>2</v>
      </c>
      <c r="H1274" s="34">
        <v>9</v>
      </c>
      <c r="I1274" s="15" t="s">
        <v>143</v>
      </c>
      <c r="J1274" s="15" t="s">
        <v>144</v>
      </c>
      <c r="K1274" s="74" t="s">
        <v>29</v>
      </c>
      <c r="L1274" s="16">
        <v>13366</v>
      </c>
      <c r="M1274" s="16">
        <v>9007</v>
      </c>
      <c r="N1274" s="16">
        <v>1699</v>
      </c>
      <c r="O1274" s="16">
        <v>1579</v>
      </c>
      <c r="P1274" s="16">
        <v>0</v>
      </c>
      <c r="Q1274" s="16">
        <v>11787</v>
      </c>
      <c r="R1274" s="16">
        <v>312</v>
      </c>
      <c r="S1274" s="16">
        <v>0</v>
      </c>
      <c r="T1274" s="111">
        <v>0</v>
      </c>
    </row>
    <row r="1275" spans="1:20" ht="15" customHeight="1" x14ac:dyDescent="0.2">
      <c r="A1275" s="12" t="s">
        <v>2709</v>
      </c>
      <c r="B1275" s="56">
        <v>37414009</v>
      </c>
      <c r="C1275" s="12" t="s">
        <v>2710</v>
      </c>
      <c r="D1275" s="12"/>
      <c r="E1275" s="12" t="s">
        <v>2711</v>
      </c>
      <c r="F1275" s="12" t="s">
        <v>65</v>
      </c>
      <c r="G1275" s="33">
        <v>2</v>
      </c>
      <c r="H1275" s="33">
        <v>43</v>
      </c>
      <c r="I1275" s="12" t="s">
        <v>38</v>
      </c>
      <c r="J1275" s="12" t="s">
        <v>39</v>
      </c>
      <c r="K1275" s="73" t="s">
        <v>29</v>
      </c>
      <c r="L1275" s="13">
        <v>13358</v>
      </c>
      <c r="M1275" s="13">
        <v>527</v>
      </c>
      <c r="N1275" s="13">
        <v>0</v>
      </c>
      <c r="O1275" s="13">
        <v>7257</v>
      </c>
      <c r="P1275" s="13">
        <v>0</v>
      </c>
      <c r="Q1275" s="13">
        <v>6101</v>
      </c>
      <c r="R1275" s="13">
        <v>126</v>
      </c>
      <c r="S1275" s="13">
        <v>2</v>
      </c>
      <c r="T1275" s="81">
        <v>0</v>
      </c>
    </row>
    <row r="1276" spans="1:20" ht="15" customHeight="1" x14ac:dyDescent="0.2">
      <c r="A1276" s="15" t="s">
        <v>2712</v>
      </c>
      <c r="B1276" s="60">
        <v>3317692</v>
      </c>
      <c r="C1276" s="15" t="s">
        <v>2215</v>
      </c>
      <c r="D1276" s="15" t="s">
        <v>2216</v>
      </c>
      <c r="E1276" s="15" t="s">
        <v>2217</v>
      </c>
      <c r="F1276" s="15" t="s">
        <v>98</v>
      </c>
      <c r="G1276" s="34">
        <v>2</v>
      </c>
      <c r="H1276" s="34">
        <v>15</v>
      </c>
      <c r="I1276" s="15" t="s">
        <v>228</v>
      </c>
      <c r="J1276" s="15" t="s">
        <v>229</v>
      </c>
      <c r="K1276" s="74" t="s">
        <v>29</v>
      </c>
      <c r="L1276" s="16">
        <v>13354</v>
      </c>
      <c r="M1276" s="16">
        <v>0</v>
      </c>
      <c r="N1276" s="16">
        <v>0</v>
      </c>
      <c r="O1276" s="16">
        <v>5403</v>
      </c>
      <c r="P1276" s="16">
        <v>1351</v>
      </c>
      <c r="Q1276" s="16">
        <v>7950</v>
      </c>
      <c r="R1276" s="16">
        <v>2639</v>
      </c>
      <c r="S1276" s="16">
        <v>2</v>
      </c>
      <c r="T1276" s="111">
        <v>0</v>
      </c>
    </row>
    <row r="1277" spans="1:20" ht="15" customHeight="1" x14ac:dyDescent="0.2">
      <c r="A1277" s="12" t="s">
        <v>2713</v>
      </c>
      <c r="B1277" s="56">
        <v>51414521</v>
      </c>
      <c r="C1277" s="12" t="s">
        <v>2714</v>
      </c>
      <c r="D1277" s="12"/>
      <c r="E1277" s="12" t="s">
        <v>2715</v>
      </c>
      <c r="F1277" s="12" t="s">
        <v>65</v>
      </c>
      <c r="G1277" s="33">
        <v>2</v>
      </c>
      <c r="H1277" s="33">
        <v>43</v>
      </c>
      <c r="I1277" s="12" t="s">
        <v>38</v>
      </c>
      <c r="J1277" s="12" t="s">
        <v>39</v>
      </c>
      <c r="K1277" s="73" t="s">
        <v>29</v>
      </c>
      <c r="L1277" s="13">
        <v>13349</v>
      </c>
      <c r="M1277" s="13">
        <v>677</v>
      </c>
      <c r="N1277" s="13">
        <v>93</v>
      </c>
      <c r="O1277" s="13">
        <v>4965</v>
      </c>
      <c r="P1277" s="13">
        <v>45</v>
      </c>
      <c r="Q1277" s="13">
        <v>8385</v>
      </c>
      <c r="R1277" s="13">
        <v>4274</v>
      </c>
      <c r="S1277" s="13">
        <v>2</v>
      </c>
      <c r="T1277" s="81">
        <v>0</v>
      </c>
    </row>
    <row r="1278" spans="1:20" ht="15" customHeight="1" x14ac:dyDescent="0.2">
      <c r="A1278" s="15" t="s">
        <v>2716</v>
      </c>
      <c r="B1278" s="60">
        <v>37168145</v>
      </c>
      <c r="C1278" s="15" t="s">
        <v>2717</v>
      </c>
      <c r="D1278" s="15"/>
      <c r="E1278" s="15" t="s">
        <v>2718</v>
      </c>
      <c r="F1278" s="15" t="s">
        <v>84</v>
      </c>
      <c r="G1278" s="34">
        <v>2</v>
      </c>
      <c r="H1278" s="34">
        <v>41</v>
      </c>
      <c r="I1278" s="15" t="s">
        <v>400</v>
      </c>
      <c r="J1278" s="15" t="s">
        <v>401</v>
      </c>
      <c r="K1278" s="74" t="s">
        <v>29</v>
      </c>
      <c r="L1278" s="16">
        <v>13338</v>
      </c>
      <c r="M1278" s="16">
        <v>3871</v>
      </c>
      <c r="N1278" s="16">
        <v>5253</v>
      </c>
      <c r="O1278" s="16">
        <v>6561</v>
      </c>
      <c r="P1278" s="16">
        <v>0</v>
      </c>
      <c r="Q1278" s="16">
        <v>6777</v>
      </c>
      <c r="R1278" s="16">
        <v>-21</v>
      </c>
      <c r="S1278" s="16">
        <v>1</v>
      </c>
      <c r="T1278" s="111">
        <v>0</v>
      </c>
    </row>
    <row r="1279" spans="1:20" ht="15" customHeight="1" x14ac:dyDescent="0.2">
      <c r="A1279" s="12" t="s">
        <v>2719</v>
      </c>
      <c r="B1279" s="56">
        <v>40654622</v>
      </c>
      <c r="C1279" s="12" t="s">
        <v>2720</v>
      </c>
      <c r="D1279" s="12" t="s">
        <v>2721</v>
      </c>
      <c r="E1279" s="12" t="s">
        <v>2722</v>
      </c>
      <c r="F1279" s="12" t="s">
        <v>65</v>
      </c>
      <c r="G1279" s="33">
        <v>2</v>
      </c>
      <c r="H1279" s="33">
        <v>43</v>
      </c>
      <c r="I1279" s="12" t="s">
        <v>388</v>
      </c>
      <c r="J1279" s="12" t="s">
        <v>389</v>
      </c>
      <c r="K1279" s="73" t="s">
        <v>29</v>
      </c>
      <c r="L1279" s="13">
        <v>13321</v>
      </c>
      <c r="M1279" s="13">
        <v>1563</v>
      </c>
      <c r="N1279" s="13">
        <v>0</v>
      </c>
      <c r="O1279" s="13">
        <v>7705</v>
      </c>
      <c r="P1279" s="13">
        <v>3381</v>
      </c>
      <c r="Q1279" s="13">
        <v>5615</v>
      </c>
      <c r="R1279" s="13">
        <v>598</v>
      </c>
      <c r="S1279" s="13">
        <v>2</v>
      </c>
      <c r="T1279" s="81">
        <v>0</v>
      </c>
    </row>
    <row r="1280" spans="1:20" ht="15" customHeight="1" x14ac:dyDescent="0.2">
      <c r="A1280" s="15" t="s">
        <v>2723</v>
      </c>
      <c r="B1280" s="60">
        <v>4249235</v>
      </c>
      <c r="C1280" s="15"/>
      <c r="D1280" s="15"/>
      <c r="E1280" s="15"/>
      <c r="F1280" s="15" t="s">
        <v>265</v>
      </c>
      <c r="G1280" s="34">
        <v>2</v>
      </c>
      <c r="H1280" s="34">
        <v>9</v>
      </c>
      <c r="I1280" s="15" t="s">
        <v>2724</v>
      </c>
      <c r="J1280" s="15" t="s">
        <v>120</v>
      </c>
      <c r="K1280" s="74" t="s">
        <v>29</v>
      </c>
      <c r="L1280" s="16">
        <v>13282</v>
      </c>
      <c r="M1280" s="16">
        <v>4429</v>
      </c>
      <c r="N1280" s="16">
        <v>8844</v>
      </c>
      <c r="O1280" s="16">
        <v>828</v>
      </c>
      <c r="P1280" s="16">
        <v>0</v>
      </c>
      <c r="Q1280" s="16">
        <v>12455</v>
      </c>
      <c r="R1280" s="16">
        <v>610</v>
      </c>
      <c r="S1280" s="16">
        <v>0</v>
      </c>
      <c r="T1280" s="111">
        <v>0</v>
      </c>
    </row>
    <row r="1281" spans="1:20" ht="15" customHeight="1" x14ac:dyDescent="0.2">
      <c r="A1281" s="12" t="s">
        <v>2725</v>
      </c>
      <c r="B1281" s="56">
        <v>50032584</v>
      </c>
      <c r="C1281" s="12" t="s">
        <v>2020</v>
      </c>
      <c r="D1281" s="12"/>
      <c r="E1281" s="12" t="s">
        <v>2021</v>
      </c>
      <c r="F1281" s="12" t="s">
        <v>65</v>
      </c>
      <c r="G1281" s="33">
        <v>2</v>
      </c>
      <c r="H1281" s="33">
        <v>43</v>
      </c>
      <c r="I1281" s="12" t="s">
        <v>1585</v>
      </c>
      <c r="J1281" s="12" t="s">
        <v>1586</v>
      </c>
      <c r="K1281" s="73" t="s">
        <v>29</v>
      </c>
      <c r="L1281" s="13">
        <v>13123</v>
      </c>
      <c r="M1281" s="13">
        <v>0</v>
      </c>
      <c r="N1281" s="13">
        <v>3505</v>
      </c>
      <c r="O1281" s="13">
        <v>2127</v>
      </c>
      <c r="P1281" s="13">
        <v>0</v>
      </c>
      <c r="Q1281" s="13">
        <v>10996</v>
      </c>
      <c r="R1281" s="13">
        <v>1224</v>
      </c>
      <c r="S1281" s="13">
        <v>2</v>
      </c>
      <c r="T1281" s="81">
        <v>0</v>
      </c>
    </row>
    <row r="1282" spans="1:20" ht="15" customHeight="1" x14ac:dyDescent="0.2">
      <c r="A1282" s="15" t="s">
        <v>2726</v>
      </c>
      <c r="B1282" s="60">
        <v>34265629</v>
      </c>
      <c r="C1282" s="15" t="s">
        <v>2727</v>
      </c>
      <c r="D1282" s="15"/>
      <c r="E1282" s="15" t="s">
        <v>2728</v>
      </c>
      <c r="F1282" s="15" t="s">
        <v>98</v>
      </c>
      <c r="G1282" s="34">
        <v>2</v>
      </c>
      <c r="H1282" s="34">
        <v>21</v>
      </c>
      <c r="I1282" s="15" t="s">
        <v>38</v>
      </c>
      <c r="J1282" s="15" t="s">
        <v>39</v>
      </c>
      <c r="K1282" s="74" t="s">
        <v>29</v>
      </c>
      <c r="L1282" s="16">
        <v>13070</v>
      </c>
      <c r="M1282" s="16">
        <v>0</v>
      </c>
      <c r="N1282" s="16">
        <v>6953</v>
      </c>
      <c r="O1282" s="16">
        <v>8056</v>
      </c>
      <c r="P1282" s="16">
        <v>0</v>
      </c>
      <c r="Q1282" s="16">
        <v>5014</v>
      </c>
      <c r="R1282" s="16">
        <v>-686</v>
      </c>
      <c r="S1282" s="16">
        <v>2</v>
      </c>
      <c r="T1282" s="111">
        <v>0</v>
      </c>
    </row>
    <row r="1283" spans="1:20" ht="15" customHeight="1" x14ac:dyDescent="0.2">
      <c r="A1283" s="12" t="s">
        <v>2729</v>
      </c>
      <c r="B1283" s="56">
        <v>53575491</v>
      </c>
      <c r="C1283" s="12"/>
      <c r="D1283" s="12"/>
      <c r="E1283" s="12"/>
      <c r="F1283" s="12" t="s">
        <v>265</v>
      </c>
      <c r="G1283" s="33">
        <v>2</v>
      </c>
      <c r="H1283" s="33">
        <v>9</v>
      </c>
      <c r="I1283" s="12" t="s">
        <v>670</v>
      </c>
      <c r="J1283" s="12" t="s">
        <v>229</v>
      </c>
      <c r="K1283" s="73" t="s">
        <v>29</v>
      </c>
      <c r="L1283" s="13">
        <v>13009</v>
      </c>
      <c r="M1283" s="13">
        <v>1068</v>
      </c>
      <c r="N1283" s="13">
        <v>1</v>
      </c>
      <c r="O1283" s="13">
        <v>11296</v>
      </c>
      <c r="P1283" s="13">
        <v>10785</v>
      </c>
      <c r="Q1283" s="13">
        <v>1713</v>
      </c>
      <c r="R1283" s="13">
        <v>8</v>
      </c>
      <c r="S1283" s="13">
        <v>0</v>
      </c>
      <c r="T1283" s="81">
        <v>2</v>
      </c>
    </row>
    <row r="1284" spans="1:20" ht="15" customHeight="1" x14ac:dyDescent="0.2">
      <c r="A1284" s="15" t="s">
        <v>2730</v>
      </c>
      <c r="B1284" s="60">
        <v>51212088</v>
      </c>
      <c r="C1284" s="15" t="s">
        <v>2731</v>
      </c>
      <c r="D1284" s="15"/>
      <c r="E1284" s="15" t="s">
        <v>2732</v>
      </c>
      <c r="F1284" s="15" t="s">
        <v>65</v>
      </c>
      <c r="G1284" s="34">
        <v>2</v>
      </c>
      <c r="H1284" s="34">
        <v>43</v>
      </c>
      <c r="I1284" s="15" t="s">
        <v>1172</v>
      </c>
      <c r="J1284" s="15" t="s">
        <v>217</v>
      </c>
      <c r="K1284" s="74" t="s">
        <v>29</v>
      </c>
      <c r="L1284" s="16">
        <v>12970</v>
      </c>
      <c r="M1284" s="16">
        <v>3996</v>
      </c>
      <c r="N1284" s="16">
        <v>4001</v>
      </c>
      <c r="O1284" s="16">
        <v>249</v>
      </c>
      <c r="P1284" s="16">
        <v>235</v>
      </c>
      <c r="Q1284" s="16">
        <v>12721</v>
      </c>
      <c r="R1284" s="16">
        <v>-32</v>
      </c>
      <c r="S1284" s="16">
        <v>2</v>
      </c>
      <c r="T1284" s="111">
        <v>0</v>
      </c>
    </row>
    <row r="1285" spans="1:20" ht="15" customHeight="1" x14ac:dyDescent="0.2">
      <c r="A1285" s="12" t="s">
        <v>2733</v>
      </c>
      <c r="B1285" s="56">
        <v>59305565</v>
      </c>
      <c r="C1285" s="12"/>
      <c r="D1285" s="12"/>
      <c r="E1285" s="12"/>
      <c r="F1285" s="12" t="s">
        <v>265</v>
      </c>
      <c r="G1285" s="33">
        <v>2</v>
      </c>
      <c r="H1285" s="33">
        <v>9</v>
      </c>
      <c r="I1285" s="12" t="s">
        <v>2734</v>
      </c>
      <c r="J1285" s="12" t="s">
        <v>39</v>
      </c>
      <c r="K1285" s="73" t="s">
        <v>29</v>
      </c>
      <c r="L1285" s="13">
        <v>12959</v>
      </c>
      <c r="M1285" s="13">
        <v>8855</v>
      </c>
      <c r="N1285" s="13">
        <v>4016</v>
      </c>
      <c r="O1285" s="13">
        <v>241</v>
      </c>
      <c r="P1285" s="13">
        <v>0</v>
      </c>
      <c r="Q1285" s="13">
        <v>12719</v>
      </c>
      <c r="R1285" s="13">
        <v>767</v>
      </c>
      <c r="S1285" s="13">
        <v>0</v>
      </c>
      <c r="T1285" s="81">
        <v>0</v>
      </c>
    </row>
    <row r="1286" spans="1:20" ht="15" customHeight="1" x14ac:dyDescent="0.2">
      <c r="A1286" s="15" t="s">
        <v>2735</v>
      </c>
      <c r="B1286" s="60">
        <v>11165756</v>
      </c>
      <c r="C1286" s="15" t="s">
        <v>2736</v>
      </c>
      <c r="D1286" s="15"/>
      <c r="E1286" s="15" t="s">
        <v>2737</v>
      </c>
      <c r="F1286" s="15" t="s">
        <v>65</v>
      </c>
      <c r="G1286" s="34">
        <v>2</v>
      </c>
      <c r="H1286" s="34">
        <v>10</v>
      </c>
      <c r="I1286" s="15" t="s">
        <v>2095</v>
      </c>
      <c r="J1286" s="15" t="s">
        <v>39</v>
      </c>
      <c r="K1286" s="74" t="s">
        <v>29</v>
      </c>
      <c r="L1286" s="16">
        <v>12548</v>
      </c>
      <c r="M1286" s="16">
        <v>89</v>
      </c>
      <c r="N1286" s="16">
        <v>3586</v>
      </c>
      <c r="O1286" s="16">
        <v>7503</v>
      </c>
      <c r="P1286" s="16">
        <v>7393</v>
      </c>
      <c r="Q1286" s="16">
        <v>5045</v>
      </c>
      <c r="R1286" s="16">
        <v>-332</v>
      </c>
      <c r="S1286" s="16">
        <v>2</v>
      </c>
      <c r="T1286" s="111">
        <v>0</v>
      </c>
    </row>
    <row r="1287" spans="1:20" ht="15" customHeight="1" x14ac:dyDescent="0.2">
      <c r="A1287" s="12" t="s">
        <v>2738</v>
      </c>
      <c r="B1287" s="56">
        <v>49091119</v>
      </c>
      <c r="C1287" s="12"/>
      <c r="D1287" s="12"/>
      <c r="E1287" s="12"/>
      <c r="F1287" s="12" t="s">
        <v>265</v>
      </c>
      <c r="G1287" s="33">
        <v>2</v>
      </c>
      <c r="H1287" s="33">
        <v>9</v>
      </c>
      <c r="I1287" s="12" t="s">
        <v>2739</v>
      </c>
      <c r="J1287" s="12" t="s">
        <v>39</v>
      </c>
      <c r="K1287" s="73" t="s">
        <v>29</v>
      </c>
      <c r="L1287" s="13">
        <v>12522</v>
      </c>
      <c r="M1287" s="13">
        <v>7628</v>
      </c>
      <c r="N1287" s="13">
        <v>4886</v>
      </c>
      <c r="O1287" s="13">
        <v>115</v>
      </c>
      <c r="P1287" s="13">
        <v>0</v>
      </c>
      <c r="Q1287" s="13">
        <v>12406</v>
      </c>
      <c r="R1287" s="13">
        <v>921</v>
      </c>
      <c r="S1287" s="13">
        <v>0</v>
      </c>
      <c r="T1287" s="81">
        <v>0</v>
      </c>
    </row>
    <row r="1288" spans="1:20" ht="15" customHeight="1" x14ac:dyDescent="0.2">
      <c r="A1288" s="15" t="s">
        <v>2740</v>
      </c>
      <c r="B1288" s="60">
        <v>4849745</v>
      </c>
      <c r="C1288" s="15" t="s">
        <v>2741</v>
      </c>
      <c r="D1288" s="15"/>
      <c r="E1288" s="15" t="s">
        <v>2742</v>
      </c>
      <c r="F1288" s="15" t="s">
        <v>65</v>
      </c>
      <c r="G1288" s="34">
        <v>2</v>
      </c>
      <c r="H1288" s="34">
        <v>43</v>
      </c>
      <c r="I1288" s="15" t="s">
        <v>2743</v>
      </c>
      <c r="J1288" s="15" t="s">
        <v>120</v>
      </c>
      <c r="K1288" s="74" t="s">
        <v>29</v>
      </c>
      <c r="L1288" s="16">
        <v>12371</v>
      </c>
      <c r="M1288" s="16">
        <v>558</v>
      </c>
      <c r="N1288" s="16">
        <v>0</v>
      </c>
      <c r="O1288" s="16">
        <v>4310</v>
      </c>
      <c r="P1288" s="16">
        <v>0</v>
      </c>
      <c r="Q1288" s="16">
        <v>8062</v>
      </c>
      <c r="R1288" s="16">
        <v>2935</v>
      </c>
      <c r="S1288" s="16">
        <v>2</v>
      </c>
      <c r="T1288" s="111">
        <v>0</v>
      </c>
    </row>
    <row r="1289" spans="1:20" ht="15" customHeight="1" x14ac:dyDescent="0.2">
      <c r="A1289" s="12" t="s">
        <v>2744</v>
      </c>
      <c r="B1289" s="56">
        <v>43050917</v>
      </c>
      <c r="C1289" s="12" t="s">
        <v>2745</v>
      </c>
      <c r="D1289" s="12"/>
      <c r="E1289" s="12" t="s">
        <v>2746</v>
      </c>
      <c r="F1289" s="12" t="s">
        <v>98</v>
      </c>
      <c r="G1289" s="33">
        <v>3</v>
      </c>
      <c r="H1289" s="33">
        <v>15</v>
      </c>
      <c r="I1289" s="12" t="s">
        <v>216</v>
      </c>
      <c r="J1289" s="12" t="s">
        <v>217</v>
      </c>
      <c r="K1289" s="73" t="s">
        <v>29</v>
      </c>
      <c r="L1289" s="13">
        <v>12342</v>
      </c>
      <c r="M1289" s="13">
        <v>0</v>
      </c>
      <c r="N1289" s="13">
        <v>0</v>
      </c>
      <c r="O1289" s="13">
        <v>1839</v>
      </c>
      <c r="P1289" s="13">
        <v>241</v>
      </c>
      <c r="Q1289" s="13">
        <v>10503</v>
      </c>
      <c r="R1289" s="13">
        <v>-386</v>
      </c>
      <c r="S1289" s="13">
        <v>2</v>
      </c>
      <c r="T1289" s="81">
        <v>0</v>
      </c>
    </row>
    <row r="1290" spans="1:20" ht="15" customHeight="1" x14ac:dyDescent="0.2">
      <c r="A1290" s="15" t="s">
        <v>2747</v>
      </c>
      <c r="B1290" s="60">
        <v>45457891</v>
      </c>
      <c r="C1290" s="15" t="s">
        <v>2748</v>
      </c>
      <c r="D1290" s="15"/>
      <c r="E1290" s="15" t="s">
        <v>2749</v>
      </c>
      <c r="F1290" s="15" t="s">
        <v>98</v>
      </c>
      <c r="G1290" s="34">
        <v>2</v>
      </c>
      <c r="H1290" s="34">
        <v>16</v>
      </c>
      <c r="I1290" s="15" t="s">
        <v>38</v>
      </c>
      <c r="J1290" s="15" t="s">
        <v>39</v>
      </c>
      <c r="K1290" s="74" t="s">
        <v>29</v>
      </c>
      <c r="L1290" s="16">
        <v>12087</v>
      </c>
      <c r="M1290" s="16">
        <v>0</v>
      </c>
      <c r="N1290" s="16">
        <v>8791</v>
      </c>
      <c r="O1290" s="16">
        <v>3850</v>
      </c>
      <c r="P1290" s="16">
        <v>923</v>
      </c>
      <c r="Q1290" s="16">
        <v>8237</v>
      </c>
      <c r="R1290" s="16">
        <v>-1812</v>
      </c>
      <c r="S1290" s="16">
        <v>2</v>
      </c>
      <c r="T1290" s="111">
        <v>0</v>
      </c>
    </row>
    <row r="1291" spans="1:20" ht="15" customHeight="1" x14ac:dyDescent="0.2">
      <c r="A1291" s="12" t="s">
        <v>2750</v>
      </c>
      <c r="B1291" s="56">
        <v>44650156</v>
      </c>
      <c r="C1291" s="12" t="s">
        <v>2751</v>
      </c>
      <c r="D1291" s="12"/>
      <c r="E1291" s="12" t="s">
        <v>2752</v>
      </c>
      <c r="F1291" s="12" t="s">
        <v>65</v>
      </c>
      <c r="G1291" s="33">
        <v>2</v>
      </c>
      <c r="H1291" s="33">
        <v>43</v>
      </c>
      <c r="I1291" s="12" t="s">
        <v>2174</v>
      </c>
      <c r="J1291" s="12" t="s">
        <v>39</v>
      </c>
      <c r="K1291" s="73" t="s">
        <v>29</v>
      </c>
      <c r="L1291" s="13">
        <v>12085</v>
      </c>
      <c r="M1291" s="13">
        <v>1117</v>
      </c>
      <c r="N1291" s="13">
        <v>8970</v>
      </c>
      <c r="O1291" s="13">
        <v>2397</v>
      </c>
      <c r="P1291" s="13">
        <v>0</v>
      </c>
      <c r="Q1291" s="13">
        <v>9688</v>
      </c>
      <c r="R1291" s="13">
        <v>-635</v>
      </c>
      <c r="S1291" s="13">
        <v>2</v>
      </c>
      <c r="T1291" s="81">
        <v>0</v>
      </c>
    </row>
    <row r="1292" spans="1:20" ht="15" customHeight="1" x14ac:dyDescent="0.2">
      <c r="A1292" s="15" t="s">
        <v>2753</v>
      </c>
      <c r="B1292" s="60">
        <v>71965313</v>
      </c>
      <c r="C1292" s="15"/>
      <c r="D1292" s="15"/>
      <c r="E1292" s="15"/>
      <c r="F1292" s="15" t="s">
        <v>265</v>
      </c>
      <c r="G1292" s="34">
        <v>2</v>
      </c>
      <c r="H1292" s="34">
        <v>9</v>
      </c>
      <c r="I1292" s="15" t="s">
        <v>38</v>
      </c>
      <c r="J1292" s="15" t="s">
        <v>39</v>
      </c>
      <c r="K1292" s="74" t="s">
        <v>29</v>
      </c>
      <c r="L1292" s="16">
        <v>12062</v>
      </c>
      <c r="M1292" s="16">
        <v>6234</v>
      </c>
      <c r="N1292" s="16">
        <v>5308</v>
      </c>
      <c r="O1292" s="16">
        <v>118</v>
      </c>
      <c r="P1292" s="16">
        <v>0</v>
      </c>
      <c r="Q1292" s="16">
        <v>11944</v>
      </c>
      <c r="R1292" s="16">
        <v>561</v>
      </c>
      <c r="S1292" s="16">
        <v>0</v>
      </c>
      <c r="T1292" s="111">
        <v>0</v>
      </c>
    </row>
    <row r="1293" spans="1:20" ht="15" customHeight="1" x14ac:dyDescent="0.2">
      <c r="A1293" s="12" t="s">
        <v>2754</v>
      </c>
      <c r="B1293" s="56">
        <v>47196084</v>
      </c>
      <c r="C1293" s="12"/>
      <c r="D1293" s="12"/>
      <c r="E1293" s="12"/>
      <c r="F1293" s="12" t="s">
        <v>265</v>
      </c>
      <c r="G1293" s="33">
        <v>2</v>
      </c>
      <c r="H1293" s="33">
        <v>9</v>
      </c>
      <c r="I1293" s="12" t="s">
        <v>38</v>
      </c>
      <c r="J1293" s="12" t="s">
        <v>39</v>
      </c>
      <c r="K1293" s="73" t="s">
        <v>29</v>
      </c>
      <c r="L1293" s="13">
        <v>11988</v>
      </c>
      <c r="M1293" s="13">
        <v>6249</v>
      </c>
      <c r="N1293" s="13">
        <v>5676</v>
      </c>
      <c r="O1293" s="13">
        <v>823</v>
      </c>
      <c r="P1293" s="13">
        <v>0</v>
      </c>
      <c r="Q1293" s="13">
        <v>11166</v>
      </c>
      <c r="R1293" s="13">
        <v>617</v>
      </c>
      <c r="S1293" s="13">
        <v>0</v>
      </c>
      <c r="T1293" s="81">
        <v>0</v>
      </c>
    </row>
    <row r="1294" spans="1:20" ht="15" customHeight="1" x14ac:dyDescent="0.2">
      <c r="A1294" s="15" t="s">
        <v>2755</v>
      </c>
      <c r="B1294" s="60">
        <v>34846868</v>
      </c>
      <c r="C1294" s="15" t="s">
        <v>2756</v>
      </c>
      <c r="D1294" s="15"/>
      <c r="E1294" s="15" t="s">
        <v>2757</v>
      </c>
      <c r="F1294" s="15" t="s">
        <v>65</v>
      </c>
      <c r="G1294" s="34">
        <v>2</v>
      </c>
      <c r="H1294" s="34">
        <v>43</v>
      </c>
      <c r="I1294" s="15" t="s">
        <v>2758</v>
      </c>
      <c r="J1294" s="15" t="s">
        <v>39</v>
      </c>
      <c r="K1294" s="74" t="s">
        <v>29</v>
      </c>
      <c r="L1294" s="16">
        <v>11985</v>
      </c>
      <c r="M1294" s="16">
        <v>7686</v>
      </c>
      <c r="N1294" s="16">
        <v>4178</v>
      </c>
      <c r="O1294" s="16">
        <v>1055</v>
      </c>
      <c r="P1294" s="16">
        <v>0</v>
      </c>
      <c r="Q1294" s="16">
        <v>10931</v>
      </c>
      <c r="R1294" s="16">
        <v>849</v>
      </c>
      <c r="S1294" s="16">
        <v>2</v>
      </c>
      <c r="T1294" s="111">
        <v>0</v>
      </c>
    </row>
    <row r="1295" spans="1:20" ht="15" customHeight="1" x14ac:dyDescent="0.2">
      <c r="A1295" s="12" t="s">
        <v>2759</v>
      </c>
      <c r="B1295" s="56">
        <v>6132348</v>
      </c>
      <c r="C1295" s="12" t="s">
        <v>2760</v>
      </c>
      <c r="D1295" s="12"/>
      <c r="E1295" s="12" t="s">
        <v>2761</v>
      </c>
      <c r="F1295" s="12" t="s">
        <v>98</v>
      </c>
      <c r="G1295" s="33">
        <v>2</v>
      </c>
      <c r="H1295" s="33">
        <v>21</v>
      </c>
      <c r="I1295" s="12" t="s">
        <v>1133</v>
      </c>
      <c r="J1295" s="12" t="s">
        <v>1078</v>
      </c>
      <c r="K1295" s="73" t="s">
        <v>29</v>
      </c>
      <c r="L1295" s="13">
        <v>11970</v>
      </c>
      <c r="M1295" s="13">
        <v>0</v>
      </c>
      <c r="N1295" s="13">
        <v>1525</v>
      </c>
      <c r="O1295" s="13">
        <v>4863</v>
      </c>
      <c r="P1295" s="13">
        <v>0</v>
      </c>
      <c r="Q1295" s="13">
        <v>7107</v>
      </c>
      <c r="R1295" s="13">
        <v>-530</v>
      </c>
      <c r="S1295" s="13">
        <v>13</v>
      </c>
      <c r="T1295" s="81">
        <v>0</v>
      </c>
    </row>
    <row r="1296" spans="1:20" ht="15" customHeight="1" x14ac:dyDescent="0.2">
      <c r="A1296" s="15" t="s">
        <v>2762</v>
      </c>
      <c r="B1296" s="60">
        <v>57038408</v>
      </c>
      <c r="C1296" s="15"/>
      <c r="D1296" s="15"/>
      <c r="E1296" s="15"/>
      <c r="F1296" s="15" t="s">
        <v>265</v>
      </c>
      <c r="G1296" s="34">
        <v>2</v>
      </c>
      <c r="H1296" s="34">
        <v>9</v>
      </c>
      <c r="I1296" s="15" t="s">
        <v>255</v>
      </c>
      <c r="J1296" s="15" t="s">
        <v>39</v>
      </c>
      <c r="K1296" s="74" t="s">
        <v>29</v>
      </c>
      <c r="L1296" s="16">
        <v>11948</v>
      </c>
      <c r="M1296" s="16">
        <v>10617</v>
      </c>
      <c r="N1296" s="16">
        <v>1300</v>
      </c>
      <c r="O1296" s="16">
        <v>885</v>
      </c>
      <c r="P1296" s="16">
        <v>0</v>
      </c>
      <c r="Q1296" s="16">
        <v>11063</v>
      </c>
      <c r="R1296" s="16">
        <v>524</v>
      </c>
      <c r="S1296" s="16">
        <v>0</v>
      </c>
      <c r="T1296" s="111">
        <v>0</v>
      </c>
    </row>
    <row r="1297" spans="1:20" ht="15" customHeight="1" x14ac:dyDescent="0.2">
      <c r="A1297" s="12" t="s">
        <v>2763</v>
      </c>
      <c r="B1297" s="56">
        <v>59396084</v>
      </c>
      <c r="C1297" s="12" t="s">
        <v>2764</v>
      </c>
      <c r="D1297" s="12"/>
      <c r="E1297" s="12" t="s">
        <v>2765</v>
      </c>
      <c r="F1297" s="12" t="s">
        <v>65</v>
      </c>
      <c r="G1297" s="33">
        <v>2</v>
      </c>
      <c r="H1297" s="33">
        <v>43</v>
      </c>
      <c r="I1297" s="12" t="s">
        <v>1133</v>
      </c>
      <c r="J1297" s="12" t="s">
        <v>1078</v>
      </c>
      <c r="K1297" s="73" t="s">
        <v>29</v>
      </c>
      <c r="L1297" s="13">
        <v>11851</v>
      </c>
      <c r="M1297" s="13">
        <v>0</v>
      </c>
      <c r="N1297" s="13">
        <v>9304</v>
      </c>
      <c r="O1297" s="13">
        <v>1566</v>
      </c>
      <c r="P1297" s="13">
        <v>1395</v>
      </c>
      <c r="Q1297" s="13">
        <v>10285</v>
      </c>
      <c r="R1297" s="13">
        <v>136</v>
      </c>
      <c r="S1297" s="13">
        <v>2</v>
      </c>
      <c r="T1297" s="81">
        <v>0</v>
      </c>
    </row>
    <row r="1298" spans="1:20" ht="15" customHeight="1" x14ac:dyDescent="0.2">
      <c r="A1298" s="15" t="s">
        <v>2766</v>
      </c>
      <c r="B1298" s="60">
        <v>26758433</v>
      </c>
      <c r="C1298" s="15"/>
      <c r="D1298" s="15"/>
      <c r="E1298" s="15"/>
      <c r="F1298" s="15" t="s">
        <v>265</v>
      </c>
      <c r="G1298" s="34">
        <v>2</v>
      </c>
      <c r="H1298" s="34">
        <v>9</v>
      </c>
      <c r="I1298" s="15" t="s">
        <v>119</v>
      </c>
      <c r="J1298" s="15" t="s">
        <v>120</v>
      </c>
      <c r="K1298" s="74" t="s">
        <v>29</v>
      </c>
      <c r="L1298" s="16">
        <v>11788</v>
      </c>
      <c r="M1298" s="16">
        <v>10356</v>
      </c>
      <c r="N1298" s="16">
        <v>269</v>
      </c>
      <c r="O1298" s="16">
        <v>1507</v>
      </c>
      <c r="P1298" s="16">
        <v>0</v>
      </c>
      <c r="Q1298" s="16">
        <v>10281</v>
      </c>
      <c r="R1298" s="16">
        <v>-1302</v>
      </c>
      <c r="S1298" s="16">
        <v>0</v>
      </c>
      <c r="T1298" s="111">
        <v>0</v>
      </c>
    </row>
    <row r="1299" spans="1:20" ht="15" customHeight="1" x14ac:dyDescent="0.2">
      <c r="A1299" s="12" t="s">
        <v>2767</v>
      </c>
      <c r="B1299" s="56">
        <v>2475222</v>
      </c>
      <c r="C1299" s="12"/>
      <c r="D1299" s="12"/>
      <c r="E1299" s="12"/>
      <c r="F1299" s="12" t="s">
        <v>265</v>
      </c>
      <c r="G1299" s="33">
        <v>2</v>
      </c>
      <c r="H1299" s="33">
        <v>9</v>
      </c>
      <c r="I1299" s="12" t="s">
        <v>182</v>
      </c>
      <c r="J1299" s="12" t="s">
        <v>183</v>
      </c>
      <c r="K1299" s="73" t="s">
        <v>29</v>
      </c>
      <c r="L1299" s="13">
        <v>11776</v>
      </c>
      <c r="M1299" s="13">
        <v>8649</v>
      </c>
      <c r="N1299" s="13">
        <v>1216</v>
      </c>
      <c r="O1299" s="13">
        <v>4862</v>
      </c>
      <c r="P1299" s="13">
        <v>3335</v>
      </c>
      <c r="Q1299" s="13">
        <v>6914</v>
      </c>
      <c r="R1299" s="13">
        <v>67</v>
      </c>
      <c r="S1299" s="13">
        <v>0</v>
      </c>
      <c r="T1299" s="81">
        <v>0</v>
      </c>
    </row>
    <row r="1300" spans="1:20" ht="15" customHeight="1" x14ac:dyDescent="0.2">
      <c r="A1300" s="15" t="s">
        <v>2768</v>
      </c>
      <c r="B1300" s="60">
        <v>33735192</v>
      </c>
      <c r="C1300" s="15"/>
      <c r="D1300" s="15"/>
      <c r="E1300" s="15"/>
      <c r="F1300" s="15" t="s">
        <v>265</v>
      </c>
      <c r="G1300" s="34">
        <v>2</v>
      </c>
      <c r="H1300" s="34">
        <v>9</v>
      </c>
      <c r="I1300" s="15" t="s">
        <v>53</v>
      </c>
      <c r="J1300" s="15" t="s">
        <v>54</v>
      </c>
      <c r="K1300" s="74" t="s">
        <v>29</v>
      </c>
      <c r="L1300" s="16">
        <v>11718</v>
      </c>
      <c r="M1300" s="16">
        <v>7200</v>
      </c>
      <c r="N1300" s="16">
        <v>2683</v>
      </c>
      <c r="O1300" s="16">
        <v>4302</v>
      </c>
      <c r="P1300" s="16">
        <v>2683</v>
      </c>
      <c r="Q1300" s="16">
        <v>7416</v>
      </c>
      <c r="R1300" s="16">
        <v>-56</v>
      </c>
      <c r="S1300" s="16">
        <v>0</v>
      </c>
      <c r="T1300" s="111">
        <v>2</v>
      </c>
    </row>
    <row r="1301" spans="1:20" ht="15" customHeight="1" x14ac:dyDescent="0.2">
      <c r="A1301" s="12" t="s">
        <v>2769</v>
      </c>
      <c r="B1301" s="56">
        <v>40820176</v>
      </c>
      <c r="C1301" s="12" t="s">
        <v>2770</v>
      </c>
      <c r="D1301" s="12"/>
      <c r="E1301" s="12" t="s">
        <v>2771</v>
      </c>
      <c r="F1301" s="12" t="s">
        <v>84</v>
      </c>
      <c r="G1301" s="33">
        <v>2</v>
      </c>
      <c r="H1301" s="33">
        <v>41</v>
      </c>
      <c r="I1301" s="12" t="s">
        <v>228</v>
      </c>
      <c r="J1301" s="12" t="s">
        <v>229</v>
      </c>
      <c r="K1301" s="73" t="s">
        <v>29</v>
      </c>
      <c r="L1301" s="13">
        <v>11642</v>
      </c>
      <c r="M1301" s="13">
        <v>0</v>
      </c>
      <c r="N1301" s="13">
        <v>1472</v>
      </c>
      <c r="O1301" s="13">
        <v>3756</v>
      </c>
      <c r="P1301" s="13">
        <v>1351</v>
      </c>
      <c r="Q1301" s="13">
        <v>7886</v>
      </c>
      <c r="R1301" s="13">
        <v>2399</v>
      </c>
      <c r="S1301" s="13">
        <v>1</v>
      </c>
      <c r="T1301" s="81">
        <v>0</v>
      </c>
    </row>
    <row r="1302" spans="1:20" ht="15" customHeight="1" x14ac:dyDescent="0.2">
      <c r="A1302" s="15" t="s">
        <v>2772</v>
      </c>
      <c r="B1302" s="60">
        <v>38146949</v>
      </c>
      <c r="C1302" s="15" t="s">
        <v>171</v>
      </c>
      <c r="D1302" s="15" t="s">
        <v>172</v>
      </c>
      <c r="E1302" s="15" t="s">
        <v>173</v>
      </c>
      <c r="F1302" s="15" t="s">
        <v>65</v>
      </c>
      <c r="G1302" s="34">
        <v>2</v>
      </c>
      <c r="H1302" s="34">
        <v>44</v>
      </c>
      <c r="I1302" s="15" t="s">
        <v>38</v>
      </c>
      <c r="J1302" s="15" t="s">
        <v>39</v>
      </c>
      <c r="K1302" s="74" t="s">
        <v>29</v>
      </c>
      <c r="L1302" s="16">
        <v>11599</v>
      </c>
      <c r="M1302" s="16">
        <v>0</v>
      </c>
      <c r="N1302" s="16">
        <v>9934</v>
      </c>
      <c r="O1302" s="16">
        <v>2159</v>
      </c>
      <c r="P1302" s="16">
        <v>0</v>
      </c>
      <c r="Q1302" s="16">
        <v>9440</v>
      </c>
      <c r="R1302" s="16">
        <v>-588</v>
      </c>
      <c r="S1302" s="16">
        <v>2</v>
      </c>
      <c r="T1302" s="111">
        <v>0</v>
      </c>
    </row>
    <row r="1303" spans="1:20" ht="15" customHeight="1" x14ac:dyDescent="0.2">
      <c r="A1303" s="12" t="s">
        <v>2773</v>
      </c>
      <c r="B1303" s="56">
        <v>37763847</v>
      </c>
      <c r="C1303" s="12" t="s">
        <v>2774</v>
      </c>
      <c r="D1303" s="12"/>
      <c r="E1303" s="12" t="s">
        <v>2775</v>
      </c>
      <c r="F1303" s="12" t="s">
        <v>65</v>
      </c>
      <c r="G1303" s="33">
        <v>3</v>
      </c>
      <c r="H1303" s="33">
        <v>43</v>
      </c>
      <c r="I1303" s="12" t="s">
        <v>53</v>
      </c>
      <c r="J1303" s="12" t="s">
        <v>54</v>
      </c>
      <c r="K1303" s="73" t="s">
        <v>29</v>
      </c>
      <c r="L1303" s="13">
        <v>11539</v>
      </c>
      <c r="M1303" s="13">
        <v>2495</v>
      </c>
      <c r="N1303" s="13">
        <v>483</v>
      </c>
      <c r="O1303" s="13">
        <v>2794</v>
      </c>
      <c r="P1303" s="13">
        <v>572</v>
      </c>
      <c r="Q1303" s="13">
        <v>8745</v>
      </c>
      <c r="R1303" s="13">
        <v>1090</v>
      </c>
      <c r="S1303" s="13">
        <v>2</v>
      </c>
      <c r="T1303" s="81">
        <v>0</v>
      </c>
    </row>
    <row r="1304" spans="1:20" ht="15" customHeight="1" x14ac:dyDescent="0.2">
      <c r="A1304" s="15" t="s">
        <v>2776</v>
      </c>
      <c r="B1304" s="60">
        <v>4608925</v>
      </c>
      <c r="C1304" s="15"/>
      <c r="D1304" s="15"/>
      <c r="E1304" s="15"/>
      <c r="F1304" s="15" t="s">
        <v>265</v>
      </c>
      <c r="G1304" s="34">
        <v>2</v>
      </c>
      <c r="H1304" s="34">
        <v>9</v>
      </c>
      <c r="I1304" s="15" t="s">
        <v>577</v>
      </c>
      <c r="J1304" s="15" t="s">
        <v>578</v>
      </c>
      <c r="K1304" s="74" t="s">
        <v>29</v>
      </c>
      <c r="L1304" s="16">
        <v>11501</v>
      </c>
      <c r="M1304" s="16">
        <v>9574</v>
      </c>
      <c r="N1304" s="16">
        <v>1187</v>
      </c>
      <c r="O1304" s="16">
        <v>4397</v>
      </c>
      <c r="P1304" s="16">
        <v>4098</v>
      </c>
      <c r="Q1304" s="16">
        <v>7103</v>
      </c>
      <c r="R1304" s="16">
        <v>81</v>
      </c>
      <c r="S1304" s="16">
        <v>0</v>
      </c>
      <c r="T1304" s="111">
        <v>1</v>
      </c>
    </row>
    <row r="1305" spans="1:20" ht="15" customHeight="1" x14ac:dyDescent="0.2">
      <c r="A1305" s="12" t="s">
        <v>2777</v>
      </c>
      <c r="B1305" s="56">
        <v>17312661</v>
      </c>
      <c r="C1305" s="12" t="s">
        <v>2778</v>
      </c>
      <c r="D1305" s="12"/>
      <c r="E1305" s="12" t="s">
        <v>2779</v>
      </c>
      <c r="F1305" s="12" t="s">
        <v>98</v>
      </c>
      <c r="G1305" s="33">
        <v>2</v>
      </c>
      <c r="H1305" s="33">
        <v>15</v>
      </c>
      <c r="I1305" s="12" t="s">
        <v>119</v>
      </c>
      <c r="J1305" s="12" t="s">
        <v>120</v>
      </c>
      <c r="K1305" s="73" t="s">
        <v>29</v>
      </c>
      <c r="L1305" s="13">
        <v>11443</v>
      </c>
      <c r="M1305" s="13">
        <v>0</v>
      </c>
      <c r="N1305" s="13">
        <v>1466</v>
      </c>
      <c r="O1305" s="13">
        <v>2480</v>
      </c>
      <c r="P1305" s="13">
        <v>939</v>
      </c>
      <c r="Q1305" s="13">
        <v>8963</v>
      </c>
      <c r="R1305" s="13">
        <v>-273</v>
      </c>
      <c r="S1305" s="13">
        <v>2</v>
      </c>
      <c r="T1305" s="81">
        <v>0</v>
      </c>
    </row>
    <row r="1306" spans="1:20" ht="15" customHeight="1" x14ac:dyDescent="0.2">
      <c r="A1306" s="15" t="s">
        <v>2780</v>
      </c>
      <c r="B1306" s="60">
        <v>48584954</v>
      </c>
      <c r="C1306" s="15" t="s">
        <v>2781</v>
      </c>
      <c r="D1306" s="15"/>
      <c r="E1306" s="15" t="s">
        <v>2782</v>
      </c>
      <c r="F1306" s="15" t="s">
        <v>65</v>
      </c>
      <c r="G1306" s="34">
        <v>2</v>
      </c>
      <c r="H1306" s="34">
        <v>43</v>
      </c>
      <c r="I1306" s="15" t="s">
        <v>210</v>
      </c>
      <c r="J1306" s="15" t="s">
        <v>211</v>
      </c>
      <c r="K1306" s="74" t="s">
        <v>29</v>
      </c>
      <c r="L1306" s="16">
        <v>11427</v>
      </c>
      <c r="M1306" s="16">
        <v>5439</v>
      </c>
      <c r="N1306" s="16">
        <v>5322</v>
      </c>
      <c r="O1306" s="16">
        <v>434</v>
      </c>
      <c r="P1306" s="16">
        <v>345</v>
      </c>
      <c r="Q1306" s="16">
        <v>10993</v>
      </c>
      <c r="R1306" s="16">
        <v>32</v>
      </c>
      <c r="S1306" s="16">
        <v>2</v>
      </c>
      <c r="T1306" s="111">
        <v>0</v>
      </c>
    </row>
    <row r="1307" spans="1:20" ht="15" customHeight="1" x14ac:dyDescent="0.2">
      <c r="A1307" s="12" t="s">
        <v>2783</v>
      </c>
      <c r="B1307" s="56">
        <v>32192325</v>
      </c>
      <c r="C1307" s="12" t="s">
        <v>2784</v>
      </c>
      <c r="D1307" s="12"/>
      <c r="E1307" s="12" t="s">
        <v>2785</v>
      </c>
      <c r="F1307" s="12" t="s">
        <v>84</v>
      </c>
      <c r="G1307" s="33">
        <v>2</v>
      </c>
      <c r="H1307" s="33">
        <v>41</v>
      </c>
      <c r="I1307" s="12" t="s">
        <v>457</v>
      </c>
      <c r="J1307" s="12" t="s">
        <v>432</v>
      </c>
      <c r="K1307" s="73" t="s">
        <v>29</v>
      </c>
      <c r="L1307" s="13">
        <v>11331</v>
      </c>
      <c r="M1307" s="13">
        <v>0</v>
      </c>
      <c r="N1307" s="13">
        <v>0</v>
      </c>
      <c r="O1307" s="13">
        <v>4708</v>
      </c>
      <c r="P1307" s="13">
        <v>4067</v>
      </c>
      <c r="Q1307" s="13">
        <v>6622</v>
      </c>
      <c r="R1307" s="13">
        <v>-1562</v>
      </c>
      <c r="S1307" s="13">
        <v>1</v>
      </c>
      <c r="T1307" s="81">
        <v>0</v>
      </c>
    </row>
    <row r="1308" spans="1:20" ht="15" customHeight="1" x14ac:dyDescent="0.2">
      <c r="A1308" s="15" t="s">
        <v>2786</v>
      </c>
      <c r="B1308" s="60">
        <v>35479592</v>
      </c>
      <c r="C1308" s="15" t="s">
        <v>2787</v>
      </c>
      <c r="D1308" s="15"/>
      <c r="E1308" s="15" t="s">
        <v>2788</v>
      </c>
      <c r="F1308" s="15" t="s">
        <v>65</v>
      </c>
      <c r="G1308" s="34">
        <v>2</v>
      </c>
      <c r="H1308" s="34">
        <v>14</v>
      </c>
      <c r="I1308" s="15" t="s">
        <v>73</v>
      </c>
      <c r="J1308" s="15" t="s">
        <v>74</v>
      </c>
      <c r="K1308" s="74" t="s">
        <v>29</v>
      </c>
      <c r="L1308" s="16">
        <v>11329</v>
      </c>
      <c r="M1308" s="16">
        <v>1216</v>
      </c>
      <c r="N1308" s="16">
        <v>4669</v>
      </c>
      <c r="O1308" s="16">
        <v>186</v>
      </c>
      <c r="P1308" s="16">
        <v>0</v>
      </c>
      <c r="Q1308" s="16">
        <v>11143</v>
      </c>
      <c r="R1308" s="16">
        <v>-621</v>
      </c>
      <c r="S1308" s="16">
        <v>2</v>
      </c>
      <c r="T1308" s="111">
        <v>0</v>
      </c>
    </row>
    <row r="1309" spans="1:20" ht="15" customHeight="1" x14ac:dyDescent="0.2">
      <c r="A1309" s="12" t="s">
        <v>2789</v>
      </c>
      <c r="B1309" s="56">
        <v>38593706</v>
      </c>
      <c r="C1309" s="12" t="s">
        <v>2790</v>
      </c>
      <c r="D1309" s="12"/>
      <c r="E1309" s="12" t="s">
        <v>2791</v>
      </c>
      <c r="F1309" s="12" t="s">
        <v>65</v>
      </c>
      <c r="G1309" s="33">
        <v>2</v>
      </c>
      <c r="H1309" s="33">
        <v>43</v>
      </c>
      <c r="I1309" s="12" t="s">
        <v>210</v>
      </c>
      <c r="J1309" s="12" t="s">
        <v>211</v>
      </c>
      <c r="K1309" s="73" t="s">
        <v>29</v>
      </c>
      <c r="L1309" s="13">
        <v>11215</v>
      </c>
      <c r="M1309" s="13">
        <v>6230</v>
      </c>
      <c r="N1309" s="13">
        <v>4116</v>
      </c>
      <c r="O1309" s="13">
        <v>717</v>
      </c>
      <c r="P1309" s="13">
        <v>0</v>
      </c>
      <c r="Q1309" s="13">
        <v>10498</v>
      </c>
      <c r="R1309" s="13">
        <v>1004</v>
      </c>
      <c r="S1309" s="13">
        <v>2</v>
      </c>
      <c r="T1309" s="81">
        <v>0</v>
      </c>
    </row>
    <row r="1310" spans="1:20" ht="15" customHeight="1" x14ac:dyDescent="0.2">
      <c r="A1310" s="15" t="s">
        <v>2792</v>
      </c>
      <c r="B1310" s="60">
        <v>44077014</v>
      </c>
      <c r="C1310" s="15" t="s">
        <v>2793</v>
      </c>
      <c r="D1310" s="15"/>
      <c r="E1310" s="15" t="s">
        <v>2794</v>
      </c>
      <c r="F1310" s="15" t="s">
        <v>98</v>
      </c>
      <c r="G1310" s="34">
        <v>2</v>
      </c>
      <c r="H1310" s="34">
        <v>16</v>
      </c>
      <c r="I1310" s="15" t="s">
        <v>38</v>
      </c>
      <c r="J1310" s="15" t="s">
        <v>39</v>
      </c>
      <c r="K1310" s="74" t="s">
        <v>29</v>
      </c>
      <c r="L1310" s="16">
        <v>11175</v>
      </c>
      <c r="M1310" s="16">
        <v>0</v>
      </c>
      <c r="N1310" s="16">
        <v>5875</v>
      </c>
      <c r="O1310" s="16">
        <v>1130</v>
      </c>
      <c r="P1310" s="16">
        <v>0</v>
      </c>
      <c r="Q1310" s="16">
        <v>10045</v>
      </c>
      <c r="R1310" s="16">
        <v>1082</v>
      </c>
      <c r="S1310" s="16">
        <v>2</v>
      </c>
      <c r="T1310" s="111">
        <v>0</v>
      </c>
    </row>
    <row r="1311" spans="1:20" ht="15" customHeight="1" x14ac:dyDescent="0.2">
      <c r="A1311" s="12" t="s">
        <v>2795</v>
      </c>
      <c r="B1311" s="56">
        <v>2104058</v>
      </c>
      <c r="C1311" s="12"/>
      <c r="D1311" s="12"/>
      <c r="E1311" s="12"/>
      <c r="F1311" s="12" t="s">
        <v>265</v>
      </c>
      <c r="G1311" s="33">
        <v>2</v>
      </c>
      <c r="H1311" s="33">
        <v>9</v>
      </c>
      <c r="I1311" s="12" t="s">
        <v>2796</v>
      </c>
      <c r="J1311" s="12" t="s">
        <v>39</v>
      </c>
      <c r="K1311" s="73" t="s">
        <v>29</v>
      </c>
      <c r="L1311" s="13">
        <v>11075</v>
      </c>
      <c r="M1311" s="13">
        <v>6828</v>
      </c>
      <c r="N1311" s="13">
        <v>3774</v>
      </c>
      <c r="O1311" s="13">
        <v>274</v>
      </c>
      <c r="P1311" s="13">
        <v>0</v>
      </c>
      <c r="Q1311" s="13">
        <v>10801</v>
      </c>
      <c r="R1311" s="13">
        <v>664</v>
      </c>
      <c r="S1311" s="13">
        <v>0</v>
      </c>
      <c r="T1311" s="81">
        <v>0</v>
      </c>
    </row>
    <row r="1312" spans="1:20" ht="15" customHeight="1" x14ac:dyDescent="0.2">
      <c r="A1312" s="15" t="s">
        <v>2797</v>
      </c>
      <c r="B1312" s="60">
        <v>47944277</v>
      </c>
      <c r="C1312" s="15"/>
      <c r="D1312" s="15"/>
      <c r="E1312" s="15"/>
      <c r="F1312" s="15" t="s">
        <v>265</v>
      </c>
      <c r="G1312" s="34">
        <v>2</v>
      </c>
      <c r="H1312" s="34">
        <v>9</v>
      </c>
      <c r="I1312" s="15" t="s">
        <v>1749</v>
      </c>
      <c r="J1312" s="15" t="s">
        <v>39</v>
      </c>
      <c r="K1312" s="74" t="s">
        <v>29</v>
      </c>
      <c r="L1312" s="16">
        <v>11046</v>
      </c>
      <c r="M1312" s="16">
        <v>44</v>
      </c>
      <c r="N1312" s="16">
        <v>16</v>
      </c>
      <c r="O1312" s="16">
        <v>2315</v>
      </c>
      <c r="P1312" s="16">
        <v>0</v>
      </c>
      <c r="Q1312" s="16">
        <v>8731</v>
      </c>
      <c r="R1312" s="16">
        <v>-310</v>
      </c>
      <c r="S1312" s="16">
        <v>0</v>
      </c>
      <c r="T1312" s="111">
        <v>0</v>
      </c>
    </row>
    <row r="1313" spans="1:20" ht="15" customHeight="1" x14ac:dyDescent="0.2">
      <c r="A1313" s="12" t="s">
        <v>2798</v>
      </c>
      <c r="B1313" s="56">
        <v>8430732</v>
      </c>
      <c r="C1313" s="12" t="s">
        <v>2799</v>
      </c>
      <c r="D1313" s="12"/>
      <c r="E1313" s="12" t="s">
        <v>2800</v>
      </c>
      <c r="F1313" s="12" t="s">
        <v>65</v>
      </c>
      <c r="G1313" s="33">
        <v>2</v>
      </c>
      <c r="H1313" s="33">
        <v>10</v>
      </c>
      <c r="I1313" s="12" t="s">
        <v>132</v>
      </c>
      <c r="J1313" s="12" t="s">
        <v>133</v>
      </c>
      <c r="K1313" s="73" t="s">
        <v>29</v>
      </c>
      <c r="L1313" s="13">
        <v>10985</v>
      </c>
      <c r="M1313" s="13">
        <v>9076</v>
      </c>
      <c r="N1313" s="13">
        <v>0</v>
      </c>
      <c r="O1313" s="13">
        <v>6826</v>
      </c>
      <c r="P1313" s="13">
        <v>0</v>
      </c>
      <c r="Q1313" s="13">
        <v>4158</v>
      </c>
      <c r="R1313" s="13">
        <v>836</v>
      </c>
      <c r="S1313" s="13">
        <v>2</v>
      </c>
      <c r="T1313" s="81">
        <v>0</v>
      </c>
    </row>
    <row r="1314" spans="1:20" ht="15" customHeight="1" x14ac:dyDescent="0.2">
      <c r="A1314" s="15" t="s">
        <v>2801</v>
      </c>
      <c r="B1314" s="60">
        <v>33890605</v>
      </c>
      <c r="C1314" s="15" t="s">
        <v>2802</v>
      </c>
      <c r="D1314" s="15"/>
      <c r="E1314" s="15" t="s">
        <v>2803</v>
      </c>
      <c r="F1314" s="15" t="s">
        <v>65</v>
      </c>
      <c r="G1314" s="34">
        <v>2</v>
      </c>
      <c r="H1314" s="34">
        <v>43</v>
      </c>
      <c r="I1314" s="15" t="s">
        <v>1144</v>
      </c>
      <c r="J1314" s="15" t="s">
        <v>120</v>
      </c>
      <c r="K1314" s="74" t="s">
        <v>29</v>
      </c>
      <c r="L1314" s="16">
        <v>10941</v>
      </c>
      <c r="M1314" s="16">
        <v>3527</v>
      </c>
      <c r="N1314" s="16">
        <v>3981</v>
      </c>
      <c r="O1314" s="16">
        <v>4837</v>
      </c>
      <c r="P1314" s="16">
        <v>1058</v>
      </c>
      <c r="Q1314" s="16">
        <v>6104</v>
      </c>
      <c r="R1314" s="16">
        <v>21</v>
      </c>
      <c r="S1314" s="16">
        <v>2</v>
      </c>
      <c r="T1314" s="111">
        <v>0</v>
      </c>
    </row>
    <row r="1315" spans="1:20" ht="15" customHeight="1" x14ac:dyDescent="0.2">
      <c r="A1315" s="12" t="s">
        <v>2804</v>
      </c>
      <c r="B1315" s="56">
        <v>52623311</v>
      </c>
      <c r="C1315" s="12"/>
      <c r="D1315" s="12"/>
      <c r="E1315" s="12"/>
      <c r="F1315" s="12" t="s">
        <v>265</v>
      </c>
      <c r="G1315" s="33">
        <v>2</v>
      </c>
      <c r="H1315" s="33">
        <v>9</v>
      </c>
      <c r="I1315" s="12" t="s">
        <v>2805</v>
      </c>
      <c r="J1315" s="12" t="s">
        <v>39</v>
      </c>
      <c r="K1315" s="73" t="s">
        <v>29</v>
      </c>
      <c r="L1315" s="13">
        <v>10893</v>
      </c>
      <c r="M1315" s="13">
        <v>6681</v>
      </c>
      <c r="N1315" s="13">
        <v>0</v>
      </c>
      <c r="O1315" s="13">
        <v>1603</v>
      </c>
      <c r="P1315" s="13">
        <v>0</v>
      </c>
      <c r="Q1315" s="13">
        <v>9290</v>
      </c>
      <c r="R1315" s="13">
        <v>199</v>
      </c>
      <c r="S1315" s="13">
        <v>0</v>
      </c>
      <c r="T1315" s="81">
        <v>0</v>
      </c>
    </row>
    <row r="1316" spans="1:20" ht="15" customHeight="1" x14ac:dyDescent="0.2">
      <c r="A1316" s="15" t="s">
        <v>2806</v>
      </c>
      <c r="B1316" s="60">
        <v>1788147</v>
      </c>
      <c r="C1316" s="15" t="s">
        <v>2807</v>
      </c>
      <c r="D1316" s="15"/>
      <c r="E1316" s="15" t="s">
        <v>2808</v>
      </c>
      <c r="F1316" s="15" t="s">
        <v>98</v>
      </c>
      <c r="G1316" s="34">
        <v>2</v>
      </c>
      <c r="H1316" s="34">
        <v>16</v>
      </c>
      <c r="I1316" s="15" t="s">
        <v>38</v>
      </c>
      <c r="J1316" s="15" t="s">
        <v>39</v>
      </c>
      <c r="K1316" s="74" t="s">
        <v>29</v>
      </c>
      <c r="L1316" s="16">
        <v>10748</v>
      </c>
      <c r="M1316" s="16">
        <v>0</v>
      </c>
      <c r="N1316" s="16">
        <v>6686</v>
      </c>
      <c r="O1316" s="16">
        <v>1216</v>
      </c>
      <c r="P1316" s="16">
        <v>0</v>
      </c>
      <c r="Q1316" s="16">
        <v>9532</v>
      </c>
      <c r="R1316" s="16">
        <v>-1049</v>
      </c>
      <c r="S1316" s="16">
        <v>2</v>
      </c>
      <c r="T1316" s="111">
        <v>0</v>
      </c>
    </row>
    <row r="1317" spans="1:20" ht="15" customHeight="1" x14ac:dyDescent="0.2">
      <c r="A1317" s="12" t="s">
        <v>2809</v>
      </c>
      <c r="B1317" s="56">
        <v>54733010</v>
      </c>
      <c r="C1317" s="12" t="s">
        <v>1355</v>
      </c>
      <c r="D1317" s="12"/>
      <c r="E1317" s="12" t="s">
        <v>1356</v>
      </c>
      <c r="F1317" s="12" t="s">
        <v>65</v>
      </c>
      <c r="G1317" s="33">
        <v>2</v>
      </c>
      <c r="H1317" s="33">
        <v>43</v>
      </c>
      <c r="I1317" s="12" t="s">
        <v>1357</v>
      </c>
      <c r="J1317" s="12" t="s">
        <v>1358</v>
      </c>
      <c r="K1317" s="73" t="s">
        <v>29</v>
      </c>
      <c r="L1317" s="13">
        <v>10684</v>
      </c>
      <c r="M1317" s="13">
        <v>841</v>
      </c>
      <c r="N1317" s="13">
        <v>9597</v>
      </c>
      <c r="O1317" s="13">
        <v>182</v>
      </c>
      <c r="P1317" s="13">
        <v>0</v>
      </c>
      <c r="Q1317" s="13">
        <v>10501</v>
      </c>
      <c r="R1317" s="13">
        <v>219</v>
      </c>
      <c r="S1317" s="13">
        <v>2</v>
      </c>
      <c r="T1317" s="81">
        <v>0</v>
      </c>
    </row>
    <row r="1318" spans="1:20" ht="15" customHeight="1" x14ac:dyDescent="0.2">
      <c r="A1318" s="15" t="s">
        <v>2810</v>
      </c>
      <c r="B1318" s="60">
        <v>63019146</v>
      </c>
      <c r="C1318" s="15" t="s">
        <v>2351</v>
      </c>
      <c r="D1318" s="15" t="s">
        <v>2352</v>
      </c>
      <c r="E1318" s="15" t="s">
        <v>2352</v>
      </c>
      <c r="F1318" s="15" t="s">
        <v>65</v>
      </c>
      <c r="G1318" s="34">
        <v>2</v>
      </c>
      <c r="H1318" s="34">
        <v>14</v>
      </c>
      <c r="I1318" s="15" t="s">
        <v>372</v>
      </c>
      <c r="J1318" s="15" t="s">
        <v>229</v>
      </c>
      <c r="K1318" s="74" t="s">
        <v>29</v>
      </c>
      <c r="L1318" s="16">
        <v>10601</v>
      </c>
      <c r="M1318" s="16">
        <v>101</v>
      </c>
      <c r="N1318" s="16">
        <v>10300</v>
      </c>
      <c r="O1318" s="16">
        <v>45</v>
      </c>
      <c r="P1318" s="16">
        <v>0</v>
      </c>
      <c r="Q1318" s="16">
        <v>10556</v>
      </c>
      <c r="R1318" s="16">
        <v>-251</v>
      </c>
      <c r="S1318" s="16">
        <v>1</v>
      </c>
      <c r="T1318" s="111">
        <v>0</v>
      </c>
    </row>
    <row r="1319" spans="1:20" ht="15" customHeight="1" x14ac:dyDescent="0.2">
      <c r="A1319" s="12" t="s">
        <v>2811</v>
      </c>
      <c r="B1319" s="56">
        <v>12063256</v>
      </c>
      <c r="C1319" s="12" t="s">
        <v>1055</v>
      </c>
      <c r="D1319" s="12" t="s">
        <v>1056</v>
      </c>
      <c r="E1319" s="12" t="s">
        <v>1056</v>
      </c>
      <c r="F1319" s="12" t="s">
        <v>98</v>
      </c>
      <c r="G1319" s="33">
        <v>2</v>
      </c>
      <c r="H1319" s="33">
        <v>16</v>
      </c>
      <c r="I1319" s="12" t="s">
        <v>38</v>
      </c>
      <c r="J1319" s="12" t="s">
        <v>39</v>
      </c>
      <c r="K1319" s="73" t="s">
        <v>29</v>
      </c>
      <c r="L1319" s="13">
        <v>10601</v>
      </c>
      <c r="M1319" s="13">
        <v>0</v>
      </c>
      <c r="N1319" s="13">
        <v>0</v>
      </c>
      <c r="O1319" s="13">
        <v>1629</v>
      </c>
      <c r="P1319" s="13">
        <v>0</v>
      </c>
      <c r="Q1319" s="13">
        <v>8972</v>
      </c>
      <c r="R1319" s="13">
        <v>2460</v>
      </c>
      <c r="S1319" s="13">
        <v>2</v>
      </c>
      <c r="T1319" s="81">
        <v>0</v>
      </c>
    </row>
    <row r="1320" spans="1:20" ht="15" customHeight="1" x14ac:dyDescent="0.2">
      <c r="A1320" s="15" t="s">
        <v>2812</v>
      </c>
      <c r="B1320" s="60">
        <v>7693858</v>
      </c>
      <c r="C1320" s="15" t="s">
        <v>2813</v>
      </c>
      <c r="D1320" s="15"/>
      <c r="E1320" s="15" t="s">
        <v>2814</v>
      </c>
      <c r="F1320" s="15" t="s">
        <v>65</v>
      </c>
      <c r="G1320" s="34">
        <v>2</v>
      </c>
      <c r="H1320" s="34">
        <v>10</v>
      </c>
      <c r="I1320" s="15" t="s">
        <v>2815</v>
      </c>
      <c r="J1320" s="15" t="s">
        <v>120</v>
      </c>
      <c r="K1320" s="74" t="s">
        <v>29</v>
      </c>
      <c r="L1320" s="16">
        <v>10488</v>
      </c>
      <c r="M1320" s="16">
        <v>6763</v>
      </c>
      <c r="N1320" s="16">
        <v>2931</v>
      </c>
      <c r="O1320" s="16">
        <v>2326</v>
      </c>
      <c r="P1320" s="16">
        <v>0</v>
      </c>
      <c r="Q1320" s="16">
        <v>8162</v>
      </c>
      <c r="R1320" s="16">
        <v>550</v>
      </c>
      <c r="S1320" s="16">
        <v>2</v>
      </c>
      <c r="T1320" s="111">
        <v>0</v>
      </c>
    </row>
    <row r="1321" spans="1:20" ht="15" customHeight="1" x14ac:dyDescent="0.2">
      <c r="A1321" s="12" t="s">
        <v>2816</v>
      </c>
      <c r="B1321" s="56">
        <v>4316357</v>
      </c>
      <c r="C1321" s="12" t="s">
        <v>2817</v>
      </c>
      <c r="D1321" s="12"/>
      <c r="E1321" s="12" t="s">
        <v>2818</v>
      </c>
      <c r="F1321" s="12" t="s">
        <v>65</v>
      </c>
      <c r="G1321" s="33">
        <v>2</v>
      </c>
      <c r="H1321" s="33">
        <v>10</v>
      </c>
      <c r="I1321" s="12" t="s">
        <v>53</v>
      </c>
      <c r="J1321" s="12" t="s">
        <v>54</v>
      </c>
      <c r="K1321" s="73" t="s">
        <v>29</v>
      </c>
      <c r="L1321" s="13">
        <v>10404</v>
      </c>
      <c r="M1321" s="13">
        <v>9160</v>
      </c>
      <c r="N1321" s="13">
        <v>210</v>
      </c>
      <c r="O1321" s="13">
        <v>170</v>
      </c>
      <c r="P1321" s="13">
        <v>0</v>
      </c>
      <c r="Q1321" s="13">
        <v>10234</v>
      </c>
      <c r="R1321" s="13">
        <v>20</v>
      </c>
      <c r="S1321" s="13">
        <v>2</v>
      </c>
      <c r="T1321" s="81">
        <v>0</v>
      </c>
    </row>
    <row r="1322" spans="1:20" ht="15" customHeight="1" x14ac:dyDescent="0.2">
      <c r="A1322" s="15" t="s">
        <v>2819</v>
      </c>
      <c r="B1322" s="60">
        <v>5841967</v>
      </c>
      <c r="C1322" s="15"/>
      <c r="D1322" s="15"/>
      <c r="E1322" s="15"/>
      <c r="F1322" s="15" t="s">
        <v>265</v>
      </c>
      <c r="G1322" s="34">
        <v>2</v>
      </c>
      <c r="H1322" s="34">
        <v>9</v>
      </c>
      <c r="I1322" s="15" t="s">
        <v>2820</v>
      </c>
      <c r="J1322" s="15" t="s">
        <v>74</v>
      </c>
      <c r="K1322" s="74" t="s">
        <v>29</v>
      </c>
      <c r="L1322" s="16">
        <v>10324</v>
      </c>
      <c r="M1322" s="16">
        <v>6603</v>
      </c>
      <c r="N1322" s="16">
        <v>110</v>
      </c>
      <c r="O1322" s="16">
        <v>4288</v>
      </c>
      <c r="P1322" s="16">
        <v>3278</v>
      </c>
      <c r="Q1322" s="16">
        <v>6036</v>
      </c>
      <c r="R1322" s="16">
        <v>100</v>
      </c>
      <c r="S1322" s="16">
        <v>0</v>
      </c>
      <c r="T1322" s="111">
        <v>0</v>
      </c>
    </row>
    <row r="1323" spans="1:20" ht="15" customHeight="1" x14ac:dyDescent="0.2">
      <c r="A1323" s="12" t="s">
        <v>2821</v>
      </c>
      <c r="B1323" s="56">
        <v>57671443</v>
      </c>
      <c r="C1323" s="12" t="s">
        <v>113</v>
      </c>
      <c r="D1323" s="12" t="s">
        <v>114</v>
      </c>
      <c r="E1323" s="12" t="s">
        <v>114</v>
      </c>
      <c r="F1323" s="12" t="s">
        <v>98</v>
      </c>
      <c r="G1323" s="33">
        <v>3</v>
      </c>
      <c r="H1323" s="33">
        <v>16</v>
      </c>
      <c r="I1323" s="12" t="s">
        <v>44</v>
      </c>
      <c r="J1323" s="12" t="s">
        <v>39</v>
      </c>
      <c r="K1323" s="73" t="s">
        <v>29</v>
      </c>
      <c r="L1323" s="13">
        <v>10035</v>
      </c>
      <c r="M1323" s="13">
        <v>0</v>
      </c>
      <c r="N1323" s="13">
        <v>9730</v>
      </c>
      <c r="O1323" s="13">
        <v>206</v>
      </c>
      <c r="P1323" s="13">
        <v>0</v>
      </c>
      <c r="Q1323" s="13">
        <v>9829</v>
      </c>
      <c r="R1323" s="13">
        <v>222</v>
      </c>
      <c r="S1323" s="13">
        <v>2</v>
      </c>
      <c r="T1323" s="81">
        <v>0</v>
      </c>
    </row>
    <row r="1324" spans="1:20" ht="15" customHeight="1" x14ac:dyDescent="0.2">
      <c r="A1324" s="15" t="s">
        <v>2822</v>
      </c>
      <c r="B1324" s="60">
        <v>45045671</v>
      </c>
      <c r="C1324" s="15"/>
      <c r="D1324" s="15"/>
      <c r="E1324" s="15"/>
      <c r="F1324" s="15" t="s">
        <v>265</v>
      </c>
      <c r="G1324" s="34">
        <v>2</v>
      </c>
      <c r="H1324" s="34">
        <v>9</v>
      </c>
      <c r="I1324" s="15" t="s">
        <v>2823</v>
      </c>
      <c r="J1324" s="15" t="s">
        <v>39</v>
      </c>
      <c r="K1324" s="74" t="s">
        <v>29</v>
      </c>
      <c r="L1324" s="16">
        <v>10035</v>
      </c>
      <c r="M1324" s="16">
        <v>6012</v>
      </c>
      <c r="N1324" s="16">
        <v>3780</v>
      </c>
      <c r="O1324" s="16">
        <v>652</v>
      </c>
      <c r="P1324" s="16">
        <v>0</v>
      </c>
      <c r="Q1324" s="16">
        <v>9383</v>
      </c>
      <c r="R1324" s="16">
        <v>433</v>
      </c>
      <c r="S1324" s="16">
        <v>0</v>
      </c>
      <c r="T1324" s="111">
        <v>0</v>
      </c>
    </row>
    <row r="1325" spans="1:20" ht="15" customHeight="1" x14ac:dyDescent="0.2">
      <c r="A1325" s="12" t="s">
        <v>2824</v>
      </c>
      <c r="B1325" s="56">
        <v>5746715</v>
      </c>
      <c r="C1325" s="12"/>
      <c r="D1325" s="12"/>
      <c r="E1325" s="12"/>
      <c r="F1325" s="12" t="s">
        <v>265</v>
      </c>
      <c r="G1325" s="33">
        <v>2</v>
      </c>
      <c r="H1325" s="33">
        <v>9</v>
      </c>
      <c r="I1325" s="12" t="s">
        <v>119</v>
      </c>
      <c r="J1325" s="12" t="s">
        <v>120</v>
      </c>
      <c r="K1325" s="73" t="s">
        <v>29</v>
      </c>
      <c r="L1325" s="13">
        <v>9956</v>
      </c>
      <c r="M1325" s="13">
        <v>3761</v>
      </c>
      <c r="N1325" s="13">
        <v>5844</v>
      </c>
      <c r="O1325" s="13">
        <v>660</v>
      </c>
      <c r="P1325" s="13">
        <v>0</v>
      </c>
      <c r="Q1325" s="13">
        <v>9296</v>
      </c>
      <c r="R1325" s="13">
        <v>71</v>
      </c>
      <c r="S1325" s="13">
        <v>0</v>
      </c>
      <c r="T1325" s="81">
        <v>0</v>
      </c>
    </row>
    <row r="1326" spans="1:20" ht="15" customHeight="1" x14ac:dyDescent="0.2">
      <c r="A1326" s="15" t="s">
        <v>2825</v>
      </c>
      <c r="B1326" s="60">
        <v>44683140</v>
      </c>
      <c r="C1326" s="15" t="s">
        <v>2826</v>
      </c>
      <c r="D1326" s="15"/>
      <c r="E1326" s="15" t="s">
        <v>2827</v>
      </c>
      <c r="F1326" s="15" t="s">
        <v>65</v>
      </c>
      <c r="G1326" s="34">
        <v>2</v>
      </c>
      <c r="H1326" s="34">
        <v>43</v>
      </c>
      <c r="I1326" s="15" t="s">
        <v>38</v>
      </c>
      <c r="J1326" s="15" t="s">
        <v>39</v>
      </c>
      <c r="K1326" s="74" t="s">
        <v>29</v>
      </c>
      <c r="L1326" s="16">
        <v>9918</v>
      </c>
      <c r="M1326" s="16">
        <v>25</v>
      </c>
      <c r="N1326" s="16">
        <v>6487</v>
      </c>
      <c r="O1326" s="16">
        <v>4559</v>
      </c>
      <c r="P1326" s="16">
        <v>879</v>
      </c>
      <c r="Q1326" s="16">
        <v>5359</v>
      </c>
      <c r="R1326" s="16">
        <v>-714</v>
      </c>
      <c r="S1326" s="16">
        <v>2</v>
      </c>
      <c r="T1326" s="111">
        <v>0</v>
      </c>
    </row>
    <row r="1327" spans="1:20" ht="15" customHeight="1" x14ac:dyDescent="0.2">
      <c r="A1327" s="12" t="s">
        <v>2828</v>
      </c>
      <c r="B1327" s="56">
        <v>60236532</v>
      </c>
      <c r="C1327" s="12" t="s">
        <v>2829</v>
      </c>
      <c r="D1327" s="12"/>
      <c r="E1327" s="12" t="s">
        <v>2830</v>
      </c>
      <c r="F1327" s="12" t="s">
        <v>65</v>
      </c>
      <c r="G1327" s="33">
        <v>2</v>
      </c>
      <c r="H1327" s="33">
        <v>43</v>
      </c>
      <c r="I1327" s="12" t="s">
        <v>53</v>
      </c>
      <c r="J1327" s="12" t="s">
        <v>54</v>
      </c>
      <c r="K1327" s="73" t="s">
        <v>29</v>
      </c>
      <c r="L1327" s="13">
        <v>9701</v>
      </c>
      <c r="M1327" s="13">
        <v>707</v>
      </c>
      <c r="N1327" s="13">
        <v>7925</v>
      </c>
      <c r="O1327" s="13">
        <v>78</v>
      </c>
      <c r="P1327" s="13">
        <v>0</v>
      </c>
      <c r="Q1327" s="13">
        <v>9623</v>
      </c>
      <c r="R1327" s="13">
        <v>-1163</v>
      </c>
      <c r="S1327" s="13">
        <v>2</v>
      </c>
      <c r="T1327" s="81">
        <v>0</v>
      </c>
    </row>
    <row r="1328" spans="1:20" ht="15" customHeight="1" x14ac:dyDescent="0.2">
      <c r="A1328" s="15" t="s">
        <v>2831</v>
      </c>
      <c r="B1328" s="60">
        <v>57259525</v>
      </c>
      <c r="C1328" s="15"/>
      <c r="D1328" s="15"/>
      <c r="E1328" s="15"/>
      <c r="F1328" s="15" t="s">
        <v>265</v>
      </c>
      <c r="G1328" s="34">
        <v>2</v>
      </c>
      <c r="H1328" s="34">
        <v>9</v>
      </c>
      <c r="I1328" s="15" t="s">
        <v>2485</v>
      </c>
      <c r="J1328" s="15" t="s">
        <v>39</v>
      </c>
      <c r="K1328" s="74" t="s">
        <v>29</v>
      </c>
      <c r="L1328" s="16">
        <v>9685</v>
      </c>
      <c r="M1328" s="16">
        <v>9281</v>
      </c>
      <c r="N1328" s="16">
        <v>78</v>
      </c>
      <c r="O1328" s="16">
        <v>606</v>
      </c>
      <c r="P1328" s="16">
        <v>0</v>
      </c>
      <c r="Q1328" s="16">
        <v>9079</v>
      </c>
      <c r="R1328" s="16">
        <v>210</v>
      </c>
      <c r="S1328" s="16">
        <v>0</v>
      </c>
      <c r="T1328" s="111">
        <v>0</v>
      </c>
    </row>
    <row r="1329" spans="1:20" ht="15" customHeight="1" x14ac:dyDescent="0.2">
      <c r="A1329" s="12" t="s">
        <v>2832</v>
      </c>
      <c r="B1329" s="56">
        <v>778858</v>
      </c>
      <c r="C1329" s="12"/>
      <c r="D1329" s="12"/>
      <c r="E1329" s="12"/>
      <c r="F1329" s="12" t="s">
        <v>265</v>
      </c>
      <c r="G1329" s="33">
        <v>2</v>
      </c>
      <c r="H1329" s="33">
        <v>9</v>
      </c>
      <c r="I1329" s="12" t="s">
        <v>27</v>
      </c>
      <c r="J1329" s="12" t="s">
        <v>28</v>
      </c>
      <c r="K1329" s="73" t="s">
        <v>29</v>
      </c>
      <c r="L1329" s="13">
        <v>9521</v>
      </c>
      <c r="M1329" s="13">
        <v>7948</v>
      </c>
      <c r="N1329" s="13">
        <v>112</v>
      </c>
      <c r="O1329" s="13">
        <v>4008</v>
      </c>
      <c r="P1329" s="13">
        <v>3576</v>
      </c>
      <c r="Q1329" s="13">
        <v>5513</v>
      </c>
      <c r="R1329" s="13">
        <v>17</v>
      </c>
      <c r="S1329" s="13">
        <v>0</v>
      </c>
      <c r="T1329" s="81">
        <v>0</v>
      </c>
    </row>
    <row r="1330" spans="1:20" ht="15" customHeight="1" x14ac:dyDescent="0.2">
      <c r="A1330" s="15" t="s">
        <v>2833</v>
      </c>
      <c r="B1330" s="60">
        <v>9210106</v>
      </c>
      <c r="C1330" s="15" t="s">
        <v>2834</v>
      </c>
      <c r="D1330" s="15"/>
      <c r="E1330" s="15" t="s">
        <v>2835</v>
      </c>
      <c r="F1330" s="15" t="s">
        <v>65</v>
      </c>
      <c r="G1330" s="34">
        <v>2</v>
      </c>
      <c r="H1330" s="34">
        <v>10</v>
      </c>
      <c r="I1330" s="15" t="s">
        <v>143</v>
      </c>
      <c r="J1330" s="15" t="s">
        <v>144</v>
      </c>
      <c r="K1330" s="74" t="s">
        <v>29</v>
      </c>
      <c r="L1330" s="16">
        <v>9491</v>
      </c>
      <c r="M1330" s="16">
        <v>3307</v>
      </c>
      <c r="N1330" s="16">
        <v>0</v>
      </c>
      <c r="O1330" s="16">
        <v>97</v>
      </c>
      <c r="P1330" s="16">
        <v>9</v>
      </c>
      <c r="Q1330" s="16">
        <v>9394</v>
      </c>
      <c r="R1330" s="16">
        <v>-87</v>
      </c>
      <c r="S1330" s="16">
        <v>2</v>
      </c>
      <c r="T1330" s="111">
        <v>0</v>
      </c>
    </row>
    <row r="1331" spans="1:20" ht="15" customHeight="1" x14ac:dyDescent="0.2">
      <c r="A1331" s="12" t="s">
        <v>2836</v>
      </c>
      <c r="B1331" s="56">
        <v>92236777</v>
      </c>
      <c r="C1331" s="12" t="s">
        <v>192</v>
      </c>
      <c r="D1331" s="12" t="s">
        <v>193</v>
      </c>
      <c r="E1331" s="12" t="s">
        <v>194</v>
      </c>
      <c r="F1331" s="12" t="s">
        <v>98</v>
      </c>
      <c r="G1331" s="33">
        <v>2</v>
      </c>
      <c r="H1331" s="33">
        <v>16</v>
      </c>
      <c r="I1331" s="12" t="s">
        <v>38</v>
      </c>
      <c r="J1331" s="12" t="s">
        <v>39</v>
      </c>
      <c r="K1331" s="73" t="s">
        <v>29</v>
      </c>
      <c r="L1331" s="13">
        <v>9451</v>
      </c>
      <c r="M1331" s="13">
        <v>0</v>
      </c>
      <c r="N1331" s="13">
        <v>4580</v>
      </c>
      <c r="O1331" s="13">
        <v>876</v>
      </c>
      <c r="P1331" s="13">
        <v>0</v>
      </c>
      <c r="Q1331" s="13">
        <v>8575</v>
      </c>
      <c r="R1331" s="13">
        <v>171</v>
      </c>
      <c r="S1331" s="13">
        <v>2</v>
      </c>
      <c r="T1331" s="81">
        <v>0</v>
      </c>
    </row>
    <row r="1332" spans="1:20" ht="15" customHeight="1" x14ac:dyDescent="0.2">
      <c r="A1332" s="15" t="s">
        <v>2837</v>
      </c>
      <c r="B1332" s="60">
        <v>32982245</v>
      </c>
      <c r="C1332" s="15" t="s">
        <v>2838</v>
      </c>
      <c r="D1332" s="15"/>
      <c r="E1332" s="15" t="s">
        <v>2839</v>
      </c>
      <c r="F1332" s="15" t="s">
        <v>84</v>
      </c>
      <c r="G1332" s="34">
        <v>2</v>
      </c>
      <c r="H1332" s="34">
        <v>41</v>
      </c>
      <c r="I1332" s="15" t="s">
        <v>216</v>
      </c>
      <c r="J1332" s="15" t="s">
        <v>217</v>
      </c>
      <c r="K1332" s="74" t="s">
        <v>29</v>
      </c>
      <c r="L1332" s="16">
        <v>9444</v>
      </c>
      <c r="M1332" s="16">
        <v>0</v>
      </c>
      <c r="N1332" s="16">
        <v>6077</v>
      </c>
      <c r="O1332" s="16">
        <v>2925</v>
      </c>
      <c r="P1332" s="16">
        <v>0</v>
      </c>
      <c r="Q1332" s="16">
        <v>6518</v>
      </c>
      <c r="R1332" s="16">
        <v>-4894</v>
      </c>
      <c r="S1332" s="16">
        <v>1</v>
      </c>
      <c r="T1332" s="111">
        <v>0</v>
      </c>
    </row>
    <row r="1333" spans="1:20" ht="15" customHeight="1" x14ac:dyDescent="0.2">
      <c r="A1333" s="12" t="s">
        <v>2840</v>
      </c>
      <c r="B1333" s="56">
        <v>54264235</v>
      </c>
      <c r="C1333" s="12" t="s">
        <v>2841</v>
      </c>
      <c r="D1333" s="12"/>
      <c r="E1333" s="12" t="s">
        <v>2842</v>
      </c>
      <c r="F1333" s="12" t="s">
        <v>65</v>
      </c>
      <c r="G1333" s="33">
        <v>3</v>
      </c>
      <c r="H1333" s="33">
        <v>43</v>
      </c>
      <c r="I1333" s="12" t="s">
        <v>38</v>
      </c>
      <c r="J1333" s="12" t="s">
        <v>39</v>
      </c>
      <c r="K1333" s="73" t="s">
        <v>29</v>
      </c>
      <c r="L1333" s="13">
        <v>9418</v>
      </c>
      <c r="M1333" s="13">
        <v>2</v>
      </c>
      <c r="N1333" s="13">
        <v>9178</v>
      </c>
      <c r="O1333" s="13">
        <v>353</v>
      </c>
      <c r="P1333" s="13">
        <v>201</v>
      </c>
      <c r="Q1333" s="13">
        <v>9065</v>
      </c>
      <c r="R1333" s="13">
        <v>239</v>
      </c>
      <c r="S1333" s="13">
        <v>2</v>
      </c>
      <c r="T1333" s="81">
        <v>0</v>
      </c>
    </row>
    <row r="1334" spans="1:20" ht="15" customHeight="1" x14ac:dyDescent="0.2">
      <c r="A1334" s="15" t="s">
        <v>2843</v>
      </c>
      <c r="B1334" s="60">
        <v>57173208</v>
      </c>
      <c r="C1334" s="15" t="s">
        <v>441</v>
      </c>
      <c r="D1334" s="15" t="s">
        <v>442</v>
      </c>
      <c r="E1334" s="15" t="s">
        <v>443</v>
      </c>
      <c r="F1334" s="15" t="s">
        <v>65</v>
      </c>
      <c r="G1334" s="34">
        <v>2</v>
      </c>
      <c r="H1334" s="34">
        <v>43</v>
      </c>
      <c r="I1334" s="15" t="s">
        <v>38</v>
      </c>
      <c r="J1334" s="15" t="s">
        <v>39</v>
      </c>
      <c r="K1334" s="74" t="s">
        <v>29</v>
      </c>
      <c r="L1334" s="16">
        <v>9338</v>
      </c>
      <c r="M1334" s="16">
        <v>3</v>
      </c>
      <c r="N1334" s="16">
        <v>6929</v>
      </c>
      <c r="O1334" s="16">
        <v>96</v>
      </c>
      <c r="P1334" s="16">
        <v>0</v>
      </c>
      <c r="Q1334" s="16">
        <v>9243</v>
      </c>
      <c r="R1334" s="16">
        <v>302</v>
      </c>
      <c r="S1334" s="16">
        <v>2</v>
      </c>
      <c r="T1334" s="111">
        <v>0</v>
      </c>
    </row>
    <row r="1335" spans="1:20" ht="15" customHeight="1" x14ac:dyDescent="0.2">
      <c r="A1335" s="12" t="s">
        <v>2844</v>
      </c>
      <c r="B1335" s="56">
        <v>71384697</v>
      </c>
      <c r="C1335" s="12"/>
      <c r="D1335" s="12"/>
      <c r="E1335" s="12"/>
      <c r="F1335" s="12" t="s">
        <v>265</v>
      </c>
      <c r="G1335" s="33">
        <v>2</v>
      </c>
      <c r="H1335" s="33">
        <v>9</v>
      </c>
      <c r="I1335" s="12" t="s">
        <v>2845</v>
      </c>
      <c r="J1335" s="12" t="s">
        <v>120</v>
      </c>
      <c r="K1335" s="73" t="s">
        <v>29</v>
      </c>
      <c r="L1335" s="13">
        <v>9234</v>
      </c>
      <c r="M1335" s="13">
        <v>6207</v>
      </c>
      <c r="N1335" s="13">
        <v>2132</v>
      </c>
      <c r="O1335" s="13">
        <v>868</v>
      </c>
      <c r="P1335" s="13">
        <v>0</v>
      </c>
      <c r="Q1335" s="13">
        <v>8367</v>
      </c>
      <c r="R1335" s="13">
        <v>202</v>
      </c>
      <c r="S1335" s="13">
        <v>0</v>
      </c>
      <c r="T1335" s="81">
        <v>0</v>
      </c>
    </row>
    <row r="1336" spans="1:20" ht="15" customHeight="1" x14ac:dyDescent="0.2">
      <c r="A1336" s="15" t="s">
        <v>2846</v>
      </c>
      <c r="B1336" s="60">
        <v>42100982</v>
      </c>
      <c r="C1336" s="15"/>
      <c r="D1336" s="15"/>
      <c r="E1336" s="15"/>
      <c r="F1336" s="15" t="s">
        <v>265</v>
      </c>
      <c r="G1336" s="34">
        <v>2</v>
      </c>
      <c r="H1336" s="34">
        <v>9</v>
      </c>
      <c r="I1336" s="15" t="s">
        <v>53</v>
      </c>
      <c r="J1336" s="15" t="s">
        <v>54</v>
      </c>
      <c r="K1336" s="74" t="s">
        <v>29</v>
      </c>
      <c r="L1336" s="16">
        <v>9217</v>
      </c>
      <c r="M1336" s="16">
        <v>905</v>
      </c>
      <c r="N1336" s="16">
        <v>0</v>
      </c>
      <c r="O1336" s="16">
        <v>222</v>
      </c>
      <c r="P1336" s="16">
        <v>89</v>
      </c>
      <c r="Q1336" s="16">
        <v>8995</v>
      </c>
      <c r="R1336" s="16">
        <v>41</v>
      </c>
      <c r="S1336" s="16">
        <v>0</v>
      </c>
      <c r="T1336" s="111">
        <v>1</v>
      </c>
    </row>
    <row r="1337" spans="1:20" ht="15" customHeight="1" x14ac:dyDescent="0.2">
      <c r="A1337" s="12" t="s">
        <v>2847</v>
      </c>
      <c r="B1337" s="56">
        <v>62280490</v>
      </c>
      <c r="C1337" s="12" t="s">
        <v>2848</v>
      </c>
      <c r="D1337" s="12"/>
      <c r="E1337" s="12" t="s">
        <v>2849</v>
      </c>
      <c r="F1337" s="12" t="s">
        <v>98</v>
      </c>
      <c r="G1337" s="33">
        <v>2</v>
      </c>
      <c r="H1337" s="33">
        <v>16</v>
      </c>
      <c r="I1337" s="12" t="s">
        <v>38</v>
      </c>
      <c r="J1337" s="12" t="s">
        <v>39</v>
      </c>
      <c r="K1337" s="73" t="s">
        <v>29</v>
      </c>
      <c r="L1337" s="13">
        <v>9210</v>
      </c>
      <c r="M1337" s="13">
        <v>0</v>
      </c>
      <c r="N1337" s="13">
        <v>8589</v>
      </c>
      <c r="O1337" s="13">
        <v>638</v>
      </c>
      <c r="P1337" s="13">
        <v>0</v>
      </c>
      <c r="Q1337" s="13">
        <v>8572</v>
      </c>
      <c r="R1337" s="13">
        <v>-7174</v>
      </c>
      <c r="S1337" s="13">
        <v>2</v>
      </c>
      <c r="T1337" s="81">
        <v>0</v>
      </c>
    </row>
    <row r="1338" spans="1:20" ht="15" customHeight="1" x14ac:dyDescent="0.2">
      <c r="A1338" s="15" t="s">
        <v>2850</v>
      </c>
      <c r="B1338" s="60">
        <v>4804353</v>
      </c>
      <c r="C1338" s="15"/>
      <c r="D1338" s="15"/>
      <c r="E1338" s="15"/>
      <c r="F1338" s="15" t="s">
        <v>265</v>
      </c>
      <c r="G1338" s="34">
        <v>2</v>
      </c>
      <c r="H1338" s="34">
        <v>9</v>
      </c>
      <c r="I1338" s="15" t="s">
        <v>38</v>
      </c>
      <c r="J1338" s="15" t="s">
        <v>39</v>
      </c>
      <c r="K1338" s="74" t="s">
        <v>29</v>
      </c>
      <c r="L1338" s="16">
        <v>9160</v>
      </c>
      <c r="M1338" s="16">
        <v>3302</v>
      </c>
      <c r="N1338" s="16">
        <v>5793</v>
      </c>
      <c r="O1338" s="16">
        <v>350</v>
      </c>
      <c r="P1338" s="16">
        <v>0</v>
      </c>
      <c r="Q1338" s="16">
        <v>8810</v>
      </c>
      <c r="R1338" s="16">
        <v>184</v>
      </c>
      <c r="S1338" s="16">
        <v>0</v>
      </c>
      <c r="T1338" s="111">
        <v>0</v>
      </c>
    </row>
    <row r="1339" spans="1:20" ht="15" customHeight="1" x14ac:dyDescent="0.2">
      <c r="A1339" s="12" t="s">
        <v>2851</v>
      </c>
      <c r="B1339" s="56">
        <v>731320</v>
      </c>
      <c r="C1339" s="12"/>
      <c r="D1339" s="12"/>
      <c r="E1339" s="12"/>
      <c r="F1339" s="12" t="s">
        <v>265</v>
      </c>
      <c r="G1339" s="33">
        <v>2</v>
      </c>
      <c r="H1339" s="33">
        <v>9</v>
      </c>
      <c r="I1339" s="12" t="s">
        <v>1223</v>
      </c>
      <c r="J1339" s="12" t="s">
        <v>39</v>
      </c>
      <c r="K1339" s="73" t="s">
        <v>29</v>
      </c>
      <c r="L1339" s="13">
        <v>9142</v>
      </c>
      <c r="M1339" s="13">
        <v>8109</v>
      </c>
      <c r="N1339" s="13">
        <v>456</v>
      </c>
      <c r="O1339" s="13">
        <v>217</v>
      </c>
      <c r="P1339" s="13">
        <v>0</v>
      </c>
      <c r="Q1339" s="13">
        <v>8925</v>
      </c>
      <c r="R1339" s="13">
        <v>575</v>
      </c>
      <c r="S1339" s="13">
        <v>0</v>
      </c>
      <c r="T1339" s="81">
        <v>0</v>
      </c>
    </row>
    <row r="1340" spans="1:20" ht="15" customHeight="1" x14ac:dyDescent="0.2">
      <c r="A1340" s="15" t="s">
        <v>2852</v>
      </c>
      <c r="B1340" s="60">
        <v>57030391</v>
      </c>
      <c r="C1340" s="15" t="s">
        <v>2853</v>
      </c>
      <c r="D1340" s="15"/>
      <c r="E1340" s="15" t="s">
        <v>2854</v>
      </c>
      <c r="F1340" s="15" t="s">
        <v>84</v>
      </c>
      <c r="G1340" s="34">
        <v>2</v>
      </c>
      <c r="H1340" s="34">
        <v>41</v>
      </c>
      <c r="I1340" s="15" t="s">
        <v>1306</v>
      </c>
      <c r="J1340" s="15" t="s">
        <v>217</v>
      </c>
      <c r="K1340" s="74" t="s">
        <v>29</v>
      </c>
      <c r="L1340" s="16">
        <v>9121</v>
      </c>
      <c r="M1340" s="16">
        <v>0</v>
      </c>
      <c r="N1340" s="16">
        <v>9111</v>
      </c>
      <c r="O1340" s="16">
        <v>21</v>
      </c>
      <c r="P1340" s="16">
        <v>1</v>
      </c>
      <c r="Q1340" s="16">
        <v>9100</v>
      </c>
      <c r="R1340" s="16">
        <v>211</v>
      </c>
      <c r="S1340" s="16">
        <v>1</v>
      </c>
      <c r="T1340" s="111">
        <v>0</v>
      </c>
    </row>
    <row r="1341" spans="1:20" ht="15" customHeight="1" x14ac:dyDescent="0.2">
      <c r="A1341" s="12" t="s">
        <v>2855</v>
      </c>
      <c r="B1341" s="56">
        <v>53899051</v>
      </c>
      <c r="C1341" s="12" t="s">
        <v>2856</v>
      </c>
      <c r="D1341" s="12"/>
      <c r="E1341" s="12" t="s">
        <v>2857</v>
      </c>
      <c r="F1341" s="12" t="s">
        <v>98</v>
      </c>
      <c r="G1341" s="33">
        <v>2</v>
      </c>
      <c r="H1341" s="33">
        <v>16</v>
      </c>
      <c r="I1341" s="12" t="s">
        <v>73</v>
      </c>
      <c r="J1341" s="12" t="s">
        <v>74</v>
      </c>
      <c r="K1341" s="73" t="s">
        <v>29</v>
      </c>
      <c r="L1341" s="13">
        <v>9060</v>
      </c>
      <c r="M1341" s="13">
        <v>0</v>
      </c>
      <c r="N1341" s="13">
        <v>7979</v>
      </c>
      <c r="O1341" s="13">
        <v>1618</v>
      </c>
      <c r="P1341" s="13">
        <v>0</v>
      </c>
      <c r="Q1341" s="13">
        <v>7442</v>
      </c>
      <c r="R1341" s="13">
        <v>83</v>
      </c>
      <c r="S1341" s="13">
        <v>1</v>
      </c>
      <c r="T1341" s="81">
        <v>0</v>
      </c>
    </row>
    <row r="1342" spans="1:20" ht="15" customHeight="1" x14ac:dyDescent="0.2">
      <c r="A1342" s="15" t="s">
        <v>2858</v>
      </c>
      <c r="B1342" s="60">
        <v>28145589</v>
      </c>
      <c r="C1342" s="15"/>
      <c r="D1342" s="15"/>
      <c r="E1342" s="15"/>
      <c r="F1342" s="15" t="s">
        <v>265</v>
      </c>
      <c r="G1342" s="34">
        <v>2</v>
      </c>
      <c r="H1342" s="34">
        <v>9</v>
      </c>
      <c r="I1342" s="15" t="s">
        <v>182</v>
      </c>
      <c r="J1342" s="15" t="s">
        <v>183</v>
      </c>
      <c r="K1342" s="74" t="s">
        <v>29</v>
      </c>
      <c r="L1342" s="16">
        <v>9031</v>
      </c>
      <c r="M1342" s="16">
        <v>1409</v>
      </c>
      <c r="N1342" s="16">
        <v>7312</v>
      </c>
      <c r="O1342" s="16">
        <v>1187</v>
      </c>
      <c r="P1342" s="16">
        <v>0</v>
      </c>
      <c r="Q1342" s="16">
        <v>7844</v>
      </c>
      <c r="R1342" s="16">
        <v>117</v>
      </c>
      <c r="S1342" s="16">
        <v>0</v>
      </c>
      <c r="T1342" s="111">
        <v>1</v>
      </c>
    </row>
    <row r="1343" spans="1:20" ht="15" customHeight="1" x14ac:dyDescent="0.2">
      <c r="A1343" s="12" t="s">
        <v>2859</v>
      </c>
      <c r="B1343" s="56">
        <v>47133056</v>
      </c>
      <c r="C1343" s="12" t="s">
        <v>2860</v>
      </c>
      <c r="D1343" s="12"/>
      <c r="E1343" s="12" t="s">
        <v>2861</v>
      </c>
      <c r="F1343" s="12" t="s">
        <v>84</v>
      </c>
      <c r="G1343" s="33">
        <v>2</v>
      </c>
      <c r="H1343" s="33">
        <v>41</v>
      </c>
      <c r="I1343" s="12" t="s">
        <v>53</v>
      </c>
      <c r="J1343" s="12" t="s">
        <v>54</v>
      </c>
      <c r="K1343" s="73" t="s">
        <v>29</v>
      </c>
      <c r="L1343" s="13">
        <v>8963</v>
      </c>
      <c r="M1343" s="13">
        <v>0</v>
      </c>
      <c r="N1343" s="13">
        <v>1024</v>
      </c>
      <c r="O1343" s="13">
        <v>3667</v>
      </c>
      <c r="P1343" s="13">
        <v>2982</v>
      </c>
      <c r="Q1343" s="13">
        <v>5296</v>
      </c>
      <c r="R1343" s="13">
        <v>-187</v>
      </c>
      <c r="S1343" s="13">
        <v>1</v>
      </c>
      <c r="T1343" s="81">
        <v>0</v>
      </c>
    </row>
    <row r="1344" spans="1:20" ht="15" customHeight="1" x14ac:dyDescent="0.2">
      <c r="A1344" s="15" t="s">
        <v>2862</v>
      </c>
      <c r="B1344" s="60">
        <v>96409263</v>
      </c>
      <c r="C1344" s="15"/>
      <c r="D1344" s="15"/>
      <c r="E1344" s="15"/>
      <c r="F1344" s="15" t="s">
        <v>265</v>
      </c>
      <c r="G1344" s="34">
        <v>2</v>
      </c>
      <c r="H1344" s="34">
        <v>9</v>
      </c>
      <c r="I1344" s="15" t="s">
        <v>2863</v>
      </c>
      <c r="J1344" s="15" t="s">
        <v>39</v>
      </c>
      <c r="K1344" s="74" t="s">
        <v>29</v>
      </c>
      <c r="L1344" s="16">
        <v>8818</v>
      </c>
      <c r="M1344" s="16">
        <v>6421</v>
      </c>
      <c r="N1344" s="16">
        <v>2387</v>
      </c>
      <c r="O1344" s="16">
        <v>171</v>
      </c>
      <c r="P1344" s="16">
        <v>0</v>
      </c>
      <c r="Q1344" s="16">
        <v>8647</v>
      </c>
      <c r="R1344" s="16">
        <v>413</v>
      </c>
      <c r="S1344" s="16">
        <v>0</v>
      </c>
      <c r="T1344" s="111">
        <v>0</v>
      </c>
    </row>
    <row r="1345" spans="1:20" ht="15" customHeight="1" x14ac:dyDescent="0.2">
      <c r="A1345" s="12" t="s">
        <v>2864</v>
      </c>
      <c r="B1345" s="56">
        <v>49204605</v>
      </c>
      <c r="C1345" s="12"/>
      <c r="D1345" s="12"/>
      <c r="E1345" s="12"/>
      <c r="F1345" s="12" t="s">
        <v>265</v>
      </c>
      <c r="G1345" s="33">
        <v>2</v>
      </c>
      <c r="H1345" s="33">
        <v>9</v>
      </c>
      <c r="I1345" s="12" t="s">
        <v>2865</v>
      </c>
      <c r="J1345" s="12" t="s">
        <v>39</v>
      </c>
      <c r="K1345" s="73" t="s">
        <v>29</v>
      </c>
      <c r="L1345" s="13">
        <v>8796</v>
      </c>
      <c r="M1345" s="13">
        <v>4653</v>
      </c>
      <c r="N1345" s="13">
        <v>3862</v>
      </c>
      <c r="O1345" s="13">
        <v>525</v>
      </c>
      <c r="P1345" s="13">
        <v>0</v>
      </c>
      <c r="Q1345" s="13">
        <v>8271</v>
      </c>
      <c r="R1345" s="13">
        <v>-86</v>
      </c>
      <c r="S1345" s="13">
        <v>0</v>
      </c>
      <c r="T1345" s="81">
        <v>0</v>
      </c>
    </row>
    <row r="1346" spans="1:20" ht="15" customHeight="1" x14ac:dyDescent="0.2">
      <c r="A1346" s="15" t="s">
        <v>2866</v>
      </c>
      <c r="B1346" s="60">
        <v>44905255</v>
      </c>
      <c r="C1346" s="15"/>
      <c r="D1346" s="15"/>
      <c r="E1346" s="15"/>
      <c r="F1346" s="15" t="s">
        <v>265</v>
      </c>
      <c r="G1346" s="34">
        <v>2</v>
      </c>
      <c r="H1346" s="34">
        <v>9</v>
      </c>
      <c r="I1346" s="15" t="s">
        <v>38</v>
      </c>
      <c r="J1346" s="15" t="s">
        <v>39</v>
      </c>
      <c r="K1346" s="74" t="s">
        <v>29</v>
      </c>
      <c r="L1346" s="16">
        <v>8696</v>
      </c>
      <c r="M1346" s="16">
        <v>2318</v>
      </c>
      <c r="N1346" s="16">
        <v>5733</v>
      </c>
      <c r="O1346" s="16">
        <v>359</v>
      </c>
      <c r="P1346" s="16">
        <v>0</v>
      </c>
      <c r="Q1346" s="16">
        <v>8337</v>
      </c>
      <c r="R1346" s="16">
        <v>240</v>
      </c>
      <c r="S1346" s="16">
        <v>0</v>
      </c>
      <c r="T1346" s="111">
        <v>0</v>
      </c>
    </row>
    <row r="1347" spans="1:20" ht="15" customHeight="1" x14ac:dyDescent="0.2">
      <c r="A1347" s="12" t="s">
        <v>2867</v>
      </c>
      <c r="B1347" s="56">
        <v>44459799</v>
      </c>
      <c r="C1347" s="12" t="s">
        <v>2868</v>
      </c>
      <c r="D1347" s="12"/>
      <c r="E1347" s="12" t="s">
        <v>2869</v>
      </c>
      <c r="F1347" s="12" t="s">
        <v>84</v>
      </c>
      <c r="G1347" s="33">
        <v>3</v>
      </c>
      <c r="H1347" s="33">
        <v>41</v>
      </c>
      <c r="I1347" s="12" t="s">
        <v>38</v>
      </c>
      <c r="J1347" s="12" t="s">
        <v>39</v>
      </c>
      <c r="K1347" s="73" t="s">
        <v>29</v>
      </c>
      <c r="L1347" s="13">
        <v>8679</v>
      </c>
      <c r="M1347" s="13">
        <v>0</v>
      </c>
      <c r="N1347" s="13">
        <v>8242</v>
      </c>
      <c r="O1347" s="13">
        <v>153</v>
      </c>
      <c r="P1347" s="13">
        <v>0</v>
      </c>
      <c r="Q1347" s="13">
        <v>8526</v>
      </c>
      <c r="R1347" s="13">
        <v>331</v>
      </c>
      <c r="S1347" s="13">
        <v>1</v>
      </c>
      <c r="T1347" s="81">
        <v>0</v>
      </c>
    </row>
    <row r="1348" spans="1:20" ht="15" customHeight="1" x14ac:dyDescent="0.2">
      <c r="A1348" s="15" t="s">
        <v>2870</v>
      </c>
      <c r="B1348" s="60">
        <v>48140925</v>
      </c>
      <c r="C1348" s="15"/>
      <c r="D1348" s="15"/>
      <c r="E1348" s="15"/>
      <c r="F1348" s="15" t="s">
        <v>265</v>
      </c>
      <c r="G1348" s="34">
        <v>2</v>
      </c>
      <c r="H1348" s="34">
        <v>9</v>
      </c>
      <c r="I1348" s="15" t="s">
        <v>2871</v>
      </c>
      <c r="J1348" s="15" t="s">
        <v>39</v>
      </c>
      <c r="K1348" s="74" t="s">
        <v>29</v>
      </c>
      <c r="L1348" s="16">
        <v>8603</v>
      </c>
      <c r="M1348" s="16">
        <v>4592</v>
      </c>
      <c r="N1348" s="16">
        <v>3672</v>
      </c>
      <c r="O1348" s="16">
        <v>573</v>
      </c>
      <c r="P1348" s="16">
        <v>0</v>
      </c>
      <c r="Q1348" s="16">
        <v>8031</v>
      </c>
      <c r="R1348" s="16">
        <v>408</v>
      </c>
      <c r="S1348" s="16">
        <v>0</v>
      </c>
      <c r="T1348" s="111">
        <v>0</v>
      </c>
    </row>
    <row r="1349" spans="1:20" ht="15" customHeight="1" x14ac:dyDescent="0.2">
      <c r="A1349" s="12" t="s">
        <v>2872</v>
      </c>
      <c r="B1349" s="56">
        <v>52935442</v>
      </c>
      <c r="C1349" s="12"/>
      <c r="D1349" s="12"/>
      <c r="E1349" s="12"/>
      <c r="F1349" s="12" t="s">
        <v>265</v>
      </c>
      <c r="G1349" s="33">
        <v>2</v>
      </c>
      <c r="H1349" s="33">
        <v>9</v>
      </c>
      <c r="I1349" s="12" t="s">
        <v>38</v>
      </c>
      <c r="J1349" s="12" t="s">
        <v>39</v>
      </c>
      <c r="K1349" s="73" t="s">
        <v>29</v>
      </c>
      <c r="L1349" s="13">
        <v>8487</v>
      </c>
      <c r="M1349" s="13">
        <v>6203</v>
      </c>
      <c r="N1349" s="13">
        <v>2228</v>
      </c>
      <c r="O1349" s="13">
        <v>159</v>
      </c>
      <c r="P1349" s="13">
        <v>0</v>
      </c>
      <c r="Q1349" s="13">
        <v>8329</v>
      </c>
      <c r="R1349" s="13">
        <v>347</v>
      </c>
      <c r="S1349" s="13">
        <v>0</v>
      </c>
      <c r="T1349" s="81">
        <v>0</v>
      </c>
    </row>
    <row r="1350" spans="1:20" ht="15" customHeight="1" x14ac:dyDescent="0.2">
      <c r="A1350" s="15" t="s">
        <v>2873</v>
      </c>
      <c r="B1350" s="60">
        <v>10853017</v>
      </c>
      <c r="C1350" s="15" t="s">
        <v>2874</v>
      </c>
      <c r="D1350" s="15"/>
      <c r="E1350" s="15" t="s">
        <v>2875</v>
      </c>
      <c r="F1350" s="15" t="s">
        <v>98</v>
      </c>
      <c r="G1350" s="34">
        <v>2</v>
      </c>
      <c r="H1350" s="34">
        <v>21</v>
      </c>
      <c r="I1350" s="15" t="s">
        <v>38</v>
      </c>
      <c r="J1350" s="15" t="s">
        <v>39</v>
      </c>
      <c r="K1350" s="74" t="s">
        <v>29</v>
      </c>
      <c r="L1350" s="16">
        <v>8455</v>
      </c>
      <c r="M1350" s="16">
        <v>0</v>
      </c>
      <c r="N1350" s="16">
        <v>531</v>
      </c>
      <c r="O1350" s="16">
        <v>1537</v>
      </c>
      <c r="P1350" s="16">
        <v>0</v>
      </c>
      <c r="Q1350" s="16">
        <v>6918</v>
      </c>
      <c r="R1350" s="16">
        <v>-658</v>
      </c>
      <c r="S1350" s="16">
        <v>2</v>
      </c>
      <c r="T1350" s="111">
        <v>0</v>
      </c>
    </row>
    <row r="1351" spans="1:20" ht="15" customHeight="1" x14ac:dyDescent="0.2">
      <c r="A1351" s="12" t="s">
        <v>2876</v>
      </c>
      <c r="B1351" s="56">
        <v>61637240</v>
      </c>
      <c r="C1351" s="12" t="s">
        <v>2877</v>
      </c>
      <c r="D1351" s="12"/>
      <c r="E1351" s="12" t="s">
        <v>2878</v>
      </c>
      <c r="F1351" s="12" t="s">
        <v>65</v>
      </c>
      <c r="G1351" s="33">
        <v>2</v>
      </c>
      <c r="H1351" s="33">
        <v>43</v>
      </c>
      <c r="I1351" s="12" t="s">
        <v>2210</v>
      </c>
      <c r="J1351" s="12" t="s">
        <v>39</v>
      </c>
      <c r="K1351" s="73" t="s">
        <v>29</v>
      </c>
      <c r="L1351" s="13">
        <v>8426</v>
      </c>
      <c r="M1351" s="13">
        <v>3350</v>
      </c>
      <c r="N1351" s="13">
        <v>5067</v>
      </c>
      <c r="O1351" s="13">
        <v>36</v>
      </c>
      <c r="P1351" s="13">
        <v>0</v>
      </c>
      <c r="Q1351" s="13">
        <v>8390</v>
      </c>
      <c r="R1351" s="13">
        <v>144</v>
      </c>
      <c r="S1351" s="13">
        <v>2</v>
      </c>
      <c r="T1351" s="81">
        <v>0</v>
      </c>
    </row>
    <row r="1352" spans="1:20" ht="15" customHeight="1" x14ac:dyDescent="0.2">
      <c r="A1352" s="15" t="s">
        <v>2879</v>
      </c>
      <c r="B1352" s="60">
        <v>17343682</v>
      </c>
      <c r="C1352" s="15" t="s">
        <v>2880</v>
      </c>
      <c r="D1352" s="15"/>
      <c r="E1352" s="15" t="s">
        <v>2881</v>
      </c>
      <c r="F1352" s="15" t="s">
        <v>98</v>
      </c>
      <c r="G1352" s="34">
        <v>2</v>
      </c>
      <c r="H1352" s="34">
        <v>16</v>
      </c>
      <c r="I1352" s="15" t="s">
        <v>53</v>
      </c>
      <c r="J1352" s="15" t="s">
        <v>54</v>
      </c>
      <c r="K1352" s="74" t="s">
        <v>29</v>
      </c>
      <c r="L1352" s="16">
        <v>8224</v>
      </c>
      <c r="M1352" s="16">
        <v>0</v>
      </c>
      <c r="N1352" s="16">
        <v>7189</v>
      </c>
      <c r="O1352" s="16">
        <v>3362</v>
      </c>
      <c r="P1352" s="16">
        <v>0</v>
      </c>
      <c r="Q1352" s="16">
        <v>4862</v>
      </c>
      <c r="R1352" s="16">
        <v>3365</v>
      </c>
      <c r="S1352" s="16">
        <v>3</v>
      </c>
      <c r="T1352" s="111">
        <v>0</v>
      </c>
    </row>
    <row r="1353" spans="1:20" ht="15" customHeight="1" x14ac:dyDescent="0.2">
      <c r="A1353" s="12" t="s">
        <v>2882</v>
      </c>
      <c r="B1353" s="56">
        <v>48529228</v>
      </c>
      <c r="C1353" s="12" t="s">
        <v>2883</v>
      </c>
      <c r="D1353" s="12"/>
      <c r="E1353" s="12" t="s">
        <v>2884</v>
      </c>
      <c r="F1353" s="12" t="s">
        <v>65</v>
      </c>
      <c r="G1353" s="33">
        <v>2</v>
      </c>
      <c r="H1353" s="33">
        <v>43</v>
      </c>
      <c r="I1353" s="12" t="s">
        <v>281</v>
      </c>
      <c r="J1353" s="12" t="s">
        <v>217</v>
      </c>
      <c r="K1353" s="73" t="s">
        <v>29</v>
      </c>
      <c r="L1353" s="13">
        <v>8222</v>
      </c>
      <c r="M1353" s="13">
        <v>5975</v>
      </c>
      <c r="N1353" s="13">
        <v>1895</v>
      </c>
      <c r="O1353" s="13">
        <v>1734</v>
      </c>
      <c r="P1353" s="13">
        <v>0</v>
      </c>
      <c r="Q1353" s="13">
        <v>6488</v>
      </c>
      <c r="R1353" s="13">
        <v>-345</v>
      </c>
      <c r="S1353" s="13">
        <v>2</v>
      </c>
      <c r="T1353" s="81">
        <v>0</v>
      </c>
    </row>
    <row r="1354" spans="1:20" ht="15" customHeight="1" x14ac:dyDescent="0.2">
      <c r="A1354" s="15" t="s">
        <v>2885</v>
      </c>
      <c r="B1354" s="60">
        <v>52833288</v>
      </c>
      <c r="C1354" s="15" t="s">
        <v>2886</v>
      </c>
      <c r="D1354" s="15"/>
      <c r="E1354" s="15" t="s">
        <v>2887</v>
      </c>
      <c r="F1354" s="15" t="s">
        <v>84</v>
      </c>
      <c r="G1354" s="34">
        <v>3</v>
      </c>
      <c r="H1354" s="34">
        <v>41</v>
      </c>
      <c r="I1354" s="15" t="s">
        <v>38</v>
      </c>
      <c r="J1354" s="15" t="s">
        <v>39</v>
      </c>
      <c r="K1354" s="74" t="s">
        <v>29</v>
      </c>
      <c r="L1354" s="16">
        <v>8193</v>
      </c>
      <c r="M1354" s="16">
        <v>0</v>
      </c>
      <c r="N1354" s="16">
        <v>3532</v>
      </c>
      <c r="O1354" s="16">
        <v>3978</v>
      </c>
      <c r="P1354" s="16">
        <v>3745</v>
      </c>
      <c r="Q1354" s="16">
        <v>4215</v>
      </c>
      <c r="R1354" s="16">
        <v>-1457</v>
      </c>
      <c r="S1354" s="16">
        <v>1</v>
      </c>
      <c r="T1354" s="111">
        <v>0</v>
      </c>
    </row>
    <row r="1355" spans="1:20" ht="15" customHeight="1" x14ac:dyDescent="0.2">
      <c r="A1355" s="12" t="s">
        <v>2888</v>
      </c>
      <c r="B1355" s="56">
        <v>41219353</v>
      </c>
      <c r="C1355" s="12"/>
      <c r="D1355" s="12"/>
      <c r="E1355" s="12"/>
      <c r="F1355" s="12" t="s">
        <v>265</v>
      </c>
      <c r="G1355" s="33">
        <v>2</v>
      </c>
      <c r="H1355" s="33">
        <v>9</v>
      </c>
      <c r="I1355" s="12" t="s">
        <v>577</v>
      </c>
      <c r="J1355" s="12" t="s">
        <v>578</v>
      </c>
      <c r="K1355" s="73" t="s">
        <v>29</v>
      </c>
      <c r="L1355" s="13">
        <v>8183</v>
      </c>
      <c r="M1355" s="13">
        <v>4013</v>
      </c>
      <c r="N1355" s="13">
        <v>3718</v>
      </c>
      <c r="O1355" s="13">
        <v>3138</v>
      </c>
      <c r="P1355" s="13">
        <v>2787</v>
      </c>
      <c r="Q1355" s="13">
        <v>5045</v>
      </c>
      <c r="R1355" s="13">
        <v>238</v>
      </c>
      <c r="S1355" s="13">
        <v>0</v>
      </c>
      <c r="T1355" s="81">
        <v>0</v>
      </c>
    </row>
    <row r="1356" spans="1:20" ht="15" customHeight="1" x14ac:dyDescent="0.2">
      <c r="A1356" s="15" t="s">
        <v>2889</v>
      </c>
      <c r="B1356" s="60">
        <v>57598120</v>
      </c>
      <c r="C1356" s="15"/>
      <c r="D1356" s="15"/>
      <c r="E1356" s="15"/>
      <c r="F1356" s="15" t="s">
        <v>265</v>
      </c>
      <c r="G1356" s="34">
        <v>2</v>
      </c>
      <c r="H1356" s="34">
        <v>9</v>
      </c>
      <c r="I1356" s="15" t="s">
        <v>38</v>
      </c>
      <c r="J1356" s="15" t="s">
        <v>39</v>
      </c>
      <c r="K1356" s="74" t="s">
        <v>29</v>
      </c>
      <c r="L1356" s="16">
        <v>8170</v>
      </c>
      <c r="M1356" s="16">
        <v>5121</v>
      </c>
      <c r="N1356" s="16">
        <v>2470</v>
      </c>
      <c r="O1356" s="16">
        <v>354</v>
      </c>
      <c r="P1356" s="16">
        <v>0</v>
      </c>
      <c r="Q1356" s="16">
        <v>7816</v>
      </c>
      <c r="R1356" s="16">
        <v>223</v>
      </c>
      <c r="S1356" s="16">
        <v>0</v>
      </c>
      <c r="T1356" s="111">
        <v>0</v>
      </c>
    </row>
    <row r="1357" spans="1:20" ht="15" customHeight="1" x14ac:dyDescent="0.2">
      <c r="A1357" s="12" t="s">
        <v>2890</v>
      </c>
      <c r="B1357" s="56">
        <v>56198117</v>
      </c>
      <c r="C1357" s="12" t="s">
        <v>2891</v>
      </c>
      <c r="D1357" s="12"/>
      <c r="E1357" s="12" t="s">
        <v>2892</v>
      </c>
      <c r="F1357" s="12" t="s">
        <v>65</v>
      </c>
      <c r="G1357" s="33">
        <v>2</v>
      </c>
      <c r="H1357" s="33">
        <v>43</v>
      </c>
      <c r="I1357" s="12" t="s">
        <v>782</v>
      </c>
      <c r="J1357" s="12" t="s">
        <v>74</v>
      </c>
      <c r="K1357" s="73" t="s">
        <v>29</v>
      </c>
      <c r="L1357" s="13">
        <v>8047</v>
      </c>
      <c r="M1357" s="13">
        <v>0</v>
      </c>
      <c r="N1357" s="13">
        <v>4578</v>
      </c>
      <c r="O1357" s="13">
        <v>2665</v>
      </c>
      <c r="P1357" s="13">
        <v>2224</v>
      </c>
      <c r="Q1357" s="13">
        <v>5382</v>
      </c>
      <c r="R1357" s="13">
        <v>125</v>
      </c>
      <c r="S1357" s="13">
        <v>2</v>
      </c>
      <c r="T1357" s="81">
        <v>0</v>
      </c>
    </row>
    <row r="1358" spans="1:20" ht="15" customHeight="1" x14ac:dyDescent="0.2">
      <c r="A1358" s="15" t="s">
        <v>2893</v>
      </c>
      <c r="B1358" s="60">
        <v>91018408</v>
      </c>
      <c r="C1358" s="15"/>
      <c r="D1358" s="15"/>
      <c r="E1358" s="15"/>
      <c r="F1358" s="15" t="s">
        <v>265</v>
      </c>
      <c r="G1358" s="34">
        <v>2</v>
      </c>
      <c r="H1358" s="34">
        <v>9</v>
      </c>
      <c r="I1358" s="15" t="s">
        <v>2894</v>
      </c>
      <c r="J1358" s="15" t="s">
        <v>74</v>
      </c>
      <c r="K1358" s="74" t="s">
        <v>29</v>
      </c>
      <c r="L1358" s="16">
        <v>7990</v>
      </c>
      <c r="M1358" s="16">
        <v>6628</v>
      </c>
      <c r="N1358" s="16">
        <v>0</v>
      </c>
      <c r="O1358" s="16">
        <v>293</v>
      </c>
      <c r="P1358" s="16">
        <v>0</v>
      </c>
      <c r="Q1358" s="16">
        <v>7697</v>
      </c>
      <c r="R1358" s="16">
        <v>323</v>
      </c>
      <c r="S1358" s="16">
        <v>0</v>
      </c>
      <c r="T1358" s="111">
        <v>0</v>
      </c>
    </row>
    <row r="1359" spans="1:20" ht="15" customHeight="1" x14ac:dyDescent="0.2">
      <c r="A1359" s="12" t="s">
        <v>2895</v>
      </c>
      <c r="B1359" s="56">
        <v>34335592</v>
      </c>
      <c r="C1359" s="12" t="s">
        <v>2273</v>
      </c>
      <c r="D1359" s="12" t="s">
        <v>2274</v>
      </c>
      <c r="E1359" s="12" t="s">
        <v>2275</v>
      </c>
      <c r="F1359" s="12" t="s">
        <v>65</v>
      </c>
      <c r="G1359" s="33">
        <v>2</v>
      </c>
      <c r="H1359" s="33">
        <v>43</v>
      </c>
      <c r="I1359" s="12" t="s">
        <v>107</v>
      </c>
      <c r="J1359" s="12" t="s">
        <v>39</v>
      </c>
      <c r="K1359" s="73" t="s">
        <v>29</v>
      </c>
      <c r="L1359" s="13">
        <v>7987</v>
      </c>
      <c r="M1359" s="13">
        <v>0</v>
      </c>
      <c r="N1359" s="13">
        <v>7589</v>
      </c>
      <c r="O1359" s="13">
        <v>144</v>
      </c>
      <c r="P1359" s="13">
        <v>113</v>
      </c>
      <c r="Q1359" s="13">
        <v>7842</v>
      </c>
      <c r="R1359" s="13">
        <v>183</v>
      </c>
      <c r="S1359" s="13">
        <v>1</v>
      </c>
      <c r="T1359" s="81">
        <v>0</v>
      </c>
    </row>
    <row r="1360" spans="1:20" ht="15" customHeight="1" x14ac:dyDescent="0.2">
      <c r="A1360" s="15" t="s">
        <v>2896</v>
      </c>
      <c r="B1360" s="60">
        <v>38129006</v>
      </c>
      <c r="C1360" s="15" t="s">
        <v>2897</v>
      </c>
      <c r="D1360" s="15"/>
      <c r="E1360" s="15" t="s">
        <v>2898</v>
      </c>
      <c r="F1360" s="15" t="s">
        <v>65</v>
      </c>
      <c r="G1360" s="34">
        <v>2</v>
      </c>
      <c r="H1360" s="34">
        <v>43</v>
      </c>
      <c r="I1360" s="15" t="s">
        <v>38</v>
      </c>
      <c r="J1360" s="15" t="s">
        <v>39</v>
      </c>
      <c r="K1360" s="74" t="s">
        <v>29</v>
      </c>
      <c r="L1360" s="16">
        <v>7880</v>
      </c>
      <c r="M1360" s="16">
        <v>0</v>
      </c>
      <c r="N1360" s="16">
        <v>5506</v>
      </c>
      <c r="O1360" s="16">
        <v>2715</v>
      </c>
      <c r="P1360" s="16">
        <v>2283</v>
      </c>
      <c r="Q1360" s="16">
        <v>5165</v>
      </c>
      <c r="R1360" s="16">
        <v>121</v>
      </c>
      <c r="S1360" s="16">
        <v>2</v>
      </c>
      <c r="T1360" s="111">
        <v>0</v>
      </c>
    </row>
    <row r="1361" spans="1:20" ht="15" customHeight="1" x14ac:dyDescent="0.2">
      <c r="A1361" s="12" t="s">
        <v>2899</v>
      </c>
      <c r="B1361" s="56">
        <v>15489568</v>
      </c>
      <c r="C1361" s="12" t="s">
        <v>2900</v>
      </c>
      <c r="D1361" s="12"/>
      <c r="E1361" s="12" t="s">
        <v>2901</v>
      </c>
      <c r="F1361" s="12" t="s">
        <v>98</v>
      </c>
      <c r="G1361" s="33">
        <v>2</v>
      </c>
      <c r="H1361" s="33">
        <v>16</v>
      </c>
      <c r="I1361" s="12" t="s">
        <v>38</v>
      </c>
      <c r="J1361" s="12" t="s">
        <v>39</v>
      </c>
      <c r="K1361" s="73" t="s">
        <v>29</v>
      </c>
      <c r="L1361" s="13">
        <v>7844</v>
      </c>
      <c r="M1361" s="13">
        <v>0</v>
      </c>
      <c r="N1361" s="13">
        <v>6598</v>
      </c>
      <c r="O1361" s="13">
        <v>3704</v>
      </c>
      <c r="P1361" s="13">
        <v>0</v>
      </c>
      <c r="Q1361" s="13">
        <v>4140</v>
      </c>
      <c r="R1361" s="13">
        <v>-75</v>
      </c>
      <c r="S1361" s="13">
        <v>2</v>
      </c>
      <c r="T1361" s="81">
        <v>0</v>
      </c>
    </row>
    <row r="1362" spans="1:20" ht="15" customHeight="1" x14ac:dyDescent="0.2">
      <c r="A1362" s="15" t="s">
        <v>2902</v>
      </c>
      <c r="B1362" s="60">
        <v>54541468</v>
      </c>
      <c r="C1362" s="15" t="s">
        <v>2903</v>
      </c>
      <c r="D1362" s="15"/>
      <c r="E1362" s="15" t="s">
        <v>2904</v>
      </c>
      <c r="F1362" s="15" t="s">
        <v>98</v>
      </c>
      <c r="G1362" s="34">
        <v>3</v>
      </c>
      <c r="H1362" s="34">
        <v>16</v>
      </c>
      <c r="I1362" s="15" t="s">
        <v>53</v>
      </c>
      <c r="J1362" s="15" t="s">
        <v>54</v>
      </c>
      <c r="K1362" s="74" t="s">
        <v>29</v>
      </c>
      <c r="L1362" s="16">
        <v>7667</v>
      </c>
      <c r="M1362" s="16">
        <v>0</v>
      </c>
      <c r="N1362" s="16">
        <v>5686</v>
      </c>
      <c r="O1362" s="16">
        <v>5382</v>
      </c>
      <c r="P1362" s="16">
        <v>0</v>
      </c>
      <c r="Q1362" s="16">
        <v>2285</v>
      </c>
      <c r="R1362" s="16">
        <v>-559</v>
      </c>
      <c r="S1362" s="16">
        <v>2</v>
      </c>
      <c r="T1362" s="111">
        <v>0</v>
      </c>
    </row>
    <row r="1363" spans="1:20" ht="15" customHeight="1" x14ac:dyDescent="0.2">
      <c r="A1363" s="12" t="s">
        <v>2905</v>
      </c>
      <c r="B1363" s="56">
        <v>17352220</v>
      </c>
      <c r="C1363" s="12" t="s">
        <v>2906</v>
      </c>
      <c r="D1363" s="12"/>
      <c r="E1363" s="12" t="s">
        <v>2907</v>
      </c>
      <c r="F1363" s="12" t="s">
        <v>98</v>
      </c>
      <c r="G1363" s="33">
        <v>2</v>
      </c>
      <c r="H1363" s="33">
        <v>15</v>
      </c>
      <c r="I1363" s="12" t="s">
        <v>53</v>
      </c>
      <c r="J1363" s="12" t="s">
        <v>54</v>
      </c>
      <c r="K1363" s="73" t="s">
        <v>29</v>
      </c>
      <c r="L1363" s="13">
        <v>7644</v>
      </c>
      <c r="M1363" s="13">
        <v>0</v>
      </c>
      <c r="N1363" s="13">
        <v>6020</v>
      </c>
      <c r="O1363" s="13">
        <v>11239</v>
      </c>
      <c r="P1363" s="13">
        <v>0</v>
      </c>
      <c r="Q1363" s="13">
        <v>-3595</v>
      </c>
      <c r="R1363" s="13">
        <v>-2745</v>
      </c>
      <c r="S1363" s="13">
        <v>2</v>
      </c>
      <c r="T1363" s="81">
        <v>0</v>
      </c>
    </row>
    <row r="1364" spans="1:20" ht="15" customHeight="1" x14ac:dyDescent="0.2">
      <c r="A1364" s="15" t="s">
        <v>2908</v>
      </c>
      <c r="B1364" s="60">
        <v>2541707</v>
      </c>
      <c r="C1364" s="15"/>
      <c r="D1364" s="15"/>
      <c r="E1364" s="15"/>
      <c r="F1364" s="15" t="s">
        <v>265</v>
      </c>
      <c r="G1364" s="34">
        <v>2</v>
      </c>
      <c r="H1364" s="34">
        <v>9</v>
      </c>
      <c r="I1364" s="15" t="s">
        <v>2909</v>
      </c>
      <c r="J1364" s="15" t="s">
        <v>39</v>
      </c>
      <c r="K1364" s="74" t="s">
        <v>29</v>
      </c>
      <c r="L1364" s="16">
        <v>7509</v>
      </c>
      <c r="M1364" s="16">
        <v>3543</v>
      </c>
      <c r="N1364" s="16">
        <v>3690</v>
      </c>
      <c r="O1364" s="16">
        <v>1336</v>
      </c>
      <c r="P1364" s="16">
        <v>927</v>
      </c>
      <c r="Q1364" s="16">
        <v>6173</v>
      </c>
      <c r="R1364" s="16">
        <v>432</v>
      </c>
      <c r="S1364" s="16">
        <v>0</v>
      </c>
      <c r="T1364" s="111">
        <v>0</v>
      </c>
    </row>
    <row r="1365" spans="1:20" ht="15" customHeight="1" x14ac:dyDescent="0.2">
      <c r="A1365" s="12" t="s">
        <v>2910</v>
      </c>
      <c r="B1365" s="56">
        <v>19086249</v>
      </c>
      <c r="C1365" s="12" t="s">
        <v>2911</v>
      </c>
      <c r="D1365" s="12"/>
      <c r="E1365" s="12" t="s">
        <v>2912</v>
      </c>
      <c r="F1365" s="12" t="s">
        <v>98</v>
      </c>
      <c r="G1365" s="33">
        <v>2</v>
      </c>
      <c r="H1365" s="33">
        <v>21</v>
      </c>
      <c r="I1365" s="12" t="s">
        <v>1852</v>
      </c>
      <c r="J1365" s="12" t="s">
        <v>74</v>
      </c>
      <c r="K1365" s="73" t="s">
        <v>29</v>
      </c>
      <c r="L1365" s="13">
        <v>7420</v>
      </c>
      <c r="M1365" s="13">
        <v>0</v>
      </c>
      <c r="N1365" s="13">
        <v>30</v>
      </c>
      <c r="O1365" s="13">
        <v>3198</v>
      </c>
      <c r="P1365" s="13">
        <v>0</v>
      </c>
      <c r="Q1365" s="13">
        <v>4222</v>
      </c>
      <c r="R1365" s="13">
        <v>380</v>
      </c>
      <c r="S1365" s="13">
        <v>3</v>
      </c>
      <c r="T1365" s="81">
        <v>0</v>
      </c>
    </row>
    <row r="1366" spans="1:20" ht="15" customHeight="1" x14ac:dyDescent="0.2">
      <c r="A1366" s="15" t="s">
        <v>2913</v>
      </c>
      <c r="B1366" s="60">
        <v>17904906</v>
      </c>
      <c r="C1366" s="15" t="s">
        <v>2914</v>
      </c>
      <c r="D1366" s="15"/>
      <c r="E1366" s="15" t="s">
        <v>2915</v>
      </c>
      <c r="F1366" s="15" t="s">
        <v>98</v>
      </c>
      <c r="G1366" s="34">
        <v>2</v>
      </c>
      <c r="H1366" s="34">
        <v>21</v>
      </c>
      <c r="I1366" s="15" t="s">
        <v>53</v>
      </c>
      <c r="J1366" s="15" t="s">
        <v>54</v>
      </c>
      <c r="K1366" s="74" t="s">
        <v>29</v>
      </c>
      <c r="L1366" s="16">
        <v>7358</v>
      </c>
      <c r="M1366" s="16">
        <v>0</v>
      </c>
      <c r="N1366" s="16">
        <v>119</v>
      </c>
      <c r="O1366" s="16">
        <v>5156</v>
      </c>
      <c r="P1366" s="16">
        <v>0</v>
      </c>
      <c r="Q1366" s="16">
        <v>2202</v>
      </c>
      <c r="R1366" s="16">
        <v>-83</v>
      </c>
      <c r="S1366" s="16">
        <v>2</v>
      </c>
      <c r="T1366" s="111">
        <v>0</v>
      </c>
    </row>
    <row r="1367" spans="1:20" ht="15" customHeight="1" x14ac:dyDescent="0.2">
      <c r="A1367" s="12" t="s">
        <v>2916</v>
      </c>
      <c r="B1367" s="56">
        <v>45716916</v>
      </c>
      <c r="C1367" s="12" t="s">
        <v>2917</v>
      </c>
      <c r="D1367" s="12"/>
      <c r="E1367" s="12" t="s">
        <v>2918</v>
      </c>
      <c r="F1367" s="12" t="s">
        <v>65</v>
      </c>
      <c r="G1367" s="33">
        <v>2</v>
      </c>
      <c r="H1367" s="33">
        <v>43</v>
      </c>
      <c r="I1367" s="12" t="s">
        <v>533</v>
      </c>
      <c r="J1367" s="12" t="s">
        <v>74</v>
      </c>
      <c r="K1367" s="73" t="s">
        <v>29</v>
      </c>
      <c r="L1367" s="13">
        <v>7334</v>
      </c>
      <c r="M1367" s="13">
        <v>460</v>
      </c>
      <c r="N1367" s="13">
        <v>362</v>
      </c>
      <c r="O1367" s="13">
        <v>2296</v>
      </c>
      <c r="P1367" s="13">
        <v>0</v>
      </c>
      <c r="Q1367" s="13">
        <v>5039</v>
      </c>
      <c r="R1367" s="13">
        <v>18</v>
      </c>
      <c r="S1367" s="13">
        <v>2</v>
      </c>
      <c r="T1367" s="81">
        <v>0</v>
      </c>
    </row>
    <row r="1368" spans="1:20" ht="15" customHeight="1" x14ac:dyDescent="0.2">
      <c r="A1368" s="15" t="s">
        <v>2919</v>
      </c>
      <c r="B1368" s="60">
        <v>4772908</v>
      </c>
      <c r="C1368" s="15" t="s">
        <v>2920</v>
      </c>
      <c r="D1368" s="15"/>
      <c r="E1368" s="15" t="s">
        <v>2921</v>
      </c>
      <c r="F1368" s="15" t="s">
        <v>65</v>
      </c>
      <c r="G1368" s="34">
        <v>2</v>
      </c>
      <c r="H1368" s="34">
        <v>10</v>
      </c>
      <c r="I1368" s="15" t="s">
        <v>2922</v>
      </c>
      <c r="J1368" s="15" t="s">
        <v>120</v>
      </c>
      <c r="K1368" s="74" t="s">
        <v>29</v>
      </c>
      <c r="L1368" s="16">
        <v>7287</v>
      </c>
      <c r="M1368" s="16">
        <v>0</v>
      </c>
      <c r="N1368" s="16">
        <v>1702</v>
      </c>
      <c r="O1368" s="16">
        <v>5748</v>
      </c>
      <c r="P1368" s="16">
        <v>0</v>
      </c>
      <c r="Q1368" s="16">
        <v>1538</v>
      </c>
      <c r="R1368" s="16">
        <v>41</v>
      </c>
      <c r="S1368" s="16">
        <v>2</v>
      </c>
      <c r="T1368" s="111">
        <v>0</v>
      </c>
    </row>
    <row r="1369" spans="1:20" ht="15" customHeight="1" x14ac:dyDescent="0.2">
      <c r="A1369" s="12" t="s">
        <v>2923</v>
      </c>
      <c r="B1369" s="56">
        <v>61723847</v>
      </c>
      <c r="C1369" s="12" t="s">
        <v>437</v>
      </c>
      <c r="D1369" s="12" t="s">
        <v>438</v>
      </c>
      <c r="E1369" s="12" t="s">
        <v>439</v>
      </c>
      <c r="F1369" s="12" t="s">
        <v>98</v>
      </c>
      <c r="G1369" s="33">
        <v>2</v>
      </c>
      <c r="H1369" s="33">
        <v>15</v>
      </c>
      <c r="I1369" s="12" t="s">
        <v>38</v>
      </c>
      <c r="J1369" s="12" t="s">
        <v>39</v>
      </c>
      <c r="K1369" s="73" t="s">
        <v>29</v>
      </c>
      <c r="L1369" s="13">
        <v>7208</v>
      </c>
      <c r="M1369" s="13">
        <v>0</v>
      </c>
      <c r="N1369" s="13">
        <v>6462</v>
      </c>
      <c r="O1369" s="13">
        <v>97</v>
      </c>
      <c r="P1369" s="13">
        <v>25</v>
      </c>
      <c r="Q1369" s="13">
        <v>7112</v>
      </c>
      <c r="R1369" s="13">
        <v>20</v>
      </c>
      <c r="S1369" s="13">
        <v>2</v>
      </c>
      <c r="T1369" s="81">
        <v>0</v>
      </c>
    </row>
    <row r="1370" spans="1:20" ht="15" customHeight="1" x14ac:dyDescent="0.2">
      <c r="A1370" s="15" t="s">
        <v>2924</v>
      </c>
      <c r="B1370" s="60">
        <v>17607375</v>
      </c>
      <c r="C1370" s="15"/>
      <c r="D1370" s="15"/>
      <c r="E1370" s="15"/>
      <c r="F1370" s="15" t="s">
        <v>265</v>
      </c>
      <c r="G1370" s="34">
        <v>2</v>
      </c>
      <c r="H1370" s="34">
        <v>9</v>
      </c>
      <c r="I1370" s="15" t="s">
        <v>1350</v>
      </c>
      <c r="J1370" s="15" t="s">
        <v>120</v>
      </c>
      <c r="K1370" s="74" t="s">
        <v>29</v>
      </c>
      <c r="L1370" s="16">
        <v>7203</v>
      </c>
      <c r="M1370" s="16">
        <v>2951</v>
      </c>
      <c r="N1370" s="16">
        <v>3522</v>
      </c>
      <c r="O1370" s="16">
        <v>331</v>
      </c>
      <c r="P1370" s="16">
        <v>0</v>
      </c>
      <c r="Q1370" s="16">
        <v>6872</v>
      </c>
      <c r="R1370" s="16">
        <v>335</v>
      </c>
      <c r="S1370" s="16">
        <v>0</v>
      </c>
      <c r="T1370" s="111">
        <v>0</v>
      </c>
    </row>
    <row r="1371" spans="1:20" ht="15" customHeight="1" x14ac:dyDescent="0.2">
      <c r="A1371" s="12" t="s">
        <v>2925</v>
      </c>
      <c r="B1371" s="56">
        <v>73077398</v>
      </c>
      <c r="C1371" s="12"/>
      <c r="D1371" s="12"/>
      <c r="E1371" s="12"/>
      <c r="F1371" s="12" t="s">
        <v>265</v>
      </c>
      <c r="G1371" s="33">
        <v>2</v>
      </c>
      <c r="H1371" s="33">
        <v>9</v>
      </c>
      <c r="I1371" s="12" t="s">
        <v>2926</v>
      </c>
      <c r="J1371" s="12" t="s">
        <v>39</v>
      </c>
      <c r="K1371" s="73" t="s">
        <v>29</v>
      </c>
      <c r="L1371" s="13">
        <v>7181</v>
      </c>
      <c r="M1371" s="13">
        <v>3915</v>
      </c>
      <c r="N1371" s="13">
        <v>2900</v>
      </c>
      <c r="O1371" s="13">
        <v>404</v>
      </c>
      <c r="P1371" s="13">
        <v>0</v>
      </c>
      <c r="Q1371" s="13">
        <v>6777</v>
      </c>
      <c r="R1371" s="13">
        <v>-53</v>
      </c>
      <c r="S1371" s="13">
        <v>0</v>
      </c>
      <c r="T1371" s="81">
        <v>1</v>
      </c>
    </row>
    <row r="1372" spans="1:20" ht="15" customHeight="1" x14ac:dyDescent="0.2">
      <c r="A1372" s="15" t="s">
        <v>2927</v>
      </c>
      <c r="B1372" s="60">
        <v>42963742</v>
      </c>
      <c r="C1372" s="15" t="s">
        <v>2928</v>
      </c>
      <c r="D1372" s="15"/>
      <c r="E1372" s="15" t="s">
        <v>2929</v>
      </c>
      <c r="F1372" s="15" t="s">
        <v>65</v>
      </c>
      <c r="G1372" s="34">
        <v>2</v>
      </c>
      <c r="H1372" s="34">
        <v>43</v>
      </c>
      <c r="I1372" s="15" t="s">
        <v>119</v>
      </c>
      <c r="J1372" s="15" t="s">
        <v>120</v>
      </c>
      <c r="K1372" s="74" t="s">
        <v>29</v>
      </c>
      <c r="L1372" s="16">
        <v>7176</v>
      </c>
      <c r="M1372" s="16">
        <v>5185</v>
      </c>
      <c r="N1372" s="16">
        <v>10</v>
      </c>
      <c r="O1372" s="16">
        <v>150</v>
      </c>
      <c r="P1372" s="16">
        <v>0</v>
      </c>
      <c r="Q1372" s="16">
        <v>7025</v>
      </c>
      <c r="R1372" s="16">
        <v>356</v>
      </c>
      <c r="S1372" s="16">
        <v>2</v>
      </c>
      <c r="T1372" s="111">
        <v>0</v>
      </c>
    </row>
    <row r="1373" spans="1:20" ht="15" customHeight="1" x14ac:dyDescent="0.2">
      <c r="A1373" s="12" t="s">
        <v>2930</v>
      </c>
      <c r="B1373" s="56">
        <v>30183111</v>
      </c>
      <c r="C1373" s="12" t="s">
        <v>2931</v>
      </c>
      <c r="D1373" s="12"/>
      <c r="E1373" s="12" t="s">
        <v>2932</v>
      </c>
      <c r="F1373" s="12" t="s">
        <v>98</v>
      </c>
      <c r="G1373" s="33">
        <v>2</v>
      </c>
      <c r="H1373" s="33">
        <v>21</v>
      </c>
      <c r="I1373" s="12" t="s">
        <v>53</v>
      </c>
      <c r="J1373" s="12" t="s">
        <v>54</v>
      </c>
      <c r="K1373" s="73" t="s">
        <v>29</v>
      </c>
      <c r="L1373" s="13">
        <v>7056</v>
      </c>
      <c r="M1373" s="13">
        <v>0</v>
      </c>
      <c r="N1373" s="13">
        <v>2042</v>
      </c>
      <c r="O1373" s="13">
        <v>3872</v>
      </c>
      <c r="P1373" s="13">
        <v>0</v>
      </c>
      <c r="Q1373" s="13">
        <v>3185</v>
      </c>
      <c r="R1373" s="13">
        <v>211</v>
      </c>
      <c r="S1373" s="13">
        <v>2</v>
      </c>
      <c r="T1373" s="81">
        <v>0</v>
      </c>
    </row>
    <row r="1374" spans="1:20" ht="15" customHeight="1" x14ac:dyDescent="0.2">
      <c r="A1374" s="15" t="s">
        <v>2933</v>
      </c>
      <c r="B1374" s="60">
        <v>141155</v>
      </c>
      <c r="C1374" s="15"/>
      <c r="D1374" s="15"/>
      <c r="E1374" s="15"/>
      <c r="F1374" s="15" t="s">
        <v>265</v>
      </c>
      <c r="G1374" s="34">
        <v>2</v>
      </c>
      <c r="H1374" s="34">
        <v>9</v>
      </c>
      <c r="I1374" s="15" t="s">
        <v>2934</v>
      </c>
      <c r="J1374" s="15" t="s">
        <v>54</v>
      </c>
      <c r="K1374" s="74" t="s">
        <v>29</v>
      </c>
      <c r="L1374" s="16">
        <v>6929</v>
      </c>
      <c r="M1374" s="16">
        <v>1965</v>
      </c>
      <c r="N1374" s="16">
        <v>2930</v>
      </c>
      <c r="O1374" s="16">
        <v>575</v>
      </c>
      <c r="P1374" s="16">
        <v>0</v>
      </c>
      <c r="Q1374" s="16">
        <v>6354</v>
      </c>
      <c r="R1374" s="16">
        <v>-37</v>
      </c>
      <c r="S1374" s="16">
        <v>0</v>
      </c>
      <c r="T1374" s="111">
        <v>1</v>
      </c>
    </row>
    <row r="1375" spans="1:20" ht="15" customHeight="1" x14ac:dyDescent="0.2">
      <c r="A1375" s="12" t="s">
        <v>2935</v>
      </c>
      <c r="B1375" s="56">
        <v>47227569</v>
      </c>
      <c r="C1375" s="12" t="s">
        <v>2936</v>
      </c>
      <c r="D1375" s="12"/>
      <c r="E1375" s="12" t="s">
        <v>2937</v>
      </c>
      <c r="F1375" s="12" t="s">
        <v>98</v>
      </c>
      <c r="G1375" s="33">
        <v>2</v>
      </c>
      <c r="H1375" s="33">
        <v>16</v>
      </c>
      <c r="I1375" s="12" t="s">
        <v>38</v>
      </c>
      <c r="J1375" s="12" t="s">
        <v>39</v>
      </c>
      <c r="K1375" s="73" t="s">
        <v>29</v>
      </c>
      <c r="L1375" s="13">
        <v>6923</v>
      </c>
      <c r="M1375" s="13">
        <v>0</v>
      </c>
      <c r="N1375" s="13">
        <v>6074</v>
      </c>
      <c r="O1375" s="13">
        <v>865</v>
      </c>
      <c r="P1375" s="13">
        <v>10</v>
      </c>
      <c r="Q1375" s="13">
        <v>6058</v>
      </c>
      <c r="R1375" s="13">
        <v>-1675</v>
      </c>
      <c r="S1375" s="13">
        <v>2</v>
      </c>
      <c r="T1375" s="81">
        <v>0</v>
      </c>
    </row>
    <row r="1376" spans="1:20" ht="15" customHeight="1" x14ac:dyDescent="0.2">
      <c r="A1376" s="15" t="s">
        <v>2938</v>
      </c>
      <c r="B1376" s="60">
        <v>5419025</v>
      </c>
      <c r="C1376" s="15"/>
      <c r="D1376" s="15"/>
      <c r="E1376" s="15"/>
      <c r="F1376" s="15" t="s">
        <v>265</v>
      </c>
      <c r="G1376" s="34">
        <v>2</v>
      </c>
      <c r="H1376" s="34">
        <v>9</v>
      </c>
      <c r="I1376" s="15" t="s">
        <v>73</v>
      </c>
      <c r="J1376" s="15" t="s">
        <v>74</v>
      </c>
      <c r="K1376" s="74" t="s">
        <v>29</v>
      </c>
      <c r="L1376" s="16">
        <v>6912</v>
      </c>
      <c r="M1376" s="16">
        <v>899</v>
      </c>
      <c r="N1376" s="16">
        <v>0</v>
      </c>
      <c r="O1376" s="16">
        <v>856</v>
      </c>
      <c r="P1376" s="16">
        <v>0</v>
      </c>
      <c r="Q1376" s="16">
        <v>6056</v>
      </c>
      <c r="R1376" s="16">
        <v>40</v>
      </c>
      <c r="S1376" s="16">
        <v>0</v>
      </c>
      <c r="T1376" s="111">
        <v>0</v>
      </c>
    </row>
    <row r="1377" spans="1:20" ht="15" customHeight="1" x14ac:dyDescent="0.2">
      <c r="A1377" s="12" t="s">
        <v>2939</v>
      </c>
      <c r="B1377" s="56">
        <v>40353377</v>
      </c>
      <c r="C1377" s="12" t="s">
        <v>2940</v>
      </c>
      <c r="D1377" s="12"/>
      <c r="E1377" s="12" t="s">
        <v>2941</v>
      </c>
      <c r="F1377" s="12" t="s">
        <v>98</v>
      </c>
      <c r="G1377" s="33">
        <v>2</v>
      </c>
      <c r="H1377" s="33">
        <v>21</v>
      </c>
      <c r="I1377" s="12" t="s">
        <v>53</v>
      </c>
      <c r="J1377" s="12" t="s">
        <v>54</v>
      </c>
      <c r="K1377" s="73" t="s">
        <v>29</v>
      </c>
      <c r="L1377" s="13">
        <v>6903</v>
      </c>
      <c r="M1377" s="13">
        <v>0</v>
      </c>
      <c r="N1377" s="13">
        <v>0</v>
      </c>
      <c r="O1377" s="13">
        <v>1991</v>
      </c>
      <c r="P1377" s="13">
        <v>0</v>
      </c>
      <c r="Q1377" s="13">
        <v>4911</v>
      </c>
      <c r="R1377" s="13">
        <v>318</v>
      </c>
      <c r="S1377" s="13">
        <v>3</v>
      </c>
      <c r="T1377" s="81">
        <v>0</v>
      </c>
    </row>
    <row r="1378" spans="1:20" ht="15" customHeight="1" x14ac:dyDescent="0.2">
      <c r="A1378" s="15" t="s">
        <v>2942</v>
      </c>
      <c r="B1378" s="60">
        <v>19495266</v>
      </c>
      <c r="C1378" s="15"/>
      <c r="D1378" s="15"/>
      <c r="E1378" s="15"/>
      <c r="F1378" s="15" t="s">
        <v>265</v>
      </c>
      <c r="G1378" s="34">
        <v>2</v>
      </c>
      <c r="H1378" s="34">
        <v>9</v>
      </c>
      <c r="I1378" s="15" t="s">
        <v>839</v>
      </c>
      <c r="J1378" s="15" t="s">
        <v>120</v>
      </c>
      <c r="K1378" s="74" t="s">
        <v>29</v>
      </c>
      <c r="L1378" s="16">
        <v>6858</v>
      </c>
      <c r="M1378" s="16">
        <v>4299</v>
      </c>
      <c r="N1378" s="16">
        <v>2260</v>
      </c>
      <c r="O1378" s="16">
        <v>1137</v>
      </c>
      <c r="P1378" s="16">
        <v>0</v>
      </c>
      <c r="Q1378" s="16">
        <v>5721</v>
      </c>
      <c r="R1378" s="16">
        <v>192</v>
      </c>
      <c r="S1378" s="16">
        <v>0</v>
      </c>
      <c r="T1378" s="111">
        <v>0</v>
      </c>
    </row>
    <row r="1379" spans="1:20" ht="15" customHeight="1" x14ac:dyDescent="0.2">
      <c r="A1379" s="12" t="s">
        <v>2943</v>
      </c>
      <c r="B1379" s="56">
        <v>64835226</v>
      </c>
      <c r="C1379" s="12" t="s">
        <v>1256</v>
      </c>
      <c r="D1379" s="12" t="s">
        <v>1257</v>
      </c>
      <c r="E1379" s="12" t="s">
        <v>1258</v>
      </c>
      <c r="F1379" s="12" t="s">
        <v>98</v>
      </c>
      <c r="G1379" s="33">
        <v>2</v>
      </c>
      <c r="H1379" s="33">
        <v>16</v>
      </c>
      <c r="I1379" s="12" t="s">
        <v>38</v>
      </c>
      <c r="J1379" s="12" t="s">
        <v>39</v>
      </c>
      <c r="K1379" s="73" t="s">
        <v>29</v>
      </c>
      <c r="L1379" s="13">
        <v>6807</v>
      </c>
      <c r="M1379" s="13">
        <v>0</v>
      </c>
      <c r="N1379" s="13">
        <v>0</v>
      </c>
      <c r="O1379" s="13">
        <v>114</v>
      </c>
      <c r="P1379" s="13">
        <v>0</v>
      </c>
      <c r="Q1379" s="13">
        <v>6693</v>
      </c>
      <c r="R1379" s="13">
        <v>192</v>
      </c>
      <c r="S1379" s="13">
        <v>2</v>
      </c>
      <c r="T1379" s="81">
        <v>0</v>
      </c>
    </row>
    <row r="1380" spans="1:20" ht="15" customHeight="1" x14ac:dyDescent="0.2">
      <c r="A1380" s="15" t="s">
        <v>2944</v>
      </c>
      <c r="B1380" s="60">
        <v>53385390</v>
      </c>
      <c r="C1380" s="15" t="s">
        <v>659</v>
      </c>
      <c r="D1380" s="15" t="s">
        <v>660</v>
      </c>
      <c r="E1380" s="15" t="s">
        <v>661</v>
      </c>
      <c r="F1380" s="15" t="s">
        <v>65</v>
      </c>
      <c r="G1380" s="34">
        <v>2</v>
      </c>
      <c r="H1380" s="34">
        <v>43</v>
      </c>
      <c r="I1380" s="15" t="s">
        <v>38</v>
      </c>
      <c r="J1380" s="15" t="s">
        <v>39</v>
      </c>
      <c r="K1380" s="74" t="s">
        <v>29</v>
      </c>
      <c r="L1380" s="16">
        <v>6780</v>
      </c>
      <c r="M1380" s="16">
        <v>0</v>
      </c>
      <c r="N1380" s="16">
        <v>0</v>
      </c>
      <c r="O1380" s="16">
        <v>327</v>
      </c>
      <c r="P1380" s="16">
        <v>0</v>
      </c>
      <c r="Q1380" s="16">
        <v>6453</v>
      </c>
      <c r="R1380" s="16">
        <v>-23</v>
      </c>
      <c r="S1380" s="16">
        <v>2</v>
      </c>
      <c r="T1380" s="111">
        <v>0</v>
      </c>
    </row>
    <row r="1381" spans="1:20" ht="15" customHeight="1" x14ac:dyDescent="0.2">
      <c r="A1381" s="12" t="s">
        <v>2945</v>
      </c>
      <c r="B1381" s="56">
        <v>53272365</v>
      </c>
      <c r="C1381" s="12"/>
      <c r="D1381" s="12"/>
      <c r="E1381" s="12"/>
      <c r="F1381" s="12" t="s">
        <v>265</v>
      </c>
      <c r="G1381" s="33">
        <v>2</v>
      </c>
      <c r="H1381" s="33">
        <v>9</v>
      </c>
      <c r="I1381" s="12" t="s">
        <v>2926</v>
      </c>
      <c r="J1381" s="12" t="s">
        <v>39</v>
      </c>
      <c r="K1381" s="73" t="s">
        <v>29</v>
      </c>
      <c r="L1381" s="13">
        <v>6685</v>
      </c>
      <c r="M1381" s="13">
        <v>3503</v>
      </c>
      <c r="N1381" s="13">
        <v>2907</v>
      </c>
      <c r="O1381" s="13">
        <v>589</v>
      </c>
      <c r="P1381" s="13">
        <v>0</v>
      </c>
      <c r="Q1381" s="13">
        <v>6096</v>
      </c>
      <c r="R1381" s="13">
        <v>332</v>
      </c>
      <c r="S1381" s="13">
        <v>0</v>
      </c>
      <c r="T1381" s="81">
        <v>0</v>
      </c>
    </row>
    <row r="1382" spans="1:20" ht="15" customHeight="1" x14ac:dyDescent="0.2">
      <c r="A1382" s="15" t="s">
        <v>2946</v>
      </c>
      <c r="B1382" s="60">
        <v>913314</v>
      </c>
      <c r="C1382" s="15"/>
      <c r="D1382" s="15"/>
      <c r="E1382" s="15"/>
      <c r="F1382" s="15" t="s">
        <v>265</v>
      </c>
      <c r="G1382" s="34">
        <v>2</v>
      </c>
      <c r="H1382" s="34">
        <v>9</v>
      </c>
      <c r="I1382" s="15" t="s">
        <v>2442</v>
      </c>
      <c r="J1382" s="15" t="s">
        <v>120</v>
      </c>
      <c r="K1382" s="74" t="s">
        <v>29</v>
      </c>
      <c r="L1382" s="16">
        <v>6684</v>
      </c>
      <c r="M1382" s="16">
        <v>1637</v>
      </c>
      <c r="N1382" s="16">
        <v>4632</v>
      </c>
      <c r="O1382" s="16">
        <v>549</v>
      </c>
      <c r="P1382" s="16">
        <v>0</v>
      </c>
      <c r="Q1382" s="16">
        <v>6135</v>
      </c>
      <c r="R1382" s="16">
        <v>147</v>
      </c>
      <c r="S1382" s="16">
        <v>0</v>
      </c>
      <c r="T1382" s="111">
        <v>0</v>
      </c>
    </row>
    <row r="1383" spans="1:20" ht="15" customHeight="1" x14ac:dyDescent="0.2">
      <c r="A1383" s="12" t="s">
        <v>2947</v>
      </c>
      <c r="B1383" s="56">
        <v>49889190</v>
      </c>
      <c r="C1383" s="12" t="s">
        <v>2948</v>
      </c>
      <c r="D1383" s="12"/>
      <c r="E1383" s="12" t="s">
        <v>2949</v>
      </c>
      <c r="F1383" s="12" t="s">
        <v>65</v>
      </c>
      <c r="G1383" s="33">
        <v>2</v>
      </c>
      <c r="H1383" s="33">
        <v>43</v>
      </c>
      <c r="I1383" s="12" t="s">
        <v>38</v>
      </c>
      <c r="J1383" s="12" t="s">
        <v>39</v>
      </c>
      <c r="K1383" s="73" t="s">
        <v>29</v>
      </c>
      <c r="L1383" s="13">
        <v>6618</v>
      </c>
      <c r="M1383" s="13">
        <v>116</v>
      </c>
      <c r="N1383" s="13">
        <v>6087</v>
      </c>
      <c r="O1383" s="13">
        <v>228</v>
      </c>
      <c r="P1383" s="13">
        <v>0</v>
      </c>
      <c r="Q1383" s="13">
        <v>6390</v>
      </c>
      <c r="R1383" s="13">
        <v>114</v>
      </c>
      <c r="S1383" s="13">
        <v>2</v>
      </c>
      <c r="T1383" s="81">
        <v>0</v>
      </c>
    </row>
    <row r="1384" spans="1:20" ht="15" customHeight="1" x14ac:dyDescent="0.2">
      <c r="A1384" s="15" t="s">
        <v>2950</v>
      </c>
      <c r="B1384" s="60">
        <v>6077760</v>
      </c>
      <c r="C1384" s="15"/>
      <c r="D1384" s="15"/>
      <c r="E1384" s="15"/>
      <c r="F1384" s="15" t="s">
        <v>265</v>
      </c>
      <c r="G1384" s="34">
        <v>2</v>
      </c>
      <c r="H1384" s="34">
        <v>9</v>
      </c>
      <c r="I1384" s="15" t="s">
        <v>1180</v>
      </c>
      <c r="J1384" s="15" t="s">
        <v>39</v>
      </c>
      <c r="K1384" s="74" t="s">
        <v>29</v>
      </c>
      <c r="L1384" s="16">
        <v>6613</v>
      </c>
      <c r="M1384" s="16">
        <v>2866</v>
      </c>
      <c r="N1384" s="16">
        <v>3513</v>
      </c>
      <c r="O1384" s="16">
        <v>525</v>
      </c>
      <c r="P1384" s="16">
        <v>0</v>
      </c>
      <c r="Q1384" s="16">
        <v>6088</v>
      </c>
      <c r="R1384" s="16">
        <v>145</v>
      </c>
      <c r="S1384" s="16">
        <v>0</v>
      </c>
      <c r="T1384" s="111">
        <v>0</v>
      </c>
    </row>
    <row r="1385" spans="1:20" ht="15" customHeight="1" x14ac:dyDescent="0.2">
      <c r="A1385" s="12" t="s">
        <v>2951</v>
      </c>
      <c r="B1385" s="56">
        <v>15482499</v>
      </c>
      <c r="C1385" s="12" t="s">
        <v>2952</v>
      </c>
      <c r="D1385" s="12"/>
      <c r="E1385" s="12" t="s">
        <v>2953</v>
      </c>
      <c r="F1385" s="12" t="s">
        <v>98</v>
      </c>
      <c r="G1385" s="33">
        <v>2</v>
      </c>
      <c r="H1385" s="33">
        <v>21</v>
      </c>
      <c r="I1385" s="12" t="s">
        <v>2954</v>
      </c>
      <c r="J1385" s="12" t="s">
        <v>217</v>
      </c>
      <c r="K1385" s="73" t="s">
        <v>29</v>
      </c>
      <c r="L1385" s="13">
        <v>6481</v>
      </c>
      <c r="M1385" s="13">
        <v>0</v>
      </c>
      <c r="N1385" s="13">
        <v>521</v>
      </c>
      <c r="O1385" s="13">
        <v>1430</v>
      </c>
      <c r="P1385" s="13">
        <v>0</v>
      </c>
      <c r="Q1385" s="13">
        <v>5052</v>
      </c>
      <c r="R1385" s="13">
        <v>1</v>
      </c>
      <c r="S1385" s="13">
        <v>10</v>
      </c>
      <c r="T1385" s="81">
        <v>0</v>
      </c>
    </row>
    <row r="1386" spans="1:20" ht="15" customHeight="1" x14ac:dyDescent="0.2">
      <c r="A1386" s="15" t="s">
        <v>2955</v>
      </c>
      <c r="B1386" s="60">
        <v>34666362</v>
      </c>
      <c r="C1386" s="15" t="s">
        <v>2956</v>
      </c>
      <c r="D1386" s="15"/>
      <c r="E1386" s="15" t="s">
        <v>2957</v>
      </c>
      <c r="F1386" s="15" t="s">
        <v>98</v>
      </c>
      <c r="G1386" s="34">
        <v>2</v>
      </c>
      <c r="H1386" s="34">
        <v>21</v>
      </c>
      <c r="I1386" s="15" t="s">
        <v>143</v>
      </c>
      <c r="J1386" s="15" t="s">
        <v>144</v>
      </c>
      <c r="K1386" s="74" t="s">
        <v>29</v>
      </c>
      <c r="L1386" s="16">
        <v>6414</v>
      </c>
      <c r="M1386" s="16">
        <v>0</v>
      </c>
      <c r="N1386" s="16">
        <v>809</v>
      </c>
      <c r="O1386" s="16">
        <v>1577</v>
      </c>
      <c r="P1386" s="16">
        <v>0</v>
      </c>
      <c r="Q1386" s="16">
        <v>4837</v>
      </c>
      <c r="R1386" s="16">
        <v>-26</v>
      </c>
      <c r="S1386" s="16">
        <v>2</v>
      </c>
      <c r="T1386" s="111">
        <v>0</v>
      </c>
    </row>
    <row r="1387" spans="1:20" ht="15" customHeight="1" x14ac:dyDescent="0.2">
      <c r="A1387" s="12" t="s">
        <v>2958</v>
      </c>
      <c r="B1387" s="56">
        <v>43446335</v>
      </c>
      <c r="C1387" s="12"/>
      <c r="D1387" s="12"/>
      <c r="E1387" s="12"/>
      <c r="F1387" s="12" t="s">
        <v>265</v>
      </c>
      <c r="G1387" s="33">
        <v>2</v>
      </c>
      <c r="H1387" s="33">
        <v>9</v>
      </c>
      <c r="I1387" s="12" t="s">
        <v>2959</v>
      </c>
      <c r="J1387" s="12" t="s">
        <v>120</v>
      </c>
      <c r="K1387" s="73" t="s">
        <v>29</v>
      </c>
      <c r="L1387" s="13">
        <v>6407</v>
      </c>
      <c r="M1387" s="13">
        <v>1620</v>
      </c>
      <c r="N1387" s="13">
        <v>4645</v>
      </c>
      <c r="O1387" s="13">
        <v>665</v>
      </c>
      <c r="P1387" s="13">
        <v>0</v>
      </c>
      <c r="Q1387" s="13">
        <v>5742</v>
      </c>
      <c r="R1387" s="13">
        <v>259</v>
      </c>
      <c r="S1387" s="13">
        <v>0</v>
      </c>
      <c r="T1387" s="81">
        <v>0</v>
      </c>
    </row>
    <row r="1388" spans="1:20" ht="15" customHeight="1" x14ac:dyDescent="0.2">
      <c r="A1388" s="15" t="s">
        <v>2960</v>
      </c>
      <c r="B1388" s="60">
        <v>62469998</v>
      </c>
      <c r="C1388" s="15" t="s">
        <v>2961</v>
      </c>
      <c r="D1388" s="15"/>
      <c r="E1388" s="15" t="s">
        <v>2962</v>
      </c>
      <c r="F1388" s="15" t="s">
        <v>65</v>
      </c>
      <c r="G1388" s="34">
        <v>3</v>
      </c>
      <c r="H1388" s="34">
        <v>43</v>
      </c>
      <c r="I1388" s="15" t="s">
        <v>38</v>
      </c>
      <c r="J1388" s="15" t="s">
        <v>39</v>
      </c>
      <c r="K1388" s="74" t="s">
        <v>29</v>
      </c>
      <c r="L1388" s="16">
        <v>6373</v>
      </c>
      <c r="M1388" s="16">
        <v>0</v>
      </c>
      <c r="N1388" s="16">
        <v>6346</v>
      </c>
      <c r="O1388" s="16">
        <v>4</v>
      </c>
      <c r="P1388" s="16">
        <v>0</v>
      </c>
      <c r="Q1388" s="16">
        <v>6369</v>
      </c>
      <c r="R1388" s="16">
        <v>-40</v>
      </c>
      <c r="S1388" s="16">
        <v>2</v>
      </c>
      <c r="T1388" s="111">
        <v>0</v>
      </c>
    </row>
    <row r="1389" spans="1:20" ht="15" customHeight="1" x14ac:dyDescent="0.2">
      <c r="A1389" s="12" t="s">
        <v>2963</v>
      </c>
      <c r="B1389" s="56">
        <v>87963450</v>
      </c>
      <c r="C1389" s="12" t="s">
        <v>2964</v>
      </c>
      <c r="D1389" s="12"/>
      <c r="E1389" s="12" t="s">
        <v>2965</v>
      </c>
      <c r="F1389" s="12" t="s">
        <v>98</v>
      </c>
      <c r="G1389" s="33">
        <v>2</v>
      </c>
      <c r="H1389" s="33">
        <v>16</v>
      </c>
      <c r="I1389" s="12" t="s">
        <v>53</v>
      </c>
      <c r="J1389" s="12" t="s">
        <v>54</v>
      </c>
      <c r="K1389" s="73" t="s">
        <v>29</v>
      </c>
      <c r="L1389" s="13">
        <v>6274</v>
      </c>
      <c r="M1389" s="13">
        <v>0</v>
      </c>
      <c r="N1389" s="13">
        <v>0</v>
      </c>
      <c r="O1389" s="13">
        <v>2262</v>
      </c>
      <c r="P1389" s="13">
        <v>0</v>
      </c>
      <c r="Q1389" s="13">
        <v>4012</v>
      </c>
      <c r="R1389" s="13">
        <v>-2305</v>
      </c>
      <c r="S1389" s="13">
        <v>2</v>
      </c>
      <c r="T1389" s="81">
        <v>0</v>
      </c>
    </row>
    <row r="1390" spans="1:20" ht="15" customHeight="1" x14ac:dyDescent="0.2">
      <c r="A1390" s="15" t="s">
        <v>2966</v>
      </c>
      <c r="B1390" s="60">
        <v>76621457</v>
      </c>
      <c r="C1390" s="15" t="s">
        <v>324</v>
      </c>
      <c r="D1390" s="15" t="s">
        <v>325</v>
      </c>
      <c r="E1390" s="15" t="s">
        <v>326</v>
      </c>
      <c r="F1390" s="15" t="s">
        <v>98</v>
      </c>
      <c r="G1390" s="34">
        <v>2</v>
      </c>
      <c r="H1390" s="34">
        <v>16</v>
      </c>
      <c r="I1390" s="15" t="s">
        <v>228</v>
      </c>
      <c r="J1390" s="15" t="s">
        <v>229</v>
      </c>
      <c r="K1390" s="74" t="s">
        <v>29</v>
      </c>
      <c r="L1390" s="16">
        <v>6271</v>
      </c>
      <c r="M1390" s="16">
        <v>0</v>
      </c>
      <c r="N1390" s="16">
        <v>0</v>
      </c>
      <c r="O1390" s="16">
        <v>467</v>
      </c>
      <c r="P1390" s="16">
        <v>0</v>
      </c>
      <c r="Q1390" s="16">
        <v>5804</v>
      </c>
      <c r="R1390" s="16">
        <v>186</v>
      </c>
      <c r="S1390" s="16">
        <v>2</v>
      </c>
      <c r="T1390" s="111">
        <v>0</v>
      </c>
    </row>
    <row r="1391" spans="1:20" ht="15" customHeight="1" x14ac:dyDescent="0.2">
      <c r="A1391" s="12" t="s">
        <v>2967</v>
      </c>
      <c r="B1391" s="56">
        <v>40269467</v>
      </c>
      <c r="C1391" s="12" t="s">
        <v>2968</v>
      </c>
      <c r="D1391" s="12"/>
      <c r="E1391" s="12" t="s">
        <v>2969</v>
      </c>
      <c r="F1391" s="12" t="s">
        <v>65</v>
      </c>
      <c r="G1391" s="33">
        <v>2</v>
      </c>
      <c r="H1391" s="33">
        <v>10</v>
      </c>
      <c r="I1391" s="12" t="s">
        <v>670</v>
      </c>
      <c r="J1391" s="12" t="s">
        <v>229</v>
      </c>
      <c r="K1391" s="73" t="s">
        <v>29</v>
      </c>
      <c r="L1391" s="13">
        <v>6263</v>
      </c>
      <c r="M1391" s="13">
        <v>3384</v>
      </c>
      <c r="N1391" s="13">
        <v>2088</v>
      </c>
      <c r="O1391" s="13">
        <v>4381</v>
      </c>
      <c r="P1391" s="13">
        <v>4216</v>
      </c>
      <c r="Q1391" s="13">
        <v>1882</v>
      </c>
      <c r="R1391" s="13">
        <v>-891</v>
      </c>
      <c r="S1391" s="13">
        <v>2</v>
      </c>
      <c r="T1391" s="81">
        <v>0</v>
      </c>
    </row>
    <row r="1392" spans="1:20" ht="15" customHeight="1" x14ac:dyDescent="0.2">
      <c r="A1392" s="15" t="s">
        <v>2970</v>
      </c>
      <c r="B1392" s="60">
        <v>5048575</v>
      </c>
      <c r="C1392" s="15"/>
      <c r="D1392" s="15"/>
      <c r="E1392" s="15"/>
      <c r="F1392" s="15" t="s">
        <v>265</v>
      </c>
      <c r="G1392" s="34">
        <v>2</v>
      </c>
      <c r="H1392" s="34">
        <v>9</v>
      </c>
      <c r="I1392" s="15" t="s">
        <v>2934</v>
      </c>
      <c r="J1392" s="15" t="s">
        <v>54</v>
      </c>
      <c r="K1392" s="74" t="s">
        <v>29</v>
      </c>
      <c r="L1392" s="16">
        <v>6257</v>
      </c>
      <c r="M1392" s="16">
        <v>1211</v>
      </c>
      <c r="N1392" s="16">
        <v>3878</v>
      </c>
      <c r="O1392" s="16">
        <v>868</v>
      </c>
      <c r="P1392" s="16">
        <v>0</v>
      </c>
      <c r="Q1392" s="16">
        <v>5390</v>
      </c>
      <c r="R1392" s="16">
        <v>242</v>
      </c>
      <c r="S1392" s="16">
        <v>0</v>
      </c>
      <c r="T1392" s="111">
        <v>0</v>
      </c>
    </row>
    <row r="1393" spans="1:20" ht="15" customHeight="1" x14ac:dyDescent="0.2">
      <c r="A1393" s="12" t="s">
        <v>2971</v>
      </c>
      <c r="B1393" s="56">
        <v>6373777</v>
      </c>
      <c r="C1393" s="12" t="s">
        <v>2972</v>
      </c>
      <c r="D1393" s="12"/>
      <c r="E1393" s="12" t="s">
        <v>2973</v>
      </c>
      <c r="F1393" s="12" t="s">
        <v>98</v>
      </c>
      <c r="G1393" s="33">
        <v>2</v>
      </c>
      <c r="H1393" s="33">
        <v>21</v>
      </c>
      <c r="I1393" s="12" t="s">
        <v>1133</v>
      </c>
      <c r="J1393" s="12" t="s">
        <v>1078</v>
      </c>
      <c r="K1393" s="73" t="s">
        <v>29</v>
      </c>
      <c r="L1393" s="13">
        <v>6235</v>
      </c>
      <c r="M1393" s="13">
        <v>0</v>
      </c>
      <c r="N1393" s="13">
        <v>0</v>
      </c>
      <c r="O1393" s="13">
        <v>1095</v>
      </c>
      <c r="P1393" s="13">
        <v>0</v>
      </c>
      <c r="Q1393" s="13">
        <v>5140</v>
      </c>
      <c r="R1393" s="13">
        <v>-351</v>
      </c>
      <c r="S1393" s="13">
        <v>13</v>
      </c>
      <c r="T1393" s="81">
        <v>0</v>
      </c>
    </row>
    <row r="1394" spans="1:20" ht="15" customHeight="1" x14ac:dyDescent="0.2">
      <c r="A1394" s="15" t="s">
        <v>2974</v>
      </c>
      <c r="B1394" s="60">
        <v>55319370</v>
      </c>
      <c r="C1394" s="15"/>
      <c r="D1394" s="15"/>
      <c r="E1394" s="15"/>
      <c r="F1394" s="15" t="s">
        <v>265</v>
      </c>
      <c r="G1394" s="34">
        <v>2</v>
      </c>
      <c r="H1394" s="34">
        <v>9</v>
      </c>
      <c r="I1394" s="15" t="s">
        <v>2975</v>
      </c>
      <c r="J1394" s="15" t="s">
        <v>39</v>
      </c>
      <c r="K1394" s="74" t="s">
        <v>29</v>
      </c>
      <c r="L1394" s="16">
        <v>6162</v>
      </c>
      <c r="M1394" s="16">
        <v>2916</v>
      </c>
      <c r="N1394" s="16">
        <v>2828</v>
      </c>
      <c r="O1394" s="16">
        <v>109</v>
      </c>
      <c r="P1394" s="16">
        <v>0</v>
      </c>
      <c r="Q1394" s="16">
        <v>6053</v>
      </c>
      <c r="R1394" s="16">
        <v>534</v>
      </c>
      <c r="S1394" s="16">
        <v>0</v>
      </c>
      <c r="T1394" s="111">
        <v>0</v>
      </c>
    </row>
    <row r="1395" spans="1:20" ht="15" customHeight="1" x14ac:dyDescent="0.2">
      <c r="A1395" s="12" t="s">
        <v>2976</v>
      </c>
      <c r="B1395" s="56">
        <v>44475245</v>
      </c>
      <c r="C1395" s="12" t="s">
        <v>80</v>
      </c>
      <c r="D1395" s="12" t="s">
        <v>81</v>
      </c>
      <c r="E1395" s="12" t="s">
        <v>82</v>
      </c>
      <c r="F1395" s="12" t="s">
        <v>98</v>
      </c>
      <c r="G1395" s="33">
        <v>2</v>
      </c>
      <c r="H1395" s="33">
        <v>16</v>
      </c>
      <c r="I1395" s="12" t="s">
        <v>53</v>
      </c>
      <c r="J1395" s="12" t="s">
        <v>54</v>
      </c>
      <c r="K1395" s="73" t="s">
        <v>29</v>
      </c>
      <c r="L1395" s="13">
        <v>6110</v>
      </c>
      <c r="M1395" s="13">
        <v>0</v>
      </c>
      <c r="N1395" s="13">
        <v>861</v>
      </c>
      <c r="O1395" s="13">
        <v>58</v>
      </c>
      <c r="P1395" s="13">
        <v>0</v>
      </c>
      <c r="Q1395" s="13">
        <v>6052</v>
      </c>
      <c r="R1395" s="13">
        <v>-164</v>
      </c>
      <c r="S1395" s="13">
        <v>2</v>
      </c>
      <c r="T1395" s="81">
        <v>0</v>
      </c>
    </row>
    <row r="1396" spans="1:20" ht="15" customHeight="1" x14ac:dyDescent="0.2">
      <c r="A1396" s="15" t="s">
        <v>2977</v>
      </c>
      <c r="B1396" s="60">
        <v>44154779</v>
      </c>
      <c r="C1396" s="15" t="s">
        <v>2578</v>
      </c>
      <c r="D1396" s="15"/>
      <c r="E1396" s="15" t="s">
        <v>2579</v>
      </c>
      <c r="F1396" s="15" t="s">
        <v>84</v>
      </c>
      <c r="G1396" s="34">
        <v>2</v>
      </c>
      <c r="H1396" s="34">
        <v>41</v>
      </c>
      <c r="I1396" s="15" t="s">
        <v>38</v>
      </c>
      <c r="J1396" s="15" t="s">
        <v>39</v>
      </c>
      <c r="K1396" s="74" t="s">
        <v>29</v>
      </c>
      <c r="L1396" s="16">
        <v>6091</v>
      </c>
      <c r="M1396" s="16">
        <v>0</v>
      </c>
      <c r="N1396" s="16">
        <v>4617</v>
      </c>
      <c r="O1396" s="16">
        <v>3621</v>
      </c>
      <c r="P1396" s="16">
        <v>0</v>
      </c>
      <c r="Q1396" s="16">
        <v>2469</v>
      </c>
      <c r="R1396" s="16">
        <v>22</v>
      </c>
      <c r="S1396" s="16">
        <v>1</v>
      </c>
      <c r="T1396" s="111">
        <v>0</v>
      </c>
    </row>
    <row r="1397" spans="1:20" ht="15" customHeight="1" x14ac:dyDescent="0.2">
      <c r="A1397" s="12" t="s">
        <v>2978</v>
      </c>
      <c r="B1397" s="56">
        <v>57824223</v>
      </c>
      <c r="C1397" s="12" t="s">
        <v>2979</v>
      </c>
      <c r="D1397" s="12"/>
      <c r="E1397" s="12" t="s">
        <v>2980</v>
      </c>
      <c r="F1397" s="12" t="s">
        <v>84</v>
      </c>
      <c r="G1397" s="33">
        <v>2</v>
      </c>
      <c r="H1397" s="33">
        <v>41</v>
      </c>
      <c r="I1397" s="12" t="s">
        <v>255</v>
      </c>
      <c r="J1397" s="12" t="s">
        <v>39</v>
      </c>
      <c r="K1397" s="73" t="s">
        <v>29</v>
      </c>
      <c r="L1397" s="13">
        <v>6080</v>
      </c>
      <c r="M1397" s="13">
        <v>0</v>
      </c>
      <c r="N1397" s="13">
        <v>5884</v>
      </c>
      <c r="O1397" s="13">
        <v>46</v>
      </c>
      <c r="P1397" s="13">
        <v>2</v>
      </c>
      <c r="Q1397" s="13">
        <v>6033</v>
      </c>
      <c r="R1397" s="13">
        <v>55</v>
      </c>
      <c r="S1397" s="13">
        <v>1</v>
      </c>
      <c r="T1397" s="81">
        <v>0</v>
      </c>
    </row>
    <row r="1398" spans="1:20" ht="15" customHeight="1" x14ac:dyDescent="0.2">
      <c r="A1398" s="15" t="s">
        <v>2981</v>
      </c>
      <c r="B1398" s="60">
        <v>46505612</v>
      </c>
      <c r="C1398" s="15" t="s">
        <v>2982</v>
      </c>
      <c r="D1398" s="15"/>
      <c r="E1398" s="15" t="s">
        <v>2983</v>
      </c>
      <c r="F1398" s="15" t="s">
        <v>84</v>
      </c>
      <c r="G1398" s="34">
        <v>2</v>
      </c>
      <c r="H1398" s="34">
        <v>41</v>
      </c>
      <c r="I1398" s="15" t="s">
        <v>107</v>
      </c>
      <c r="J1398" s="15" t="s">
        <v>39</v>
      </c>
      <c r="K1398" s="74" t="s">
        <v>29</v>
      </c>
      <c r="L1398" s="16">
        <v>6034</v>
      </c>
      <c r="M1398" s="16">
        <v>0</v>
      </c>
      <c r="N1398" s="16">
        <v>5892</v>
      </c>
      <c r="O1398" s="16">
        <v>195</v>
      </c>
      <c r="P1398" s="16">
        <v>0</v>
      </c>
      <c r="Q1398" s="16">
        <v>5840</v>
      </c>
      <c r="R1398" s="16">
        <v>147</v>
      </c>
      <c r="S1398" s="16">
        <v>1</v>
      </c>
      <c r="T1398" s="111">
        <v>0</v>
      </c>
    </row>
    <row r="1399" spans="1:20" ht="15" customHeight="1" x14ac:dyDescent="0.2">
      <c r="A1399" s="12" t="s">
        <v>2984</v>
      </c>
      <c r="B1399" s="56">
        <v>44323831</v>
      </c>
      <c r="C1399" s="12" t="s">
        <v>2985</v>
      </c>
      <c r="D1399" s="12"/>
      <c r="E1399" s="12" t="s">
        <v>2986</v>
      </c>
      <c r="F1399" s="12" t="s">
        <v>98</v>
      </c>
      <c r="G1399" s="33">
        <v>2</v>
      </c>
      <c r="H1399" s="33">
        <v>21</v>
      </c>
      <c r="I1399" s="12" t="s">
        <v>587</v>
      </c>
      <c r="J1399" s="12" t="s">
        <v>39</v>
      </c>
      <c r="K1399" s="73" t="s">
        <v>29</v>
      </c>
      <c r="L1399" s="13">
        <v>6020</v>
      </c>
      <c r="M1399" s="13">
        <v>0</v>
      </c>
      <c r="N1399" s="13">
        <v>5714</v>
      </c>
      <c r="O1399" s="13">
        <v>205</v>
      </c>
      <c r="P1399" s="13">
        <v>0</v>
      </c>
      <c r="Q1399" s="13">
        <v>5815</v>
      </c>
      <c r="R1399" s="13">
        <v>-162</v>
      </c>
      <c r="S1399" s="13">
        <v>3</v>
      </c>
      <c r="T1399" s="81">
        <v>0</v>
      </c>
    </row>
    <row r="1400" spans="1:20" ht="15" customHeight="1" x14ac:dyDescent="0.2">
      <c r="A1400" s="15" t="s">
        <v>2987</v>
      </c>
      <c r="B1400" s="60">
        <v>56106523</v>
      </c>
      <c r="C1400" s="15" t="s">
        <v>2988</v>
      </c>
      <c r="D1400" s="15"/>
      <c r="E1400" s="15" t="s">
        <v>2989</v>
      </c>
      <c r="F1400" s="15" t="s">
        <v>84</v>
      </c>
      <c r="G1400" s="34">
        <v>2</v>
      </c>
      <c r="H1400" s="34">
        <v>41</v>
      </c>
      <c r="I1400" s="15" t="s">
        <v>119</v>
      </c>
      <c r="J1400" s="15" t="s">
        <v>120</v>
      </c>
      <c r="K1400" s="74" t="s">
        <v>29</v>
      </c>
      <c r="L1400" s="16">
        <v>6017</v>
      </c>
      <c r="M1400" s="16">
        <v>0</v>
      </c>
      <c r="N1400" s="16">
        <v>5512</v>
      </c>
      <c r="O1400" s="16">
        <v>155</v>
      </c>
      <c r="P1400" s="16">
        <v>126</v>
      </c>
      <c r="Q1400" s="16">
        <v>5863</v>
      </c>
      <c r="R1400" s="16">
        <v>103</v>
      </c>
      <c r="S1400" s="16">
        <v>1</v>
      </c>
      <c r="T1400" s="111">
        <v>0</v>
      </c>
    </row>
    <row r="1401" spans="1:20" ht="15" customHeight="1" x14ac:dyDescent="0.2">
      <c r="A1401" s="12" t="s">
        <v>2990</v>
      </c>
      <c r="B1401" s="56">
        <v>46026562</v>
      </c>
      <c r="C1401" s="12" t="s">
        <v>2991</v>
      </c>
      <c r="D1401" s="12"/>
      <c r="E1401" s="12" t="s">
        <v>2992</v>
      </c>
      <c r="F1401" s="12" t="s">
        <v>65</v>
      </c>
      <c r="G1401" s="33">
        <v>2</v>
      </c>
      <c r="H1401" s="33">
        <v>43</v>
      </c>
      <c r="I1401" s="12" t="s">
        <v>73</v>
      </c>
      <c r="J1401" s="12" t="s">
        <v>74</v>
      </c>
      <c r="K1401" s="73" t="s">
        <v>29</v>
      </c>
      <c r="L1401" s="13">
        <v>6003</v>
      </c>
      <c r="M1401" s="13">
        <v>952</v>
      </c>
      <c r="N1401" s="13">
        <v>0</v>
      </c>
      <c r="O1401" s="13">
        <v>947</v>
      </c>
      <c r="P1401" s="13">
        <v>163</v>
      </c>
      <c r="Q1401" s="13">
        <v>5056</v>
      </c>
      <c r="R1401" s="13">
        <v>711</v>
      </c>
      <c r="S1401" s="13">
        <v>2</v>
      </c>
      <c r="T1401" s="81">
        <v>0</v>
      </c>
    </row>
    <row r="1402" spans="1:20" ht="15" customHeight="1" x14ac:dyDescent="0.2">
      <c r="A1402" s="15" t="s">
        <v>2993</v>
      </c>
      <c r="B1402" s="60">
        <v>48172860</v>
      </c>
      <c r="C1402" s="15"/>
      <c r="D1402" s="15"/>
      <c r="E1402" s="15"/>
      <c r="F1402" s="15" t="s">
        <v>265</v>
      </c>
      <c r="G1402" s="34">
        <v>2</v>
      </c>
      <c r="H1402" s="34">
        <v>9</v>
      </c>
      <c r="I1402" s="15" t="s">
        <v>1180</v>
      </c>
      <c r="J1402" s="15" t="s">
        <v>39</v>
      </c>
      <c r="K1402" s="74" t="s">
        <v>29</v>
      </c>
      <c r="L1402" s="16">
        <v>5972</v>
      </c>
      <c r="M1402" s="16">
        <v>3004</v>
      </c>
      <c r="N1402" s="16">
        <v>2774</v>
      </c>
      <c r="O1402" s="16">
        <v>731</v>
      </c>
      <c r="P1402" s="16">
        <v>463</v>
      </c>
      <c r="Q1402" s="16">
        <v>5241</v>
      </c>
      <c r="R1402" s="16">
        <v>38</v>
      </c>
      <c r="S1402" s="16">
        <v>0</v>
      </c>
      <c r="T1402" s="111">
        <v>0</v>
      </c>
    </row>
    <row r="1403" spans="1:20" ht="15" customHeight="1" x14ac:dyDescent="0.2">
      <c r="A1403" s="12" t="s">
        <v>2994</v>
      </c>
      <c r="B1403" s="56">
        <v>4684647</v>
      </c>
      <c r="C1403" s="12" t="s">
        <v>2995</v>
      </c>
      <c r="D1403" s="12"/>
      <c r="E1403" s="12" t="s">
        <v>2996</v>
      </c>
      <c r="F1403" s="12" t="s">
        <v>98</v>
      </c>
      <c r="G1403" s="33">
        <v>2</v>
      </c>
      <c r="H1403" s="33">
        <v>21</v>
      </c>
      <c r="I1403" s="12" t="s">
        <v>1167</v>
      </c>
      <c r="J1403" s="12" t="s">
        <v>39</v>
      </c>
      <c r="K1403" s="73" t="s">
        <v>29</v>
      </c>
      <c r="L1403" s="13">
        <v>5967</v>
      </c>
      <c r="M1403" s="13">
        <v>0</v>
      </c>
      <c r="N1403" s="13">
        <v>0</v>
      </c>
      <c r="O1403" s="13">
        <v>1263</v>
      </c>
      <c r="P1403" s="13">
        <v>0</v>
      </c>
      <c r="Q1403" s="13">
        <v>4703</v>
      </c>
      <c r="R1403" s="13">
        <v>278</v>
      </c>
      <c r="S1403" s="13">
        <v>2</v>
      </c>
      <c r="T1403" s="81">
        <v>0</v>
      </c>
    </row>
    <row r="1404" spans="1:20" ht="15" customHeight="1" x14ac:dyDescent="0.2">
      <c r="A1404" s="15" t="s">
        <v>2997</v>
      </c>
      <c r="B1404" s="60">
        <v>71590442</v>
      </c>
      <c r="C1404" s="15" t="s">
        <v>2998</v>
      </c>
      <c r="D1404" s="15"/>
      <c r="E1404" s="15" t="s">
        <v>2999</v>
      </c>
      <c r="F1404" s="15" t="s">
        <v>98</v>
      </c>
      <c r="G1404" s="34">
        <v>2</v>
      </c>
      <c r="H1404" s="34">
        <v>16</v>
      </c>
      <c r="I1404" s="15" t="s">
        <v>3000</v>
      </c>
      <c r="J1404" s="15" t="s">
        <v>39</v>
      </c>
      <c r="K1404" s="74" t="s">
        <v>29</v>
      </c>
      <c r="L1404" s="16">
        <v>5935</v>
      </c>
      <c r="M1404" s="16">
        <v>0</v>
      </c>
      <c r="N1404" s="16">
        <v>3689</v>
      </c>
      <c r="O1404" s="16">
        <v>251</v>
      </c>
      <c r="P1404" s="16">
        <v>5</v>
      </c>
      <c r="Q1404" s="16">
        <v>5683</v>
      </c>
      <c r="R1404" s="16">
        <v>225</v>
      </c>
      <c r="S1404" s="16">
        <v>2</v>
      </c>
      <c r="T1404" s="111">
        <v>0</v>
      </c>
    </row>
    <row r="1405" spans="1:20" ht="15" customHeight="1" x14ac:dyDescent="0.2">
      <c r="A1405" s="12" t="s">
        <v>3001</v>
      </c>
      <c r="B1405" s="56">
        <v>48707451</v>
      </c>
      <c r="C1405" s="12" t="s">
        <v>3002</v>
      </c>
      <c r="D1405" s="12"/>
      <c r="E1405" s="12" t="s">
        <v>3003</v>
      </c>
      <c r="F1405" s="12" t="s">
        <v>65</v>
      </c>
      <c r="G1405" s="33">
        <v>2</v>
      </c>
      <c r="H1405" s="33">
        <v>43</v>
      </c>
      <c r="I1405" s="12" t="s">
        <v>404</v>
      </c>
      <c r="J1405" s="12" t="s">
        <v>401</v>
      </c>
      <c r="K1405" s="73" t="s">
        <v>29</v>
      </c>
      <c r="L1405" s="13">
        <v>5934</v>
      </c>
      <c r="M1405" s="13">
        <v>504</v>
      </c>
      <c r="N1405" s="13">
        <v>101</v>
      </c>
      <c r="O1405" s="13">
        <v>3109</v>
      </c>
      <c r="P1405" s="13">
        <v>0</v>
      </c>
      <c r="Q1405" s="13">
        <v>2825</v>
      </c>
      <c r="R1405" s="13">
        <v>-399</v>
      </c>
      <c r="S1405" s="13">
        <v>2</v>
      </c>
      <c r="T1405" s="81">
        <v>0</v>
      </c>
    </row>
    <row r="1406" spans="1:20" ht="15" customHeight="1" x14ac:dyDescent="0.2">
      <c r="A1406" s="15" t="s">
        <v>3004</v>
      </c>
      <c r="B1406" s="60">
        <v>47215387</v>
      </c>
      <c r="C1406" s="15" t="s">
        <v>3005</v>
      </c>
      <c r="D1406" s="15"/>
      <c r="E1406" s="15" t="s">
        <v>3006</v>
      </c>
      <c r="F1406" s="15" t="s">
        <v>98</v>
      </c>
      <c r="G1406" s="34">
        <v>2</v>
      </c>
      <c r="H1406" s="34">
        <v>16</v>
      </c>
      <c r="I1406" s="15" t="s">
        <v>228</v>
      </c>
      <c r="J1406" s="15" t="s">
        <v>229</v>
      </c>
      <c r="K1406" s="74" t="s">
        <v>29</v>
      </c>
      <c r="L1406" s="16">
        <v>5932</v>
      </c>
      <c r="M1406" s="16">
        <v>0</v>
      </c>
      <c r="N1406" s="16">
        <v>4648</v>
      </c>
      <c r="O1406" s="16">
        <v>881</v>
      </c>
      <c r="P1406" s="16">
        <v>0</v>
      </c>
      <c r="Q1406" s="16">
        <v>5052</v>
      </c>
      <c r="R1406" s="16">
        <v>303</v>
      </c>
      <c r="S1406" s="16">
        <v>1</v>
      </c>
      <c r="T1406" s="111">
        <v>0</v>
      </c>
    </row>
    <row r="1407" spans="1:20" ht="15" customHeight="1" x14ac:dyDescent="0.2">
      <c r="A1407" s="12" t="s">
        <v>3007</v>
      </c>
      <c r="B1407" s="56">
        <v>53932869</v>
      </c>
      <c r="C1407" s="12"/>
      <c r="D1407" s="12"/>
      <c r="E1407" s="12"/>
      <c r="F1407" s="12" t="s">
        <v>265</v>
      </c>
      <c r="G1407" s="33">
        <v>2</v>
      </c>
      <c r="H1407" s="33">
        <v>9</v>
      </c>
      <c r="I1407" s="12" t="s">
        <v>44</v>
      </c>
      <c r="J1407" s="12" t="s">
        <v>39</v>
      </c>
      <c r="K1407" s="73" t="s">
        <v>29</v>
      </c>
      <c r="L1407" s="13">
        <v>5926</v>
      </c>
      <c r="M1407" s="13">
        <v>3881</v>
      </c>
      <c r="N1407" s="13">
        <v>1616</v>
      </c>
      <c r="O1407" s="13">
        <v>180</v>
      </c>
      <c r="P1407" s="13">
        <v>0</v>
      </c>
      <c r="Q1407" s="13">
        <v>5746</v>
      </c>
      <c r="R1407" s="13">
        <v>229</v>
      </c>
      <c r="S1407" s="13">
        <v>0</v>
      </c>
      <c r="T1407" s="81">
        <v>0</v>
      </c>
    </row>
    <row r="1408" spans="1:20" ht="15" customHeight="1" x14ac:dyDescent="0.2">
      <c r="A1408" s="15" t="s">
        <v>3008</v>
      </c>
      <c r="B1408" s="60">
        <v>1819799</v>
      </c>
      <c r="C1408" s="15"/>
      <c r="D1408" s="15"/>
      <c r="E1408" s="15"/>
      <c r="F1408" s="15" t="s">
        <v>265</v>
      </c>
      <c r="G1408" s="34">
        <v>2</v>
      </c>
      <c r="H1408" s="34">
        <v>9</v>
      </c>
      <c r="I1408" s="15" t="s">
        <v>3009</v>
      </c>
      <c r="J1408" s="15" t="s">
        <v>54</v>
      </c>
      <c r="K1408" s="74" t="s">
        <v>29</v>
      </c>
      <c r="L1408" s="16">
        <v>5925</v>
      </c>
      <c r="M1408" s="16">
        <v>2601</v>
      </c>
      <c r="N1408" s="16">
        <v>2845</v>
      </c>
      <c r="O1408" s="16">
        <v>651</v>
      </c>
      <c r="P1408" s="16">
        <v>0</v>
      </c>
      <c r="Q1408" s="16">
        <v>5274</v>
      </c>
      <c r="R1408" s="16">
        <v>191</v>
      </c>
      <c r="S1408" s="16">
        <v>0</v>
      </c>
      <c r="T1408" s="111">
        <v>0</v>
      </c>
    </row>
    <row r="1409" spans="1:20" ht="15" customHeight="1" x14ac:dyDescent="0.2">
      <c r="A1409" s="12" t="s">
        <v>3010</v>
      </c>
      <c r="B1409" s="56">
        <v>30304919</v>
      </c>
      <c r="C1409" s="12"/>
      <c r="D1409" s="12"/>
      <c r="E1409" s="12"/>
      <c r="F1409" s="12" t="s">
        <v>265</v>
      </c>
      <c r="G1409" s="33">
        <v>2</v>
      </c>
      <c r="H1409" s="33">
        <v>9</v>
      </c>
      <c r="I1409" s="12" t="s">
        <v>53</v>
      </c>
      <c r="J1409" s="12" t="s">
        <v>54</v>
      </c>
      <c r="K1409" s="73" t="s">
        <v>29</v>
      </c>
      <c r="L1409" s="13">
        <v>5895</v>
      </c>
      <c r="M1409" s="13">
        <v>3580</v>
      </c>
      <c r="N1409" s="13">
        <v>772</v>
      </c>
      <c r="O1409" s="13">
        <v>456</v>
      </c>
      <c r="P1409" s="13">
        <v>0</v>
      </c>
      <c r="Q1409" s="13">
        <v>5439</v>
      </c>
      <c r="R1409" s="13">
        <v>316</v>
      </c>
      <c r="S1409" s="13">
        <v>0</v>
      </c>
      <c r="T1409" s="81">
        <v>0</v>
      </c>
    </row>
    <row r="1410" spans="1:20" ht="15" customHeight="1" x14ac:dyDescent="0.2">
      <c r="A1410" s="15" t="s">
        <v>3011</v>
      </c>
      <c r="B1410" s="60">
        <v>1504952</v>
      </c>
      <c r="C1410" s="15"/>
      <c r="D1410" s="15"/>
      <c r="E1410" s="15"/>
      <c r="F1410" s="15" t="s">
        <v>265</v>
      </c>
      <c r="G1410" s="34">
        <v>2</v>
      </c>
      <c r="H1410" s="34">
        <v>9</v>
      </c>
      <c r="I1410" s="15" t="s">
        <v>38</v>
      </c>
      <c r="J1410" s="15" t="s">
        <v>39</v>
      </c>
      <c r="K1410" s="74" t="s">
        <v>29</v>
      </c>
      <c r="L1410" s="16">
        <v>5870</v>
      </c>
      <c r="M1410" s="16">
        <v>2744</v>
      </c>
      <c r="N1410" s="16">
        <v>2862</v>
      </c>
      <c r="O1410" s="16">
        <v>621</v>
      </c>
      <c r="P1410" s="16">
        <v>0</v>
      </c>
      <c r="Q1410" s="16">
        <v>5249</v>
      </c>
      <c r="R1410" s="16">
        <v>238</v>
      </c>
      <c r="S1410" s="16">
        <v>0</v>
      </c>
      <c r="T1410" s="111">
        <v>0</v>
      </c>
    </row>
    <row r="1411" spans="1:20" ht="15" customHeight="1" x14ac:dyDescent="0.2">
      <c r="A1411" s="12" t="s">
        <v>3012</v>
      </c>
      <c r="B1411" s="56">
        <v>59394633</v>
      </c>
      <c r="C1411" s="12" t="s">
        <v>1792</v>
      </c>
      <c r="D1411" s="12"/>
      <c r="E1411" s="12" t="s">
        <v>1793</v>
      </c>
      <c r="F1411" s="12" t="s">
        <v>98</v>
      </c>
      <c r="G1411" s="33">
        <v>2</v>
      </c>
      <c r="H1411" s="33">
        <v>16</v>
      </c>
      <c r="I1411" s="12" t="s">
        <v>38</v>
      </c>
      <c r="J1411" s="12" t="s">
        <v>39</v>
      </c>
      <c r="K1411" s="73" t="s">
        <v>29</v>
      </c>
      <c r="L1411" s="13">
        <v>5850</v>
      </c>
      <c r="M1411" s="13">
        <v>0</v>
      </c>
      <c r="N1411" s="13">
        <v>1577</v>
      </c>
      <c r="O1411" s="13">
        <v>198</v>
      </c>
      <c r="P1411" s="13">
        <v>149</v>
      </c>
      <c r="Q1411" s="13">
        <v>5652</v>
      </c>
      <c r="R1411" s="13">
        <v>-107</v>
      </c>
      <c r="S1411" s="13">
        <v>2</v>
      </c>
      <c r="T1411" s="81">
        <v>0</v>
      </c>
    </row>
    <row r="1412" spans="1:20" ht="15" customHeight="1" x14ac:dyDescent="0.2">
      <c r="A1412" s="15" t="s">
        <v>3013</v>
      </c>
      <c r="B1412" s="60">
        <v>30586895</v>
      </c>
      <c r="C1412" s="15"/>
      <c r="D1412" s="15"/>
      <c r="E1412" s="15"/>
      <c r="F1412" s="15" t="s">
        <v>265</v>
      </c>
      <c r="G1412" s="34">
        <v>2</v>
      </c>
      <c r="H1412" s="34">
        <v>9</v>
      </c>
      <c r="I1412" s="15" t="s">
        <v>2934</v>
      </c>
      <c r="J1412" s="15" t="s">
        <v>54</v>
      </c>
      <c r="K1412" s="74" t="s">
        <v>29</v>
      </c>
      <c r="L1412" s="16">
        <v>5775</v>
      </c>
      <c r="M1412" s="16">
        <v>3114</v>
      </c>
      <c r="N1412" s="16">
        <v>2440</v>
      </c>
      <c r="O1412" s="16">
        <v>437</v>
      </c>
      <c r="P1412" s="16">
        <v>0</v>
      </c>
      <c r="Q1412" s="16">
        <v>5338</v>
      </c>
      <c r="R1412" s="16">
        <v>344</v>
      </c>
      <c r="S1412" s="16">
        <v>0</v>
      </c>
      <c r="T1412" s="111">
        <v>0</v>
      </c>
    </row>
    <row r="1413" spans="1:20" ht="15" customHeight="1" x14ac:dyDescent="0.2">
      <c r="A1413" s="12" t="s">
        <v>3014</v>
      </c>
      <c r="B1413" s="56">
        <v>63822040</v>
      </c>
      <c r="C1413" s="12" t="s">
        <v>3015</v>
      </c>
      <c r="D1413" s="12"/>
      <c r="E1413" s="12" t="s">
        <v>3016</v>
      </c>
      <c r="F1413" s="12" t="s">
        <v>65</v>
      </c>
      <c r="G1413" s="33">
        <v>2</v>
      </c>
      <c r="H1413" s="33">
        <v>43</v>
      </c>
      <c r="I1413" s="12" t="s">
        <v>38</v>
      </c>
      <c r="J1413" s="12" t="s">
        <v>39</v>
      </c>
      <c r="K1413" s="73" t="s">
        <v>29</v>
      </c>
      <c r="L1413" s="13">
        <v>5701</v>
      </c>
      <c r="M1413" s="13">
        <v>4203</v>
      </c>
      <c r="N1413" s="13">
        <v>581</v>
      </c>
      <c r="O1413" s="13">
        <v>3723</v>
      </c>
      <c r="P1413" s="13">
        <v>0</v>
      </c>
      <c r="Q1413" s="13">
        <v>1977</v>
      </c>
      <c r="R1413" s="13">
        <v>466</v>
      </c>
      <c r="S1413" s="13">
        <v>2</v>
      </c>
      <c r="T1413" s="81">
        <v>0</v>
      </c>
    </row>
    <row r="1414" spans="1:20" ht="15" customHeight="1" x14ac:dyDescent="0.2">
      <c r="A1414" s="15" t="s">
        <v>3017</v>
      </c>
      <c r="B1414" s="60">
        <v>44353942</v>
      </c>
      <c r="C1414" s="15" t="s">
        <v>3018</v>
      </c>
      <c r="D1414" s="15"/>
      <c r="E1414" s="15" t="s">
        <v>3019</v>
      </c>
      <c r="F1414" s="15" t="s">
        <v>84</v>
      </c>
      <c r="G1414" s="34">
        <v>2</v>
      </c>
      <c r="H1414" s="34">
        <v>41</v>
      </c>
      <c r="I1414" s="15" t="s">
        <v>38</v>
      </c>
      <c r="J1414" s="15" t="s">
        <v>39</v>
      </c>
      <c r="K1414" s="74" t="s">
        <v>29</v>
      </c>
      <c r="L1414" s="16">
        <v>5698</v>
      </c>
      <c r="M1414" s="16">
        <v>0</v>
      </c>
      <c r="N1414" s="16">
        <v>4947</v>
      </c>
      <c r="O1414" s="16">
        <v>806</v>
      </c>
      <c r="P1414" s="16">
        <v>0</v>
      </c>
      <c r="Q1414" s="16">
        <v>4892</v>
      </c>
      <c r="R1414" s="16">
        <v>800</v>
      </c>
      <c r="S1414" s="16">
        <v>1</v>
      </c>
      <c r="T1414" s="111">
        <v>0</v>
      </c>
    </row>
    <row r="1415" spans="1:20" ht="15" customHeight="1" x14ac:dyDescent="0.2">
      <c r="A1415" s="12" t="s">
        <v>3020</v>
      </c>
      <c r="B1415" s="56">
        <v>94968518</v>
      </c>
      <c r="C1415" s="12" t="s">
        <v>3021</v>
      </c>
      <c r="D1415" s="12"/>
      <c r="E1415" s="12" t="s">
        <v>3022</v>
      </c>
      <c r="F1415" s="12" t="s">
        <v>98</v>
      </c>
      <c r="G1415" s="33">
        <v>2</v>
      </c>
      <c r="H1415" s="33">
        <v>21</v>
      </c>
      <c r="I1415" s="12" t="s">
        <v>38</v>
      </c>
      <c r="J1415" s="12" t="s">
        <v>39</v>
      </c>
      <c r="K1415" s="73" t="s">
        <v>29</v>
      </c>
      <c r="L1415" s="13">
        <v>5684</v>
      </c>
      <c r="M1415" s="13">
        <v>0</v>
      </c>
      <c r="N1415" s="13">
        <v>1583</v>
      </c>
      <c r="O1415" s="13">
        <v>4588</v>
      </c>
      <c r="P1415" s="13">
        <v>0</v>
      </c>
      <c r="Q1415" s="13">
        <v>1096</v>
      </c>
      <c r="R1415" s="13">
        <v>-296</v>
      </c>
      <c r="S1415" s="13">
        <v>2</v>
      </c>
      <c r="T1415" s="81">
        <v>0</v>
      </c>
    </row>
    <row r="1416" spans="1:20" ht="15" customHeight="1" x14ac:dyDescent="0.2">
      <c r="A1416" s="15" t="s">
        <v>3023</v>
      </c>
      <c r="B1416" s="60">
        <v>65645137</v>
      </c>
      <c r="C1416" s="15" t="s">
        <v>3024</v>
      </c>
      <c r="D1416" s="15"/>
      <c r="E1416" s="15" t="s">
        <v>3025</v>
      </c>
      <c r="F1416" s="15" t="s">
        <v>98</v>
      </c>
      <c r="G1416" s="34">
        <v>2</v>
      </c>
      <c r="H1416" s="34">
        <v>21</v>
      </c>
      <c r="I1416" s="15" t="s">
        <v>38</v>
      </c>
      <c r="J1416" s="15" t="s">
        <v>39</v>
      </c>
      <c r="K1416" s="74" t="s">
        <v>29</v>
      </c>
      <c r="L1416" s="16">
        <v>5586</v>
      </c>
      <c r="M1416" s="16">
        <v>0</v>
      </c>
      <c r="N1416" s="16">
        <v>1137</v>
      </c>
      <c r="O1416" s="16">
        <v>1658</v>
      </c>
      <c r="P1416" s="16">
        <v>0</v>
      </c>
      <c r="Q1416" s="16">
        <v>3928</v>
      </c>
      <c r="R1416" s="16">
        <v>746</v>
      </c>
      <c r="S1416" s="16">
        <v>2</v>
      </c>
      <c r="T1416" s="111">
        <v>0</v>
      </c>
    </row>
    <row r="1417" spans="1:20" ht="15" customHeight="1" x14ac:dyDescent="0.2">
      <c r="A1417" s="12" t="s">
        <v>3026</v>
      </c>
      <c r="B1417" s="56">
        <v>44223196</v>
      </c>
      <c r="C1417" s="12"/>
      <c r="D1417" s="12"/>
      <c r="E1417" s="12"/>
      <c r="F1417" s="12" t="s">
        <v>265</v>
      </c>
      <c r="G1417" s="33">
        <v>2</v>
      </c>
      <c r="H1417" s="33">
        <v>9</v>
      </c>
      <c r="I1417" s="12" t="s">
        <v>38</v>
      </c>
      <c r="J1417" s="12" t="s">
        <v>39</v>
      </c>
      <c r="K1417" s="73" t="s">
        <v>29</v>
      </c>
      <c r="L1417" s="13">
        <v>5557</v>
      </c>
      <c r="M1417" s="13">
        <v>4269</v>
      </c>
      <c r="N1417" s="13">
        <v>479</v>
      </c>
      <c r="O1417" s="13">
        <v>58</v>
      </c>
      <c r="P1417" s="13">
        <v>0</v>
      </c>
      <c r="Q1417" s="13">
        <v>5500</v>
      </c>
      <c r="R1417" s="13">
        <v>298</v>
      </c>
      <c r="S1417" s="13">
        <v>0</v>
      </c>
      <c r="T1417" s="81">
        <v>0</v>
      </c>
    </row>
    <row r="1418" spans="1:20" ht="15" customHeight="1" x14ac:dyDescent="0.2">
      <c r="A1418" s="15" t="s">
        <v>3027</v>
      </c>
      <c r="B1418" s="60">
        <v>57654096</v>
      </c>
      <c r="C1418" s="15" t="s">
        <v>3028</v>
      </c>
      <c r="D1418" s="15"/>
      <c r="E1418" s="15" t="s">
        <v>3029</v>
      </c>
      <c r="F1418" s="15" t="s">
        <v>84</v>
      </c>
      <c r="G1418" s="34">
        <v>2</v>
      </c>
      <c r="H1418" s="34">
        <v>41</v>
      </c>
      <c r="I1418" s="15" t="s">
        <v>38</v>
      </c>
      <c r="J1418" s="15" t="s">
        <v>39</v>
      </c>
      <c r="K1418" s="74" t="s">
        <v>29</v>
      </c>
      <c r="L1418" s="16">
        <v>5514</v>
      </c>
      <c r="M1418" s="16">
        <v>0</v>
      </c>
      <c r="N1418" s="16">
        <v>5457</v>
      </c>
      <c r="O1418" s="16">
        <v>287</v>
      </c>
      <c r="P1418" s="16">
        <v>0</v>
      </c>
      <c r="Q1418" s="16">
        <v>5227</v>
      </c>
      <c r="R1418" s="16">
        <v>-73</v>
      </c>
      <c r="S1418" s="16">
        <v>1</v>
      </c>
      <c r="T1418" s="111">
        <v>0</v>
      </c>
    </row>
    <row r="1419" spans="1:20" ht="15" customHeight="1" x14ac:dyDescent="0.2">
      <c r="A1419" s="12" t="s">
        <v>3030</v>
      </c>
      <c r="B1419" s="56">
        <v>999403</v>
      </c>
      <c r="C1419" s="12" t="s">
        <v>424</v>
      </c>
      <c r="D1419" s="12" t="s">
        <v>425</v>
      </c>
      <c r="E1419" s="12" t="s">
        <v>426</v>
      </c>
      <c r="F1419" s="12" t="s">
        <v>98</v>
      </c>
      <c r="G1419" s="33">
        <v>2</v>
      </c>
      <c r="H1419" s="33">
        <v>16</v>
      </c>
      <c r="I1419" s="12" t="s">
        <v>38</v>
      </c>
      <c r="J1419" s="12" t="s">
        <v>39</v>
      </c>
      <c r="K1419" s="73" t="s">
        <v>29</v>
      </c>
      <c r="L1419" s="13">
        <v>5507</v>
      </c>
      <c r="M1419" s="13">
        <v>0</v>
      </c>
      <c r="N1419" s="13">
        <v>0</v>
      </c>
      <c r="O1419" s="13">
        <v>64</v>
      </c>
      <c r="P1419" s="13">
        <v>0</v>
      </c>
      <c r="Q1419" s="13">
        <v>5443</v>
      </c>
      <c r="R1419" s="13">
        <v>165</v>
      </c>
      <c r="S1419" s="13">
        <v>2</v>
      </c>
      <c r="T1419" s="81">
        <v>0</v>
      </c>
    </row>
    <row r="1420" spans="1:20" ht="15" customHeight="1" x14ac:dyDescent="0.2">
      <c r="A1420" s="15" t="s">
        <v>3031</v>
      </c>
      <c r="B1420" s="60">
        <v>49933388</v>
      </c>
      <c r="C1420" s="15" t="s">
        <v>3032</v>
      </c>
      <c r="D1420" s="15"/>
      <c r="E1420" s="15" t="s">
        <v>3033</v>
      </c>
      <c r="F1420" s="15" t="s">
        <v>65</v>
      </c>
      <c r="G1420" s="34">
        <v>2</v>
      </c>
      <c r="H1420" s="34">
        <v>43</v>
      </c>
      <c r="I1420" s="15" t="s">
        <v>528</v>
      </c>
      <c r="J1420" s="15" t="s">
        <v>217</v>
      </c>
      <c r="K1420" s="74" t="s">
        <v>29</v>
      </c>
      <c r="L1420" s="16">
        <v>5504</v>
      </c>
      <c r="M1420" s="16">
        <v>0</v>
      </c>
      <c r="N1420" s="16">
        <v>5441</v>
      </c>
      <c r="O1420" s="16">
        <v>69</v>
      </c>
      <c r="P1420" s="16">
        <v>0</v>
      </c>
      <c r="Q1420" s="16">
        <v>5435</v>
      </c>
      <c r="R1420" s="16">
        <v>107</v>
      </c>
      <c r="S1420" s="16">
        <v>2</v>
      </c>
      <c r="T1420" s="111">
        <v>0</v>
      </c>
    </row>
    <row r="1421" spans="1:20" ht="15" customHeight="1" x14ac:dyDescent="0.2">
      <c r="A1421" s="12" t="s">
        <v>3034</v>
      </c>
      <c r="B1421" s="56">
        <v>3422007</v>
      </c>
      <c r="C1421" s="12"/>
      <c r="D1421" s="12"/>
      <c r="E1421" s="12"/>
      <c r="F1421" s="12" t="s">
        <v>265</v>
      </c>
      <c r="G1421" s="33">
        <v>2</v>
      </c>
      <c r="H1421" s="33">
        <v>9</v>
      </c>
      <c r="I1421" s="12" t="s">
        <v>38</v>
      </c>
      <c r="J1421" s="12" t="s">
        <v>39</v>
      </c>
      <c r="K1421" s="73" t="s">
        <v>29</v>
      </c>
      <c r="L1421" s="13">
        <v>5430</v>
      </c>
      <c r="M1421" s="13">
        <v>2428</v>
      </c>
      <c r="N1421" s="13">
        <v>2425</v>
      </c>
      <c r="O1421" s="13">
        <v>3518</v>
      </c>
      <c r="P1421" s="13">
        <v>3124</v>
      </c>
      <c r="Q1421" s="13">
        <v>1912</v>
      </c>
      <c r="R1421" s="13">
        <v>-225</v>
      </c>
      <c r="S1421" s="13">
        <v>0</v>
      </c>
      <c r="T1421" s="81">
        <v>4</v>
      </c>
    </row>
    <row r="1422" spans="1:20" ht="15" customHeight="1" x14ac:dyDescent="0.2">
      <c r="A1422" s="15" t="s">
        <v>3035</v>
      </c>
      <c r="B1422" s="60">
        <v>57707777</v>
      </c>
      <c r="C1422" s="15" t="s">
        <v>3036</v>
      </c>
      <c r="D1422" s="15"/>
      <c r="E1422" s="15" t="s">
        <v>3037</v>
      </c>
      <c r="F1422" s="15" t="s">
        <v>98</v>
      </c>
      <c r="G1422" s="34">
        <v>2</v>
      </c>
      <c r="H1422" s="34">
        <v>15</v>
      </c>
      <c r="I1422" s="15" t="s">
        <v>38</v>
      </c>
      <c r="J1422" s="15" t="s">
        <v>39</v>
      </c>
      <c r="K1422" s="74" t="s">
        <v>29</v>
      </c>
      <c r="L1422" s="16">
        <v>5428</v>
      </c>
      <c r="M1422" s="16">
        <v>0</v>
      </c>
      <c r="N1422" s="16">
        <v>5377</v>
      </c>
      <c r="O1422" s="16">
        <v>2009</v>
      </c>
      <c r="P1422" s="16">
        <v>0</v>
      </c>
      <c r="Q1422" s="16">
        <v>3419</v>
      </c>
      <c r="R1422" s="16">
        <v>-210</v>
      </c>
      <c r="S1422" s="16">
        <v>2</v>
      </c>
      <c r="T1422" s="111">
        <v>0</v>
      </c>
    </row>
    <row r="1423" spans="1:20" ht="15" customHeight="1" x14ac:dyDescent="0.2">
      <c r="A1423" s="12" t="s">
        <v>3038</v>
      </c>
      <c r="B1423" s="56">
        <v>5740092</v>
      </c>
      <c r="C1423" s="12"/>
      <c r="D1423" s="12"/>
      <c r="E1423" s="12"/>
      <c r="F1423" s="12" t="s">
        <v>265</v>
      </c>
      <c r="G1423" s="33">
        <v>2</v>
      </c>
      <c r="H1423" s="33">
        <v>9</v>
      </c>
      <c r="I1423" s="12" t="s">
        <v>255</v>
      </c>
      <c r="J1423" s="12" t="s">
        <v>39</v>
      </c>
      <c r="K1423" s="73" t="s">
        <v>29</v>
      </c>
      <c r="L1423" s="13">
        <v>5399</v>
      </c>
      <c r="M1423" s="13">
        <v>12</v>
      </c>
      <c r="N1423" s="13">
        <v>0</v>
      </c>
      <c r="O1423" s="13">
        <v>867</v>
      </c>
      <c r="P1423" s="13">
        <v>567</v>
      </c>
      <c r="Q1423" s="13">
        <v>4532</v>
      </c>
      <c r="R1423" s="13">
        <v>223</v>
      </c>
      <c r="S1423" s="13">
        <v>0</v>
      </c>
      <c r="T1423" s="81">
        <v>0</v>
      </c>
    </row>
    <row r="1424" spans="1:20" ht="15" customHeight="1" x14ac:dyDescent="0.2">
      <c r="A1424" s="15" t="s">
        <v>3039</v>
      </c>
      <c r="B1424" s="60">
        <v>88952130</v>
      </c>
      <c r="C1424" s="15"/>
      <c r="D1424" s="15"/>
      <c r="E1424" s="15"/>
      <c r="F1424" s="15" t="s">
        <v>265</v>
      </c>
      <c r="G1424" s="34">
        <v>2</v>
      </c>
      <c r="H1424" s="34">
        <v>9</v>
      </c>
      <c r="I1424" s="15" t="s">
        <v>3040</v>
      </c>
      <c r="J1424" s="15" t="s">
        <v>74</v>
      </c>
      <c r="K1424" s="74" t="s">
        <v>29</v>
      </c>
      <c r="L1424" s="16">
        <v>5398</v>
      </c>
      <c r="M1424" s="16">
        <v>1887</v>
      </c>
      <c r="N1424" s="16">
        <v>3383</v>
      </c>
      <c r="O1424" s="16">
        <v>124</v>
      </c>
      <c r="P1424" s="16">
        <v>0</v>
      </c>
      <c r="Q1424" s="16">
        <v>5273</v>
      </c>
      <c r="R1424" s="16">
        <v>154</v>
      </c>
      <c r="S1424" s="16">
        <v>0</v>
      </c>
      <c r="T1424" s="111">
        <v>0</v>
      </c>
    </row>
    <row r="1425" spans="1:20" ht="15" customHeight="1" x14ac:dyDescent="0.2">
      <c r="A1425" s="12" t="s">
        <v>3041</v>
      </c>
      <c r="B1425" s="56">
        <v>40333582</v>
      </c>
      <c r="C1425" s="12" t="s">
        <v>3042</v>
      </c>
      <c r="D1425" s="12"/>
      <c r="E1425" s="12" t="s">
        <v>3043</v>
      </c>
      <c r="F1425" s="12" t="s">
        <v>98</v>
      </c>
      <c r="G1425" s="33">
        <v>2</v>
      </c>
      <c r="H1425" s="33">
        <v>21</v>
      </c>
      <c r="I1425" s="12" t="s">
        <v>1749</v>
      </c>
      <c r="J1425" s="12" t="s">
        <v>39</v>
      </c>
      <c r="K1425" s="73" t="s">
        <v>29</v>
      </c>
      <c r="L1425" s="13">
        <v>5352</v>
      </c>
      <c r="M1425" s="13">
        <v>0</v>
      </c>
      <c r="N1425" s="13">
        <v>356</v>
      </c>
      <c r="O1425" s="13">
        <v>4000</v>
      </c>
      <c r="P1425" s="13">
        <v>0</v>
      </c>
      <c r="Q1425" s="13">
        <v>1352</v>
      </c>
      <c r="R1425" s="13">
        <v>-105</v>
      </c>
      <c r="S1425" s="13">
        <v>2</v>
      </c>
      <c r="T1425" s="81">
        <v>0</v>
      </c>
    </row>
    <row r="1426" spans="1:20" ht="15" customHeight="1" x14ac:dyDescent="0.2">
      <c r="A1426" s="15" t="s">
        <v>3044</v>
      </c>
      <c r="B1426" s="60">
        <v>8323197</v>
      </c>
      <c r="C1426" s="15" t="s">
        <v>3045</v>
      </c>
      <c r="D1426" s="15"/>
      <c r="E1426" s="15" t="s">
        <v>3046</v>
      </c>
      <c r="F1426" s="15" t="s">
        <v>84</v>
      </c>
      <c r="G1426" s="34">
        <v>2</v>
      </c>
      <c r="H1426" s="34">
        <v>41</v>
      </c>
      <c r="I1426" s="15" t="s">
        <v>564</v>
      </c>
      <c r="J1426" s="15" t="s">
        <v>120</v>
      </c>
      <c r="K1426" s="74" t="s">
        <v>29</v>
      </c>
      <c r="L1426" s="16">
        <v>5339</v>
      </c>
      <c r="M1426" s="16">
        <v>0</v>
      </c>
      <c r="N1426" s="16">
        <v>249</v>
      </c>
      <c r="O1426" s="16">
        <v>74</v>
      </c>
      <c r="P1426" s="16">
        <v>0</v>
      </c>
      <c r="Q1426" s="16">
        <v>5265</v>
      </c>
      <c r="R1426" s="16">
        <v>-31</v>
      </c>
      <c r="S1426" s="16">
        <v>1</v>
      </c>
      <c r="T1426" s="111">
        <v>0</v>
      </c>
    </row>
    <row r="1427" spans="1:20" ht="15" customHeight="1" x14ac:dyDescent="0.2">
      <c r="A1427" s="12" t="s">
        <v>3047</v>
      </c>
      <c r="B1427" s="56">
        <v>62264924</v>
      </c>
      <c r="C1427" s="12" t="s">
        <v>3048</v>
      </c>
      <c r="D1427" s="12"/>
      <c r="E1427" s="12" t="s">
        <v>3049</v>
      </c>
      <c r="F1427" s="12" t="s">
        <v>98</v>
      </c>
      <c r="G1427" s="33">
        <v>2</v>
      </c>
      <c r="H1427" s="33">
        <v>16</v>
      </c>
      <c r="I1427" s="12" t="s">
        <v>38</v>
      </c>
      <c r="J1427" s="12" t="s">
        <v>39</v>
      </c>
      <c r="K1427" s="73" t="s">
        <v>29</v>
      </c>
      <c r="L1427" s="13">
        <v>5314</v>
      </c>
      <c r="M1427" s="13">
        <v>0</v>
      </c>
      <c r="N1427" s="13">
        <v>132</v>
      </c>
      <c r="O1427" s="13">
        <v>2439</v>
      </c>
      <c r="P1427" s="13">
        <v>0</v>
      </c>
      <c r="Q1427" s="13">
        <v>2876</v>
      </c>
      <c r="R1427" s="13">
        <v>2346</v>
      </c>
      <c r="S1427" s="13">
        <v>2</v>
      </c>
      <c r="T1427" s="81">
        <v>0</v>
      </c>
    </row>
    <row r="1428" spans="1:20" ht="15" customHeight="1" x14ac:dyDescent="0.2">
      <c r="A1428" s="15" t="s">
        <v>3050</v>
      </c>
      <c r="B1428" s="60">
        <v>44564204</v>
      </c>
      <c r="C1428" s="15" t="s">
        <v>3051</v>
      </c>
      <c r="D1428" s="15"/>
      <c r="E1428" s="15" t="s">
        <v>3052</v>
      </c>
      <c r="F1428" s="15" t="s">
        <v>65</v>
      </c>
      <c r="G1428" s="34">
        <v>2</v>
      </c>
      <c r="H1428" s="34">
        <v>43</v>
      </c>
      <c r="I1428" s="15" t="s">
        <v>143</v>
      </c>
      <c r="J1428" s="15" t="s">
        <v>144</v>
      </c>
      <c r="K1428" s="74" t="s">
        <v>29</v>
      </c>
      <c r="L1428" s="16">
        <v>5265</v>
      </c>
      <c r="M1428" s="16">
        <v>3119</v>
      </c>
      <c r="N1428" s="16">
        <v>2139</v>
      </c>
      <c r="O1428" s="16">
        <v>907</v>
      </c>
      <c r="P1428" s="16">
        <v>0</v>
      </c>
      <c r="Q1428" s="16">
        <v>4358</v>
      </c>
      <c r="R1428" s="16">
        <v>357</v>
      </c>
      <c r="S1428" s="16">
        <v>2</v>
      </c>
      <c r="T1428" s="111">
        <v>0</v>
      </c>
    </row>
    <row r="1429" spans="1:20" ht="15" customHeight="1" x14ac:dyDescent="0.2">
      <c r="A1429" s="12" t="s">
        <v>3053</v>
      </c>
      <c r="B1429" s="56">
        <v>3990888</v>
      </c>
      <c r="C1429" s="12"/>
      <c r="D1429" s="12"/>
      <c r="E1429" s="12"/>
      <c r="F1429" s="12" t="s">
        <v>265</v>
      </c>
      <c r="G1429" s="33">
        <v>2</v>
      </c>
      <c r="H1429" s="33">
        <v>9</v>
      </c>
      <c r="I1429" s="12" t="s">
        <v>73</v>
      </c>
      <c r="J1429" s="12" t="s">
        <v>74</v>
      </c>
      <c r="K1429" s="73" t="s">
        <v>29</v>
      </c>
      <c r="L1429" s="13">
        <v>5225</v>
      </c>
      <c r="M1429" s="13">
        <v>3222</v>
      </c>
      <c r="N1429" s="13">
        <v>0</v>
      </c>
      <c r="O1429" s="13">
        <v>560</v>
      </c>
      <c r="P1429" s="13">
        <v>0</v>
      </c>
      <c r="Q1429" s="13">
        <v>4665</v>
      </c>
      <c r="R1429" s="13">
        <v>-130</v>
      </c>
      <c r="S1429" s="13">
        <v>0</v>
      </c>
      <c r="T1429" s="81">
        <v>0</v>
      </c>
    </row>
    <row r="1430" spans="1:20" ht="15" customHeight="1" x14ac:dyDescent="0.2">
      <c r="A1430" s="15" t="s">
        <v>3054</v>
      </c>
      <c r="B1430" s="60">
        <v>69136075</v>
      </c>
      <c r="C1430" s="15"/>
      <c r="D1430" s="15"/>
      <c r="E1430" s="15"/>
      <c r="F1430" s="15" t="s">
        <v>265</v>
      </c>
      <c r="G1430" s="34">
        <v>2</v>
      </c>
      <c r="H1430" s="34">
        <v>9</v>
      </c>
      <c r="I1430" s="15" t="s">
        <v>1180</v>
      </c>
      <c r="J1430" s="15" t="s">
        <v>39</v>
      </c>
      <c r="K1430" s="74" t="s">
        <v>29</v>
      </c>
      <c r="L1430" s="16">
        <v>5209</v>
      </c>
      <c r="M1430" s="16">
        <v>2256</v>
      </c>
      <c r="N1430" s="16">
        <v>2497</v>
      </c>
      <c r="O1430" s="16">
        <v>887</v>
      </c>
      <c r="P1430" s="16">
        <v>662</v>
      </c>
      <c r="Q1430" s="16">
        <v>4322</v>
      </c>
      <c r="R1430" s="16">
        <v>143</v>
      </c>
      <c r="S1430" s="16">
        <v>0</v>
      </c>
      <c r="T1430" s="111">
        <v>0</v>
      </c>
    </row>
    <row r="1431" spans="1:20" ht="15" customHeight="1" x14ac:dyDescent="0.2">
      <c r="A1431" s="12" t="s">
        <v>3055</v>
      </c>
      <c r="B1431" s="56">
        <v>62667674</v>
      </c>
      <c r="C1431" s="12" t="s">
        <v>1495</v>
      </c>
      <c r="D1431" s="12" t="s">
        <v>1496</v>
      </c>
      <c r="E1431" s="12" t="s">
        <v>1496</v>
      </c>
      <c r="F1431" s="12" t="s">
        <v>98</v>
      </c>
      <c r="G1431" s="33">
        <v>2</v>
      </c>
      <c r="H1431" s="33">
        <v>16</v>
      </c>
      <c r="I1431" s="12" t="s">
        <v>73</v>
      </c>
      <c r="J1431" s="12" t="s">
        <v>74</v>
      </c>
      <c r="K1431" s="73" t="s">
        <v>29</v>
      </c>
      <c r="L1431" s="13">
        <v>5194</v>
      </c>
      <c r="M1431" s="13">
        <v>0</v>
      </c>
      <c r="N1431" s="13">
        <v>3826</v>
      </c>
      <c r="O1431" s="13">
        <v>74</v>
      </c>
      <c r="P1431" s="13">
        <v>0</v>
      </c>
      <c r="Q1431" s="13">
        <v>5120</v>
      </c>
      <c r="R1431" s="13">
        <v>-247</v>
      </c>
      <c r="S1431" s="13">
        <v>2</v>
      </c>
      <c r="T1431" s="81">
        <v>0</v>
      </c>
    </row>
    <row r="1432" spans="1:20" ht="15" customHeight="1" x14ac:dyDescent="0.2">
      <c r="A1432" s="15" t="s">
        <v>3056</v>
      </c>
      <c r="B1432" s="60">
        <v>72952138</v>
      </c>
      <c r="C1432" s="15"/>
      <c r="D1432" s="15"/>
      <c r="E1432" s="15"/>
      <c r="F1432" s="15" t="s">
        <v>265</v>
      </c>
      <c r="G1432" s="34">
        <v>2</v>
      </c>
      <c r="H1432" s="34">
        <v>9</v>
      </c>
      <c r="I1432" s="15" t="s">
        <v>3057</v>
      </c>
      <c r="J1432" s="15" t="s">
        <v>39</v>
      </c>
      <c r="K1432" s="74" t="s">
        <v>29</v>
      </c>
      <c r="L1432" s="16">
        <v>5053</v>
      </c>
      <c r="M1432" s="16">
        <v>2528</v>
      </c>
      <c r="N1432" s="16">
        <v>2430</v>
      </c>
      <c r="O1432" s="16">
        <v>254</v>
      </c>
      <c r="P1432" s="16">
        <v>0</v>
      </c>
      <c r="Q1432" s="16">
        <v>4799</v>
      </c>
      <c r="R1432" s="16">
        <v>193</v>
      </c>
      <c r="S1432" s="16">
        <v>0</v>
      </c>
      <c r="T1432" s="111">
        <v>0</v>
      </c>
    </row>
    <row r="1433" spans="1:20" ht="15" customHeight="1" x14ac:dyDescent="0.2">
      <c r="A1433" s="12" t="s">
        <v>3058</v>
      </c>
      <c r="B1433" s="56">
        <v>50286774</v>
      </c>
      <c r="C1433" s="12" t="s">
        <v>3059</v>
      </c>
      <c r="D1433" s="12"/>
      <c r="E1433" s="12" t="s">
        <v>3060</v>
      </c>
      <c r="F1433" s="12" t="s">
        <v>98</v>
      </c>
      <c r="G1433" s="33">
        <v>2</v>
      </c>
      <c r="H1433" s="33">
        <v>16</v>
      </c>
      <c r="I1433" s="12" t="s">
        <v>38</v>
      </c>
      <c r="J1433" s="12" t="s">
        <v>39</v>
      </c>
      <c r="K1433" s="73" t="s">
        <v>29</v>
      </c>
      <c r="L1433" s="13">
        <v>5036</v>
      </c>
      <c r="M1433" s="13">
        <v>0</v>
      </c>
      <c r="N1433" s="13">
        <v>1364</v>
      </c>
      <c r="O1433" s="13">
        <v>867</v>
      </c>
      <c r="P1433" s="13">
        <v>489</v>
      </c>
      <c r="Q1433" s="13">
        <v>4170</v>
      </c>
      <c r="R1433" s="13">
        <v>118</v>
      </c>
      <c r="S1433" s="13">
        <v>2</v>
      </c>
      <c r="T1433" s="81">
        <v>0</v>
      </c>
    </row>
    <row r="1434" spans="1:20" ht="15" customHeight="1" x14ac:dyDescent="0.2">
      <c r="A1434" s="15" t="s">
        <v>3061</v>
      </c>
      <c r="B1434" s="60">
        <v>57996878</v>
      </c>
      <c r="C1434" s="15"/>
      <c r="D1434" s="15"/>
      <c r="E1434" s="15"/>
      <c r="F1434" s="15" t="s">
        <v>265</v>
      </c>
      <c r="G1434" s="34">
        <v>2</v>
      </c>
      <c r="H1434" s="34">
        <v>9</v>
      </c>
      <c r="I1434" s="15" t="s">
        <v>2871</v>
      </c>
      <c r="J1434" s="15" t="s">
        <v>39</v>
      </c>
      <c r="K1434" s="74" t="s">
        <v>29</v>
      </c>
      <c r="L1434" s="16">
        <v>4982</v>
      </c>
      <c r="M1434" s="16">
        <v>2101</v>
      </c>
      <c r="N1434" s="16">
        <v>1737</v>
      </c>
      <c r="O1434" s="16">
        <v>614</v>
      </c>
      <c r="P1434" s="16">
        <v>0</v>
      </c>
      <c r="Q1434" s="16">
        <v>4369</v>
      </c>
      <c r="R1434" s="16">
        <v>-59</v>
      </c>
      <c r="S1434" s="16">
        <v>0</v>
      </c>
      <c r="T1434" s="111">
        <v>0</v>
      </c>
    </row>
    <row r="1435" spans="1:20" ht="15" customHeight="1" x14ac:dyDescent="0.2">
      <c r="A1435" s="12" t="s">
        <v>3062</v>
      </c>
      <c r="B1435" s="56">
        <v>512839</v>
      </c>
      <c r="C1435" s="12"/>
      <c r="D1435" s="12"/>
      <c r="E1435" s="12"/>
      <c r="F1435" s="12" t="s">
        <v>265</v>
      </c>
      <c r="G1435" s="33">
        <v>2</v>
      </c>
      <c r="H1435" s="33">
        <v>9</v>
      </c>
      <c r="I1435" s="12" t="s">
        <v>1846</v>
      </c>
      <c r="J1435" s="12" t="s">
        <v>39</v>
      </c>
      <c r="K1435" s="73" t="s">
        <v>29</v>
      </c>
      <c r="L1435" s="13">
        <v>4935</v>
      </c>
      <c r="M1435" s="13">
        <v>4232</v>
      </c>
      <c r="N1435" s="13">
        <v>64</v>
      </c>
      <c r="O1435" s="13">
        <v>2502</v>
      </c>
      <c r="P1435" s="13">
        <v>2399</v>
      </c>
      <c r="Q1435" s="13">
        <v>2433</v>
      </c>
      <c r="R1435" s="13">
        <v>-723</v>
      </c>
      <c r="S1435" s="13">
        <v>0</v>
      </c>
      <c r="T1435" s="81">
        <v>0</v>
      </c>
    </row>
    <row r="1436" spans="1:20" ht="15" customHeight="1" x14ac:dyDescent="0.2">
      <c r="A1436" s="15" t="s">
        <v>3063</v>
      </c>
      <c r="B1436" s="60">
        <v>57523215</v>
      </c>
      <c r="C1436" s="15" t="s">
        <v>3064</v>
      </c>
      <c r="D1436" s="15"/>
      <c r="E1436" s="15" t="s">
        <v>3065</v>
      </c>
      <c r="F1436" s="15" t="s">
        <v>65</v>
      </c>
      <c r="G1436" s="34">
        <v>2</v>
      </c>
      <c r="H1436" s="34">
        <v>43</v>
      </c>
      <c r="I1436" s="15" t="s">
        <v>38</v>
      </c>
      <c r="J1436" s="15" t="s">
        <v>39</v>
      </c>
      <c r="K1436" s="74" t="s">
        <v>29</v>
      </c>
      <c r="L1436" s="16">
        <v>4854</v>
      </c>
      <c r="M1436" s="16">
        <v>215</v>
      </c>
      <c r="N1436" s="16">
        <v>2</v>
      </c>
      <c r="O1436" s="16">
        <v>186</v>
      </c>
      <c r="P1436" s="16">
        <v>0</v>
      </c>
      <c r="Q1436" s="16">
        <v>4668</v>
      </c>
      <c r="R1436" s="16">
        <v>-862</v>
      </c>
      <c r="S1436" s="16">
        <v>2</v>
      </c>
      <c r="T1436" s="111">
        <v>0</v>
      </c>
    </row>
    <row r="1437" spans="1:20" ht="15" customHeight="1" x14ac:dyDescent="0.2">
      <c r="A1437" s="12" t="s">
        <v>3066</v>
      </c>
      <c r="B1437" s="56">
        <v>7945233</v>
      </c>
      <c r="C1437" s="12" t="s">
        <v>1881</v>
      </c>
      <c r="D1437" s="12"/>
      <c r="E1437" s="12" t="s">
        <v>1882</v>
      </c>
      <c r="F1437" s="12" t="s">
        <v>65</v>
      </c>
      <c r="G1437" s="33">
        <v>3</v>
      </c>
      <c r="H1437" s="33">
        <v>10</v>
      </c>
      <c r="I1437" s="12" t="s">
        <v>38</v>
      </c>
      <c r="J1437" s="12" t="s">
        <v>39</v>
      </c>
      <c r="K1437" s="73" t="s">
        <v>29</v>
      </c>
      <c r="L1437" s="13">
        <v>4622</v>
      </c>
      <c r="M1437" s="13">
        <v>102</v>
      </c>
      <c r="N1437" s="13">
        <v>0</v>
      </c>
      <c r="O1437" s="13">
        <v>293</v>
      </c>
      <c r="P1437" s="13">
        <v>0</v>
      </c>
      <c r="Q1437" s="13">
        <v>4329</v>
      </c>
      <c r="R1437" s="13">
        <v>-162</v>
      </c>
      <c r="S1437" s="13">
        <v>2</v>
      </c>
      <c r="T1437" s="81">
        <v>0</v>
      </c>
    </row>
    <row r="1438" spans="1:20" ht="15" customHeight="1" x14ac:dyDescent="0.2">
      <c r="A1438" s="15" t="s">
        <v>3067</v>
      </c>
      <c r="B1438" s="60">
        <v>51118718</v>
      </c>
      <c r="C1438" s="15" t="s">
        <v>1959</v>
      </c>
      <c r="D1438" s="15"/>
      <c r="E1438" s="15" t="s">
        <v>1960</v>
      </c>
      <c r="F1438" s="15" t="s">
        <v>65</v>
      </c>
      <c r="G1438" s="34">
        <v>3</v>
      </c>
      <c r="H1438" s="34">
        <v>43</v>
      </c>
      <c r="I1438" s="15" t="s">
        <v>38</v>
      </c>
      <c r="J1438" s="15" t="s">
        <v>39</v>
      </c>
      <c r="K1438" s="74" t="s">
        <v>29</v>
      </c>
      <c r="L1438" s="16">
        <v>4529</v>
      </c>
      <c r="M1438" s="16">
        <v>0</v>
      </c>
      <c r="N1438" s="16">
        <v>0</v>
      </c>
      <c r="O1438" s="16">
        <v>46</v>
      </c>
      <c r="P1438" s="16">
        <v>0</v>
      </c>
      <c r="Q1438" s="16">
        <v>4483</v>
      </c>
      <c r="R1438" s="16">
        <v>-128</v>
      </c>
      <c r="S1438" s="16">
        <v>2</v>
      </c>
      <c r="T1438" s="111">
        <v>0</v>
      </c>
    </row>
    <row r="1439" spans="1:20" ht="15" customHeight="1" x14ac:dyDescent="0.2">
      <c r="A1439" s="12" t="s">
        <v>3068</v>
      </c>
      <c r="B1439" s="56">
        <v>62198637</v>
      </c>
      <c r="C1439" s="12" t="s">
        <v>3069</v>
      </c>
      <c r="D1439" s="12"/>
      <c r="E1439" s="12" t="s">
        <v>3070</v>
      </c>
      <c r="F1439" s="12" t="s">
        <v>65</v>
      </c>
      <c r="G1439" s="33">
        <v>2</v>
      </c>
      <c r="H1439" s="33">
        <v>43</v>
      </c>
      <c r="I1439" s="12" t="s">
        <v>53</v>
      </c>
      <c r="J1439" s="12" t="s">
        <v>54</v>
      </c>
      <c r="K1439" s="73" t="s">
        <v>29</v>
      </c>
      <c r="L1439" s="13">
        <v>4516</v>
      </c>
      <c r="M1439" s="13">
        <v>0</v>
      </c>
      <c r="N1439" s="13">
        <v>3685</v>
      </c>
      <c r="O1439" s="13">
        <v>141</v>
      </c>
      <c r="P1439" s="13">
        <v>0</v>
      </c>
      <c r="Q1439" s="13">
        <v>4376</v>
      </c>
      <c r="R1439" s="13">
        <v>870</v>
      </c>
      <c r="S1439" s="13">
        <v>2</v>
      </c>
      <c r="T1439" s="81">
        <v>0</v>
      </c>
    </row>
    <row r="1440" spans="1:20" ht="15" customHeight="1" x14ac:dyDescent="0.2">
      <c r="A1440" s="15" t="s">
        <v>3071</v>
      </c>
      <c r="B1440" s="60">
        <v>52690487</v>
      </c>
      <c r="C1440" s="15" t="s">
        <v>3072</v>
      </c>
      <c r="D1440" s="15"/>
      <c r="E1440" s="15" t="s">
        <v>3073</v>
      </c>
      <c r="F1440" s="15" t="s">
        <v>65</v>
      </c>
      <c r="G1440" s="34">
        <v>2</v>
      </c>
      <c r="H1440" s="34">
        <v>44</v>
      </c>
      <c r="I1440" s="15" t="s">
        <v>132</v>
      </c>
      <c r="J1440" s="15" t="s">
        <v>133</v>
      </c>
      <c r="K1440" s="74" t="s">
        <v>29</v>
      </c>
      <c r="L1440" s="16">
        <v>4496</v>
      </c>
      <c r="M1440" s="16">
        <v>0</v>
      </c>
      <c r="N1440" s="16">
        <v>4417</v>
      </c>
      <c r="O1440" s="16">
        <v>32</v>
      </c>
      <c r="P1440" s="16">
        <v>0</v>
      </c>
      <c r="Q1440" s="16">
        <v>4464</v>
      </c>
      <c r="R1440" s="16">
        <v>0</v>
      </c>
      <c r="S1440" s="16">
        <v>2</v>
      </c>
      <c r="T1440" s="111">
        <v>0</v>
      </c>
    </row>
    <row r="1441" spans="1:20" ht="15" customHeight="1" x14ac:dyDescent="0.2">
      <c r="A1441" s="12" t="s">
        <v>3074</v>
      </c>
      <c r="B1441" s="56">
        <v>59149941</v>
      </c>
      <c r="C1441" s="12" t="s">
        <v>56</v>
      </c>
      <c r="D1441" s="12" t="s">
        <v>57</v>
      </c>
      <c r="E1441" s="12" t="s">
        <v>58</v>
      </c>
      <c r="F1441" s="12" t="s">
        <v>65</v>
      </c>
      <c r="G1441" s="33">
        <v>2</v>
      </c>
      <c r="H1441" s="33">
        <v>43</v>
      </c>
      <c r="I1441" s="12" t="s">
        <v>53</v>
      </c>
      <c r="J1441" s="12" t="s">
        <v>54</v>
      </c>
      <c r="K1441" s="73" t="s">
        <v>29</v>
      </c>
      <c r="L1441" s="13">
        <v>4480</v>
      </c>
      <c r="M1441" s="13">
        <v>0</v>
      </c>
      <c r="N1441" s="13">
        <v>0</v>
      </c>
      <c r="O1441" s="13">
        <v>7</v>
      </c>
      <c r="P1441" s="13">
        <v>0</v>
      </c>
      <c r="Q1441" s="13">
        <v>4473</v>
      </c>
      <c r="R1441" s="13">
        <v>-157</v>
      </c>
      <c r="S1441" s="13">
        <v>2</v>
      </c>
      <c r="T1441" s="81">
        <v>0</v>
      </c>
    </row>
    <row r="1442" spans="1:20" ht="15" customHeight="1" x14ac:dyDescent="0.2">
      <c r="A1442" s="15" t="s">
        <v>3075</v>
      </c>
      <c r="B1442" s="60">
        <v>21130869</v>
      </c>
      <c r="C1442" s="15"/>
      <c r="D1442" s="15"/>
      <c r="E1442" s="15"/>
      <c r="F1442" s="15" t="s">
        <v>265</v>
      </c>
      <c r="G1442" s="34">
        <v>2</v>
      </c>
      <c r="H1442" s="34">
        <v>9</v>
      </c>
      <c r="I1442" s="15" t="s">
        <v>119</v>
      </c>
      <c r="J1442" s="15" t="s">
        <v>120</v>
      </c>
      <c r="K1442" s="74" t="s">
        <v>29</v>
      </c>
      <c r="L1442" s="16">
        <v>4385</v>
      </c>
      <c r="M1442" s="16">
        <v>787</v>
      </c>
      <c r="N1442" s="16">
        <v>3236</v>
      </c>
      <c r="O1442" s="16">
        <v>737</v>
      </c>
      <c r="P1442" s="16">
        <v>0</v>
      </c>
      <c r="Q1442" s="16">
        <v>3648</v>
      </c>
      <c r="R1442" s="16">
        <v>-145</v>
      </c>
      <c r="S1442" s="16">
        <v>0</v>
      </c>
      <c r="T1442" s="111">
        <v>0</v>
      </c>
    </row>
    <row r="1443" spans="1:20" ht="15" customHeight="1" x14ac:dyDescent="0.2">
      <c r="A1443" s="12" t="s">
        <v>3076</v>
      </c>
      <c r="B1443" s="56">
        <v>48703302</v>
      </c>
      <c r="C1443" s="12" t="s">
        <v>3077</v>
      </c>
      <c r="D1443" s="12"/>
      <c r="E1443" s="12" t="s">
        <v>3078</v>
      </c>
      <c r="F1443" s="12" t="s">
        <v>65</v>
      </c>
      <c r="G1443" s="33">
        <v>2</v>
      </c>
      <c r="H1443" s="33">
        <v>43</v>
      </c>
      <c r="I1443" s="12" t="s">
        <v>216</v>
      </c>
      <c r="J1443" s="12" t="s">
        <v>217</v>
      </c>
      <c r="K1443" s="73" t="s">
        <v>29</v>
      </c>
      <c r="L1443" s="13">
        <v>4222</v>
      </c>
      <c r="M1443" s="13">
        <v>0</v>
      </c>
      <c r="N1443" s="13">
        <v>1448</v>
      </c>
      <c r="O1443" s="13">
        <v>304</v>
      </c>
      <c r="P1443" s="13">
        <v>0</v>
      </c>
      <c r="Q1443" s="13">
        <v>3918</v>
      </c>
      <c r="R1443" s="13">
        <v>125</v>
      </c>
      <c r="S1443" s="13">
        <v>2</v>
      </c>
      <c r="T1443" s="81">
        <v>0</v>
      </c>
    </row>
    <row r="1444" spans="1:20" ht="15" customHeight="1" x14ac:dyDescent="0.2">
      <c r="A1444" s="15" t="s">
        <v>3079</v>
      </c>
      <c r="B1444" s="60">
        <v>31746993</v>
      </c>
      <c r="C1444" s="15"/>
      <c r="D1444" s="15"/>
      <c r="E1444" s="15"/>
      <c r="F1444" s="15" t="s">
        <v>265</v>
      </c>
      <c r="G1444" s="34">
        <v>2</v>
      </c>
      <c r="H1444" s="34">
        <v>9</v>
      </c>
      <c r="I1444" s="15" t="s">
        <v>479</v>
      </c>
      <c r="J1444" s="15" t="s">
        <v>183</v>
      </c>
      <c r="K1444" s="74" t="s">
        <v>29</v>
      </c>
      <c r="L1444" s="16">
        <v>4211</v>
      </c>
      <c r="M1444" s="16">
        <v>3923</v>
      </c>
      <c r="N1444" s="16">
        <v>44</v>
      </c>
      <c r="O1444" s="16">
        <v>207</v>
      </c>
      <c r="P1444" s="16">
        <v>0</v>
      </c>
      <c r="Q1444" s="16">
        <v>4004</v>
      </c>
      <c r="R1444" s="16">
        <v>84</v>
      </c>
      <c r="S1444" s="16">
        <v>0</v>
      </c>
      <c r="T1444" s="111">
        <v>0</v>
      </c>
    </row>
    <row r="1445" spans="1:20" ht="15" customHeight="1" x14ac:dyDescent="0.2">
      <c r="A1445" s="12" t="s">
        <v>3080</v>
      </c>
      <c r="B1445" s="56">
        <v>48721937</v>
      </c>
      <c r="C1445" s="12" t="s">
        <v>3081</v>
      </c>
      <c r="D1445" s="12"/>
      <c r="E1445" s="12" t="s">
        <v>3082</v>
      </c>
      <c r="F1445" s="12" t="s">
        <v>65</v>
      </c>
      <c r="G1445" s="33">
        <v>2</v>
      </c>
      <c r="H1445" s="33">
        <v>43</v>
      </c>
      <c r="I1445" s="12" t="s">
        <v>564</v>
      </c>
      <c r="J1445" s="12" t="s">
        <v>120</v>
      </c>
      <c r="K1445" s="73" t="s">
        <v>29</v>
      </c>
      <c r="L1445" s="13">
        <v>4196</v>
      </c>
      <c r="M1445" s="13">
        <v>19</v>
      </c>
      <c r="N1445" s="13">
        <v>0</v>
      </c>
      <c r="O1445" s="13">
        <v>321</v>
      </c>
      <c r="P1445" s="13">
        <v>0</v>
      </c>
      <c r="Q1445" s="13">
        <v>3875</v>
      </c>
      <c r="R1445" s="13">
        <v>-26</v>
      </c>
      <c r="S1445" s="13">
        <v>2</v>
      </c>
      <c r="T1445" s="81">
        <v>0</v>
      </c>
    </row>
    <row r="1446" spans="1:20" ht="15" customHeight="1" x14ac:dyDescent="0.2">
      <c r="A1446" s="15" t="s">
        <v>3083</v>
      </c>
      <c r="B1446" s="60">
        <v>67031757</v>
      </c>
      <c r="C1446" s="15"/>
      <c r="D1446" s="15"/>
      <c r="E1446" s="15"/>
      <c r="F1446" s="15" t="s">
        <v>265</v>
      </c>
      <c r="G1446" s="34">
        <v>2</v>
      </c>
      <c r="H1446" s="34">
        <v>9</v>
      </c>
      <c r="I1446" s="15" t="s">
        <v>38</v>
      </c>
      <c r="J1446" s="15" t="s">
        <v>39</v>
      </c>
      <c r="K1446" s="74" t="s">
        <v>29</v>
      </c>
      <c r="L1446" s="16">
        <v>4182</v>
      </c>
      <c r="M1446" s="16">
        <v>448</v>
      </c>
      <c r="N1446" s="16">
        <v>3629</v>
      </c>
      <c r="O1446" s="16">
        <v>198</v>
      </c>
      <c r="P1446" s="16">
        <v>0</v>
      </c>
      <c r="Q1446" s="16">
        <v>3984</v>
      </c>
      <c r="R1446" s="16">
        <v>50</v>
      </c>
      <c r="S1446" s="16">
        <v>0</v>
      </c>
      <c r="T1446" s="111">
        <v>0</v>
      </c>
    </row>
    <row r="1447" spans="1:20" ht="15" customHeight="1" x14ac:dyDescent="0.2">
      <c r="A1447" s="12" t="s">
        <v>3084</v>
      </c>
      <c r="B1447" s="56">
        <v>55251092</v>
      </c>
      <c r="C1447" s="12" t="s">
        <v>3085</v>
      </c>
      <c r="D1447" s="12"/>
      <c r="E1447" s="12" t="s">
        <v>3086</v>
      </c>
      <c r="F1447" s="12" t="s">
        <v>84</v>
      </c>
      <c r="G1447" s="33">
        <v>2</v>
      </c>
      <c r="H1447" s="33">
        <v>41</v>
      </c>
      <c r="I1447" s="12" t="s">
        <v>73</v>
      </c>
      <c r="J1447" s="12" t="s">
        <v>74</v>
      </c>
      <c r="K1447" s="73" t="s">
        <v>29</v>
      </c>
      <c r="L1447" s="13">
        <v>4150</v>
      </c>
      <c r="M1447" s="13">
        <v>0</v>
      </c>
      <c r="N1447" s="13">
        <v>4139</v>
      </c>
      <c r="O1447" s="13">
        <v>7</v>
      </c>
      <c r="P1447" s="13">
        <v>0</v>
      </c>
      <c r="Q1447" s="13">
        <v>4143</v>
      </c>
      <c r="R1447" s="13">
        <v>88</v>
      </c>
      <c r="S1447" s="13">
        <v>1</v>
      </c>
      <c r="T1447" s="81">
        <v>0</v>
      </c>
    </row>
    <row r="1448" spans="1:20" ht="15" customHeight="1" x14ac:dyDescent="0.2">
      <c r="A1448" s="15" t="s">
        <v>3087</v>
      </c>
      <c r="B1448" s="60">
        <v>46130566</v>
      </c>
      <c r="C1448" s="15" t="s">
        <v>3088</v>
      </c>
      <c r="D1448" s="15"/>
      <c r="E1448" s="15" t="s">
        <v>3089</v>
      </c>
      <c r="F1448" s="15" t="s">
        <v>65</v>
      </c>
      <c r="G1448" s="34">
        <v>2</v>
      </c>
      <c r="H1448" s="34">
        <v>43</v>
      </c>
      <c r="I1448" s="15" t="s">
        <v>53</v>
      </c>
      <c r="J1448" s="15" t="s">
        <v>54</v>
      </c>
      <c r="K1448" s="74" t="s">
        <v>29</v>
      </c>
      <c r="L1448" s="16">
        <v>4127</v>
      </c>
      <c r="M1448" s="16">
        <v>623</v>
      </c>
      <c r="N1448" s="16">
        <v>3324</v>
      </c>
      <c r="O1448" s="16">
        <v>65</v>
      </c>
      <c r="P1448" s="16">
        <v>0</v>
      </c>
      <c r="Q1448" s="16">
        <v>4062</v>
      </c>
      <c r="R1448" s="16">
        <v>-222</v>
      </c>
      <c r="S1448" s="16">
        <v>2</v>
      </c>
      <c r="T1448" s="111">
        <v>0</v>
      </c>
    </row>
    <row r="1449" spans="1:20" ht="15" customHeight="1" x14ac:dyDescent="0.2">
      <c r="A1449" s="12" t="s">
        <v>3090</v>
      </c>
      <c r="B1449" s="56">
        <v>51834986</v>
      </c>
      <c r="C1449" s="12" t="s">
        <v>3091</v>
      </c>
      <c r="D1449" s="12"/>
      <c r="E1449" s="12" t="s">
        <v>3092</v>
      </c>
      <c r="F1449" s="12" t="s">
        <v>65</v>
      </c>
      <c r="G1449" s="33">
        <v>2</v>
      </c>
      <c r="H1449" s="33">
        <v>43</v>
      </c>
      <c r="I1449" s="12" t="s">
        <v>3093</v>
      </c>
      <c r="J1449" s="12" t="s">
        <v>229</v>
      </c>
      <c r="K1449" s="73" t="s">
        <v>29</v>
      </c>
      <c r="L1449" s="13">
        <v>4121</v>
      </c>
      <c r="M1449" s="13">
        <v>136</v>
      </c>
      <c r="N1449" s="13">
        <v>3486</v>
      </c>
      <c r="O1449" s="13">
        <v>4</v>
      </c>
      <c r="P1449" s="13">
        <v>0</v>
      </c>
      <c r="Q1449" s="13">
        <v>4117</v>
      </c>
      <c r="R1449" s="13">
        <v>-27</v>
      </c>
      <c r="S1449" s="13">
        <v>2</v>
      </c>
      <c r="T1449" s="81">
        <v>0</v>
      </c>
    </row>
    <row r="1450" spans="1:20" ht="15" customHeight="1" x14ac:dyDescent="0.2">
      <c r="A1450" s="15" t="s">
        <v>3094</v>
      </c>
      <c r="B1450" s="60">
        <v>49035310</v>
      </c>
      <c r="C1450" s="15" t="s">
        <v>3095</v>
      </c>
      <c r="D1450" s="15"/>
      <c r="E1450" s="15" t="s">
        <v>3096</v>
      </c>
      <c r="F1450" s="15" t="s">
        <v>65</v>
      </c>
      <c r="G1450" s="34">
        <v>2</v>
      </c>
      <c r="H1450" s="34">
        <v>43</v>
      </c>
      <c r="I1450" s="15" t="s">
        <v>2340</v>
      </c>
      <c r="J1450" s="15" t="s">
        <v>74</v>
      </c>
      <c r="K1450" s="74" t="s">
        <v>29</v>
      </c>
      <c r="L1450" s="16">
        <v>4094</v>
      </c>
      <c r="M1450" s="16">
        <v>557</v>
      </c>
      <c r="N1450" s="16">
        <v>0</v>
      </c>
      <c r="O1450" s="16">
        <v>49</v>
      </c>
      <c r="P1450" s="16">
        <v>0</v>
      </c>
      <c r="Q1450" s="16">
        <v>4045</v>
      </c>
      <c r="R1450" s="16">
        <v>-328</v>
      </c>
      <c r="S1450" s="16">
        <v>2</v>
      </c>
      <c r="T1450" s="111">
        <v>0</v>
      </c>
    </row>
    <row r="1451" spans="1:20" ht="15" customHeight="1" x14ac:dyDescent="0.2">
      <c r="A1451" s="12" t="s">
        <v>3097</v>
      </c>
      <c r="B1451" s="56">
        <v>46996177</v>
      </c>
      <c r="C1451" s="12" t="s">
        <v>1741</v>
      </c>
      <c r="D1451" s="12"/>
      <c r="E1451" s="12" t="s">
        <v>1742</v>
      </c>
      <c r="F1451" s="12" t="s">
        <v>84</v>
      </c>
      <c r="G1451" s="33">
        <v>3</v>
      </c>
      <c r="H1451" s="33">
        <v>41</v>
      </c>
      <c r="I1451" s="12" t="s">
        <v>228</v>
      </c>
      <c r="J1451" s="12" t="s">
        <v>229</v>
      </c>
      <c r="K1451" s="73" t="s">
        <v>29</v>
      </c>
      <c r="L1451" s="13">
        <v>4060</v>
      </c>
      <c r="M1451" s="13">
        <v>0</v>
      </c>
      <c r="N1451" s="13">
        <v>3807</v>
      </c>
      <c r="O1451" s="13">
        <v>78</v>
      </c>
      <c r="P1451" s="13">
        <v>0</v>
      </c>
      <c r="Q1451" s="13">
        <v>3982</v>
      </c>
      <c r="R1451" s="13">
        <v>133</v>
      </c>
      <c r="S1451" s="13">
        <v>1</v>
      </c>
      <c r="T1451" s="81">
        <v>0</v>
      </c>
    </row>
    <row r="1452" spans="1:20" ht="15" customHeight="1" x14ac:dyDescent="0.2">
      <c r="A1452" s="15" t="s">
        <v>3098</v>
      </c>
      <c r="B1452" s="60">
        <v>62237649</v>
      </c>
      <c r="C1452" s="15" t="s">
        <v>3099</v>
      </c>
      <c r="D1452" s="15"/>
      <c r="E1452" s="15" t="s">
        <v>3100</v>
      </c>
      <c r="F1452" s="15" t="s">
        <v>98</v>
      </c>
      <c r="G1452" s="34">
        <v>2</v>
      </c>
      <c r="H1452" s="34">
        <v>16</v>
      </c>
      <c r="I1452" s="15" t="s">
        <v>38</v>
      </c>
      <c r="J1452" s="15" t="s">
        <v>39</v>
      </c>
      <c r="K1452" s="74" t="s">
        <v>29</v>
      </c>
      <c r="L1452" s="16">
        <v>4050</v>
      </c>
      <c r="M1452" s="16">
        <v>0</v>
      </c>
      <c r="N1452" s="16">
        <v>0</v>
      </c>
      <c r="O1452" s="16">
        <v>109</v>
      </c>
      <c r="P1452" s="16">
        <v>0</v>
      </c>
      <c r="Q1452" s="16">
        <v>3940</v>
      </c>
      <c r="R1452" s="16">
        <v>-833</v>
      </c>
      <c r="S1452" s="16">
        <v>2</v>
      </c>
      <c r="T1452" s="111">
        <v>0</v>
      </c>
    </row>
    <row r="1453" spans="1:20" ht="15" customHeight="1" x14ac:dyDescent="0.2">
      <c r="A1453" s="12" t="s">
        <v>3101</v>
      </c>
      <c r="B1453" s="56">
        <v>67600379</v>
      </c>
      <c r="C1453" s="12" t="s">
        <v>622</v>
      </c>
      <c r="D1453" s="12" t="s">
        <v>623</v>
      </c>
      <c r="E1453" s="12" t="s">
        <v>624</v>
      </c>
      <c r="F1453" s="12" t="s">
        <v>98</v>
      </c>
      <c r="G1453" s="33">
        <v>3</v>
      </c>
      <c r="H1453" s="33">
        <v>16</v>
      </c>
      <c r="I1453" s="12" t="s">
        <v>38</v>
      </c>
      <c r="J1453" s="12" t="s">
        <v>39</v>
      </c>
      <c r="K1453" s="73" t="s">
        <v>29</v>
      </c>
      <c r="L1453" s="13">
        <v>3904</v>
      </c>
      <c r="M1453" s="13">
        <v>0</v>
      </c>
      <c r="N1453" s="13">
        <v>3717</v>
      </c>
      <c r="O1453" s="13">
        <v>153</v>
      </c>
      <c r="P1453" s="13">
        <v>0</v>
      </c>
      <c r="Q1453" s="13">
        <v>3752</v>
      </c>
      <c r="R1453" s="13">
        <v>-52</v>
      </c>
      <c r="S1453" s="13">
        <v>2</v>
      </c>
      <c r="T1453" s="81">
        <v>0</v>
      </c>
    </row>
    <row r="1454" spans="1:20" ht="15" customHeight="1" x14ac:dyDescent="0.2">
      <c r="A1454" s="15" t="s">
        <v>3102</v>
      </c>
      <c r="B1454" s="60">
        <v>46004634</v>
      </c>
      <c r="C1454" s="15" t="s">
        <v>3103</v>
      </c>
      <c r="D1454" s="15"/>
      <c r="E1454" s="15" t="s">
        <v>3104</v>
      </c>
      <c r="F1454" s="15" t="s">
        <v>84</v>
      </c>
      <c r="G1454" s="34">
        <v>2</v>
      </c>
      <c r="H1454" s="34">
        <v>41</v>
      </c>
      <c r="I1454" s="15" t="s">
        <v>38</v>
      </c>
      <c r="J1454" s="15" t="s">
        <v>39</v>
      </c>
      <c r="K1454" s="74" t="s">
        <v>29</v>
      </c>
      <c r="L1454" s="16">
        <v>3864</v>
      </c>
      <c r="M1454" s="16">
        <v>0</v>
      </c>
      <c r="N1454" s="16">
        <v>3572</v>
      </c>
      <c r="O1454" s="16">
        <v>154</v>
      </c>
      <c r="P1454" s="16">
        <v>0</v>
      </c>
      <c r="Q1454" s="16">
        <v>3710</v>
      </c>
      <c r="R1454" s="16">
        <v>34</v>
      </c>
      <c r="S1454" s="16">
        <v>1</v>
      </c>
      <c r="T1454" s="111">
        <v>0</v>
      </c>
    </row>
    <row r="1455" spans="1:20" ht="15" customHeight="1" x14ac:dyDescent="0.2">
      <c r="A1455" s="12" t="s">
        <v>3105</v>
      </c>
      <c r="B1455" s="56">
        <v>40112555</v>
      </c>
      <c r="C1455" s="12" t="s">
        <v>3106</v>
      </c>
      <c r="D1455" s="12"/>
      <c r="E1455" s="12" t="s">
        <v>3107</v>
      </c>
      <c r="F1455" s="12" t="s">
        <v>65</v>
      </c>
      <c r="G1455" s="33">
        <v>2</v>
      </c>
      <c r="H1455" s="33">
        <v>43</v>
      </c>
      <c r="I1455" s="12" t="s">
        <v>228</v>
      </c>
      <c r="J1455" s="12" t="s">
        <v>229</v>
      </c>
      <c r="K1455" s="73" t="s">
        <v>29</v>
      </c>
      <c r="L1455" s="13">
        <v>3836</v>
      </c>
      <c r="M1455" s="13">
        <v>0</v>
      </c>
      <c r="N1455" s="13">
        <v>1067</v>
      </c>
      <c r="O1455" s="13">
        <v>2582</v>
      </c>
      <c r="P1455" s="13">
        <v>0</v>
      </c>
      <c r="Q1455" s="13">
        <v>1254</v>
      </c>
      <c r="R1455" s="13">
        <v>-300</v>
      </c>
      <c r="S1455" s="13">
        <v>2</v>
      </c>
      <c r="T1455" s="81">
        <v>0</v>
      </c>
    </row>
    <row r="1456" spans="1:20" ht="15" customHeight="1" x14ac:dyDescent="0.2">
      <c r="A1456" s="15" t="s">
        <v>3108</v>
      </c>
      <c r="B1456" s="60">
        <v>5442029</v>
      </c>
      <c r="C1456" s="15" t="s">
        <v>3109</v>
      </c>
      <c r="D1456" s="15"/>
      <c r="E1456" s="15" t="s">
        <v>3110</v>
      </c>
      <c r="F1456" s="15" t="s">
        <v>65</v>
      </c>
      <c r="G1456" s="34">
        <v>2</v>
      </c>
      <c r="H1456" s="34">
        <v>10</v>
      </c>
      <c r="I1456" s="15" t="s">
        <v>38</v>
      </c>
      <c r="J1456" s="15" t="s">
        <v>39</v>
      </c>
      <c r="K1456" s="74" t="s">
        <v>29</v>
      </c>
      <c r="L1456" s="16">
        <v>3830</v>
      </c>
      <c r="M1456" s="16">
        <v>60</v>
      </c>
      <c r="N1456" s="16">
        <v>0</v>
      </c>
      <c r="O1456" s="16">
        <v>2869</v>
      </c>
      <c r="P1456" s="16">
        <v>1544</v>
      </c>
      <c r="Q1456" s="16">
        <v>960</v>
      </c>
      <c r="R1456" s="16">
        <v>-366</v>
      </c>
      <c r="S1456" s="16">
        <v>2</v>
      </c>
      <c r="T1456" s="111">
        <v>0</v>
      </c>
    </row>
    <row r="1457" spans="1:20" ht="15" customHeight="1" x14ac:dyDescent="0.2">
      <c r="A1457" s="12" t="s">
        <v>3111</v>
      </c>
      <c r="B1457" s="56">
        <v>39431423</v>
      </c>
      <c r="C1457" s="12" t="s">
        <v>3112</v>
      </c>
      <c r="D1457" s="12"/>
      <c r="E1457" s="12" t="s">
        <v>3113</v>
      </c>
      <c r="F1457" s="12" t="s">
        <v>65</v>
      </c>
      <c r="G1457" s="33">
        <v>2</v>
      </c>
      <c r="H1457" s="33">
        <v>43</v>
      </c>
      <c r="I1457" s="12" t="s">
        <v>3114</v>
      </c>
      <c r="J1457" s="12" t="s">
        <v>389</v>
      </c>
      <c r="K1457" s="73" t="s">
        <v>29</v>
      </c>
      <c r="L1457" s="13">
        <v>3772</v>
      </c>
      <c r="M1457" s="13">
        <v>990</v>
      </c>
      <c r="N1457" s="13">
        <v>2021</v>
      </c>
      <c r="O1457" s="13">
        <v>185</v>
      </c>
      <c r="P1457" s="13">
        <v>93</v>
      </c>
      <c r="Q1457" s="13">
        <v>3587</v>
      </c>
      <c r="R1457" s="13">
        <v>49</v>
      </c>
      <c r="S1457" s="13">
        <v>2</v>
      </c>
      <c r="T1457" s="81">
        <v>0</v>
      </c>
    </row>
    <row r="1458" spans="1:20" ht="15" customHeight="1" x14ac:dyDescent="0.2">
      <c r="A1458" s="15" t="s">
        <v>3115</v>
      </c>
      <c r="B1458" s="60">
        <v>48528314</v>
      </c>
      <c r="C1458" s="15" t="s">
        <v>3116</v>
      </c>
      <c r="D1458" s="15"/>
      <c r="E1458" s="15" t="s">
        <v>3117</v>
      </c>
      <c r="F1458" s="15" t="s">
        <v>65</v>
      </c>
      <c r="G1458" s="34">
        <v>2</v>
      </c>
      <c r="H1458" s="34">
        <v>43</v>
      </c>
      <c r="I1458" s="15" t="s">
        <v>2442</v>
      </c>
      <c r="J1458" s="15" t="s">
        <v>120</v>
      </c>
      <c r="K1458" s="74" t="s">
        <v>29</v>
      </c>
      <c r="L1458" s="16">
        <v>3769</v>
      </c>
      <c r="M1458" s="16">
        <v>2</v>
      </c>
      <c r="N1458" s="16">
        <v>1753</v>
      </c>
      <c r="O1458" s="16">
        <v>55</v>
      </c>
      <c r="P1458" s="16">
        <v>0</v>
      </c>
      <c r="Q1458" s="16">
        <v>3714</v>
      </c>
      <c r="R1458" s="16">
        <v>-528</v>
      </c>
      <c r="S1458" s="16">
        <v>2</v>
      </c>
      <c r="T1458" s="111">
        <v>0</v>
      </c>
    </row>
    <row r="1459" spans="1:20" ht="15" customHeight="1" x14ac:dyDescent="0.2">
      <c r="A1459" s="12" t="s">
        <v>3118</v>
      </c>
      <c r="B1459" s="56">
        <v>57905133</v>
      </c>
      <c r="C1459" s="12" t="s">
        <v>3119</v>
      </c>
      <c r="D1459" s="12"/>
      <c r="E1459" s="12" t="s">
        <v>3120</v>
      </c>
      <c r="F1459" s="12" t="s">
        <v>65</v>
      </c>
      <c r="G1459" s="33">
        <v>2</v>
      </c>
      <c r="H1459" s="33">
        <v>43</v>
      </c>
      <c r="I1459" s="12" t="s">
        <v>216</v>
      </c>
      <c r="J1459" s="12" t="s">
        <v>217</v>
      </c>
      <c r="K1459" s="73" t="s">
        <v>29</v>
      </c>
      <c r="L1459" s="13">
        <v>3678</v>
      </c>
      <c r="M1459" s="13">
        <v>66</v>
      </c>
      <c r="N1459" s="13">
        <v>3080</v>
      </c>
      <c r="O1459" s="13">
        <v>28</v>
      </c>
      <c r="P1459" s="13">
        <v>0</v>
      </c>
      <c r="Q1459" s="13">
        <v>3650</v>
      </c>
      <c r="R1459" s="13">
        <v>123</v>
      </c>
      <c r="S1459" s="13">
        <v>2</v>
      </c>
      <c r="T1459" s="81">
        <v>0</v>
      </c>
    </row>
    <row r="1460" spans="1:20" ht="15" customHeight="1" x14ac:dyDescent="0.2">
      <c r="A1460" s="15" t="s">
        <v>3121</v>
      </c>
      <c r="B1460" s="60">
        <v>3635061</v>
      </c>
      <c r="C1460" s="15" t="s">
        <v>3122</v>
      </c>
      <c r="D1460" s="15"/>
      <c r="E1460" s="15" t="s">
        <v>3123</v>
      </c>
      <c r="F1460" s="15" t="s">
        <v>65</v>
      </c>
      <c r="G1460" s="34">
        <v>2</v>
      </c>
      <c r="H1460" s="34">
        <v>10</v>
      </c>
      <c r="I1460" s="15" t="s">
        <v>262</v>
      </c>
      <c r="J1460" s="15" t="s">
        <v>39</v>
      </c>
      <c r="K1460" s="74" t="s">
        <v>29</v>
      </c>
      <c r="L1460" s="16">
        <v>3672</v>
      </c>
      <c r="M1460" s="16">
        <v>599</v>
      </c>
      <c r="N1460" s="16">
        <v>2404</v>
      </c>
      <c r="O1460" s="16">
        <v>3</v>
      </c>
      <c r="P1460" s="16">
        <v>0</v>
      </c>
      <c r="Q1460" s="16">
        <v>3669</v>
      </c>
      <c r="R1460" s="16">
        <v>16</v>
      </c>
      <c r="S1460" s="16">
        <v>2</v>
      </c>
      <c r="T1460" s="111">
        <v>0</v>
      </c>
    </row>
    <row r="1461" spans="1:20" ht="15" customHeight="1" x14ac:dyDescent="0.2">
      <c r="A1461" s="12" t="s">
        <v>3124</v>
      </c>
      <c r="B1461" s="56">
        <v>45068632</v>
      </c>
      <c r="C1461" s="12"/>
      <c r="D1461" s="12"/>
      <c r="E1461" s="12"/>
      <c r="F1461" s="12" t="s">
        <v>265</v>
      </c>
      <c r="G1461" s="33">
        <v>2</v>
      </c>
      <c r="H1461" s="33">
        <v>9</v>
      </c>
      <c r="I1461" s="12" t="s">
        <v>3125</v>
      </c>
      <c r="J1461" s="12" t="s">
        <v>39</v>
      </c>
      <c r="K1461" s="73" t="s">
        <v>29</v>
      </c>
      <c r="L1461" s="13">
        <v>3652</v>
      </c>
      <c r="M1461" s="13">
        <v>2528</v>
      </c>
      <c r="N1461" s="13">
        <v>704</v>
      </c>
      <c r="O1461" s="13">
        <v>228</v>
      </c>
      <c r="P1461" s="13">
        <v>0</v>
      </c>
      <c r="Q1461" s="13">
        <v>3424</v>
      </c>
      <c r="R1461" s="13">
        <v>14</v>
      </c>
      <c r="S1461" s="13">
        <v>0</v>
      </c>
      <c r="T1461" s="81">
        <v>0</v>
      </c>
    </row>
    <row r="1462" spans="1:20" ht="15" customHeight="1" x14ac:dyDescent="0.2">
      <c r="A1462" s="15" t="s">
        <v>3126</v>
      </c>
      <c r="B1462" s="60">
        <v>1551820</v>
      </c>
      <c r="C1462" s="15"/>
      <c r="D1462" s="15"/>
      <c r="E1462" s="15"/>
      <c r="F1462" s="15" t="s">
        <v>265</v>
      </c>
      <c r="G1462" s="34">
        <v>2</v>
      </c>
      <c r="H1462" s="34">
        <v>9</v>
      </c>
      <c r="I1462" s="15" t="s">
        <v>336</v>
      </c>
      <c r="J1462" s="15" t="s">
        <v>229</v>
      </c>
      <c r="K1462" s="74" t="s">
        <v>29</v>
      </c>
      <c r="L1462" s="16">
        <v>3584</v>
      </c>
      <c r="M1462" s="16">
        <v>3106</v>
      </c>
      <c r="N1462" s="16">
        <v>0</v>
      </c>
      <c r="O1462" s="16">
        <v>64</v>
      </c>
      <c r="P1462" s="16">
        <v>0</v>
      </c>
      <c r="Q1462" s="16">
        <v>3520</v>
      </c>
      <c r="R1462" s="16">
        <v>102</v>
      </c>
      <c r="S1462" s="16">
        <v>0</v>
      </c>
      <c r="T1462" s="111">
        <v>0</v>
      </c>
    </row>
    <row r="1463" spans="1:20" ht="15" customHeight="1" x14ac:dyDescent="0.2">
      <c r="A1463" s="12" t="s">
        <v>3127</v>
      </c>
      <c r="B1463" s="56">
        <v>53800488</v>
      </c>
      <c r="C1463" s="12"/>
      <c r="D1463" s="12"/>
      <c r="E1463" s="12"/>
      <c r="F1463" s="12" t="s">
        <v>265</v>
      </c>
      <c r="G1463" s="33">
        <v>2</v>
      </c>
      <c r="H1463" s="33">
        <v>9</v>
      </c>
      <c r="I1463" s="12" t="s">
        <v>38</v>
      </c>
      <c r="J1463" s="12" t="s">
        <v>39</v>
      </c>
      <c r="K1463" s="73" t="s">
        <v>29</v>
      </c>
      <c r="L1463" s="13">
        <v>3562</v>
      </c>
      <c r="M1463" s="13">
        <v>1982</v>
      </c>
      <c r="N1463" s="13">
        <v>1105</v>
      </c>
      <c r="O1463" s="13">
        <v>774</v>
      </c>
      <c r="P1463" s="13">
        <v>0</v>
      </c>
      <c r="Q1463" s="13">
        <v>2787</v>
      </c>
      <c r="R1463" s="13">
        <v>-180</v>
      </c>
      <c r="S1463" s="13">
        <v>0</v>
      </c>
      <c r="T1463" s="81">
        <v>0</v>
      </c>
    </row>
    <row r="1464" spans="1:20" ht="15" customHeight="1" x14ac:dyDescent="0.2">
      <c r="A1464" s="15" t="s">
        <v>3128</v>
      </c>
      <c r="B1464" s="60">
        <v>90278987</v>
      </c>
      <c r="C1464" s="15"/>
      <c r="D1464" s="15"/>
      <c r="E1464" s="15"/>
      <c r="F1464" s="15" t="s">
        <v>265</v>
      </c>
      <c r="G1464" s="34">
        <v>2</v>
      </c>
      <c r="H1464" s="34">
        <v>9</v>
      </c>
      <c r="I1464" s="15" t="s">
        <v>73</v>
      </c>
      <c r="J1464" s="15" t="s">
        <v>74</v>
      </c>
      <c r="K1464" s="74" t="s">
        <v>29</v>
      </c>
      <c r="L1464" s="16">
        <v>3562</v>
      </c>
      <c r="M1464" s="16">
        <v>1716</v>
      </c>
      <c r="N1464" s="16">
        <v>1589</v>
      </c>
      <c r="O1464" s="16">
        <v>277</v>
      </c>
      <c r="P1464" s="16">
        <v>0</v>
      </c>
      <c r="Q1464" s="16">
        <v>3285</v>
      </c>
      <c r="R1464" s="16">
        <v>238</v>
      </c>
      <c r="S1464" s="16">
        <v>0</v>
      </c>
      <c r="T1464" s="111">
        <v>0</v>
      </c>
    </row>
    <row r="1465" spans="1:20" ht="15" customHeight="1" x14ac:dyDescent="0.2">
      <c r="A1465" s="12" t="s">
        <v>3129</v>
      </c>
      <c r="B1465" s="56">
        <v>5747018</v>
      </c>
      <c r="C1465" s="12"/>
      <c r="D1465" s="12"/>
      <c r="E1465" s="12"/>
      <c r="F1465" s="12" t="s">
        <v>265</v>
      </c>
      <c r="G1465" s="33">
        <v>2</v>
      </c>
      <c r="H1465" s="33">
        <v>9</v>
      </c>
      <c r="I1465" s="12" t="s">
        <v>907</v>
      </c>
      <c r="J1465" s="12" t="s">
        <v>578</v>
      </c>
      <c r="K1465" s="73" t="s">
        <v>29</v>
      </c>
      <c r="L1465" s="13">
        <v>3560</v>
      </c>
      <c r="M1465" s="13">
        <v>1065</v>
      </c>
      <c r="N1465" s="13">
        <v>2058</v>
      </c>
      <c r="O1465" s="13">
        <v>366</v>
      </c>
      <c r="P1465" s="13">
        <v>0</v>
      </c>
      <c r="Q1465" s="13">
        <v>3194</v>
      </c>
      <c r="R1465" s="13">
        <v>97</v>
      </c>
      <c r="S1465" s="13">
        <v>0</v>
      </c>
      <c r="T1465" s="81">
        <v>0</v>
      </c>
    </row>
    <row r="1466" spans="1:20" ht="15" customHeight="1" x14ac:dyDescent="0.2">
      <c r="A1466" s="15" t="s">
        <v>3130</v>
      </c>
      <c r="B1466" s="60">
        <v>28885036</v>
      </c>
      <c r="C1466" s="15"/>
      <c r="D1466" s="15"/>
      <c r="E1466" s="15"/>
      <c r="F1466" s="15" t="s">
        <v>265</v>
      </c>
      <c r="G1466" s="34">
        <v>2</v>
      </c>
      <c r="H1466" s="34">
        <v>9</v>
      </c>
      <c r="I1466" s="15" t="s">
        <v>53</v>
      </c>
      <c r="J1466" s="15" t="s">
        <v>54</v>
      </c>
      <c r="K1466" s="74" t="s">
        <v>29</v>
      </c>
      <c r="L1466" s="16">
        <v>3546</v>
      </c>
      <c r="M1466" s="16">
        <v>2043</v>
      </c>
      <c r="N1466" s="16">
        <v>810</v>
      </c>
      <c r="O1466" s="16">
        <v>987</v>
      </c>
      <c r="P1466" s="16">
        <v>0</v>
      </c>
      <c r="Q1466" s="16">
        <v>2558</v>
      </c>
      <c r="R1466" s="16">
        <v>-31</v>
      </c>
      <c r="S1466" s="16">
        <v>0</v>
      </c>
      <c r="T1466" s="111">
        <v>0</v>
      </c>
    </row>
    <row r="1467" spans="1:20" ht="15" customHeight="1" x14ac:dyDescent="0.2">
      <c r="A1467" s="12" t="s">
        <v>3131</v>
      </c>
      <c r="B1467" s="56">
        <v>76641497</v>
      </c>
      <c r="C1467" s="12" t="s">
        <v>3132</v>
      </c>
      <c r="D1467" s="12"/>
      <c r="E1467" s="12" t="s">
        <v>3133</v>
      </c>
      <c r="F1467" s="12" t="s">
        <v>98</v>
      </c>
      <c r="G1467" s="33">
        <v>2</v>
      </c>
      <c r="H1467" s="33">
        <v>21</v>
      </c>
      <c r="I1467" s="12" t="s">
        <v>228</v>
      </c>
      <c r="J1467" s="12" t="s">
        <v>229</v>
      </c>
      <c r="K1467" s="73" t="s">
        <v>29</v>
      </c>
      <c r="L1467" s="13">
        <v>3537</v>
      </c>
      <c r="M1467" s="13">
        <v>0</v>
      </c>
      <c r="N1467" s="13">
        <v>937</v>
      </c>
      <c r="O1467" s="13">
        <v>777</v>
      </c>
      <c r="P1467" s="13">
        <v>0</v>
      </c>
      <c r="Q1467" s="13">
        <v>2761</v>
      </c>
      <c r="R1467" s="13">
        <v>345</v>
      </c>
      <c r="S1467" s="13">
        <v>3</v>
      </c>
      <c r="T1467" s="81">
        <v>0</v>
      </c>
    </row>
    <row r="1468" spans="1:20" ht="15" customHeight="1" x14ac:dyDescent="0.2">
      <c r="A1468" s="15" t="s">
        <v>3134</v>
      </c>
      <c r="B1468" s="60">
        <v>46297307</v>
      </c>
      <c r="C1468" s="15" t="s">
        <v>3135</v>
      </c>
      <c r="D1468" s="15"/>
      <c r="E1468" s="15" t="s">
        <v>3136</v>
      </c>
      <c r="F1468" s="15" t="s">
        <v>84</v>
      </c>
      <c r="G1468" s="34">
        <v>2</v>
      </c>
      <c r="H1468" s="34">
        <v>41</v>
      </c>
      <c r="I1468" s="15" t="s">
        <v>107</v>
      </c>
      <c r="J1468" s="15" t="s">
        <v>39</v>
      </c>
      <c r="K1468" s="74" t="s">
        <v>29</v>
      </c>
      <c r="L1468" s="16">
        <v>3526</v>
      </c>
      <c r="M1468" s="16">
        <v>0</v>
      </c>
      <c r="N1468" s="16">
        <v>156</v>
      </c>
      <c r="O1468" s="16">
        <v>140</v>
      </c>
      <c r="P1468" s="16">
        <v>0</v>
      </c>
      <c r="Q1468" s="16">
        <v>3386</v>
      </c>
      <c r="R1468" s="16">
        <v>-1197</v>
      </c>
      <c r="S1468" s="16">
        <v>1</v>
      </c>
      <c r="T1468" s="111">
        <v>0</v>
      </c>
    </row>
    <row r="1469" spans="1:20" ht="15" customHeight="1" x14ac:dyDescent="0.2">
      <c r="A1469" s="12" t="s">
        <v>3137</v>
      </c>
      <c r="B1469" s="56">
        <v>17772370</v>
      </c>
      <c r="C1469" s="12" t="s">
        <v>3138</v>
      </c>
      <c r="D1469" s="12"/>
      <c r="E1469" s="12" t="s">
        <v>3139</v>
      </c>
      <c r="F1469" s="12" t="s">
        <v>98</v>
      </c>
      <c r="G1469" s="33">
        <v>2</v>
      </c>
      <c r="H1469" s="33">
        <v>21</v>
      </c>
      <c r="I1469" s="12" t="s">
        <v>38</v>
      </c>
      <c r="J1469" s="12" t="s">
        <v>39</v>
      </c>
      <c r="K1469" s="73" t="s">
        <v>29</v>
      </c>
      <c r="L1469" s="13">
        <v>3469</v>
      </c>
      <c r="M1469" s="13">
        <v>0</v>
      </c>
      <c r="N1469" s="13">
        <v>1291</v>
      </c>
      <c r="O1469" s="13">
        <v>612</v>
      </c>
      <c r="P1469" s="13">
        <v>0</v>
      </c>
      <c r="Q1469" s="13">
        <v>2857</v>
      </c>
      <c r="R1469" s="13">
        <v>154</v>
      </c>
      <c r="S1469" s="13">
        <v>2</v>
      </c>
      <c r="T1469" s="81">
        <v>0</v>
      </c>
    </row>
    <row r="1470" spans="1:20" ht="15" customHeight="1" x14ac:dyDescent="0.2">
      <c r="A1470" s="15" t="s">
        <v>3140</v>
      </c>
      <c r="B1470" s="60">
        <v>1107759</v>
      </c>
      <c r="C1470" s="15"/>
      <c r="D1470" s="15"/>
      <c r="E1470" s="15"/>
      <c r="F1470" s="15" t="s">
        <v>265</v>
      </c>
      <c r="G1470" s="34">
        <v>2</v>
      </c>
      <c r="H1470" s="34">
        <v>9</v>
      </c>
      <c r="I1470" s="15" t="s">
        <v>3057</v>
      </c>
      <c r="J1470" s="15" t="s">
        <v>39</v>
      </c>
      <c r="K1470" s="74" t="s">
        <v>29</v>
      </c>
      <c r="L1470" s="16">
        <v>3466</v>
      </c>
      <c r="M1470" s="16">
        <v>1091</v>
      </c>
      <c r="N1470" s="16">
        <v>2199</v>
      </c>
      <c r="O1470" s="16">
        <v>109</v>
      </c>
      <c r="P1470" s="16">
        <v>0</v>
      </c>
      <c r="Q1470" s="16">
        <v>3357</v>
      </c>
      <c r="R1470" s="16">
        <v>183</v>
      </c>
      <c r="S1470" s="16">
        <v>0</v>
      </c>
      <c r="T1470" s="111">
        <v>0</v>
      </c>
    </row>
    <row r="1471" spans="1:20" ht="15" customHeight="1" x14ac:dyDescent="0.2">
      <c r="A1471" s="12" t="s">
        <v>3141</v>
      </c>
      <c r="B1471" s="56">
        <v>20158571</v>
      </c>
      <c r="C1471" s="12" t="s">
        <v>3142</v>
      </c>
      <c r="D1471" s="12"/>
      <c r="E1471" s="12" t="s">
        <v>3143</v>
      </c>
      <c r="F1471" s="12" t="s">
        <v>65</v>
      </c>
      <c r="G1471" s="33">
        <v>2</v>
      </c>
      <c r="H1471" s="33">
        <v>10</v>
      </c>
      <c r="I1471" s="12" t="s">
        <v>818</v>
      </c>
      <c r="J1471" s="12" t="s">
        <v>819</v>
      </c>
      <c r="K1471" s="73" t="s">
        <v>29</v>
      </c>
      <c r="L1471" s="13">
        <v>3457</v>
      </c>
      <c r="M1471" s="13">
        <v>68</v>
      </c>
      <c r="N1471" s="13">
        <v>135</v>
      </c>
      <c r="O1471" s="13">
        <v>2228</v>
      </c>
      <c r="P1471" s="13">
        <v>0</v>
      </c>
      <c r="Q1471" s="13">
        <v>1229</v>
      </c>
      <c r="R1471" s="13">
        <v>-53</v>
      </c>
      <c r="S1471" s="13">
        <v>1</v>
      </c>
      <c r="T1471" s="81">
        <v>0</v>
      </c>
    </row>
    <row r="1472" spans="1:20" ht="15" customHeight="1" x14ac:dyDescent="0.2">
      <c r="A1472" s="15" t="s">
        <v>3144</v>
      </c>
      <c r="B1472" s="60">
        <v>37555231</v>
      </c>
      <c r="C1472" s="15" t="s">
        <v>584</v>
      </c>
      <c r="D1472" s="15" t="s">
        <v>585</v>
      </c>
      <c r="E1472" s="15" t="s">
        <v>586</v>
      </c>
      <c r="F1472" s="15" t="s">
        <v>65</v>
      </c>
      <c r="G1472" s="34">
        <v>2</v>
      </c>
      <c r="H1472" s="34">
        <v>43</v>
      </c>
      <c r="I1472" s="15" t="s">
        <v>587</v>
      </c>
      <c r="J1472" s="15" t="s">
        <v>39</v>
      </c>
      <c r="K1472" s="74" t="s">
        <v>29</v>
      </c>
      <c r="L1472" s="16">
        <v>3442</v>
      </c>
      <c r="M1472" s="16">
        <v>2</v>
      </c>
      <c r="N1472" s="16">
        <v>894</v>
      </c>
      <c r="O1472" s="16">
        <v>27</v>
      </c>
      <c r="P1472" s="16">
        <v>0</v>
      </c>
      <c r="Q1472" s="16">
        <v>3415</v>
      </c>
      <c r="R1472" s="16">
        <v>-23</v>
      </c>
      <c r="S1472" s="16">
        <v>2</v>
      </c>
      <c r="T1472" s="111">
        <v>0</v>
      </c>
    </row>
    <row r="1473" spans="1:20" ht="15" customHeight="1" x14ac:dyDescent="0.2">
      <c r="A1473" s="12" t="s">
        <v>3145</v>
      </c>
      <c r="B1473" s="56">
        <v>58367961</v>
      </c>
      <c r="C1473" s="12" t="s">
        <v>3146</v>
      </c>
      <c r="D1473" s="12"/>
      <c r="E1473" s="12" t="s">
        <v>3147</v>
      </c>
      <c r="F1473" s="12" t="s">
        <v>65</v>
      </c>
      <c r="G1473" s="33">
        <v>2</v>
      </c>
      <c r="H1473" s="33">
        <v>43</v>
      </c>
      <c r="I1473" s="12" t="s">
        <v>165</v>
      </c>
      <c r="J1473" s="12" t="s">
        <v>39</v>
      </c>
      <c r="K1473" s="73" t="s">
        <v>29</v>
      </c>
      <c r="L1473" s="13">
        <v>3400</v>
      </c>
      <c r="M1473" s="13">
        <v>0</v>
      </c>
      <c r="N1473" s="13">
        <v>3398</v>
      </c>
      <c r="O1473" s="13">
        <v>10</v>
      </c>
      <c r="P1473" s="13">
        <v>0</v>
      </c>
      <c r="Q1473" s="13">
        <v>3389</v>
      </c>
      <c r="R1473" s="13">
        <v>-93</v>
      </c>
      <c r="S1473" s="13">
        <v>2</v>
      </c>
      <c r="T1473" s="81">
        <v>0</v>
      </c>
    </row>
    <row r="1474" spans="1:20" ht="15" customHeight="1" x14ac:dyDescent="0.2">
      <c r="A1474" s="15" t="s">
        <v>3148</v>
      </c>
      <c r="B1474" s="60">
        <v>2723075</v>
      </c>
      <c r="C1474" s="15"/>
      <c r="D1474" s="15"/>
      <c r="E1474" s="15"/>
      <c r="F1474" s="15" t="s">
        <v>265</v>
      </c>
      <c r="G1474" s="34">
        <v>2</v>
      </c>
      <c r="H1474" s="34">
        <v>9</v>
      </c>
      <c r="I1474" s="15" t="s">
        <v>53</v>
      </c>
      <c r="J1474" s="15" t="s">
        <v>54</v>
      </c>
      <c r="K1474" s="74" t="s">
        <v>29</v>
      </c>
      <c r="L1474" s="16">
        <v>3388</v>
      </c>
      <c r="M1474" s="16">
        <v>1850</v>
      </c>
      <c r="N1474" s="16">
        <v>700</v>
      </c>
      <c r="O1474" s="16">
        <v>553</v>
      </c>
      <c r="P1474" s="16">
        <v>0</v>
      </c>
      <c r="Q1474" s="16">
        <v>2836</v>
      </c>
      <c r="R1474" s="16">
        <v>127</v>
      </c>
      <c r="S1474" s="16">
        <v>0</v>
      </c>
      <c r="T1474" s="111">
        <v>0</v>
      </c>
    </row>
    <row r="1475" spans="1:20" ht="15" customHeight="1" x14ac:dyDescent="0.2">
      <c r="A1475" s="12" t="s">
        <v>3149</v>
      </c>
      <c r="B1475" s="56">
        <v>21597133</v>
      </c>
      <c r="C1475" s="12"/>
      <c r="D1475" s="12"/>
      <c r="E1475" s="12"/>
      <c r="F1475" s="12" t="s">
        <v>265</v>
      </c>
      <c r="G1475" s="33">
        <v>2</v>
      </c>
      <c r="H1475" s="33">
        <v>9</v>
      </c>
      <c r="I1475" s="12" t="s">
        <v>3150</v>
      </c>
      <c r="J1475" s="12" t="s">
        <v>120</v>
      </c>
      <c r="K1475" s="73" t="s">
        <v>29</v>
      </c>
      <c r="L1475" s="13">
        <v>3373</v>
      </c>
      <c r="M1475" s="13">
        <v>1351</v>
      </c>
      <c r="N1475" s="13">
        <v>0</v>
      </c>
      <c r="O1475" s="13">
        <v>590</v>
      </c>
      <c r="P1475" s="13">
        <v>0</v>
      </c>
      <c r="Q1475" s="13">
        <v>2783</v>
      </c>
      <c r="R1475" s="13">
        <v>57</v>
      </c>
      <c r="S1475" s="13">
        <v>0</v>
      </c>
      <c r="T1475" s="81">
        <v>0</v>
      </c>
    </row>
    <row r="1476" spans="1:20" ht="15" customHeight="1" x14ac:dyDescent="0.2">
      <c r="A1476" s="15" t="s">
        <v>3151</v>
      </c>
      <c r="B1476" s="60">
        <v>37800856</v>
      </c>
      <c r="C1476" s="15" t="s">
        <v>3152</v>
      </c>
      <c r="D1476" s="15"/>
      <c r="E1476" s="15" t="s">
        <v>3153</v>
      </c>
      <c r="F1476" s="15" t="s">
        <v>98</v>
      </c>
      <c r="G1476" s="34">
        <v>2</v>
      </c>
      <c r="H1476" s="34">
        <v>16</v>
      </c>
      <c r="I1476" s="15" t="s">
        <v>38</v>
      </c>
      <c r="J1476" s="15" t="s">
        <v>39</v>
      </c>
      <c r="K1476" s="74" t="s">
        <v>29</v>
      </c>
      <c r="L1476" s="16">
        <v>3357</v>
      </c>
      <c r="M1476" s="16">
        <v>0</v>
      </c>
      <c r="N1476" s="16">
        <v>2247</v>
      </c>
      <c r="O1476" s="16">
        <v>172</v>
      </c>
      <c r="P1476" s="16">
        <v>0</v>
      </c>
      <c r="Q1476" s="16">
        <v>3185</v>
      </c>
      <c r="R1476" s="16">
        <v>-92</v>
      </c>
      <c r="S1476" s="16">
        <v>2</v>
      </c>
      <c r="T1476" s="111">
        <v>0</v>
      </c>
    </row>
    <row r="1477" spans="1:20" ht="15" customHeight="1" x14ac:dyDescent="0.2">
      <c r="A1477" s="12" t="s">
        <v>3154</v>
      </c>
      <c r="B1477" s="56">
        <v>48552108</v>
      </c>
      <c r="C1477" s="12" t="s">
        <v>3155</v>
      </c>
      <c r="D1477" s="12"/>
      <c r="E1477" s="12" t="s">
        <v>3156</v>
      </c>
      <c r="F1477" s="12" t="s">
        <v>84</v>
      </c>
      <c r="G1477" s="33">
        <v>3</v>
      </c>
      <c r="H1477" s="33">
        <v>41</v>
      </c>
      <c r="I1477" s="12" t="s">
        <v>38</v>
      </c>
      <c r="J1477" s="12" t="s">
        <v>39</v>
      </c>
      <c r="K1477" s="73" t="s">
        <v>29</v>
      </c>
      <c r="L1477" s="13">
        <v>3328</v>
      </c>
      <c r="M1477" s="13">
        <v>0</v>
      </c>
      <c r="N1477" s="13">
        <v>0</v>
      </c>
      <c r="O1477" s="13">
        <v>2132</v>
      </c>
      <c r="P1477" s="13">
        <v>0</v>
      </c>
      <c r="Q1477" s="13">
        <v>1196</v>
      </c>
      <c r="R1477" s="13">
        <v>-384</v>
      </c>
      <c r="S1477" s="13">
        <v>1</v>
      </c>
      <c r="T1477" s="81">
        <v>0</v>
      </c>
    </row>
    <row r="1478" spans="1:20" ht="15" customHeight="1" x14ac:dyDescent="0.2">
      <c r="A1478" s="15" t="s">
        <v>3157</v>
      </c>
      <c r="B1478" s="60">
        <v>2869663</v>
      </c>
      <c r="C1478" s="15"/>
      <c r="D1478" s="15"/>
      <c r="E1478" s="15"/>
      <c r="F1478" s="15" t="s">
        <v>265</v>
      </c>
      <c r="G1478" s="34">
        <v>2</v>
      </c>
      <c r="H1478" s="34">
        <v>9</v>
      </c>
      <c r="I1478" s="15" t="s">
        <v>182</v>
      </c>
      <c r="J1478" s="15" t="s">
        <v>183</v>
      </c>
      <c r="K1478" s="74" t="s">
        <v>29</v>
      </c>
      <c r="L1478" s="16">
        <v>3325</v>
      </c>
      <c r="M1478" s="16">
        <v>1415</v>
      </c>
      <c r="N1478" s="16">
        <v>1595</v>
      </c>
      <c r="O1478" s="16">
        <v>602</v>
      </c>
      <c r="P1478" s="16">
        <v>0</v>
      </c>
      <c r="Q1478" s="16">
        <v>2724</v>
      </c>
      <c r="R1478" s="16">
        <v>-3</v>
      </c>
      <c r="S1478" s="16">
        <v>0</v>
      </c>
      <c r="T1478" s="111">
        <v>0</v>
      </c>
    </row>
    <row r="1479" spans="1:20" ht="15" customHeight="1" x14ac:dyDescent="0.2">
      <c r="A1479" s="12" t="s">
        <v>3158</v>
      </c>
      <c r="B1479" s="56">
        <v>47438068</v>
      </c>
      <c r="C1479" s="12" t="s">
        <v>3159</v>
      </c>
      <c r="D1479" s="12"/>
      <c r="E1479" s="12" t="s">
        <v>3160</v>
      </c>
      <c r="F1479" s="12" t="s">
        <v>84</v>
      </c>
      <c r="G1479" s="33">
        <v>3</v>
      </c>
      <c r="H1479" s="33">
        <v>41</v>
      </c>
      <c r="I1479" s="12" t="s">
        <v>38</v>
      </c>
      <c r="J1479" s="12" t="s">
        <v>39</v>
      </c>
      <c r="K1479" s="73" t="s">
        <v>29</v>
      </c>
      <c r="L1479" s="13">
        <v>3311</v>
      </c>
      <c r="M1479" s="13">
        <v>0</v>
      </c>
      <c r="N1479" s="13">
        <v>1920</v>
      </c>
      <c r="O1479" s="13">
        <v>1060</v>
      </c>
      <c r="P1479" s="13">
        <v>0</v>
      </c>
      <c r="Q1479" s="13">
        <v>2251</v>
      </c>
      <c r="R1479" s="13">
        <v>-106</v>
      </c>
      <c r="S1479" s="13">
        <v>1</v>
      </c>
      <c r="T1479" s="81">
        <v>0</v>
      </c>
    </row>
    <row r="1480" spans="1:20" ht="15" customHeight="1" x14ac:dyDescent="0.2">
      <c r="A1480" s="15" t="s">
        <v>3161</v>
      </c>
      <c r="B1480" s="60">
        <v>56047774</v>
      </c>
      <c r="C1480" s="15" t="s">
        <v>3162</v>
      </c>
      <c r="D1480" s="15"/>
      <c r="E1480" s="15" t="s">
        <v>3163</v>
      </c>
      <c r="F1480" s="15" t="s">
        <v>65</v>
      </c>
      <c r="G1480" s="34">
        <v>2</v>
      </c>
      <c r="H1480" s="34">
        <v>43</v>
      </c>
      <c r="I1480" s="15" t="s">
        <v>564</v>
      </c>
      <c r="J1480" s="15" t="s">
        <v>120</v>
      </c>
      <c r="K1480" s="74" t="s">
        <v>29</v>
      </c>
      <c r="L1480" s="16">
        <v>3272</v>
      </c>
      <c r="M1480" s="16">
        <v>0</v>
      </c>
      <c r="N1480" s="16">
        <v>2717</v>
      </c>
      <c r="O1480" s="16">
        <v>392</v>
      </c>
      <c r="P1480" s="16">
        <v>0</v>
      </c>
      <c r="Q1480" s="16">
        <v>2880</v>
      </c>
      <c r="R1480" s="16">
        <v>218</v>
      </c>
      <c r="S1480" s="16">
        <v>2</v>
      </c>
      <c r="T1480" s="111">
        <v>0</v>
      </c>
    </row>
    <row r="1481" spans="1:20" ht="15" customHeight="1" x14ac:dyDescent="0.2">
      <c r="A1481" s="12" t="s">
        <v>3164</v>
      </c>
      <c r="B1481" s="56">
        <v>4995006</v>
      </c>
      <c r="C1481" s="12"/>
      <c r="D1481" s="12"/>
      <c r="E1481" s="12"/>
      <c r="F1481" s="12" t="s">
        <v>265</v>
      </c>
      <c r="G1481" s="33">
        <v>2</v>
      </c>
      <c r="H1481" s="33">
        <v>9</v>
      </c>
      <c r="I1481" s="12" t="s">
        <v>53</v>
      </c>
      <c r="J1481" s="12" t="s">
        <v>54</v>
      </c>
      <c r="K1481" s="73" t="s">
        <v>29</v>
      </c>
      <c r="L1481" s="13">
        <v>3253</v>
      </c>
      <c r="M1481" s="13">
        <v>1607</v>
      </c>
      <c r="N1481" s="13">
        <v>1401</v>
      </c>
      <c r="O1481" s="13">
        <v>372</v>
      </c>
      <c r="P1481" s="13">
        <v>0</v>
      </c>
      <c r="Q1481" s="13">
        <v>2880</v>
      </c>
      <c r="R1481" s="13">
        <v>-115</v>
      </c>
      <c r="S1481" s="13">
        <v>0</v>
      </c>
      <c r="T1481" s="81">
        <v>0</v>
      </c>
    </row>
    <row r="1482" spans="1:20" ht="15" customHeight="1" x14ac:dyDescent="0.2">
      <c r="A1482" s="15" t="s">
        <v>3165</v>
      </c>
      <c r="B1482" s="60">
        <v>97447304</v>
      </c>
      <c r="C1482" s="15" t="s">
        <v>3166</v>
      </c>
      <c r="D1482" s="15"/>
      <c r="E1482" s="15" t="s">
        <v>3167</v>
      </c>
      <c r="F1482" s="15" t="s">
        <v>98</v>
      </c>
      <c r="G1482" s="34">
        <v>2</v>
      </c>
      <c r="H1482" s="34">
        <v>16</v>
      </c>
      <c r="I1482" s="15" t="s">
        <v>53</v>
      </c>
      <c r="J1482" s="15" t="s">
        <v>54</v>
      </c>
      <c r="K1482" s="74" t="s">
        <v>29</v>
      </c>
      <c r="L1482" s="16">
        <v>3179</v>
      </c>
      <c r="M1482" s="16">
        <v>0</v>
      </c>
      <c r="N1482" s="16">
        <v>2485</v>
      </c>
      <c r="O1482" s="16">
        <v>465</v>
      </c>
      <c r="P1482" s="16">
        <v>0</v>
      </c>
      <c r="Q1482" s="16">
        <v>2714</v>
      </c>
      <c r="R1482" s="16">
        <v>-74</v>
      </c>
      <c r="S1482" s="16">
        <v>2</v>
      </c>
      <c r="T1482" s="111">
        <v>0</v>
      </c>
    </row>
    <row r="1483" spans="1:20" ht="15" customHeight="1" x14ac:dyDescent="0.2">
      <c r="A1483" s="12" t="s">
        <v>3168</v>
      </c>
      <c r="B1483" s="56">
        <v>5658367</v>
      </c>
      <c r="C1483" s="12"/>
      <c r="D1483" s="12"/>
      <c r="E1483" s="12"/>
      <c r="F1483" s="12" t="s">
        <v>265</v>
      </c>
      <c r="G1483" s="33">
        <v>2</v>
      </c>
      <c r="H1483" s="33">
        <v>9</v>
      </c>
      <c r="I1483" s="12" t="s">
        <v>210</v>
      </c>
      <c r="J1483" s="12" t="s">
        <v>211</v>
      </c>
      <c r="K1483" s="73" t="s">
        <v>29</v>
      </c>
      <c r="L1483" s="13">
        <v>3147</v>
      </c>
      <c r="M1483" s="13">
        <v>884</v>
      </c>
      <c r="N1483" s="13">
        <v>2257</v>
      </c>
      <c r="O1483" s="13">
        <v>64</v>
      </c>
      <c r="P1483" s="13">
        <v>0</v>
      </c>
      <c r="Q1483" s="13">
        <v>3083</v>
      </c>
      <c r="R1483" s="13">
        <v>111</v>
      </c>
      <c r="S1483" s="13">
        <v>0</v>
      </c>
      <c r="T1483" s="81">
        <v>0</v>
      </c>
    </row>
    <row r="1484" spans="1:20" ht="15" customHeight="1" x14ac:dyDescent="0.2">
      <c r="A1484" s="15" t="s">
        <v>3169</v>
      </c>
      <c r="B1484" s="60">
        <v>24235459</v>
      </c>
      <c r="C1484" s="15"/>
      <c r="D1484" s="15"/>
      <c r="E1484" s="15"/>
      <c r="F1484" s="15" t="s">
        <v>265</v>
      </c>
      <c r="G1484" s="34">
        <v>2</v>
      </c>
      <c r="H1484" s="34">
        <v>9</v>
      </c>
      <c r="I1484" s="15" t="s">
        <v>615</v>
      </c>
      <c r="J1484" s="15" t="s">
        <v>120</v>
      </c>
      <c r="K1484" s="74" t="s">
        <v>29</v>
      </c>
      <c r="L1484" s="16">
        <v>3128</v>
      </c>
      <c r="M1484" s="16">
        <v>1516</v>
      </c>
      <c r="N1484" s="16">
        <v>86</v>
      </c>
      <c r="O1484" s="16">
        <v>416</v>
      </c>
      <c r="P1484" s="16">
        <v>285</v>
      </c>
      <c r="Q1484" s="16">
        <v>2712</v>
      </c>
      <c r="R1484" s="16">
        <v>-133</v>
      </c>
      <c r="S1484" s="16">
        <v>0</v>
      </c>
      <c r="T1484" s="111">
        <v>0</v>
      </c>
    </row>
    <row r="1485" spans="1:20" ht="15" customHeight="1" x14ac:dyDescent="0.2">
      <c r="A1485" s="12" t="s">
        <v>3170</v>
      </c>
      <c r="B1485" s="56">
        <v>25280945</v>
      </c>
      <c r="C1485" s="12" t="s">
        <v>3171</v>
      </c>
      <c r="D1485" s="12"/>
      <c r="E1485" s="12" t="s">
        <v>3172</v>
      </c>
      <c r="F1485" s="12" t="s">
        <v>98</v>
      </c>
      <c r="G1485" s="33">
        <v>2</v>
      </c>
      <c r="H1485" s="33">
        <v>21</v>
      </c>
      <c r="I1485" s="12" t="s">
        <v>228</v>
      </c>
      <c r="J1485" s="12" t="s">
        <v>229</v>
      </c>
      <c r="K1485" s="73" t="s">
        <v>29</v>
      </c>
      <c r="L1485" s="13">
        <v>3122</v>
      </c>
      <c r="M1485" s="13">
        <v>0</v>
      </c>
      <c r="N1485" s="13">
        <v>1247</v>
      </c>
      <c r="O1485" s="13">
        <v>668</v>
      </c>
      <c r="P1485" s="13">
        <v>0</v>
      </c>
      <c r="Q1485" s="13">
        <v>2454</v>
      </c>
      <c r="R1485" s="13">
        <v>164</v>
      </c>
      <c r="S1485" s="13">
        <v>3</v>
      </c>
      <c r="T1485" s="81">
        <v>0</v>
      </c>
    </row>
    <row r="1486" spans="1:20" ht="15" customHeight="1" x14ac:dyDescent="0.2">
      <c r="A1486" s="15" t="s">
        <v>3173</v>
      </c>
      <c r="B1486" s="60">
        <v>28244622</v>
      </c>
      <c r="C1486" s="15"/>
      <c r="D1486" s="15"/>
      <c r="E1486" s="15"/>
      <c r="F1486" s="15" t="s">
        <v>265</v>
      </c>
      <c r="G1486" s="34">
        <v>2</v>
      </c>
      <c r="H1486" s="34">
        <v>9</v>
      </c>
      <c r="I1486" s="15" t="s">
        <v>53</v>
      </c>
      <c r="J1486" s="15" t="s">
        <v>54</v>
      </c>
      <c r="K1486" s="74" t="s">
        <v>29</v>
      </c>
      <c r="L1486" s="16">
        <v>3104</v>
      </c>
      <c r="M1486" s="16">
        <v>952</v>
      </c>
      <c r="N1486" s="16">
        <v>1692</v>
      </c>
      <c r="O1486" s="16">
        <v>154</v>
      </c>
      <c r="P1486" s="16">
        <v>0</v>
      </c>
      <c r="Q1486" s="16">
        <v>2950</v>
      </c>
      <c r="R1486" s="16">
        <v>74</v>
      </c>
      <c r="S1486" s="16">
        <v>0</v>
      </c>
      <c r="T1486" s="111">
        <v>0</v>
      </c>
    </row>
    <row r="1487" spans="1:20" ht="15" customHeight="1" x14ac:dyDescent="0.2">
      <c r="A1487" s="12" t="s">
        <v>3174</v>
      </c>
      <c r="B1487" s="56">
        <v>51982465</v>
      </c>
      <c r="C1487" s="12" t="s">
        <v>3175</v>
      </c>
      <c r="D1487" s="12"/>
      <c r="E1487" s="12" t="s">
        <v>3176</v>
      </c>
      <c r="F1487" s="12" t="s">
        <v>84</v>
      </c>
      <c r="G1487" s="33">
        <v>2</v>
      </c>
      <c r="H1487" s="33">
        <v>41</v>
      </c>
      <c r="I1487" s="12" t="s">
        <v>38</v>
      </c>
      <c r="J1487" s="12" t="s">
        <v>39</v>
      </c>
      <c r="K1487" s="73" t="s">
        <v>29</v>
      </c>
      <c r="L1487" s="13">
        <v>3098</v>
      </c>
      <c r="M1487" s="13">
        <v>0</v>
      </c>
      <c r="N1487" s="13">
        <v>2934</v>
      </c>
      <c r="O1487" s="13">
        <v>32</v>
      </c>
      <c r="P1487" s="13">
        <v>0</v>
      </c>
      <c r="Q1487" s="13">
        <v>3066</v>
      </c>
      <c r="R1487" s="13">
        <v>-28</v>
      </c>
      <c r="S1487" s="13">
        <v>1</v>
      </c>
      <c r="T1487" s="81">
        <v>0</v>
      </c>
    </row>
    <row r="1488" spans="1:20" ht="15" customHeight="1" x14ac:dyDescent="0.2">
      <c r="A1488" s="15" t="s">
        <v>3177</v>
      </c>
      <c r="B1488" s="60">
        <v>19324634</v>
      </c>
      <c r="C1488" s="15" t="s">
        <v>3178</v>
      </c>
      <c r="D1488" s="15"/>
      <c r="E1488" s="15" t="s">
        <v>3179</v>
      </c>
      <c r="F1488" s="15" t="s">
        <v>65</v>
      </c>
      <c r="G1488" s="34">
        <v>2</v>
      </c>
      <c r="H1488" s="34">
        <v>43</v>
      </c>
      <c r="I1488" s="15" t="s">
        <v>132</v>
      </c>
      <c r="J1488" s="15" t="s">
        <v>133</v>
      </c>
      <c r="K1488" s="74" t="s">
        <v>29</v>
      </c>
      <c r="L1488" s="16">
        <v>3054</v>
      </c>
      <c r="M1488" s="16">
        <v>576</v>
      </c>
      <c r="N1488" s="16">
        <v>34</v>
      </c>
      <c r="O1488" s="16">
        <v>40</v>
      </c>
      <c r="P1488" s="16">
        <v>0</v>
      </c>
      <c r="Q1488" s="16">
        <v>3013</v>
      </c>
      <c r="R1488" s="16">
        <v>98</v>
      </c>
      <c r="S1488" s="16">
        <v>2</v>
      </c>
      <c r="T1488" s="111">
        <v>0</v>
      </c>
    </row>
    <row r="1489" spans="1:20" ht="15" customHeight="1" x14ac:dyDescent="0.2">
      <c r="A1489" s="12" t="s">
        <v>3180</v>
      </c>
      <c r="B1489" s="56">
        <v>56030613</v>
      </c>
      <c r="C1489" s="12" t="s">
        <v>3181</v>
      </c>
      <c r="D1489" s="12"/>
      <c r="E1489" s="12" t="s">
        <v>3182</v>
      </c>
      <c r="F1489" s="12" t="s">
        <v>65</v>
      </c>
      <c r="G1489" s="33">
        <v>2</v>
      </c>
      <c r="H1489" s="33">
        <v>43</v>
      </c>
      <c r="I1489" s="12" t="s">
        <v>3183</v>
      </c>
      <c r="J1489" s="12" t="s">
        <v>229</v>
      </c>
      <c r="K1489" s="73" t="s">
        <v>29</v>
      </c>
      <c r="L1489" s="13">
        <v>3038</v>
      </c>
      <c r="M1489" s="13">
        <v>2901</v>
      </c>
      <c r="N1489" s="13">
        <v>0</v>
      </c>
      <c r="O1489" s="13">
        <v>37</v>
      </c>
      <c r="P1489" s="13">
        <v>0</v>
      </c>
      <c r="Q1489" s="13">
        <v>3001</v>
      </c>
      <c r="R1489" s="13">
        <v>-33</v>
      </c>
      <c r="S1489" s="13">
        <v>2</v>
      </c>
      <c r="T1489" s="81">
        <v>0</v>
      </c>
    </row>
    <row r="1490" spans="1:20" ht="15" customHeight="1" x14ac:dyDescent="0.2">
      <c r="A1490" s="15" t="s">
        <v>3184</v>
      </c>
      <c r="B1490" s="60">
        <v>2192115</v>
      </c>
      <c r="C1490" s="15"/>
      <c r="D1490" s="15"/>
      <c r="E1490" s="15"/>
      <c r="F1490" s="15" t="s">
        <v>265</v>
      </c>
      <c r="G1490" s="34">
        <v>2</v>
      </c>
      <c r="H1490" s="34">
        <v>9</v>
      </c>
      <c r="I1490" s="15" t="s">
        <v>3185</v>
      </c>
      <c r="J1490" s="15" t="s">
        <v>54</v>
      </c>
      <c r="K1490" s="74" t="s">
        <v>29</v>
      </c>
      <c r="L1490" s="16">
        <v>3028</v>
      </c>
      <c r="M1490" s="16">
        <v>1215</v>
      </c>
      <c r="N1490" s="16">
        <v>1476</v>
      </c>
      <c r="O1490" s="16">
        <v>268</v>
      </c>
      <c r="P1490" s="16">
        <v>0</v>
      </c>
      <c r="Q1490" s="16">
        <v>2760</v>
      </c>
      <c r="R1490" s="16">
        <v>109</v>
      </c>
      <c r="S1490" s="16">
        <v>0</v>
      </c>
      <c r="T1490" s="111">
        <v>0</v>
      </c>
    </row>
    <row r="1491" spans="1:20" ht="15" customHeight="1" x14ac:dyDescent="0.2">
      <c r="A1491" s="12" t="s">
        <v>3186</v>
      </c>
      <c r="B1491" s="56">
        <v>4223451</v>
      </c>
      <c r="C1491" s="12" t="s">
        <v>3187</v>
      </c>
      <c r="D1491" s="12"/>
      <c r="E1491" s="12" t="s">
        <v>3188</v>
      </c>
      <c r="F1491" s="12" t="s">
        <v>65</v>
      </c>
      <c r="G1491" s="33">
        <v>2</v>
      </c>
      <c r="H1491" s="33">
        <v>10</v>
      </c>
      <c r="I1491" s="12" t="s">
        <v>372</v>
      </c>
      <c r="J1491" s="12" t="s">
        <v>229</v>
      </c>
      <c r="K1491" s="73" t="s">
        <v>29</v>
      </c>
      <c r="L1491" s="13">
        <v>2985</v>
      </c>
      <c r="M1491" s="13">
        <v>1058</v>
      </c>
      <c r="N1491" s="13">
        <v>0</v>
      </c>
      <c r="O1491" s="13">
        <v>276</v>
      </c>
      <c r="P1491" s="13">
        <v>0</v>
      </c>
      <c r="Q1491" s="13">
        <v>2708</v>
      </c>
      <c r="R1491" s="13">
        <v>7</v>
      </c>
      <c r="S1491" s="13">
        <v>2</v>
      </c>
      <c r="T1491" s="81">
        <v>0</v>
      </c>
    </row>
    <row r="1492" spans="1:20" ht="15" customHeight="1" x14ac:dyDescent="0.2">
      <c r="A1492" s="15" t="s">
        <v>3189</v>
      </c>
      <c r="B1492" s="60">
        <v>55428859</v>
      </c>
      <c r="C1492" s="15" t="s">
        <v>3190</v>
      </c>
      <c r="D1492" s="15"/>
      <c r="E1492" s="15" t="s">
        <v>3191</v>
      </c>
      <c r="F1492" s="15" t="s">
        <v>98</v>
      </c>
      <c r="G1492" s="34">
        <v>3</v>
      </c>
      <c r="H1492" s="34">
        <v>21</v>
      </c>
      <c r="I1492" s="15" t="s">
        <v>38</v>
      </c>
      <c r="J1492" s="15" t="s">
        <v>39</v>
      </c>
      <c r="K1492" s="74" t="s">
        <v>29</v>
      </c>
      <c r="L1492" s="16">
        <v>2934</v>
      </c>
      <c r="M1492" s="16">
        <v>0</v>
      </c>
      <c r="N1492" s="16">
        <v>2557</v>
      </c>
      <c r="O1492" s="16">
        <v>131</v>
      </c>
      <c r="P1492" s="16">
        <v>0</v>
      </c>
      <c r="Q1492" s="16">
        <v>2804</v>
      </c>
      <c r="R1492" s="16">
        <v>-543</v>
      </c>
      <c r="S1492" s="16">
        <v>2</v>
      </c>
      <c r="T1492" s="111">
        <v>0</v>
      </c>
    </row>
    <row r="1493" spans="1:20" ht="15" customHeight="1" x14ac:dyDescent="0.2">
      <c r="A1493" s="12" t="s">
        <v>3192</v>
      </c>
      <c r="B1493" s="56">
        <v>68742204</v>
      </c>
      <c r="C1493" s="12" t="s">
        <v>1329</v>
      </c>
      <c r="D1493" s="12" t="s">
        <v>1330</v>
      </c>
      <c r="E1493" s="12" t="s">
        <v>1331</v>
      </c>
      <c r="F1493" s="12" t="s">
        <v>98</v>
      </c>
      <c r="G1493" s="33">
        <v>3</v>
      </c>
      <c r="H1493" s="33">
        <v>21</v>
      </c>
      <c r="I1493" s="12" t="s">
        <v>38</v>
      </c>
      <c r="J1493" s="12" t="s">
        <v>39</v>
      </c>
      <c r="K1493" s="73" t="s">
        <v>29</v>
      </c>
      <c r="L1493" s="13">
        <v>2899</v>
      </c>
      <c r="M1493" s="13">
        <v>0</v>
      </c>
      <c r="N1493" s="13">
        <v>0</v>
      </c>
      <c r="O1493" s="13">
        <v>778</v>
      </c>
      <c r="P1493" s="13">
        <v>0</v>
      </c>
      <c r="Q1493" s="13">
        <v>2121</v>
      </c>
      <c r="R1493" s="13">
        <v>432</v>
      </c>
      <c r="S1493" s="13">
        <v>3</v>
      </c>
      <c r="T1493" s="81">
        <v>0</v>
      </c>
    </row>
    <row r="1494" spans="1:20" ht="15" customHeight="1" x14ac:dyDescent="0.2">
      <c r="A1494" s="15" t="s">
        <v>3193</v>
      </c>
      <c r="B1494" s="60">
        <v>62451088</v>
      </c>
      <c r="C1494" s="15" t="s">
        <v>3194</v>
      </c>
      <c r="D1494" s="15"/>
      <c r="E1494" s="15" t="s">
        <v>3195</v>
      </c>
      <c r="F1494" s="15" t="s">
        <v>65</v>
      </c>
      <c r="G1494" s="34">
        <v>2</v>
      </c>
      <c r="H1494" s="34">
        <v>43</v>
      </c>
      <c r="I1494" s="15" t="s">
        <v>587</v>
      </c>
      <c r="J1494" s="15" t="s">
        <v>39</v>
      </c>
      <c r="K1494" s="74" t="s">
        <v>29</v>
      </c>
      <c r="L1494" s="16">
        <v>2877</v>
      </c>
      <c r="M1494" s="16">
        <v>60</v>
      </c>
      <c r="N1494" s="16">
        <v>0</v>
      </c>
      <c r="O1494" s="16">
        <v>1840</v>
      </c>
      <c r="P1494" s="16">
        <v>0</v>
      </c>
      <c r="Q1494" s="16">
        <v>1036</v>
      </c>
      <c r="R1494" s="16">
        <v>31</v>
      </c>
      <c r="S1494" s="16">
        <v>2</v>
      </c>
      <c r="T1494" s="111">
        <v>0</v>
      </c>
    </row>
    <row r="1495" spans="1:20" ht="15" customHeight="1" x14ac:dyDescent="0.2">
      <c r="A1495" s="12" t="s">
        <v>3196</v>
      </c>
      <c r="B1495" s="56">
        <v>5331882</v>
      </c>
      <c r="C1495" s="12"/>
      <c r="D1495" s="12"/>
      <c r="E1495" s="12"/>
      <c r="F1495" s="12" t="s">
        <v>265</v>
      </c>
      <c r="G1495" s="33">
        <v>2</v>
      </c>
      <c r="H1495" s="33">
        <v>9</v>
      </c>
      <c r="I1495" s="12" t="s">
        <v>73</v>
      </c>
      <c r="J1495" s="12" t="s">
        <v>74</v>
      </c>
      <c r="K1495" s="73" t="s">
        <v>29</v>
      </c>
      <c r="L1495" s="13">
        <v>2796</v>
      </c>
      <c r="M1495" s="13">
        <v>68</v>
      </c>
      <c r="N1495" s="13">
        <v>0</v>
      </c>
      <c r="O1495" s="13">
        <v>279</v>
      </c>
      <c r="P1495" s="13">
        <v>0</v>
      </c>
      <c r="Q1495" s="13">
        <v>2517</v>
      </c>
      <c r="R1495" s="13">
        <v>-15</v>
      </c>
      <c r="S1495" s="13">
        <v>0</v>
      </c>
      <c r="T1495" s="81">
        <v>0</v>
      </c>
    </row>
    <row r="1496" spans="1:20" ht="15" customHeight="1" x14ac:dyDescent="0.2">
      <c r="A1496" s="15" t="s">
        <v>3197</v>
      </c>
      <c r="B1496" s="60">
        <v>2910387</v>
      </c>
      <c r="C1496" s="15"/>
      <c r="D1496" s="15"/>
      <c r="E1496" s="15"/>
      <c r="F1496" s="15" t="s">
        <v>265</v>
      </c>
      <c r="G1496" s="34">
        <v>2</v>
      </c>
      <c r="H1496" s="34">
        <v>9</v>
      </c>
      <c r="I1496" s="15" t="s">
        <v>53</v>
      </c>
      <c r="J1496" s="15" t="s">
        <v>54</v>
      </c>
      <c r="K1496" s="74" t="s">
        <v>29</v>
      </c>
      <c r="L1496" s="16">
        <v>2734</v>
      </c>
      <c r="M1496" s="16">
        <v>1248</v>
      </c>
      <c r="N1496" s="16">
        <v>776</v>
      </c>
      <c r="O1496" s="16">
        <v>65</v>
      </c>
      <c r="P1496" s="16">
        <v>0</v>
      </c>
      <c r="Q1496" s="16">
        <v>2669</v>
      </c>
      <c r="R1496" s="16">
        <v>54</v>
      </c>
      <c r="S1496" s="16">
        <v>0</v>
      </c>
      <c r="T1496" s="111">
        <v>0</v>
      </c>
    </row>
    <row r="1497" spans="1:20" ht="15" customHeight="1" x14ac:dyDescent="0.2">
      <c r="A1497" s="12" t="s">
        <v>3198</v>
      </c>
      <c r="B1497" s="56">
        <v>18145784</v>
      </c>
      <c r="C1497" s="12" t="s">
        <v>3199</v>
      </c>
      <c r="D1497" s="12"/>
      <c r="E1497" s="12" t="s">
        <v>3200</v>
      </c>
      <c r="F1497" s="12" t="s">
        <v>98</v>
      </c>
      <c r="G1497" s="33">
        <v>2</v>
      </c>
      <c r="H1497" s="33">
        <v>21</v>
      </c>
      <c r="I1497" s="12" t="s">
        <v>38</v>
      </c>
      <c r="J1497" s="12" t="s">
        <v>39</v>
      </c>
      <c r="K1497" s="73" t="s">
        <v>29</v>
      </c>
      <c r="L1497" s="13">
        <v>2709</v>
      </c>
      <c r="M1497" s="13">
        <v>0</v>
      </c>
      <c r="N1497" s="13">
        <v>1775</v>
      </c>
      <c r="O1497" s="13">
        <v>56</v>
      </c>
      <c r="P1497" s="13">
        <v>0</v>
      </c>
      <c r="Q1497" s="13">
        <v>2653</v>
      </c>
      <c r="R1497" s="13">
        <v>-97</v>
      </c>
      <c r="S1497" s="13">
        <v>3</v>
      </c>
      <c r="T1497" s="81">
        <v>0</v>
      </c>
    </row>
    <row r="1498" spans="1:20" ht="15" customHeight="1" x14ac:dyDescent="0.2">
      <c r="A1498" s="15" t="s">
        <v>3201</v>
      </c>
      <c r="B1498" s="60">
        <v>23010182</v>
      </c>
      <c r="C1498" s="15" t="s">
        <v>3202</v>
      </c>
      <c r="D1498" s="15"/>
      <c r="E1498" s="15" t="s">
        <v>3203</v>
      </c>
      <c r="F1498" s="15" t="s">
        <v>98</v>
      </c>
      <c r="G1498" s="34">
        <v>2</v>
      </c>
      <c r="H1498" s="34">
        <v>21</v>
      </c>
      <c r="I1498" s="15" t="s">
        <v>73</v>
      </c>
      <c r="J1498" s="15" t="s">
        <v>74</v>
      </c>
      <c r="K1498" s="74" t="s">
        <v>29</v>
      </c>
      <c r="L1498" s="16">
        <v>2665</v>
      </c>
      <c r="M1498" s="16">
        <v>0</v>
      </c>
      <c r="N1498" s="16">
        <v>0</v>
      </c>
      <c r="O1498" s="16">
        <v>325</v>
      </c>
      <c r="P1498" s="16">
        <v>0</v>
      </c>
      <c r="Q1498" s="16">
        <v>2340</v>
      </c>
      <c r="R1498" s="16">
        <v>17</v>
      </c>
      <c r="S1498" s="16">
        <v>2</v>
      </c>
      <c r="T1498" s="111">
        <v>0</v>
      </c>
    </row>
    <row r="1499" spans="1:20" ht="15" customHeight="1" x14ac:dyDescent="0.2">
      <c r="A1499" s="12" t="s">
        <v>3204</v>
      </c>
      <c r="B1499" s="56">
        <v>2230138</v>
      </c>
      <c r="C1499" s="12"/>
      <c r="D1499" s="12"/>
      <c r="E1499" s="12"/>
      <c r="F1499" s="12" t="s">
        <v>265</v>
      </c>
      <c r="G1499" s="33">
        <v>2</v>
      </c>
      <c r="H1499" s="33">
        <v>9</v>
      </c>
      <c r="I1499" s="12" t="s">
        <v>1749</v>
      </c>
      <c r="J1499" s="12" t="s">
        <v>39</v>
      </c>
      <c r="K1499" s="73" t="s">
        <v>29</v>
      </c>
      <c r="L1499" s="13">
        <v>2662</v>
      </c>
      <c r="M1499" s="13">
        <v>1495</v>
      </c>
      <c r="N1499" s="13">
        <v>893</v>
      </c>
      <c r="O1499" s="13">
        <v>413</v>
      </c>
      <c r="P1499" s="13">
        <v>0</v>
      </c>
      <c r="Q1499" s="13">
        <v>2250</v>
      </c>
      <c r="R1499" s="13">
        <v>-127</v>
      </c>
      <c r="S1499" s="13">
        <v>0</v>
      </c>
      <c r="T1499" s="81">
        <v>0</v>
      </c>
    </row>
    <row r="1500" spans="1:20" ht="15" customHeight="1" x14ac:dyDescent="0.2">
      <c r="A1500" s="15" t="s">
        <v>3205</v>
      </c>
      <c r="B1500" s="60">
        <v>34190991</v>
      </c>
      <c r="C1500" s="15" t="s">
        <v>3206</v>
      </c>
      <c r="D1500" s="15"/>
      <c r="E1500" s="15" t="s">
        <v>3207</v>
      </c>
      <c r="F1500" s="15" t="s">
        <v>98</v>
      </c>
      <c r="G1500" s="34">
        <v>2</v>
      </c>
      <c r="H1500" s="34">
        <v>15</v>
      </c>
      <c r="I1500" s="15" t="s">
        <v>3208</v>
      </c>
      <c r="J1500" s="15" t="s">
        <v>217</v>
      </c>
      <c r="K1500" s="74" t="s">
        <v>29</v>
      </c>
      <c r="L1500" s="16">
        <v>2658</v>
      </c>
      <c r="M1500" s="16">
        <v>0</v>
      </c>
      <c r="N1500" s="16">
        <v>2299</v>
      </c>
      <c r="O1500" s="16">
        <v>347</v>
      </c>
      <c r="P1500" s="16">
        <v>0</v>
      </c>
      <c r="Q1500" s="16">
        <v>2312</v>
      </c>
      <c r="R1500" s="16">
        <v>12</v>
      </c>
      <c r="S1500" s="16">
        <v>2</v>
      </c>
      <c r="T1500" s="111">
        <v>0</v>
      </c>
    </row>
    <row r="1501" spans="1:20" ht="15" customHeight="1" x14ac:dyDescent="0.2">
      <c r="A1501" s="12" t="s">
        <v>3209</v>
      </c>
      <c r="B1501" s="56">
        <v>73279093</v>
      </c>
      <c r="C1501" s="12" t="s">
        <v>3210</v>
      </c>
      <c r="D1501" s="12"/>
      <c r="E1501" s="12" t="s">
        <v>3211</v>
      </c>
      <c r="F1501" s="12" t="s">
        <v>98</v>
      </c>
      <c r="G1501" s="33">
        <v>2</v>
      </c>
      <c r="H1501" s="33">
        <v>16</v>
      </c>
      <c r="I1501" s="12" t="s">
        <v>1070</v>
      </c>
      <c r="J1501" s="12" t="s">
        <v>217</v>
      </c>
      <c r="K1501" s="73" t="s">
        <v>29</v>
      </c>
      <c r="L1501" s="13">
        <v>2599</v>
      </c>
      <c r="M1501" s="13">
        <v>0</v>
      </c>
      <c r="N1501" s="13">
        <v>0</v>
      </c>
      <c r="O1501" s="13">
        <v>720</v>
      </c>
      <c r="P1501" s="13">
        <v>0</v>
      </c>
      <c r="Q1501" s="13">
        <v>1879</v>
      </c>
      <c r="R1501" s="13">
        <v>-324</v>
      </c>
      <c r="S1501" s="13">
        <v>4</v>
      </c>
      <c r="T1501" s="81">
        <v>0</v>
      </c>
    </row>
    <row r="1502" spans="1:20" ht="15" customHeight="1" x14ac:dyDescent="0.2">
      <c r="A1502" s="15" t="s">
        <v>3212</v>
      </c>
      <c r="B1502" s="60">
        <v>42445122</v>
      </c>
      <c r="C1502" s="15"/>
      <c r="D1502" s="15"/>
      <c r="E1502" s="15"/>
      <c r="F1502" s="15" t="s">
        <v>265</v>
      </c>
      <c r="G1502" s="34">
        <v>2</v>
      </c>
      <c r="H1502" s="34">
        <v>9</v>
      </c>
      <c r="I1502" s="15" t="s">
        <v>53</v>
      </c>
      <c r="J1502" s="15" t="s">
        <v>54</v>
      </c>
      <c r="K1502" s="74" t="s">
        <v>29</v>
      </c>
      <c r="L1502" s="16">
        <v>2565</v>
      </c>
      <c r="M1502" s="16">
        <v>1187</v>
      </c>
      <c r="N1502" s="16">
        <v>0</v>
      </c>
      <c r="O1502" s="16">
        <v>1128</v>
      </c>
      <c r="P1502" s="16">
        <v>0</v>
      </c>
      <c r="Q1502" s="16">
        <v>1437</v>
      </c>
      <c r="R1502" s="16">
        <v>-27</v>
      </c>
      <c r="S1502" s="16">
        <v>0</v>
      </c>
      <c r="T1502" s="111">
        <v>1</v>
      </c>
    </row>
    <row r="1503" spans="1:20" ht="15" customHeight="1" x14ac:dyDescent="0.2">
      <c r="A1503" s="12" t="s">
        <v>3213</v>
      </c>
      <c r="B1503" s="56">
        <v>58674454</v>
      </c>
      <c r="C1503" s="12" t="s">
        <v>3214</v>
      </c>
      <c r="D1503" s="12"/>
      <c r="E1503" s="12" t="s">
        <v>3215</v>
      </c>
      <c r="F1503" s="12" t="s">
        <v>65</v>
      </c>
      <c r="G1503" s="33">
        <v>2</v>
      </c>
      <c r="H1503" s="33">
        <v>43</v>
      </c>
      <c r="I1503" s="12" t="s">
        <v>255</v>
      </c>
      <c r="J1503" s="12" t="s">
        <v>39</v>
      </c>
      <c r="K1503" s="73" t="s">
        <v>29</v>
      </c>
      <c r="L1503" s="13">
        <v>2514</v>
      </c>
      <c r="M1503" s="13">
        <v>132</v>
      </c>
      <c r="N1503" s="13">
        <v>0</v>
      </c>
      <c r="O1503" s="13">
        <v>750</v>
      </c>
      <c r="P1503" s="13">
        <v>0</v>
      </c>
      <c r="Q1503" s="13">
        <v>1764</v>
      </c>
      <c r="R1503" s="13">
        <v>754</v>
      </c>
      <c r="S1503" s="13">
        <v>2</v>
      </c>
      <c r="T1503" s="81">
        <v>0</v>
      </c>
    </row>
    <row r="1504" spans="1:20" ht="15" customHeight="1" x14ac:dyDescent="0.2">
      <c r="A1504" s="15" t="s">
        <v>3216</v>
      </c>
      <c r="B1504" s="60">
        <v>47593544</v>
      </c>
      <c r="C1504" s="15" t="s">
        <v>3217</v>
      </c>
      <c r="D1504" s="15"/>
      <c r="E1504" s="15" t="s">
        <v>3218</v>
      </c>
      <c r="F1504" s="15" t="s">
        <v>65</v>
      </c>
      <c r="G1504" s="34">
        <v>2</v>
      </c>
      <c r="H1504" s="34">
        <v>43</v>
      </c>
      <c r="I1504" s="15" t="s">
        <v>38</v>
      </c>
      <c r="J1504" s="15" t="s">
        <v>39</v>
      </c>
      <c r="K1504" s="74" t="s">
        <v>29</v>
      </c>
      <c r="L1504" s="16">
        <v>2514</v>
      </c>
      <c r="M1504" s="16">
        <v>0</v>
      </c>
      <c r="N1504" s="16">
        <v>0</v>
      </c>
      <c r="O1504" s="16">
        <v>87</v>
      </c>
      <c r="P1504" s="16">
        <v>0</v>
      </c>
      <c r="Q1504" s="16">
        <v>2427</v>
      </c>
      <c r="R1504" s="16">
        <v>-1161</v>
      </c>
      <c r="S1504" s="16">
        <v>2</v>
      </c>
      <c r="T1504" s="111">
        <v>0</v>
      </c>
    </row>
    <row r="1505" spans="1:20" ht="15" customHeight="1" x14ac:dyDescent="0.2">
      <c r="A1505" s="12" t="s">
        <v>3219</v>
      </c>
      <c r="B1505" s="56">
        <v>28762249</v>
      </c>
      <c r="C1505" s="12" t="s">
        <v>3220</v>
      </c>
      <c r="D1505" s="12"/>
      <c r="E1505" s="12" t="s">
        <v>3221</v>
      </c>
      <c r="F1505" s="12" t="s">
        <v>98</v>
      </c>
      <c r="G1505" s="33">
        <v>2</v>
      </c>
      <c r="H1505" s="33">
        <v>21</v>
      </c>
      <c r="I1505" s="12" t="s">
        <v>132</v>
      </c>
      <c r="J1505" s="12" t="s">
        <v>133</v>
      </c>
      <c r="K1505" s="73" t="s">
        <v>29</v>
      </c>
      <c r="L1505" s="13">
        <v>2496</v>
      </c>
      <c r="M1505" s="13">
        <v>0</v>
      </c>
      <c r="N1505" s="13">
        <v>0</v>
      </c>
      <c r="O1505" s="13">
        <v>307</v>
      </c>
      <c r="P1505" s="13">
        <v>0</v>
      </c>
      <c r="Q1505" s="13">
        <v>2190</v>
      </c>
      <c r="R1505" s="13">
        <v>-597</v>
      </c>
      <c r="S1505" s="13">
        <v>2</v>
      </c>
      <c r="T1505" s="81">
        <v>0</v>
      </c>
    </row>
    <row r="1506" spans="1:20" ht="15" customHeight="1" x14ac:dyDescent="0.2">
      <c r="A1506" s="15" t="s">
        <v>3222</v>
      </c>
      <c r="B1506" s="60">
        <v>53058329</v>
      </c>
      <c r="C1506" s="15" t="s">
        <v>3223</v>
      </c>
      <c r="D1506" s="15"/>
      <c r="E1506" s="15" t="s">
        <v>3224</v>
      </c>
      <c r="F1506" s="15" t="s">
        <v>84</v>
      </c>
      <c r="G1506" s="34">
        <v>3</v>
      </c>
      <c r="H1506" s="34">
        <v>41</v>
      </c>
      <c r="I1506" s="15" t="s">
        <v>38</v>
      </c>
      <c r="J1506" s="15" t="s">
        <v>39</v>
      </c>
      <c r="K1506" s="74" t="s">
        <v>29</v>
      </c>
      <c r="L1506" s="16">
        <v>2444</v>
      </c>
      <c r="M1506" s="16">
        <v>0</v>
      </c>
      <c r="N1506" s="16">
        <v>2308</v>
      </c>
      <c r="O1506" s="16">
        <v>64</v>
      </c>
      <c r="P1506" s="16">
        <v>0</v>
      </c>
      <c r="Q1506" s="16">
        <v>2380</v>
      </c>
      <c r="R1506" s="16">
        <v>-1230</v>
      </c>
      <c r="S1506" s="16">
        <v>1</v>
      </c>
      <c r="T1506" s="111">
        <v>0</v>
      </c>
    </row>
    <row r="1507" spans="1:20" ht="15" customHeight="1" x14ac:dyDescent="0.2">
      <c r="A1507" s="12" t="s">
        <v>3225</v>
      </c>
      <c r="B1507" s="56">
        <v>56606230</v>
      </c>
      <c r="C1507" s="12" t="s">
        <v>3226</v>
      </c>
      <c r="D1507" s="12"/>
      <c r="E1507" s="12" t="s">
        <v>3227</v>
      </c>
      <c r="F1507" s="12" t="s">
        <v>65</v>
      </c>
      <c r="G1507" s="33">
        <v>2</v>
      </c>
      <c r="H1507" s="33">
        <v>43</v>
      </c>
      <c r="I1507" s="12" t="s">
        <v>3228</v>
      </c>
      <c r="J1507" s="12" t="s">
        <v>74</v>
      </c>
      <c r="K1507" s="73" t="s">
        <v>29</v>
      </c>
      <c r="L1507" s="13">
        <v>2399</v>
      </c>
      <c r="M1507" s="13">
        <v>2031</v>
      </c>
      <c r="N1507" s="13">
        <v>209</v>
      </c>
      <c r="O1507" s="13">
        <v>1042</v>
      </c>
      <c r="P1507" s="13">
        <v>798</v>
      </c>
      <c r="Q1507" s="13">
        <v>1357</v>
      </c>
      <c r="R1507" s="13">
        <v>122</v>
      </c>
      <c r="S1507" s="13">
        <v>2</v>
      </c>
      <c r="T1507" s="81">
        <v>0</v>
      </c>
    </row>
    <row r="1508" spans="1:20" ht="15" customHeight="1" x14ac:dyDescent="0.2">
      <c r="A1508" s="15" t="s">
        <v>3229</v>
      </c>
      <c r="B1508" s="60">
        <v>7651495</v>
      </c>
      <c r="C1508" s="15"/>
      <c r="D1508" s="15"/>
      <c r="E1508" s="15"/>
      <c r="F1508" s="15" t="s">
        <v>265</v>
      </c>
      <c r="G1508" s="34">
        <v>2</v>
      </c>
      <c r="H1508" s="34">
        <v>9</v>
      </c>
      <c r="I1508" s="15" t="s">
        <v>38</v>
      </c>
      <c r="J1508" s="15" t="s">
        <v>39</v>
      </c>
      <c r="K1508" s="74" t="s">
        <v>29</v>
      </c>
      <c r="L1508" s="16">
        <v>2397</v>
      </c>
      <c r="M1508" s="16">
        <v>1832</v>
      </c>
      <c r="N1508" s="16">
        <v>405</v>
      </c>
      <c r="O1508" s="16">
        <v>820</v>
      </c>
      <c r="P1508" s="16">
        <v>0</v>
      </c>
      <c r="Q1508" s="16">
        <v>1577</v>
      </c>
      <c r="R1508" s="16">
        <v>16</v>
      </c>
      <c r="S1508" s="16">
        <v>0</v>
      </c>
      <c r="T1508" s="111">
        <v>0</v>
      </c>
    </row>
    <row r="1509" spans="1:20" ht="15" customHeight="1" x14ac:dyDescent="0.2">
      <c r="A1509" s="12" t="s">
        <v>3230</v>
      </c>
      <c r="B1509" s="56">
        <v>37943755</v>
      </c>
      <c r="C1509" s="12" t="s">
        <v>3231</v>
      </c>
      <c r="D1509" s="12"/>
      <c r="E1509" s="12" t="s">
        <v>3232</v>
      </c>
      <c r="F1509" s="12" t="s">
        <v>84</v>
      </c>
      <c r="G1509" s="33">
        <v>2</v>
      </c>
      <c r="H1509" s="33">
        <v>41</v>
      </c>
      <c r="I1509" s="12" t="s">
        <v>38</v>
      </c>
      <c r="J1509" s="12" t="s">
        <v>39</v>
      </c>
      <c r="K1509" s="73" t="s">
        <v>29</v>
      </c>
      <c r="L1509" s="13">
        <v>2394</v>
      </c>
      <c r="M1509" s="13">
        <v>0</v>
      </c>
      <c r="N1509" s="13">
        <v>140</v>
      </c>
      <c r="O1509" s="13">
        <v>364</v>
      </c>
      <c r="P1509" s="13">
        <v>0</v>
      </c>
      <c r="Q1509" s="13">
        <v>2031</v>
      </c>
      <c r="R1509" s="13">
        <v>1120</v>
      </c>
      <c r="S1509" s="13">
        <v>1</v>
      </c>
      <c r="T1509" s="81">
        <v>0</v>
      </c>
    </row>
    <row r="1510" spans="1:20" ht="15" customHeight="1" x14ac:dyDescent="0.2">
      <c r="A1510" s="15" t="s">
        <v>3233</v>
      </c>
      <c r="B1510" s="60">
        <v>2276653</v>
      </c>
      <c r="C1510" s="15" t="s">
        <v>2720</v>
      </c>
      <c r="D1510" s="15" t="s">
        <v>2721</v>
      </c>
      <c r="E1510" s="15" t="s">
        <v>2722</v>
      </c>
      <c r="F1510" s="15" t="s">
        <v>98</v>
      </c>
      <c r="G1510" s="34">
        <v>2</v>
      </c>
      <c r="H1510" s="34">
        <v>16</v>
      </c>
      <c r="I1510" s="15" t="s">
        <v>388</v>
      </c>
      <c r="J1510" s="15" t="s">
        <v>389</v>
      </c>
      <c r="K1510" s="74" t="s">
        <v>29</v>
      </c>
      <c r="L1510" s="16">
        <v>2366</v>
      </c>
      <c r="M1510" s="16">
        <v>0</v>
      </c>
      <c r="N1510" s="16">
        <v>0</v>
      </c>
      <c r="O1510" s="16">
        <v>418</v>
      </c>
      <c r="P1510" s="16">
        <v>0</v>
      </c>
      <c r="Q1510" s="16">
        <v>1948</v>
      </c>
      <c r="R1510" s="16">
        <v>-1135</v>
      </c>
      <c r="S1510" s="16">
        <v>2</v>
      </c>
      <c r="T1510" s="111">
        <v>0</v>
      </c>
    </row>
    <row r="1511" spans="1:20" ht="15" customHeight="1" x14ac:dyDescent="0.2">
      <c r="A1511" s="12" t="s">
        <v>3234</v>
      </c>
      <c r="B1511" s="56">
        <v>20269566</v>
      </c>
      <c r="C1511" s="12" t="s">
        <v>3235</v>
      </c>
      <c r="D1511" s="12"/>
      <c r="E1511" s="12" t="s">
        <v>3236</v>
      </c>
      <c r="F1511" s="12" t="s">
        <v>65</v>
      </c>
      <c r="G1511" s="33">
        <v>2</v>
      </c>
      <c r="H1511" s="33">
        <v>10</v>
      </c>
      <c r="I1511" s="12" t="s">
        <v>132</v>
      </c>
      <c r="J1511" s="12" t="s">
        <v>133</v>
      </c>
      <c r="K1511" s="73" t="s">
        <v>29</v>
      </c>
      <c r="L1511" s="13">
        <v>2243</v>
      </c>
      <c r="M1511" s="13">
        <v>748</v>
      </c>
      <c r="N1511" s="13">
        <v>1088</v>
      </c>
      <c r="O1511" s="13">
        <v>841</v>
      </c>
      <c r="P1511" s="13">
        <v>0</v>
      </c>
      <c r="Q1511" s="13">
        <v>1402</v>
      </c>
      <c r="R1511" s="13">
        <v>237</v>
      </c>
      <c r="S1511" s="13">
        <v>2</v>
      </c>
      <c r="T1511" s="81">
        <v>0</v>
      </c>
    </row>
    <row r="1512" spans="1:20" ht="15" customHeight="1" x14ac:dyDescent="0.2">
      <c r="A1512" s="15" t="s">
        <v>3237</v>
      </c>
      <c r="B1512" s="60">
        <v>2850075</v>
      </c>
      <c r="C1512" s="15"/>
      <c r="D1512" s="15"/>
      <c r="E1512" s="15"/>
      <c r="F1512" s="15" t="s">
        <v>265</v>
      </c>
      <c r="G1512" s="34">
        <v>2</v>
      </c>
      <c r="H1512" s="34">
        <v>9</v>
      </c>
      <c r="I1512" s="15" t="s">
        <v>53</v>
      </c>
      <c r="J1512" s="15" t="s">
        <v>54</v>
      </c>
      <c r="K1512" s="74" t="s">
        <v>29</v>
      </c>
      <c r="L1512" s="16">
        <v>2199</v>
      </c>
      <c r="M1512" s="16">
        <v>1122</v>
      </c>
      <c r="N1512" s="16">
        <v>0</v>
      </c>
      <c r="O1512" s="16">
        <v>116</v>
      </c>
      <c r="P1512" s="16">
        <v>0</v>
      </c>
      <c r="Q1512" s="16">
        <v>2083</v>
      </c>
      <c r="R1512" s="16">
        <v>11</v>
      </c>
      <c r="S1512" s="16">
        <v>0</v>
      </c>
      <c r="T1512" s="111">
        <v>0</v>
      </c>
    </row>
    <row r="1513" spans="1:20" ht="15" customHeight="1" x14ac:dyDescent="0.2">
      <c r="A1513" s="12" t="s">
        <v>3238</v>
      </c>
      <c r="B1513" s="56">
        <v>3674133</v>
      </c>
      <c r="C1513" s="12"/>
      <c r="D1513" s="12"/>
      <c r="E1513" s="12"/>
      <c r="F1513" s="12" t="s">
        <v>265</v>
      </c>
      <c r="G1513" s="33">
        <v>2</v>
      </c>
      <c r="H1513" s="33">
        <v>9</v>
      </c>
      <c r="I1513" s="12" t="s">
        <v>38</v>
      </c>
      <c r="J1513" s="12" t="s">
        <v>39</v>
      </c>
      <c r="K1513" s="73" t="s">
        <v>29</v>
      </c>
      <c r="L1513" s="13">
        <v>2163</v>
      </c>
      <c r="M1513" s="13">
        <v>962</v>
      </c>
      <c r="N1513" s="13">
        <v>1102</v>
      </c>
      <c r="O1513" s="13">
        <v>1408</v>
      </c>
      <c r="P1513" s="13">
        <v>1253</v>
      </c>
      <c r="Q1513" s="13">
        <v>755</v>
      </c>
      <c r="R1513" s="13">
        <v>-60</v>
      </c>
      <c r="S1513" s="13">
        <v>0</v>
      </c>
      <c r="T1513" s="81">
        <v>1</v>
      </c>
    </row>
    <row r="1514" spans="1:20" ht="15" customHeight="1" x14ac:dyDescent="0.2">
      <c r="A1514" s="15" t="s">
        <v>3239</v>
      </c>
      <c r="B1514" s="60">
        <v>68314921</v>
      </c>
      <c r="C1514" s="15"/>
      <c r="D1514" s="15"/>
      <c r="E1514" s="15"/>
      <c r="F1514" s="15" t="s">
        <v>265</v>
      </c>
      <c r="G1514" s="34">
        <v>2</v>
      </c>
      <c r="H1514" s="34">
        <v>9</v>
      </c>
      <c r="I1514" s="15" t="s">
        <v>38</v>
      </c>
      <c r="J1514" s="15" t="s">
        <v>39</v>
      </c>
      <c r="K1514" s="74" t="s">
        <v>29</v>
      </c>
      <c r="L1514" s="16">
        <v>2144</v>
      </c>
      <c r="M1514" s="16">
        <v>1711</v>
      </c>
      <c r="N1514" s="16">
        <v>0</v>
      </c>
      <c r="O1514" s="16">
        <v>211</v>
      </c>
      <c r="P1514" s="16">
        <v>0</v>
      </c>
      <c r="Q1514" s="16">
        <v>1933</v>
      </c>
      <c r="R1514" s="16">
        <v>4</v>
      </c>
      <c r="S1514" s="16">
        <v>0</v>
      </c>
      <c r="T1514" s="111">
        <v>0</v>
      </c>
    </row>
    <row r="1515" spans="1:20" ht="15" customHeight="1" x14ac:dyDescent="0.2">
      <c r="A1515" s="12" t="s">
        <v>3240</v>
      </c>
      <c r="B1515" s="56">
        <v>77162881</v>
      </c>
      <c r="C1515" s="12" t="s">
        <v>3241</v>
      </c>
      <c r="D1515" s="12"/>
      <c r="E1515" s="12" t="s">
        <v>3242</v>
      </c>
      <c r="F1515" s="12" t="s">
        <v>98</v>
      </c>
      <c r="G1515" s="33">
        <v>2</v>
      </c>
      <c r="H1515" s="33">
        <v>16</v>
      </c>
      <c r="I1515" s="12" t="s">
        <v>228</v>
      </c>
      <c r="J1515" s="12" t="s">
        <v>229</v>
      </c>
      <c r="K1515" s="73" t="s">
        <v>29</v>
      </c>
      <c r="L1515" s="13">
        <v>2134</v>
      </c>
      <c r="M1515" s="13">
        <v>0</v>
      </c>
      <c r="N1515" s="13">
        <v>0</v>
      </c>
      <c r="O1515" s="13">
        <v>1491</v>
      </c>
      <c r="P1515" s="13">
        <v>0</v>
      </c>
      <c r="Q1515" s="13">
        <v>644</v>
      </c>
      <c r="R1515" s="13">
        <v>-389</v>
      </c>
      <c r="S1515" s="13">
        <v>2</v>
      </c>
      <c r="T1515" s="81">
        <v>0</v>
      </c>
    </row>
    <row r="1516" spans="1:20" ht="15" customHeight="1" x14ac:dyDescent="0.2">
      <c r="A1516" s="15" t="s">
        <v>3243</v>
      </c>
      <c r="B1516" s="60">
        <v>2738981</v>
      </c>
      <c r="C1516" s="15"/>
      <c r="D1516" s="15"/>
      <c r="E1516" s="15"/>
      <c r="F1516" s="15" t="s">
        <v>265</v>
      </c>
      <c r="G1516" s="34">
        <v>2</v>
      </c>
      <c r="H1516" s="34">
        <v>9</v>
      </c>
      <c r="I1516" s="15" t="s">
        <v>1897</v>
      </c>
      <c r="J1516" s="15" t="s">
        <v>120</v>
      </c>
      <c r="K1516" s="74" t="s">
        <v>29</v>
      </c>
      <c r="L1516" s="16">
        <v>2116</v>
      </c>
      <c r="M1516" s="16">
        <v>1575</v>
      </c>
      <c r="N1516" s="16">
        <v>478</v>
      </c>
      <c r="O1516" s="16">
        <v>155</v>
      </c>
      <c r="P1516" s="16">
        <v>0</v>
      </c>
      <c r="Q1516" s="16">
        <v>1961</v>
      </c>
      <c r="R1516" s="16">
        <v>115</v>
      </c>
      <c r="S1516" s="16">
        <v>0</v>
      </c>
      <c r="T1516" s="111">
        <v>0</v>
      </c>
    </row>
    <row r="1517" spans="1:20" ht="15" customHeight="1" x14ac:dyDescent="0.2">
      <c r="A1517" s="12" t="s">
        <v>3244</v>
      </c>
      <c r="B1517" s="56">
        <v>58526733</v>
      </c>
      <c r="C1517" s="12" t="s">
        <v>3245</v>
      </c>
      <c r="D1517" s="12"/>
      <c r="E1517" s="12" t="s">
        <v>3246</v>
      </c>
      <c r="F1517" s="12" t="s">
        <v>65</v>
      </c>
      <c r="G1517" s="33">
        <v>2</v>
      </c>
      <c r="H1517" s="33">
        <v>43</v>
      </c>
      <c r="I1517" s="12" t="s">
        <v>38</v>
      </c>
      <c r="J1517" s="12" t="s">
        <v>39</v>
      </c>
      <c r="K1517" s="73" t="s">
        <v>29</v>
      </c>
      <c r="L1517" s="13">
        <v>2075</v>
      </c>
      <c r="M1517" s="13">
        <v>0</v>
      </c>
      <c r="N1517" s="13">
        <v>2049</v>
      </c>
      <c r="O1517" s="13">
        <v>461</v>
      </c>
      <c r="P1517" s="13">
        <v>0</v>
      </c>
      <c r="Q1517" s="13">
        <v>1614</v>
      </c>
      <c r="R1517" s="13">
        <v>108</v>
      </c>
      <c r="S1517" s="13">
        <v>2</v>
      </c>
      <c r="T1517" s="81">
        <v>0</v>
      </c>
    </row>
    <row r="1518" spans="1:20" ht="15" customHeight="1" x14ac:dyDescent="0.2">
      <c r="A1518" s="15" t="s">
        <v>3247</v>
      </c>
      <c r="B1518" s="60">
        <v>10749264</v>
      </c>
      <c r="C1518" s="15" t="s">
        <v>3248</v>
      </c>
      <c r="D1518" s="15"/>
      <c r="E1518" s="15" t="s">
        <v>3249</v>
      </c>
      <c r="F1518" s="15" t="s">
        <v>98</v>
      </c>
      <c r="G1518" s="34">
        <v>2</v>
      </c>
      <c r="H1518" s="34">
        <v>16</v>
      </c>
      <c r="I1518" s="15" t="s">
        <v>53</v>
      </c>
      <c r="J1518" s="15" t="s">
        <v>54</v>
      </c>
      <c r="K1518" s="74" t="s">
        <v>29</v>
      </c>
      <c r="L1518" s="16">
        <v>2029</v>
      </c>
      <c r="M1518" s="16">
        <v>0</v>
      </c>
      <c r="N1518" s="16">
        <v>1663</v>
      </c>
      <c r="O1518" s="16">
        <v>951</v>
      </c>
      <c r="P1518" s="16">
        <v>0</v>
      </c>
      <c r="Q1518" s="16">
        <v>1078</v>
      </c>
      <c r="R1518" s="16">
        <v>473</v>
      </c>
      <c r="S1518" s="16">
        <v>3</v>
      </c>
      <c r="T1518" s="111">
        <v>0</v>
      </c>
    </row>
    <row r="1519" spans="1:20" ht="15" customHeight="1" x14ac:dyDescent="0.2">
      <c r="A1519" s="12" t="s">
        <v>3250</v>
      </c>
      <c r="B1519" s="56">
        <v>88043187</v>
      </c>
      <c r="C1519" s="12"/>
      <c r="D1519" s="12"/>
      <c r="E1519" s="12"/>
      <c r="F1519" s="12" t="s">
        <v>265</v>
      </c>
      <c r="G1519" s="33">
        <v>2</v>
      </c>
      <c r="H1519" s="33">
        <v>9</v>
      </c>
      <c r="I1519" s="12" t="s">
        <v>2340</v>
      </c>
      <c r="J1519" s="12" t="s">
        <v>74</v>
      </c>
      <c r="K1519" s="73" t="s">
        <v>29</v>
      </c>
      <c r="L1519" s="13">
        <v>1975</v>
      </c>
      <c r="M1519" s="13">
        <v>1359</v>
      </c>
      <c r="N1519" s="13">
        <v>504</v>
      </c>
      <c r="O1519" s="13">
        <v>387</v>
      </c>
      <c r="P1519" s="13">
        <v>325</v>
      </c>
      <c r="Q1519" s="13">
        <v>1589</v>
      </c>
      <c r="R1519" s="13">
        <v>37</v>
      </c>
      <c r="S1519" s="13">
        <v>0</v>
      </c>
      <c r="T1519" s="81">
        <v>0</v>
      </c>
    </row>
    <row r="1520" spans="1:20" ht="15" customHeight="1" x14ac:dyDescent="0.2">
      <c r="A1520" s="15" t="s">
        <v>3251</v>
      </c>
      <c r="B1520" s="60">
        <v>7327045</v>
      </c>
      <c r="C1520" s="15" t="s">
        <v>3252</v>
      </c>
      <c r="D1520" s="15"/>
      <c r="E1520" s="15" t="s">
        <v>3253</v>
      </c>
      <c r="F1520" s="15" t="s">
        <v>65</v>
      </c>
      <c r="G1520" s="34">
        <v>2</v>
      </c>
      <c r="H1520" s="34">
        <v>43</v>
      </c>
      <c r="I1520" s="15" t="s">
        <v>400</v>
      </c>
      <c r="J1520" s="15" t="s">
        <v>401</v>
      </c>
      <c r="K1520" s="74" t="s">
        <v>29</v>
      </c>
      <c r="L1520" s="16">
        <v>1949</v>
      </c>
      <c r="M1520" s="16">
        <v>1474</v>
      </c>
      <c r="N1520" s="16">
        <v>383</v>
      </c>
      <c r="O1520" s="16">
        <v>62</v>
      </c>
      <c r="P1520" s="16">
        <v>0</v>
      </c>
      <c r="Q1520" s="16">
        <v>1886</v>
      </c>
      <c r="R1520" s="16">
        <v>219</v>
      </c>
      <c r="S1520" s="16">
        <v>2</v>
      </c>
      <c r="T1520" s="111">
        <v>0</v>
      </c>
    </row>
    <row r="1521" spans="1:20" ht="15" customHeight="1" x14ac:dyDescent="0.2">
      <c r="A1521" s="12" t="s">
        <v>3254</v>
      </c>
      <c r="B1521" s="56">
        <v>6942423</v>
      </c>
      <c r="C1521" s="12"/>
      <c r="D1521" s="12"/>
      <c r="E1521" s="12"/>
      <c r="F1521" s="12" t="s">
        <v>265</v>
      </c>
      <c r="G1521" s="33">
        <v>2</v>
      </c>
      <c r="H1521" s="33">
        <v>9</v>
      </c>
      <c r="I1521" s="12" t="s">
        <v>228</v>
      </c>
      <c r="J1521" s="12" t="s">
        <v>229</v>
      </c>
      <c r="K1521" s="73" t="s">
        <v>29</v>
      </c>
      <c r="L1521" s="13">
        <v>1890</v>
      </c>
      <c r="M1521" s="13">
        <v>637</v>
      </c>
      <c r="N1521" s="13">
        <v>1196</v>
      </c>
      <c r="O1521" s="13">
        <v>76</v>
      </c>
      <c r="P1521" s="13">
        <v>0</v>
      </c>
      <c r="Q1521" s="13">
        <v>1813</v>
      </c>
      <c r="R1521" s="13">
        <v>48</v>
      </c>
      <c r="S1521" s="13">
        <v>0</v>
      </c>
      <c r="T1521" s="81">
        <v>0</v>
      </c>
    </row>
    <row r="1522" spans="1:20" ht="15" customHeight="1" x14ac:dyDescent="0.2">
      <c r="A1522" s="15" t="s">
        <v>3255</v>
      </c>
      <c r="B1522" s="60">
        <v>58006471</v>
      </c>
      <c r="C1522" s="15" t="s">
        <v>2691</v>
      </c>
      <c r="D1522" s="15" t="s">
        <v>2692</v>
      </c>
      <c r="E1522" s="15" t="s">
        <v>2693</v>
      </c>
      <c r="F1522" s="15" t="s">
        <v>98</v>
      </c>
      <c r="G1522" s="34">
        <v>2</v>
      </c>
      <c r="H1522" s="34">
        <v>16</v>
      </c>
      <c r="I1522" s="15" t="s">
        <v>73</v>
      </c>
      <c r="J1522" s="15" t="s">
        <v>74</v>
      </c>
      <c r="K1522" s="74" t="s">
        <v>29</v>
      </c>
      <c r="L1522" s="16">
        <v>1888</v>
      </c>
      <c r="M1522" s="16">
        <v>0</v>
      </c>
      <c r="N1522" s="16">
        <v>143</v>
      </c>
      <c r="O1522" s="16">
        <v>341</v>
      </c>
      <c r="P1522" s="16">
        <v>0</v>
      </c>
      <c r="Q1522" s="16">
        <v>1547</v>
      </c>
      <c r="R1522" s="16">
        <v>-1042</v>
      </c>
      <c r="S1522" s="16">
        <v>2</v>
      </c>
      <c r="T1522" s="111">
        <v>0</v>
      </c>
    </row>
    <row r="1523" spans="1:20" ht="15" customHeight="1" x14ac:dyDescent="0.2">
      <c r="A1523" s="12" t="s">
        <v>3256</v>
      </c>
      <c r="B1523" s="56">
        <v>18340695</v>
      </c>
      <c r="C1523" s="12"/>
      <c r="D1523" s="12"/>
      <c r="E1523" s="12"/>
      <c r="F1523" s="12" t="s">
        <v>265</v>
      </c>
      <c r="G1523" s="33">
        <v>2</v>
      </c>
      <c r="H1523" s="33">
        <v>9</v>
      </c>
      <c r="I1523" s="12" t="s">
        <v>3150</v>
      </c>
      <c r="J1523" s="12" t="s">
        <v>120</v>
      </c>
      <c r="K1523" s="73" t="s">
        <v>29</v>
      </c>
      <c r="L1523" s="13">
        <v>1874</v>
      </c>
      <c r="M1523" s="13">
        <v>1344</v>
      </c>
      <c r="N1523" s="13">
        <v>210</v>
      </c>
      <c r="O1523" s="13">
        <v>193</v>
      </c>
      <c r="P1523" s="13">
        <v>0</v>
      </c>
      <c r="Q1523" s="13">
        <v>1682</v>
      </c>
      <c r="R1523" s="13">
        <v>23</v>
      </c>
      <c r="S1523" s="13">
        <v>0</v>
      </c>
      <c r="T1523" s="81">
        <v>0</v>
      </c>
    </row>
    <row r="1524" spans="1:20" ht="15" customHeight="1" x14ac:dyDescent="0.2">
      <c r="A1524" s="15" t="s">
        <v>3257</v>
      </c>
      <c r="B1524" s="60">
        <v>52137361</v>
      </c>
      <c r="C1524" s="15"/>
      <c r="D1524" s="15"/>
      <c r="E1524" s="15"/>
      <c r="F1524" s="15" t="s">
        <v>265</v>
      </c>
      <c r="G1524" s="34">
        <v>2</v>
      </c>
      <c r="H1524" s="34">
        <v>9</v>
      </c>
      <c r="I1524" s="15" t="s">
        <v>2515</v>
      </c>
      <c r="J1524" s="15" t="s">
        <v>39</v>
      </c>
      <c r="K1524" s="74" t="s">
        <v>29</v>
      </c>
      <c r="L1524" s="16">
        <v>1869</v>
      </c>
      <c r="M1524" s="16">
        <v>1502</v>
      </c>
      <c r="N1524" s="16">
        <v>287</v>
      </c>
      <c r="O1524" s="16">
        <v>50</v>
      </c>
      <c r="P1524" s="16">
        <v>0</v>
      </c>
      <c r="Q1524" s="16">
        <v>1819</v>
      </c>
      <c r="R1524" s="16">
        <v>57</v>
      </c>
      <c r="S1524" s="16">
        <v>0</v>
      </c>
      <c r="T1524" s="111">
        <v>0</v>
      </c>
    </row>
    <row r="1525" spans="1:20" ht="15" customHeight="1" x14ac:dyDescent="0.2">
      <c r="A1525" s="12" t="s">
        <v>3258</v>
      </c>
      <c r="B1525" s="56">
        <v>32820711</v>
      </c>
      <c r="C1525" s="12" t="s">
        <v>3259</v>
      </c>
      <c r="D1525" s="12"/>
      <c r="E1525" s="12" t="s">
        <v>3260</v>
      </c>
      <c r="F1525" s="12" t="s">
        <v>84</v>
      </c>
      <c r="G1525" s="33">
        <v>2</v>
      </c>
      <c r="H1525" s="33">
        <v>41</v>
      </c>
      <c r="I1525" s="12" t="s">
        <v>38</v>
      </c>
      <c r="J1525" s="12" t="s">
        <v>39</v>
      </c>
      <c r="K1525" s="73" t="s">
        <v>29</v>
      </c>
      <c r="L1525" s="13">
        <v>1839</v>
      </c>
      <c r="M1525" s="13">
        <v>0</v>
      </c>
      <c r="N1525" s="13">
        <v>314</v>
      </c>
      <c r="O1525" s="13">
        <v>641</v>
      </c>
      <c r="P1525" s="13">
        <v>0</v>
      </c>
      <c r="Q1525" s="13">
        <v>1198</v>
      </c>
      <c r="R1525" s="13">
        <v>984</v>
      </c>
      <c r="S1525" s="13">
        <v>1</v>
      </c>
      <c r="T1525" s="81">
        <v>0</v>
      </c>
    </row>
    <row r="1526" spans="1:20" ht="15" customHeight="1" x14ac:dyDescent="0.2">
      <c r="A1526" s="15" t="s">
        <v>3261</v>
      </c>
      <c r="B1526" s="60">
        <v>34139916</v>
      </c>
      <c r="C1526" s="15" t="s">
        <v>3262</v>
      </c>
      <c r="D1526" s="15"/>
      <c r="E1526" s="15" t="s">
        <v>3263</v>
      </c>
      <c r="F1526" s="15" t="s">
        <v>65</v>
      </c>
      <c r="G1526" s="34">
        <v>2</v>
      </c>
      <c r="H1526" s="34">
        <v>44</v>
      </c>
      <c r="I1526" s="15" t="s">
        <v>119</v>
      </c>
      <c r="J1526" s="15" t="s">
        <v>120</v>
      </c>
      <c r="K1526" s="74" t="s">
        <v>29</v>
      </c>
      <c r="L1526" s="16">
        <v>1792</v>
      </c>
      <c r="M1526" s="16">
        <v>0</v>
      </c>
      <c r="N1526" s="16">
        <v>336</v>
      </c>
      <c r="O1526" s="16">
        <v>199</v>
      </c>
      <c r="P1526" s="16">
        <v>0</v>
      </c>
      <c r="Q1526" s="16">
        <v>1593</v>
      </c>
      <c r="R1526" s="16">
        <v>5</v>
      </c>
      <c r="S1526" s="16">
        <v>2</v>
      </c>
      <c r="T1526" s="111">
        <v>0</v>
      </c>
    </row>
    <row r="1527" spans="1:20" ht="15" customHeight="1" x14ac:dyDescent="0.2">
      <c r="A1527" s="12" t="s">
        <v>3264</v>
      </c>
      <c r="B1527" s="56">
        <v>4152107</v>
      </c>
      <c r="C1527" s="12"/>
      <c r="D1527" s="12"/>
      <c r="E1527" s="12"/>
      <c r="F1527" s="12" t="s">
        <v>265</v>
      </c>
      <c r="G1527" s="33">
        <v>2</v>
      </c>
      <c r="H1527" s="33">
        <v>9</v>
      </c>
      <c r="I1527" s="12" t="s">
        <v>3265</v>
      </c>
      <c r="J1527" s="12" t="s">
        <v>39</v>
      </c>
      <c r="K1527" s="73" t="s">
        <v>29</v>
      </c>
      <c r="L1527" s="13">
        <v>1781</v>
      </c>
      <c r="M1527" s="13">
        <v>1088</v>
      </c>
      <c r="N1527" s="13">
        <v>521</v>
      </c>
      <c r="O1527" s="13">
        <v>653</v>
      </c>
      <c r="P1527" s="13">
        <v>0</v>
      </c>
      <c r="Q1527" s="13">
        <v>1127</v>
      </c>
      <c r="R1527" s="13">
        <v>59</v>
      </c>
      <c r="S1527" s="13">
        <v>0</v>
      </c>
      <c r="T1527" s="81">
        <v>0</v>
      </c>
    </row>
    <row r="1528" spans="1:20" ht="15" customHeight="1" x14ac:dyDescent="0.2">
      <c r="A1528" s="15" t="s">
        <v>3266</v>
      </c>
      <c r="B1528" s="60">
        <v>10548608</v>
      </c>
      <c r="C1528" s="15"/>
      <c r="D1528" s="15"/>
      <c r="E1528" s="15"/>
      <c r="F1528" s="15" t="s">
        <v>265</v>
      </c>
      <c r="G1528" s="34">
        <v>2</v>
      </c>
      <c r="H1528" s="34">
        <v>9</v>
      </c>
      <c r="I1528" s="15" t="s">
        <v>3267</v>
      </c>
      <c r="J1528" s="15" t="s">
        <v>211</v>
      </c>
      <c r="K1528" s="74" t="s">
        <v>29</v>
      </c>
      <c r="L1528" s="16">
        <v>1693</v>
      </c>
      <c r="M1528" s="16">
        <v>1310</v>
      </c>
      <c r="N1528" s="16">
        <v>323</v>
      </c>
      <c r="O1528" s="16">
        <v>33</v>
      </c>
      <c r="P1528" s="16">
        <v>0</v>
      </c>
      <c r="Q1528" s="16">
        <v>1660</v>
      </c>
      <c r="R1528" s="16">
        <v>27</v>
      </c>
      <c r="S1528" s="16">
        <v>0</v>
      </c>
      <c r="T1528" s="111">
        <v>0</v>
      </c>
    </row>
    <row r="1529" spans="1:20" ht="15" customHeight="1" x14ac:dyDescent="0.2">
      <c r="A1529" s="12" t="s">
        <v>3268</v>
      </c>
      <c r="B1529" s="56">
        <v>40819834</v>
      </c>
      <c r="C1529" s="12" t="s">
        <v>3269</v>
      </c>
      <c r="D1529" s="12"/>
      <c r="E1529" s="12" t="s">
        <v>3270</v>
      </c>
      <c r="F1529" s="12" t="s">
        <v>65</v>
      </c>
      <c r="G1529" s="33">
        <v>2</v>
      </c>
      <c r="H1529" s="33">
        <v>44</v>
      </c>
      <c r="I1529" s="12" t="s">
        <v>27</v>
      </c>
      <c r="J1529" s="12" t="s">
        <v>28</v>
      </c>
      <c r="K1529" s="73" t="s">
        <v>29</v>
      </c>
      <c r="L1529" s="13">
        <v>1639</v>
      </c>
      <c r="M1529" s="13">
        <v>0</v>
      </c>
      <c r="N1529" s="13">
        <v>0</v>
      </c>
      <c r="O1529" s="13">
        <v>1944</v>
      </c>
      <c r="P1529" s="13">
        <v>0</v>
      </c>
      <c r="Q1529" s="13">
        <v>-305</v>
      </c>
      <c r="R1529" s="13">
        <v>336</v>
      </c>
      <c r="S1529" s="13">
        <v>2</v>
      </c>
      <c r="T1529" s="81">
        <v>0</v>
      </c>
    </row>
    <row r="1530" spans="1:20" ht="15" customHeight="1" x14ac:dyDescent="0.2">
      <c r="A1530" s="15" t="s">
        <v>3271</v>
      </c>
      <c r="B1530" s="60">
        <v>51982600</v>
      </c>
      <c r="C1530" s="15" t="s">
        <v>3272</v>
      </c>
      <c r="D1530" s="15"/>
      <c r="E1530" s="15" t="s">
        <v>3273</v>
      </c>
      <c r="F1530" s="15" t="s">
        <v>84</v>
      </c>
      <c r="G1530" s="34">
        <v>2</v>
      </c>
      <c r="H1530" s="34">
        <v>41</v>
      </c>
      <c r="I1530" s="15" t="s">
        <v>38</v>
      </c>
      <c r="J1530" s="15" t="s">
        <v>39</v>
      </c>
      <c r="K1530" s="74" t="s">
        <v>29</v>
      </c>
      <c r="L1530" s="16">
        <v>1617</v>
      </c>
      <c r="M1530" s="16">
        <v>0</v>
      </c>
      <c r="N1530" s="16">
        <v>412</v>
      </c>
      <c r="O1530" s="16">
        <v>5</v>
      </c>
      <c r="P1530" s="16">
        <v>0</v>
      </c>
      <c r="Q1530" s="16">
        <v>1611</v>
      </c>
      <c r="R1530" s="16">
        <v>-10</v>
      </c>
      <c r="S1530" s="16">
        <v>1</v>
      </c>
      <c r="T1530" s="111">
        <v>0</v>
      </c>
    </row>
    <row r="1531" spans="1:20" ht="15" customHeight="1" x14ac:dyDescent="0.2">
      <c r="A1531" s="12" t="s">
        <v>3274</v>
      </c>
      <c r="B1531" s="56">
        <v>16854999</v>
      </c>
      <c r="C1531" s="12" t="s">
        <v>3275</v>
      </c>
      <c r="D1531" s="12"/>
      <c r="E1531" s="12" t="s">
        <v>3276</v>
      </c>
      <c r="F1531" s="12" t="s">
        <v>98</v>
      </c>
      <c r="G1531" s="33">
        <v>2</v>
      </c>
      <c r="H1531" s="33">
        <v>21</v>
      </c>
      <c r="I1531" s="12" t="s">
        <v>305</v>
      </c>
      <c r="J1531" s="12" t="s">
        <v>229</v>
      </c>
      <c r="K1531" s="73" t="s">
        <v>29</v>
      </c>
      <c r="L1531" s="13">
        <v>1581</v>
      </c>
      <c r="M1531" s="13">
        <v>0</v>
      </c>
      <c r="N1531" s="13">
        <v>0</v>
      </c>
      <c r="O1531" s="13">
        <v>155</v>
      </c>
      <c r="P1531" s="13">
        <v>0</v>
      </c>
      <c r="Q1531" s="13">
        <v>1425</v>
      </c>
      <c r="R1531" s="13">
        <v>27</v>
      </c>
      <c r="S1531" s="13">
        <v>2</v>
      </c>
      <c r="T1531" s="81">
        <v>0</v>
      </c>
    </row>
    <row r="1532" spans="1:20" ht="15" customHeight="1" x14ac:dyDescent="0.2">
      <c r="A1532" s="15" t="s">
        <v>3277</v>
      </c>
      <c r="B1532" s="60">
        <v>63436443</v>
      </c>
      <c r="C1532" s="15" t="s">
        <v>3278</v>
      </c>
      <c r="D1532" s="15"/>
      <c r="E1532" s="15" t="s">
        <v>3279</v>
      </c>
      <c r="F1532" s="15" t="s">
        <v>98</v>
      </c>
      <c r="G1532" s="34">
        <v>2</v>
      </c>
      <c r="H1532" s="34">
        <v>21</v>
      </c>
      <c r="I1532" s="15" t="s">
        <v>38</v>
      </c>
      <c r="J1532" s="15" t="s">
        <v>39</v>
      </c>
      <c r="K1532" s="74" t="s">
        <v>29</v>
      </c>
      <c r="L1532" s="16">
        <v>1566</v>
      </c>
      <c r="M1532" s="16">
        <v>0</v>
      </c>
      <c r="N1532" s="16">
        <v>0</v>
      </c>
      <c r="O1532" s="16">
        <v>766</v>
      </c>
      <c r="P1532" s="16">
        <v>0</v>
      </c>
      <c r="Q1532" s="16">
        <v>800</v>
      </c>
      <c r="R1532" s="16">
        <v>-619</v>
      </c>
      <c r="S1532" s="16">
        <v>2</v>
      </c>
      <c r="T1532" s="111">
        <v>0</v>
      </c>
    </row>
    <row r="1533" spans="1:20" ht="15" customHeight="1" x14ac:dyDescent="0.2">
      <c r="A1533" s="12" t="s">
        <v>3280</v>
      </c>
      <c r="B1533" s="56">
        <v>27348513</v>
      </c>
      <c r="C1533" s="12" t="s">
        <v>3281</v>
      </c>
      <c r="D1533" s="12"/>
      <c r="E1533" s="12" t="s">
        <v>3282</v>
      </c>
      <c r="F1533" s="12" t="s">
        <v>65</v>
      </c>
      <c r="G1533" s="33">
        <v>2</v>
      </c>
      <c r="H1533" s="33">
        <v>10</v>
      </c>
      <c r="I1533" s="12" t="s">
        <v>404</v>
      </c>
      <c r="J1533" s="12" t="s">
        <v>401</v>
      </c>
      <c r="K1533" s="73" t="s">
        <v>29</v>
      </c>
      <c r="L1533" s="13">
        <v>1541</v>
      </c>
      <c r="M1533" s="13">
        <v>1304</v>
      </c>
      <c r="N1533" s="13">
        <v>11</v>
      </c>
      <c r="O1533" s="13">
        <v>76</v>
      </c>
      <c r="P1533" s="13">
        <v>0</v>
      </c>
      <c r="Q1533" s="13">
        <v>1465</v>
      </c>
      <c r="R1533" s="13">
        <v>2</v>
      </c>
      <c r="S1533" s="13">
        <v>2</v>
      </c>
      <c r="T1533" s="81">
        <v>0</v>
      </c>
    </row>
    <row r="1534" spans="1:20" ht="15" customHeight="1" x14ac:dyDescent="0.2">
      <c r="A1534" s="15" t="s">
        <v>3283</v>
      </c>
      <c r="B1534" s="60">
        <v>20177390</v>
      </c>
      <c r="C1534" s="15"/>
      <c r="D1534" s="15"/>
      <c r="E1534" s="15"/>
      <c r="F1534" s="15" t="s">
        <v>265</v>
      </c>
      <c r="G1534" s="34">
        <v>2</v>
      </c>
      <c r="H1534" s="34">
        <v>9</v>
      </c>
      <c r="I1534" s="15" t="s">
        <v>1211</v>
      </c>
      <c r="J1534" s="15" t="s">
        <v>120</v>
      </c>
      <c r="K1534" s="74" t="s">
        <v>29</v>
      </c>
      <c r="L1534" s="16">
        <v>1514</v>
      </c>
      <c r="M1534" s="16">
        <v>898</v>
      </c>
      <c r="N1534" s="16">
        <v>378</v>
      </c>
      <c r="O1534" s="16">
        <v>173</v>
      </c>
      <c r="P1534" s="16">
        <v>0</v>
      </c>
      <c r="Q1534" s="16">
        <v>1341</v>
      </c>
      <c r="R1534" s="16">
        <v>32</v>
      </c>
      <c r="S1534" s="16">
        <v>0</v>
      </c>
      <c r="T1534" s="111">
        <v>0</v>
      </c>
    </row>
    <row r="1535" spans="1:20" ht="15" customHeight="1" x14ac:dyDescent="0.2">
      <c r="A1535" s="12" t="s">
        <v>3284</v>
      </c>
      <c r="B1535" s="56">
        <v>8931800</v>
      </c>
      <c r="C1535" s="12"/>
      <c r="D1535" s="12"/>
      <c r="E1535" s="12"/>
      <c r="F1535" s="12" t="s">
        <v>265</v>
      </c>
      <c r="G1535" s="33">
        <v>2</v>
      </c>
      <c r="H1535" s="33">
        <v>9</v>
      </c>
      <c r="I1535" s="12" t="s">
        <v>3285</v>
      </c>
      <c r="J1535" s="12" t="s">
        <v>1078</v>
      </c>
      <c r="K1535" s="73" t="s">
        <v>29</v>
      </c>
      <c r="L1535" s="13">
        <v>1483</v>
      </c>
      <c r="M1535" s="13">
        <v>573</v>
      </c>
      <c r="N1535" s="13">
        <v>838</v>
      </c>
      <c r="O1535" s="13">
        <v>43</v>
      </c>
      <c r="P1535" s="13">
        <v>0</v>
      </c>
      <c r="Q1535" s="13">
        <v>1440</v>
      </c>
      <c r="R1535" s="13">
        <v>-54</v>
      </c>
      <c r="S1535" s="13">
        <v>0</v>
      </c>
      <c r="T1535" s="81">
        <v>0</v>
      </c>
    </row>
    <row r="1536" spans="1:20" ht="15" customHeight="1" x14ac:dyDescent="0.2">
      <c r="A1536" s="15" t="s">
        <v>3286</v>
      </c>
      <c r="B1536" s="60">
        <v>29985421</v>
      </c>
      <c r="C1536" s="15"/>
      <c r="D1536" s="15"/>
      <c r="E1536" s="15"/>
      <c r="F1536" s="15" t="s">
        <v>265</v>
      </c>
      <c r="G1536" s="34">
        <v>2</v>
      </c>
      <c r="H1536" s="34">
        <v>9</v>
      </c>
      <c r="I1536" s="15" t="s">
        <v>182</v>
      </c>
      <c r="J1536" s="15" t="s">
        <v>183</v>
      </c>
      <c r="K1536" s="74" t="s">
        <v>29</v>
      </c>
      <c r="L1536" s="16">
        <v>1449</v>
      </c>
      <c r="M1536" s="16">
        <v>598</v>
      </c>
      <c r="N1536" s="16">
        <v>491</v>
      </c>
      <c r="O1536" s="16">
        <v>22</v>
      </c>
      <c r="P1536" s="16">
        <v>0</v>
      </c>
      <c r="Q1536" s="16">
        <v>1427</v>
      </c>
      <c r="R1536" s="16">
        <v>6</v>
      </c>
      <c r="S1536" s="16">
        <v>0</v>
      </c>
      <c r="T1536" s="111">
        <v>0</v>
      </c>
    </row>
    <row r="1537" spans="1:20" ht="15" customHeight="1" x14ac:dyDescent="0.2">
      <c r="A1537" s="12" t="s">
        <v>3287</v>
      </c>
      <c r="B1537" s="56">
        <v>6369729</v>
      </c>
      <c r="C1537" s="12"/>
      <c r="D1537" s="12"/>
      <c r="E1537" s="12"/>
      <c r="F1537" s="12" t="s">
        <v>265</v>
      </c>
      <c r="G1537" s="33">
        <v>2</v>
      </c>
      <c r="H1537" s="33">
        <v>9</v>
      </c>
      <c r="I1537" s="12" t="s">
        <v>3288</v>
      </c>
      <c r="J1537" s="12" t="s">
        <v>217</v>
      </c>
      <c r="K1537" s="73" t="s">
        <v>29</v>
      </c>
      <c r="L1537" s="13">
        <v>1443</v>
      </c>
      <c r="M1537" s="13">
        <v>1059</v>
      </c>
      <c r="N1537" s="13">
        <v>54</v>
      </c>
      <c r="O1537" s="13">
        <v>628</v>
      </c>
      <c r="P1537" s="13">
        <v>615</v>
      </c>
      <c r="Q1537" s="13">
        <v>814</v>
      </c>
      <c r="R1537" s="13">
        <v>84</v>
      </c>
      <c r="S1537" s="13">
        <v>0</v>
      </c>
      <c r="T1537" s="81">
        <v>0</v>
      </c>
    </row>
    <row r="1538" spans="1:20" ht="15" customHeight="1" x14ac:dyDescent="0.2">
      <c r="A1538" s="15" t="s">
        <v>3289</v>
      </c>
      <c r="B1538" s="60">
        <v>61971803</v>
      </c>
      <c r="C1538" s="15" t="s">
        <v>3290</v>
      </c>
      <c r="D1538" s="15"/>
      <c r="E1538" s="15" t="s">
        <v>3291</v>
      </c>
      <c r="F1538" s="15" t="s">
        <v>65</v>
      </c>
      <c r="G1538" s="34">
        <v>2</v>
      </c>
      <c r="H1538" s="34">
        <v>43</v>
      </c>
      <c r="I1538" s="15" t="s">
        <v>73</v>
      </c>
      <c r="J1538" s="15" t="s">
        <v>74</v>
      </c>
      <c r="K1538" s="74" t="s">
        <v>29</v>
      </c>
      <c r="L1538" s="16">
        <v>1435</v>
      </c>
      <c r="M1538" s="16">
        <v>1311</v>
      </c>
      <c r="N1538" s="16">
        <v>0</v>
      </c>
      <c r="O1538" s="16">
        <v>134</v>
      </c>
      <c r="P1538" s="16">
        <v>0</v>
      </c>
      <c r="Q1538" s="16">
        <v>1301</v>
      </c>
      <c r="R1538" s="16">
        <v>-540</v>
      </c>
      <c r="S1538" s="16">
        <v>2</v>
      </c>
      <c r="T1538" s="111">
        <v>0</v>
      </c>
    </row>
    <row r="1539" spans="1:20" ht="15" customHeight="1" x14ac:dyDescent="0.2">
      <c r="A1539" s="12" t="s">
        <v>3292</v>
      </c>
      <c r="B1539" s="56">
        <v>42258376</v>
      </c>
      <c r="C1539" s="12"/>
      <c r="D1539" s="12"/>
      <c r="E1539" s="12"/>
      <c r="F1539" s="12" t="s">
        <v>265</v>
      </c>
      <c r="G1539" s="33">
        <v>2</v>
      </c>
      <c r="H1539" s="33">
        <v>9</v>
      </c>
      <c r="I1539" s="12" t="s">
        <v>53</v>
      </c>
      <c r="J1539" s="12" t="s">
        <v>54</v>
      </c>
      <c r="K1539" s="73" t="s">
        <v>29</v>
      </c>
      <c r="L1539" s="13">
        <v>1431</v>
      </c>
      <c r="M1539" s="13">
        <v>1055</v>
      </c>
      <c r="N1539" s="13">
        <v>13</v>
      </c>
      <c r="O1539" s="13">
        <v>30</v>
      </c>
      <c r="P1539" s="13">
        <v>0</v>
      </c>
      <c r="Q1539" s="13">
        <v>1402</v>
      </c>
      <c r="R1539" s="13">
        <v>45</v>
      </c>
      <c r="S1539" s="13">
        <v>0</v>
      </c>
      <c r="T1539" s="81">
        <v>0</v>
      </c>
    </row>
    <row r="1540" spans="1:20" ht="15" customHeight="1" x14ac:dyDescent="0.2">
      <c r="A1540" s="15" t="s">
        <v>3293</v>
      </c>
      <c r="B1540" s="60">
        <v>3657230</v>
      </c>
      <c r="C1540" s="15"/>
      <c r="D1540" s="15"/>
      <c r="E1540" s="15"/>
      <c r="F1540" s="15" t="s">
        <v>265</v>
      </c>
      <c r="G1540" s="34">
        <v>2</v>
      </c>
      <c r="H1540" s="34">
        <v>9</v>
      </c>
      <c r="I1540" s="15" t="s">
        <v>2506</v>
      </c>
      <c r="J1540" s="15" t="s">
        <v>39</v>
      </c>
      <c r="K1540" s="74" t="s">
        <v>29</v>
      </c>
      <c r="L1540" s="16">
        <v>1380</v>
      </c>
      <c r="M1540" s="16">
        <v>555</v>
      </c>
      <c r="N1540" s="16">
        <v>645</v>
      </c>
      <c r="O1540" s="16">
        <v>10</v>
      </c>
      <c r="P1540" s="16">
        <v>0</v>
      </c>
      <c r="Q1540" s="16">
        <v>1369</v>
      </c>
      <c r="R1540" s="16">
        <v>16</v>
      </c>
      <c r="S1540" s="16">
        <v>0</v>
      </c>
      <c r="T1540" s="111">
        <v>0</v>
      </c>
    </row>
    <row r="1541" spans="1:20" ht="15" customHeight="1" x14ac:dyDescent="0.2">
      <c r="A1541" s="12" t="s">
        <v>3294</v>
      </c>
      <c r="B1541" s="56">
        <v>42627615</v>
      </c>
      <c r="C1541" s="12" t="s">
        <v>3295</v>
      </c>
      <c r="D1541" s="12"/>
      <c r="E1541" s="12" t="s">
        <v>3296</v>
      </c>
      <c r="F1541" s="12" t="s">
        <v>65</v>
      </c>
      <c r="G1541" s="33">
        <v>2</v>
      </c>
      <c r="H1541" s="33">
        <v>43</v>
      </c>
      <c r="I1541" s="12" t="s">
        <v>38</v>
      </c>
      <c r="J1541" s="12" t="s">
        <v>39</v>
      </c>
      <c r="K1541" s="73" t="s">
        <v>29</v>
      </c>
      <c r="L1541" s="13">
        <v>1378</v>
      </c>
      <c r="M1541" s="13">
        <v>0</v>
      </c>
      <c r="N1541" s="13">
        <v>1229</v>
      </c>
      <c r="O1541" s="13">
        <v>320</v>
      </c>
      <c r="P1541" s="13">
        <v>0</v>
      </c>
      <c r="Q1541" s="13">
        <v>1058</v>
      </c>
      <c r="R1541" s="13">
        <v>18</v>
      </c>
      <c r="S1541" s="13">
        <v>2</v>
      </c>
      <c r="T1541" s="81">
        <v>0</v>
      </c>
    </row>
    <row r="1542" spans="1:20" ht="15" customHeight="1" x14ac:dyDescent="0.2">
      <c r="A1542" s="15" t="s">
        <v>3297</v>
      </c>
      <c r="B1542" s="60">
        <v>45597546</v>
      </c>
      <c r="C1542" s="15" t="s">
        <v>2024</v>
      </c>
      <c r="D1542" s="15"/>
      <c r="E1542" s="15" t="s">
        <v>2025</v>
      </c>
      <c r="F1542" s="15" t="s">
        <v>65</v>
      </c>
      <c r="G1542" s="34">
        <v>3</v>
      </c>
      <c r="H1542" s="34">
        <v>43</v>
      </c>
      <c r="I1542" s="15" t="s">
        <v>38</v>
      </c>
      <c r="J1542" s="15" t="s">
        <v>39</v>
      </c>
      <c r="K1542" s="74" t="s">
        <v>29</v>
      </c>
      <c r="L1542" s="16">
        <v>1351</v>
      </c>
      <c r="M1542" s="16">
        <v>18</v>
      </c>
      <c r="N1542" s="16">
        <v>1286</v>
      </c>
      <c r="O1542" s="16">
        <v>249</v>
      </c>
      <c r="P1542" s="16">
        <v>0</v>
      </c>
      <c r="Q1542" s="16">
        <v>1102</v>
      </c>
      <c r="R1542" s="16">
        <v>-202</v>
      </c>
      <c r="S1542" s="16">
        <v>2</v>
      </c>
      <c r="T1542" s="111">
        <v>0</v>
      </c>
    </row>
    <row r="1543" spans="1:20" ht="15" customHeight="1" x14ac:dyDescent="0.2">
      <c r="A1543" s="12" t="s">
        <v>3298</v>
      </c>
      <c r="B1543" s="56">
        <v>60057265</v>
      </c>
      <c r="C1543" s="12" t="s">
        <v>1280</v>
      </c>
      <c r="D1543" s="12"/>
      <c r="E1543" s="12" t="s">
        <v>1281</v>
      </c>
      <c r="F1543" s="12" t="s">
        <v>65</v>
      </c>
      <c r="G1543" s="33">
        <v>2</v>
      </c>
      <c r="H1543" s="33">
        <v>43</v>
      </c>
      <c r="I1543" s="12" t="s">
        <v>38</v>
      </c>
      <c r="J1543" s="12" t="s">
        <v>39</v>
      </c>
      <c r="K1543" s="73" t="s">
        <v>29</v>
      </c>
      <c r="L1543" s="13">
        <v>1307</v>
      </c>
      <c r="M1543" s="13">
        <v>4</v>
      </c>
      <c r="N1543" s="13">
        <v>0</v>
      </c>
      <c r="O1543" s="13">
        <v>0</v>
      </c>
      <c r="P1543" s="13">
        <v>0</v>
      </c>
      <c r="Q1543" s="13">
        <v>1307</v>
      </c>
      <c r="R1543" s="13">
        <v>0</v>
      </c>
      <c r="S1543" s="13">
        <v>2</v>
      </c>
      <c r="T1543" s="81">
        <v>0</v>
      </c>
    </row>
    <row r="1544" spans="1:20" ht="15" customHeight="1" x14ac:dyDescent="0.2">
      <c r="A1544" s="15" t="s">
        <v>3299</v>
      </c>
      <c r="B1544" s="60">
        <v>15122605</v>
      </c>
      <c r="C1544" s="15" t="s">
        <v>3300</v>
      </c>
      <c r="D1544" s="15"/>
      <c r="E1544" s="15" t="s">
        <v>3301</v>
      </c>
      <c r="F1544" s="15" t="s">
        <v>98</v>
      </c>
      <c r="G1544" s="34">
        <v>2</v>
      </c>
      <c r="H1544" s="34">
        <v>21</v>
      </c>
      <c r="I1544" s="15" t="s">
        <v>210</v>
      </c>
      <c r="J1544" s="15" t="s">
        <v>211</v>
      </c>
      <c r="K1544" s="74" t="s">
        <v>29</v>
      </c>
      <c r="L1544" s="16">
        <v>1249</v>
      </c>
      <c r="M1544" s="16">
        <v>0</v>
      </c>
      <c r="N1544" s="16">
        <v>0</v>
      </c>
      <c r="O1544" s="16">
        <v>334</v>
      </c>
      <c r="P1544" s="16">
        <v>0</v>
      </c>
      <c r="Q1544" s="16">
        <v>916</v>
      </c>
      <c r="R1544" s="16">
        <v>-238</v>
      </c>
      <c r="S1544" s="16">
        <v>2</v>
      </c>
      <c r="T1544" s="111">
        <v>0</v>
      </c>
    </row>
    <row r="1545" spans="1:20" ht="15" customHeight="1" x14ac:dyDescent="0.2">
      <c r="A1545" s="12" t="s">
        <v>3302</v>
      </c>
      <c r="B1545" s="56">
        <v>34831910</v>
      </c>
      <c r="C1545" s="12" t="s">
        <v>1189</v>
      </c>
      <c r="D1545" s="12" t="s">
        <v>1190</v>
      </c>
      <c r="E1545" s="12" t="s">
        <v>1190</v>
      </c>
      <c r="F1545" s="12" t="s">
        <v>65</v>
      </c>
      <c r="G1545" s="33">
        <v>2</v>
      </c>
      <c r="H1545" s="33">
        <v>44</v>
      </c>
      <c r="I1545" s="12" t="s">
        <v>38</v>
      </c>
      <c r="J1545" s="12" t="s">
        <v>39</v>
      </c>
      <c r="K1545" s="73" t="s">
        <v>29</v>
      </c>
      <c r="L1545" s="13">
        <v>1248</v>
      </c>
      <c r="M1545" s="13">
        <v>0</v>
      </c>
      <c r="N1545" s="13">
        <v>0</v>
      </c>
      <c r="O1545" s="13">
        <v>130</v>
      </c>
      <c r="P1545" s="13">
        <v>0</v>
      </c>
      <c r="Q1545" s="13">
        <v>1118</v>
      </c>
      <c r="R1545" s="13">
        <v>15</v>
      </c>
      <c r="S1545" s="13">
        <v>2</v>
      </c>
      <c r="T1545" s="81">
        <v>0</v>
      </c>
    </row>
    <row r="1546" spans="1:20" ht="15" customHeight="1" x14ac:dyDescent="0.2">
      <c r="A1546" s="15" t="s">
        <v>3303</v>
      </c>
      <c r="B1546" s="60">
        <v>43438662</v>
      </c>
      <c r="C1546" s="15"/>
      <c r="D1546" s="15"/>
      <c r="E1546" s="15"/>
      <c r="F1546" s="15" t="s">
        <v>265</v>
      </c>
      <c r="G1546" s="34">
        <v>2</v>
      </c>
      <c r="H1546" s="34">
        <v>9</v>
      </c>
      <c r="I1546" s="15" t="s">
        <v>38</v>
      </c>
      <c r="J1546" s="15" t="s">
        <v>39</v>
      </c>
      <c r="K1546" s="74" t="s">
        <v>29</v>
      </c>
      <c r="L1546" s="16">
        <v>1247</v>
      </c>
      <c r="M1546" s="16">
        <v>1166</v>
      </c>
      <c r="N1546" s="16">
        <v>0</v>
      </c>
      <c r="O1546" s="16">
        <v>1034</v>
      </c>
      <c r="P1546" s="16">
        <v>0</v>
      </c>
      <c r="Q1546" s="16">
        <v>213</v>
      </c>
      <c r="R1546" s="16">
        <v>-244</v>
      </c>
      <c r="S1546" s="16">
        <v>0</v>
      </c>
      <c r="T1546" s="111">
        <v>0</v>
      </c>
    </row>
    <row r="1547" spans="1:20" ht="15" customHeight="1" x14ac:dyDescent="0.2">
      <c r="A1547" s="12" t="s">
        <v>3304</v>
      </c>
      <c r="B1547" s="56">
        <v>57987273</v>
      </c>
      <c r="C1547" s="12"/>
      <c r="D1547" s="12"/>
      <c r="E1547" s="12"/>
      <c r="F1547" s="12" t="s">
        <v>265</v>
      </c>
      <c r="G1547" s="33">
        <v>2</v>
      </c>
      <c r="H1547" s="33">
        <v>9</v>
      </c>
      <c r="I1547" s="12" t="s">
        <v>262</v>
      </c>
      <c r="J1547" s="12" t="s">
        <v>39</v>
      </c>
      <c r="K1547" s="73" t="s">
        <v>29</v>
      </c>
      <c r="L1547" s="13">
        <v>1235</v>
      </c>
      <c r="M1547" s="13">
        <v>573</v>
      </c>
      <c r="N1547" s="13">
        <v>599</v>
      </c>
      <c r="O1547" s="13">
        <v>136</v>
      </c>
      <c r="P1547" s="13">
        <v>0</v>
      </c>
      <c r="Q1547" s="13">
        <v>1099</v>
      </c>
      <c r="R1547" s="13">
        <v>14</v>
      </c>
      <c r="S1547" s="13">
        <v>0</v>
      </c>
      <c r="T1547" s="81">
        <v>0</v>
      </c>
    </row>
    <row r="1548" spans="1:20" ht="15" customHeight="1" x14ac:dyDescent="0.2">
      <c r="A1548" s="15" t="s">
        <v>3305</v>
      </c>
      <c r="B1548" s="60">
        <v>30138226</v>
      </c>
      <c r="C1548" s="15"/>
      <c r="D1548" s="15"/>
      <c r="E1548" s="15"/>
      <c r="F1548" s="15" t="s">
        <v>265</v>
      </c>
      <c r="G1548" s="34">
        <v>2</v>
      </c>
      <c r="H1548" s="34">
        <v>9</v>
      </c>
      <c r="I1548" s="15" t="s">
        <v>3306</v>
      </c>
      <c r="J1548" s="15" t="s">
        <v>54</v>
      </c>
      <c r="K1548" s="74" t="s">
        <v>29</v>
      </c>
      <c r="L1548" s="16">
        <v>1194</v>
      </c>
      <c r="M1548" s="16">
        <v>921</v>
      </c>
      <c r="N1548" s="16">
        <v>52</v>
      </c>
      <c r="O1548" s="16">
        <v>80</v>
      </c>
      <c r="P1548" s="16">
        <v>0</v>
      </c>
      <c r="Q1548" s="16">
        <v>1114</v>
      </c>
      <c r="R1548" s="16">
        <v>-6</v>
      </c>
      <c r="S1548" s="16">
        <v>0</v>
      </c>
      <c r="T1548" s="111">
        <v>0</v>
      </c>
    </row>
    <row r="1549" spans="1:20" ht="15" customHeight="1" x14ac:dyDescent="0.2">
      <c r="A1549" s="12" t="s">
        <v>3307</v>
      </c>
      <c r="B1549" s="56">
        <v>45056494</v>
      </c>
      <c r="C1549" s="12" t="s">
        <v>3308</v>
      </c>
      <c r="D1549" s="12"/>
      <c r="E1549" s="12" t="s">
        <v>3309</v>
      </c>
      <c r="F1549" s="12" t="s">
        <v>98</v>
      </c>
      <c r="G1549" s="33">
        <v>2</v>
      </c>
      <c r="H1549" s="33">
        <v>21</v>
      </c>
      <c r="I1549" s="12" t="s">
        <v>38</v>
      </c>
      <c r="J1549" s="12" t="s">
        <v>39</v>
      </c>
      <c r="K1549" s="73" t="s">
        <v>29</v>
      </c>
      <c r="L1549" s="13">
        <v>1179</v>
      </c>
      <c r="M1549" s="13">
        <v>0</v>
      </c>
      <c r="N1549" s="13">
        <v>353</v>
      </c>
      <c r="O1549" s="13">
        <v>382</v>
      </c>
      <c r="P1549" s="13">
        <v>0</v>
      </c>
      <c r="Q1549" s="13">
        <v>798</v>
      </c>
      <c r="R1549" s="13">
        <v>267</v>
      </c>
      <c r="S1549" s="13">
        <v>2</v>
      </c>
      <c r="T1549" s="81">
        <v>0</v>
      </c>
    </row>
    <row r="1550" spans="1:20" ht="15" customHeight="1" x14ac:dyDescent="0.2">
      <c r="A1550" s="15" t="s">
        <v>3310</v>
      </c>
      <c r="B1550" s="60">
        <v>5591437</v>
      </c>
      <c r="C1550" s="15"/>
      <c r="D1550" s="15"/>
      <c r="E1550" s="15"/>
      <c r="F1550" s="15" t="s">
        <v>265</v>
      </c>
      <c r="G1550" s="34">
        <v>2</v>
      </c>
      <c r="H1550" s="34">
        <v>9</v>
      </c>
      <c r="I1550" s="15" t="s">
        <v>73</v>
      </c>
      <c r="J1550" s="15" t="s">
        <v>74</v>
      </c>
      <c r="K1550" s="74" t="s">
        <v>29</v>
      </c>
      <c r="L1550" s="16">
        <v>1170</v>
      </c>
      <c r="M1550" s="16">
        <v>679</v>
      </c>
      <c r="N1550" s="16">
        <v>0</v>
      </c>
      <c r="O1550" s="16">
        <v>775</v>
      </c>
      <c r="P1550" s="16">
        <v>0</v>
      </c>
      <c r="Q1550" s="16">
        <v>395</v>
      </c>
      <c r="R1550" s="16">
        <v>-384</v>
      </c>
      <c r="S1550" s="16">
        <v>0</v>
      </c>
      <c r="T1550" s="111">
        <v>0</v>
      </c>
    </row>
    <row r="1551" spans="1:20" ht="15" customHeight="1" x14ac:dyDescent="0.2">
      <c r="A1551" s="12" t="s">
        <v>3311</v>
      </c>
      <c r="B1551" s="56">
        <v>28435685</v>
      </c>
      <c r="C1551" s="12"/>
      <c r="D1551" s="12"/>
      <c r="E1551" s="12"/>
      <c r="F1551" s="12" t="s">
        <v>265</v>
      </c>
      <c r="G1551" s="33">
        <v>2</v>
      </c>
      <c r="H1551" s="33">
        <v>9</v>
      </c>
      <c r="I1551" s="12" t="s">
        <v>119</v>
      </c>
      <c r="J1551" s="12" t="s">
        <v>120</v>
      </c>
      <c r="K1551" s="73" t="s">
        <v>29</v>
      </c>
      <c r="L1551" s="13">
        <v>1167</v>
      </c>
      <c r="M1551" s="13">
        <v>997</v>
      </c>
      <c r="N1551" s="13">
        <v>0</v>
      </c>
      <c r="O1551" s="13">
        <v>44</v>
      </c>
      <c r="P1551" s="13">
        <v>0</v>
      </c>
      <c r="Q1551" s="13">
        <v>1122</v>
      </c>
      <c r="R1551" s="13">
        <v>82</v>
      </c>
      <c r="S1551" s="13">
        <v>0</v>
      </c>
      <c r="T1551" s="81">
        <v>0</v>
      </c>
    </row>
    <row r="1552" spans="1:20" ht="15" customHeight="1" x14ac:dyDescent="0.2">
      <c r="A1552" s="15" t="s">
        <v>3312</v>
      </c>
      <c r="B1552" s="60">
        <v>59855096</v>
      </c>
      <c r="C1552" s="15" t="s">
        <v>3313</v>
      </c>
      <c r="D1552" s="15"/>
      <c r="E1552" s="15" t="s">
        <v>3314</v>
      </c>
      <c r="F1552" s="15" t="s">
        <v>65</v>
      </c>
      <c r="G1552" s="34">
        <v>2</v>
      </c>
      <c r="H1552" s="34">
        <v>43</v>
      </c>
      <c r="I1552" s="15" t="s">
        <v>38</v>
      </c>
      <c r="J1552" s="15" t="s">
        <v>39</v>
      </c>
      <c r="K1552" s="74" t="s">
        <v>29</v>
      </c>
      <c r="L1552" s="16">
        <v>1113</v>
      </c>
      <c r="M1552" s="16">
        <v>661</v>
      </c>
      <c r="N1552" s="16">
        <v>45</v>
      </c>
      <c r="O1552" s="16">
        <v>29</v>
      </c>
      <c r="P1552" s="16">
        <v>0</v>
      </c>
      <c r="Q1552" s="16">
        <v>1084</v>
      </c>
      <c r="R1552" s="16">
        <v>-242</v>
      </c>
      <c r="S1552" s="16">
        <v>2</v>
      </c>
      <c r="T1552" s="111">
        <v>0</v>
      </c>
    </row>
    <row r="1553" spans="1:20" ht="15" customHeight="1" x14ac:dyDescent="0.2">
      <c r="A1553" s="12" t="s">
        <v>3315</v>
      </c>
      <c r="B1553" s="56">
        <v>45341994</v>
      </c>
      <c r="C1553" s="12" t="s">
        <v>3316</v>
      </c>
      <c r="D1553" s="12"/>
      <c r="E1553" s="12" t="s">
        <v>3317</v>
      </c>
      <c r="F1553" s="12" t="s">
        <v>65</v>
      </c>
      <c r="G1553" s="33">
        <v>2</v>
      </c>
      <c r="H1553" s="33">
        <v>43</v>
      </c>
      <c r="I1553" s="12" t="s">
        <v>388</v>
      </c>
      <c r="J1553" s="12" t="s">
        <v>389</v>
      </c>
      <c r="K1553" s="73" t="s">
        <v>29</v>
      </c>
      <c r="L1553" s="13">
        <v>1100</v>
      </c>
      <c r="M1553" s="13">
        <v>32</v>
      </c>
      <c r="N1553" s="13">
        <v>1019</v>
      </c>
      <c r="O1553" s="13">
        <v>29</v>
      </c>
      <c r="P1553" s="13">
        <v>0</v>
      </c>
      <c r="Q1553" s="13">
        <v>1071</v>
      </c>
      <c r="R1553" s="13">
        <v>-48</v>
      </c>
      <c r="S1553" s="13">
        <v>2</v>
      </c>
      <c r="T1553" s="81">
        <v>0</v>
      </c>
    </row>
    <row r="1554" spans="1:20" ht="15" customHeight="1" x14ac:dyDescent="0.2">
      <c r="A1554" s="15" t="s">
        <v>3318</v>
      </c>
      <c r="B1554" s="60">
        <v>41560568</v>
      </c>
      <c r="C1554" s="15" t="s">
        <v>3319</v>
      </c>
      <c r="D1554" s="15"/>
      <c r="E1554" s="15" t="s">
        <v>3320</v>
      </c>
      <c r="F1554" s="15" t="s">
        <v>98</v>
      </c>
      <c r="G1554" s="34">
        <v>2</v>
      </c>
      <c r="H1554" s="34">
        <v>21</v>
      </c>
      <c r="I1554" s="15" t="s">
        <v>228</v>
      </c>
      <c r="J1554" s="15" t="s">
        <v>229</v>
      </c>
      <c r="K1554" s="74" t="s">
        <v>29</v>
      </c>
      <c r="L1554" s="16">
        <v>1087</v>
      </c>
      <c r="M1554" s="16">
        <v>0</v>
      </c>
      <c r="N1554" s="16">
        <v>843</v>
      </c>
      <c r="O1554" s="16">
        <v>9</v>
      </c>
      <c r="P1554" s="16">
        <v>0</v>
      </c>
      <c r="Q1554" s="16">
        <v>1078</v>
      </c>
      <c r="R1554" s="16">
        <v>-30</v>
      </c>
      <c r="S1554" s="16">
        <v>2</v>
      </c>
      <c r="T1554" s="111">
        <v>0</v>
      </c>
    </row>
    <row r="1555" spans="1:20" ht="15" customHeight="1" x14ac:dyDescent="0.2">
      <c r="A1555" s="12" t="s">
        <v>3321</v>
      </c>
      <c r="B1555" s="56">
        <v>968834</v>
      </c>
      <c r="C1555" s="12"/>
      <c r="D1555" s="12"/>
      <c r="E1555" s="12"/>
      <c r="F1555" s="12" t="s">
        <v>265</v>
      </c>
      <c r="G1555" s="33">
        <v>2</v>
      </c>
      <c r="H1555" s="33">
        <v>9</v>
      </c>
      <c r="I1555" s="12" t="s">
        <v>3322</v>
      </c>
      <c r="J1555" s="12" t="s">
        <v>389</v>
      </c>
      <c r="K1555" s="73" t="s">
        <v>29</v>
      </c>
      <c r="L1555" s="13">
        <v>1080</v>
      </c>
      <c r="M1555" s="13">
        <v>556</v>
      </c>
      <c r="N1555" s="13">
        <v>151</v>
      </c>
      <c r="O1555" s="13">
        <v>63</v>
      </c>
      <c r="P1555" s="13">
        <v>0</v>
      </c>
      <c r="Q1555" s="13">
        <v>1017</v>
      </c>
      <c r="R1555" s="13">
        <v>39</v>
      </c>
      <c r="S1555" s="13">
        <v>0</v>
      </c>
      <c r="T1555" s="81">
        <v>0</v>
      </c>
    </row>
    <row r="1556" spans="1:20" ht="15" customHeight="1" x14ac:dyDescent="0.2">
      <c r="A1556" s="15" t="s">
        <v>3323</v>
      </c>
      <c r="B1556" s="60">
        <v>41349521</v>
      </c>
      <c r="C1556" s="15" t="s">
        <v>3324</v>
      </c>
      <c r="D1556" s="15"/>
      <c r="E1556" s="15" t="s">
        <v>3325</v>
      </c>
      <c r="F1556" s="15" t="s">
        <v>65</v>
      </c>
      <c r="G1556" s="34">
        <v>2</v>
      </c>
      <c r="H1556" s="34">
        <v>44</v>
      </c>
      <c r="I1556" s="15" t="s">
        <v>73</v>
      </c>
      <c r="J1556" s="15" t="s">
        <v>74</v>
      </c>
      <c r="K1556" s="74" t="s">
        <v>29</v>
      </c>
      <c r="L1556" s="16">
        <v>1074</v>
      </c>
      <c r="M1556" s="16">
        <v>0</v>
      </c>
      <c r="N1556" s="16">
        <v>965</v>
      </c>
      <c r="O1556" s="16">
        <v>91</v>
      </c>
      <c r="P1556" s="16">
        <v>0</v>
      </c>
      <c r="Q1556" s="16">
        <v>983</v>
      </c>
      <c r="R1556" s="16">
        <v>-40</v>
      </c>
      <c r="S1556" s="16">
        <v>2</v>
      </c>
      <c r="T1556" s="111">
        <v>0</v>
      </c>
    </row>
    <row r="1557" spans="1:20" ht="15" customHeight="1" x14ac:dyDescent="0.2">
      <c r="A1557" s="12" t="s">
        <v>3326</v>
      </c>
      <c r="B1557" s="56">
        <v>10280601</v>
      </c>
      <c r="C1557" s="12" t="s">
        <v>3327</v>
      </c>
      <c r="D1557" s="12"/>
      <c r="E1557" s="12" t="s">
        <v>3328</v>
      </c>
      <c r="F1557" s="12" t="s">
        <v>98</v>
      </c>
      <c r="G1557" s="33">
        <v>2</v>
      </c>
      <c r="H1557" s="33">
        <v>16</v>
      </c>
      <c r="I1557" s="12" t="s">
        <v>119</v>
      </c>
      <c r="J1557" s="12" t="s">
        <v>120</v>
      </c>
      <c r="K1557" s="73" t="s">
        <v>29</v>
      </c>
      <c r="L1557" s="13">
        <v>1070</v>
      </c>
      <c r="M1557" s="13">
        <v>0</v>
      </c>
      <c r="N1557" s="13">
        <v>704</v>
      </c>
      <c r="O1557" s="13">
        <v>111</v>
      </c>
      <c r="P1557" s="13">
        <v>0</v>
      </c>
      <c r="Q1557" s="13">
        <v>960</v>
      </c>
      <c r="R1557" s="13">
        <v>317</v>
      </c>
      <c r="S1557" s="13">
        <v>2</v>
      </c>
      <c r="T1557" s="81">
        <v>0</v>
      </c>
    </row>
    <row r="1558" spans="1:20" ht="15" customHeight="1" x14ac:dyDescent="0.2">
      <c r="A1558" s="15" t="s">
        <v>3329</v>
      </c>
      <c r="B1558" s="60">
        <v>80202872</v>
      </c>
      <c r="C1558" s="15" t="s">
        <v>3330</v>
      </c>
      <c r="D1558" s="15"/>
      <c r="E1558" s="15" t="s">
        <v>3331</v>
      </c>
      <c r="F1558" s="15" t="s">
        <v>98</v>
      </c>
      <c r="G1558" s="34">
        <v>2</v>
      </c>
      <c r="H1558" s="34">
        <v>21</v>
      </c>
      <c r="I1558" s="15" t="s">
        <v>3183</v>
      </c>
      <c r="J1558" s="15" t="s">
        <v>229</v>
      </c>
      <c r="K1558" s="74" t="s">
        <v>29</v>
      </c>
      <c r="L1558" s="16">
        <v>1022</v>
      </c>
      <c r="M1558" s="16">
        <v>0</v>
      </c>
      <c r="N1558" s="16">
        <v>450</v>
      </c>
      <c r="O1558" s="16">
        <v>257</v>
      </c>
      <c r="P1558" s="16">
        <v>0</v>
      </c>
      <c r="Q1558" s="16">
        <v>765</v>
      </c>
      <c r="R1558" s="16">
        <v>-140</v>
      </c>
      <c r="S1558" s="16">
        <v>2</v>
      </c>
      <c r="T1558" s="111">
        <v>0</v>
      </c>
    </row>
    <row r="1559" spans="1:20" ht="15" customHeight="1" x14ac:dyDescent="0.2">
      <c r="A1559" s="12" t="s">
        <v>3332</v>
      </c>
      <c r="B1559" s="56">
        <v>41146382</v>
      </c>
      <c r="C1559" s="12"/>
      <c r="D1559" s="12"/>
      <c r="E1559" s="12"/>
      <c r="F1559" s="12" t="s">
        <v>265</v>
      </c>
      <c r="G1559" s="33">
        <v>2</v>
      </c>
      <c r="H1559" s="33">
        <v>9</v>
      </c>
      <c r="I1559" s="12" t="s">
        <v>577</v>
      </c>
      <c r="J1559" s="12" t="s">
        <v>578</v>
      </c>
      <c r="K1559" s="73" t="s">
        <v>29</v>
      </c>
      <c r="L1559" s="13">
        <v>1001</v>
      </c>
      <c r="M1559" s="13">
        <v>374</v>
      </c>
      <c r="N1559" s="13">
        <v>0</v>
      </c>
      <c r="O1559" s="13">
        <v>1072</v>
      </c>
      <c r="P1559" s="13">
        <v>0</v>
      </c>
      <c r="Q1559" s="13">
        <v>-71</v>
      </c>
      <c r="R1559" s="13">
        <v>-307</v>
      </c>
      <c r="S1559" s="13">
        <v>0</v>
      </c>
      <c r="T1559" s="81">
        <v>0</v>
      </c>
    </row>
    <row r="1560" spans="1:20" ht="15" customHeight="1" x14ac:dyDescent="0.2">
      <c r="A1560" s="15" t="s">
        <v>3333</v>
      </c>
      <c r="B1560" s="60">
        <v>55841657</v>
      </c>
      <c r="C1560" s="15" t="s">
        <v>3334</v>
      </c>
      <c r="D1560" s="15"/>
      <c r="E1560" s="15" t="s">
        <v>3335</v>
      </c>
      <c r="F1560" s="15" t="s">
        <v>65</v>
      </c>
      <c r="G1560" s="34">
        <v>2</v>
      </c>
      <c r="H1560" s="34">
        <v>43</v>
      </c>
      <c r="I1560" s="15" t="s">
        <v>1912</v>
      </c>
      <c r="J1560" s="15" t="s">
        <v>217</v>
      </c>
      <c r="K1560" s="74" t="s">
        <v>29</v>
      </c>
      <c r="L1560" s="16">
        <v>990</v>
      </c>
      <c r="M1560" s="16">
        <v>0</v>
      </c>
      <c r="N1560" s="16">
        <v>0</v>
      </c>
      <c r="O1560" s="16">
        <v>1</v>
      </c>
      <c r="P1560" s="16">
        <v>0</v>
      </c>
      <c r="Q1560" s="16">
        <v>989</v>
      </c>
      <c r="R1560" s="16">
        <v>-78</v>
      </c>
      <c r="S1560" s="16">
        <v>2</v>
      </c>
      <c r="T1560" s="111">
        <v>0</v>
      </c>
    </row>
    <row r="1561" spans="1:20" ht="15" customHeight="1" x14ac:dyDescent="0.2">
      <c r="A1561" s="12" t="s">
        <v>3336</v>
      </c>
      <c r="B1561" s="56">
        <v>5669150</v>
      </c>
      <c r="C1561" s="12" t="s">
        <v>3337</v>
      </c>
      <c r="D1561" s="12"/>
      <c r="E1561" s="12" t="s">
        <v>3338</v>
      </c>
      <c r="F1561" s="12" t="s">
        <v>65</v>
      </c>
      <c r="G1561" s="33">
        <v>2</v>
      </c>
      <c r="H1561" s="33">
        <v>10</v>
      </c>
      <c r="I1561" s="12" t="s">
        <v>528</v>
      </c>
      <c r="J1561" s="12" t="s">
        <v>217</v>
      </c>
      <c r="K1561" s="73" t="s">
        <v>29</v>
      </c>
      <c r="L1561" s="13">
        <v>938</v>
      </c>
      <c r="M1561" s="13">
        <v>463</v>
      </c>
      <c r="N1561" s="13">
        <v>0</v>
      </c>
      <c r="O1561" s="13">
        <v>9</v>
      </c>
      <c r="P1561" s="13">
        <v>0</v>
      </c>
      <c r="Q1561" s="13">
        <v>928</v>
      </c>
      <c r="R1561" s="13">
        <v>-98</v>
      </c>
      <c r="S1561" s="13">
        <v>2</v>
      </c>
      <c r="T1561" s="81">
        <v>0</v>
      </c>
    </row>
    <row r="1562" spans="1:20" ht="15" customHeight="1" x14ac:dyDescent="0.2">
      <c r="A1562" s="15" t="s">
        <v>3339</v>
      </c>
      <c r="B1562" s="60">
        <v>90560434</v>
      </c>
      <c r="C1562" s="15"/>
      <c r="D1562" s="15"/>
      <c r="E1562" s="15"/>
      <c r="F1562" s="15" t="s">
        <v>265</v>
      </c>
      <c r="G1562" s="34">
        <v>2</v>
      </c>
      <c r="H1562" s="34">
        <v>9</v>
      </c>
      <c r="I1562" s="15" t="s">
        <v>1292</v>
      </c>
      <c r="J1562" s="15" t="s">
        <v>74</v>
      </c>
      <c r="K1562" s="74" t="s">
        <v>29</v>
      </c>
      <c r="L1562" s="16">
        <v>913</v>
      </c>
      <c r="M1562" s="16">
        <v>743</v>
      </c>
      <c r="N1562" s="16">
        <v>0</v>
      </c>
      <c r="O1562" s="16">
        <v>15</v>
      </c>
      <c r="P1562" s="16">
        <v>0</v>
      </c>
      <c r="Q1562" s="16">
        <v>898</v>
      </c>
      <c r="R1562" s="16">
        <v>-19</v>
      </c>
      <c r="S1562" s="16">
        <v>0</v>
      </c>
      <c r="T1562" s="111">
        <v>0</v>
      </c>
    </row>
    <row r="1563" spans="1:20" ht="15" customHeight="1" x14ac:dyDescent="0.2">
      <c r="A1563" s="12" t="s">
        <v>3340</v>
      </c>
      <c r="B1563" s="56">
        <v>5424088</v>
      </c>
      <c r="C1563" s="12"/>
      <c r="D1563" s="12"/>
      <c r="E1563" s="12"/>
      <c r="F1563" s="12" t="s">
        <v>265</v>
      </c>
      <c r="G1563" s="33">
        <v>2</v>
      </c>
      <c r="H1563" s="33">
        <v>9</v>
      </c>
      <c r="I1563" s="12" t="s">
        <v>2934</v>
      </c>
      <c r="J1563" s="12" t="s">
        <v>54</v>
      </c>
      <c r="K1563" s="73" t="s">
        <v>29</v>
      </c>
      <c r="L1563" s="13">
        <v>832</v>
      </c>
      <c r="M1563" s="13">
        <v>321</v>
      </c>
      <c r="N1563" s="13">
        <v>257</v>
      </c>
      <c r="O1563" s="13">
        <v>18</v>
      </c>
      <c r="P1563" s="13">
        <v>0</v>
      </c>
      <c r="Q1563" s="13">
        <v>814</v>
      </c>
      <c r="R1563" s="13">
        <v>-34</v>
      </c>
      <c r="S1563" s="13">
        <v>0</v>
      </c>
      <c r="T1563" s="81">
        <v>0</v>
      </c>
    </row>
    <row r="1564" spans="1:20" ht="15" customHeight="1" x14ac:dyDescent="0.2">
      <c r="A1564" s="15" t="s">
        <v>3341</v>
      </c>
      <c r="B1564" s="60">
        <v>71502181</v>
      </c>
      <c r="C1564" s="15"/>
      <c r="D1564" s="15"/>
      <c r="E1564" s="15"/>
      <c r="F1564" s="15" t="s">
        <v>265</v>
      </c>
      <c r="G1564" s="34">
        <v>2</v>
      </c>
      <c r="H1564" s="34">
        <v>9</v>
      </c>
      <c r="I1564" s="15" t="s">
        <v>119</v>
      </c>
      <c r="J1564" s="15" t="s">
        <v>120</v>
      </c>
      <c r="K1564" s="74" t="s">
        <v>29</v>
      </c>
      <c r="L1564" s="16">
        <v>804</v>
      </c>
      <c r="M1564" s="16">
        <v>714</v>
      </c>
      <c r="N1564" s="16">
        <v>37</v>
      </c>
      <c r="O1564" s="16">
        <v>47</v>
      </c>
      <c r="P1564" s="16">
        <v>0</v>
      </c>
      <c r="Q1564" s="16">
        <v>757</v>
      </c>
      <c r="R1564" s="16">
        <v>11</v>
      </c>
      <c r="S1564" s="16">
        <v>0</v>
      </c>
      <c r="T1564" s="111">
        <v>0</v>
      </c>
    </row>
    <row r="1565" spans="1:20" ht="15" customHeight="1" x14ac:dyDescent="0.2">
      <c r="A1565" s="12" t="s">
        <v>3342</v>
      </c>
      <c r="B1565" s="56">
        <v>43561343</v>
      </c>
      <c r="C1565" s="12" t="s">
        <v>3343</v>
      </c>
      <c r="D1565" s="12"/>
      <c r="E1565" s="12" t="s">
        <v>3344</v>
      </c>
      <c r="F1565" s="12" t="s">
        <v>84</v>
      </c>
      <c r="G1565" s="33">
        <v>2</v>
      </c>
      <c r="H1565" s="33">
        <v>41</v>
      </c>
      <c r="I1565" s="12" t="s">
        <v>107</v>
      </c>
      <c r="J1565" s="12" t="s">
        <v>39</v>
      </c>
      <c r="K1565" s="73" t="s">
        <v>29</v>
      </c>
      <c r="L1565" s="13">
        <v>687</v>
      </c>
      <c r="M1565" s="13">
        <v>0</v>
      </c>
      <c r="N1565" s="13">
        <v>63</v>
      </c>
      <c r="O1565" s="13">
        <v>0</v>
      </c>
      <c r="P1565" s="13">
        <v>0</v>
      </c>
      <c r="Q1565" s="13">
        <v>687</v>
      </c>
      <c r="R1565" s="13">
        <v>-105</v>
      </c>
      <c r="S1565" s="13">
        <v>1</v>
      </c>
      <c r="T1565" s="81">
        <v>0</v>
      </c>
    </row>
    <row r="1566" spans="1:20" ht="15" customHeight="1" x14ac:dyDescent="0.2">
      <c r="A1566" s="15" t="s">
        <v>3345</v>
      </c>
      <c r="B1566" s="60">
        <v>129753</v>
      </c>
      <c r="C1566" s="15"/>
      <c r="D1566" s="15"/>
      <c r="E1566" s="15"/>
      <c r="F1566" s="15" t="s">
        <v>265</v>
      </c>
      <c r="G1566" s="34">
        <v>2</v>
      </c>
      <c r="H1566" s="34">
        <v>9</v>
      </c>
      <c r="I1566" s="15" t="s">
        <v>3346</v>
      </c>
      <c r="J1566" s="15" t="s">
        <v>120</v>
      </c>
      <c r="K1566" s="74" t="s">
        <v>29</v>
      </c>
      <c r="L1566" s="16">
        <v>598</v>
      </c>
      <c r="M1566" s="16">
        <v>13</v>
      </c>
      <c r="N1566" s="16">
        <v>500</v>
      </c>
      <c r="O1566" s="16">
        <v>297</v>
      </c>
      <c r="P1566" s="16">
        <v>0</v>
      </c>
      <c r="Q1566" s="16">
        <v>301</v>
      </c>
      <c r="R1566" s="16">
        <v>-44</v>
      </c>
      <c r="S1566" s="16">
        <v>0</v>
      </c>
      <c r="T1566" s="111">
        <v>0</v>
      </c>
    </row>
    <row r="1567" spans="1:20" ht="15" customHeight="1" x14ac:dyDescent="0.2">
      <c r="A1567" s="12" t="s">
        <v>3347</v>
      </c>
      <c r="B1567" s="56">
        <v>2447184</v>
      </c>
      <c r="C1567" s="12"/>
      <c r="D1567" s="12"/>
      <c r="E1567" s="12"/>
      <c r="F1567" s="12" t="s">
        <v>265</v>
      </c>
      <c r="G1567" s="33">
        <v>2</v>
      </c>
      <c r="H1567" s="33">
        <v>9</v>
      </c>
      <c r="I1567" s="12" t="s">
        <v>53</v>
      </c>
      <c r="J1567" s="12" t="s">
        <v>54</v>
      </c>
      <c r="K1567" s="73" t="s">
        <v>29</v>
      </c>
      <c r="L1567" s="13">
        <v>595</v>
      </c>
      <c r="M1567" s="13">
        <v>433</v>
      </c>
      <c r="N1567" s="13">
        <v>3</v>
      </c>
      <c r="O1567" s="13">
        <v>143</v>
      </c>
      <c r="P1567" s="13">
        <v>0</v>
      </c>
      <c r="Q1567" s="13">
        <v>453</v>
      </c>
      <c r="R1567" s="13">
        <v>-68</v>
      </c>
      <c r="S1567" s="13">
        <v>0</v>
      </c>
      <c r="T1567" s="81">
        <v>0</v>
      </c>
    </row>
    <row r="1568" spans="1:20" ht="15" customHeight="1" x14ac:dyDescent="0.2">
      <c r="A1568" s="15" t="s">
        <v>3348</v>
      </c>
      <c r="B1568" s="60">
        <v>3219207</v>
      </c>
      <c r="C1568" s="15"/>
      <c r="D1568" s="15"/>
      <c r="E1568" s="15"/>
      <c r="F1568" s="15" t="s">
        <v>265</v>
      </c>
      <c r="G1568" s="34">
        <v>2</v>
      </c>
      <c r="H1568" s="34">
        <v>9</v>
      </c>
      <c r="I1568" s="15" t="s">
        <v>3349</v>
      </c>
      <c r="J1568" s="15" t="s">
        <v>39</v>
      </c>
      <c r="K1568" s="74" t="s">
        <v>29</v>
      </c>
      <c r="L1568" s="16">
        <v>562</v>
      </c>
      <c r="M1568" s="16">
        <v>176</v>
      </c>
      <c r="N1568" s="16">
        <v>0</v>
      </c>
      <c r="O1568" s="16">
        <v>12</v>
      </c>
      <c r="P1568" s="16">
        <v>0</v>
      </c>
      <c r="Q1568" s="16">
        <v>549</v>
      </c>
      <c r="R1568" s="16">
        <v>5</v>
      </c>
      <c r="S1568" s="16">
        <v>0</v>
      </c>
      <c r="T1568" s="111">
        <v>0</v>
      </c>
    </row>
    <row r="1569" spans="1:20" ht="15" customHeight="1" x14ac:dyDescent="0.2">
      <c r="A1569" s="12" t="s">
        <v>3350</v>
      </c>
      <c r="B1569" s="56">
        <v>89784367</v>
      </c>
      <c r="C1569" s="12" t="s">
        <v>3351</v>
      </c>
      <c r="D1569" s="12"/>
      <c r="E1569" s="12" t="s">
        <v>3352</v>
      </c>
      <c r="F1569" s="12" t="s">
        <v>98</v>
      </c>
      <c r="G1569" s="33">
        <v>2</v>
      </c>
      <c r="H1569" s="33">
        <v>16</v>
      </c>
      <c r="I1569" s="12" t="s">
        <v>228</v>
      </c>
      <c r="J1569" s="12" t="s">
        <v>229</v>
      </c>
      <c r="K1569" s="73" t="s">
        <v>29</v>
      </c>
      <c r="L1569" s="13">
        <v>557</v>
      </c>
      <c r="M1569" s="13">
        <v>0</v>
      </c>
      <c r="N1569" s="13">
        <v>373</v>
      </c>
      <c r="O1569" s="13">
        <v>5</v>
      </c>
      <c r="P1569" s="13">
        <v>0</v>
      </c>
      <c r="Q1569" s="13">
        <v>552</v>
      </c>
      <c r="R1569" s="13">
        <v>-84</v>
      </c>
      <c r="S1569" s="13">
        <v>2</v>
      </c>
      <c r="T1569" s="81">
        <v>0</v>
      </c>
    </row>
    <row r="1570" spans="1:20" ht="15" customHeight="1" x14ac:dyDescent="0.2">
      <c r="A1570" s="15" t="s">
        <v>3353</v>
      </c>
      <c r="B1570" s="60">
        <v>3443143</v>
      </c>
      <c r="C1570" s="15" t="s">
        <v>3354</v>
      </c>
      <c r="D1570" s="15"/>
      <c r="E1570" s="15" t="s">
        <v>3355</v>
      </c>
      <c r="F1570" s="15" t="s">
        <v>98</v>
      </c>
      <c r="G1570" s="34">
        <v>2</v>
      </c>
      <c r="H1570" s="34">
        <v>21</v>
      </c>
      <c r="I1570" s="15" t="s">
        <v>53</v>
      </c>
      <c r="J1570" s="15" t="s">
        <v>54</v>
      </c>
      <c r="K1570" s="74" t="s">
        <v>29</v>
      </c>
      <c r="L1570" s="16">
        <v>557</v>
      </c>
      <c r="M1570" s="16">
        <v>0</v>
      </c>
      <c r="N1570" s="16">
        <v>403</v>
      </c>
      <c r="O1570" s="16">
        <v>7</v>
      </c>
      <c r="P1570" s="16">
        <v>0</v>
      </c>
      <c r="Q1570" s="16">
        <v>550</v>
      </c>
      <c r="R1570" s="16">
        <v>-51</v>
      </c>
      <c r="S1570" s="16">
        <v>2</v>
      </c>
      <c r="T1570" s="111">
        <v>0</v>
      </c>
    </row>
    <row r="1571" spans="1:20" ht="15" customHeight="1" x14ac:dyDescent="0.2">
      <c r="A1571" s="12" t="s">
        <v>3356</v>
      </c>
      <c r="B1571" s="56">
        <v>3165497</v>
      </c>
      <c r="C1571" s="12"/>
      <c r="D1571" s="12"/>
      <c r="E1571" s="12"/>
      <c r="F1571" s="12" t="s">
        <v>265</v>
      </c>
      <c r="G1571" s="33">
        <v>2</v>
      </c>
      <c r="H1571" s="33">
        <v>9</v>
      </c>
      <c r="I1571" s="12" t="s">
        <v>971</v>
      </c>
      <c r="J1571" s="12" t="s">
        <v>229</v>
      </c>
      <c r="K1571" s="73" t="s">
        <v>29</v>
      </c>
      <c r="L1571" s="13">
        <v>535</v>
      </c>
      <c r="M1571" s="13">
        <v>312</v>
      </c>
      <c r="N1571" s="13">
        <v>209</v>
      </c>
      <c r="O1571" s="13">
        <v>32</v>
      </c>
      <c r="P1571" s="13">
        <v>0</v>
      </c>
      <c r="Q1571" s="13">
        <v>502</v>
      </c>
      <c r="R1571" s="13">
        <v>-26</v>
      </c>
      <c r="S1571" s="13">
        <v>0</v>
      </c>
      <c r="T1571" s="81">
        <v>0</v>
      </c>
    </row>
    <row r="1572" spans="1:20" ht="15" customHeight="1" x14ac:dyDescent="0.2">
      <c r="A1572" s="15" t="s">
        <v>3357</v>
      </c>
      <c r="B1572" s="60">
        <v>4158581</v>
      </c>
      <c r="C1572" s="15"/>
      <c r="D1572" s="15"/>
      <c r="E1572" s="15"/>
      <c r="F1572" s="15" t="s">
        <v>265</v>
      </c>
      <c r="G1572" s="34">
        <v>2</v>
      </c>
      <c r="H1572" s="34">
        <v>9</v>
      </c>
      <c r="I1572" s="15" t="s">
        <v>3150</v>
      </c>
      <c r="J1572" s="15" t="s">
        <v>120</v>
      </c>
      <c r="K1572" s="74" t="s">
        <v>29</v>
      </c>
      <c r="L1572" s="16">
        <v>493</v>
      </c>
      <c r="M1572" s="16">
        <v>251</v>
      </c>
      <c r="N1572" s="16">
        <v>0</v>
      </c>
      <c r="O1572" s="16">
        <v>25</v>
      </c>
      <c r="P1572" s="16">
        <v>0</v>
      </c>
      <c r="Q1572" s="16">
        <v>469</v>
      </c>
      <c r="R1572" s="16">
        <v>0</v>
      </c>
      <c r="S1572" s="16">
        <v>0</v>
      </c>
      <c r="T1572" s="111">
        <v>0</v>
      </c>
    </row>
    <row r="1573" spans="1:20" ht="15" customHeight="1" x14ac:dyDescent="0.2">
      <c r="A1573" s="12" t="s">
        <v>3358</v>
      </c>
      <c r="B1573" s="56">
        <v>71491609</v>
      </c>
      <c r="C1573" s="12"/>
      <c r="D1573" s="12"/>
      <c r="E1573" s="12"/>
      <c r="F1573" s="12" t="s">
        <v>265</v>
      </c>
      <c r="G1573" s="33">
        <v>2</v>
      </c>
      <c r="H1573" s="33">
        <v>9</v>
      </c>
      <c r="I1573" s="12" t="s">
        <v>770</v>
      </c>
      <c r="J1573" s="12" t="s">
        <v>39</v>
      </c>
      <c r="K1573" s="73" t="s">
        <v>29</v>
      </c>
      <c r="L1573" s="13">
        <v>436</v>
      </c>
      <c r="M1573" s="13">
        <v>191</v>
      </c>
      <c r="N1573" s="13">
        <v>174</v>
      </c>
      <c r="O1573" s="13">
        <v>100</v>
      </c>
      <c r="P1573" s="13">
        <v>0</v>
      </c>
      <c r="Q1573" s="13">
        <v>336</v>
      </c>
      <c r="R1573" s="13">
        <v>30</v>
      </c>
      <c r="S1573" s="13">
        <v>0</v>
      </c>
      <c r="T1573" s="81">
        <v>0</v>
      </c>
    </row>
    <row r="1574" spans="1:20" ht="15" customHeight="1" x14ac:dyDescent="0.2">
      <c r="A1574" s="15" t="s">
        <v>3359</v>
      </c>
      <c r="B1574" s="60">
        <v>72556996</v>
      </c>
      <c r="C1574" s="15" t="s">
        <v>3360</v>
      </c>
      <c r="D1574" s="15"/>
      <c r="E1574" s="15" t="s">
        <v>3361</v>
      </c>
      <c r="F1574" s="15" t="s">
        <v>98</v>
      </c>
      <c r="G1574" s="34">
        <v>2</v>
      </c>
      <c r="H1574" s="34">
        <v>21</v>
      </c>
      <c r="I1574" s="15" t="s">
        <v>228</v>
      </c>
      <c r="J1574" s="15" t="s">
        <v>229</v>
      </c>
      <c r="K1574" s="74" t="s">
        <v>29</v>
      </c>
      <c r="L1574" s="16">
        <v>401</v>
      </c>
      <c r="M1574" s="16">
        <v>0</v>
      </c>
      <c r="N1574" s="16">
        <v>0</v>
      </c>
      <c r="O1574" s="16">
        <v>5</v>
      </c>
      <c r="P1574" s="16">
        <v>0</v>
      </c>
      <c r="Q1574" s="16">
        <v>396</v>
      </c>
      <c r="R1574" s="16">
        <v>26</v>
      </c>
      <c r="S1574" s="16">
        <v>2</v>
      </c>
      <c r="T1574" s="111">
        <v>0</v>
      </c>
    </row>
    <row r="1575" spans="1:20" ht="15" customHeight="1" x14ac:dyDescent="0.2">
      <c r="A1575" s="12" t="s">
        <v>3362</v>
      </c>
      <c r="B1575" s="56">
        <v>15168152</v>
      </c>
      <c r="C1575" s="12" t="s">
        <v>3363</v>
      </c>
      <c r="D1575" s="12"/>
      <c r="E1575" s="12" t="s">
        <v>3364</v>
      </c>
      <c r="F1575" s="12" t="s">
        <v>98</v>
      </c>
      <c r="G1575" s="33">
        <v>2</v>
      </c>
      <c r="H1575" s="33">
        <v>21</v>
      </c>
      <c r="I1575" s="12" t="s">
        <v>38</v>
      </c>
      <c r="J1575" s="12" t="s">
        <v>39</v>
      </c>
      <c r="K1575" s="73" t="s">
        <v>29</v>
      </c>
      <c r="L1575" s="13">
        <v>365</v>
      </c>
      <c r="M1575" s="13">
        <v>0</v>
      </c>
      <c r="N1575" s="13">
        <v>333</v>
      </c>
      <c r="O1575" s="13">
        <v>143</v>
      </c>
      <c r="P1575" s="13">
        <v>0</v>
      </c>
      <c r="Q1575" s="13">
        <v>222</v>
      </c>
      <c r="R1575" s="13">
        <v>-178</v>
      </c>
      <c r="S1575" s="13">
        <v>2</v>
      </c>
      <c r="T1575" s="81">
        <v>0</v>
      </c>
    </row>
    <row r="1576" spans="1:20" ht="15" customHeight="1" x14ac:dyDescent="0.2">
      <c r="A1576" s="15" t="s">
        <v>3365</v>
      </c>
      <c r="B1576" s="60">
        <v>208</v>
      </c>
      <c r="C1576" s="15" t="s">
        <v>2145</v>
      </c>
      <c r="D1576" s="15" t="s">
        <v>2146</v>
      </c>
      <c r="E1576" s="15" t="s">
        <v>2147</v>
      </c>
      <c r="F1576" s="15" t="s">
        <v>26</v>
      </c>
      <c r="G1576" s="34">
        <v>1</v>
      </c>
      <c r="H1576" s="34">
        <v>8</v>
      </c>
      <c r="I1576" s="15" t="s">
        <v>27</v>
      </c>
      <c r="J1576" s="15" t="s">
        <v>28</v>
      </c>
      <c r="K1576" s="74" t="s">
        <v>29</v>
      </c>
      <c r="L1576" s="16" t="s">
        <v>3366</v>
      </c>
      <c r="M1576" s="16" t="s">
        <v>3366</v>
      </c>
      <c r="N1576" s="16" t="s">
        <v>3366</v>
      </c>
      <c r="O1576" s="16" t="s">
        <v>3366</v>
      </c>
      <c r="P1576" s="16" t="s">
        <v>3366</v>
      </c>
      <c r="Q1576" s="16" t="s">
        <v>3366</v>
      </c>
      <c r="R1576" s="16" t="s">
        <v>3366</v>
      </c>
      <c r="S1576" s="16">
        <v>64</v>
      </c>
      <c r="T1576" s="111">
        <v>201</v>
      </c>
    </row>
    <row r="1577" spans="1:20" ht="15" customHeight="1" x14ac:dyDescent="0.2">
      <c r="A1577" s="12" t="s">
        <v>3367</v>
      </c>
      <c r="B1577" s="56">
        <v>204963</v>
      </c>
      <c r="C1577" s="12"/>
      <c r="D1577" s="12"/>
      <c r="E1577" s="12"/>
      <c r="F1577" s="12" t="s">
        <v>265</v>
      </c>
      <c r="G1577" s="33">
        <v>2</v>
      </c>
      <c r="H1577" s="33">
        <v>9</v>
      </c>
      <c r="I1577" s="12" t="s">
        <v>3368</v>
      </c>
      <c r="J1577" s="12" t="s">
        <v>217</v>
      </c>
      <c r="K1577" s="73" t="s">
        <v>29</v>
      </c>
      <c r="L1577" s="13" t="s">
        <v>3366</v>
      </c>
      <c r="M1577" s="13" t="s">
        <v>3366</v>
      </c>
      <c r="N1577" s="13" t="s">
        <v>3366</v>
      </c>
      <c r="O1577" s="13" t="s">
        <v>3366</v>
      </c>
      <c r="P1577" s="13" t="s">
        <v>3366</v>
      </c>
      <c r="Q1577" s="13" t="s">
        <v>3366</v>
      </c>
      <c r="R1577" s="13" t="s">
        <v>3366</v>
      </c>
      <c r="S1577" s="13">
        <v>0</v>
      </c>
      <c r="T1577" s="81">
        <v>5</v>
      </c>
    </row>
    <row r="1578" spans="1:20" ht="15" customHeight="1" x14ac:dyDescent="0.2">
      <c r="A1578" s="15" t="s">
        <v>3369</v>
      </c>
      <c r="B1578" s="60">
        <v>548980</v>
      </c>
      <c r="C1578" s="15"/>
      <c r="D1578" s="15"/>
      <c r="E1578" s="15"/>
      <c r="F1578" s="15" t="s">
        <v>265</v>
      </c>
      <c r="G1578" s="34">
        <v>2</v>
      </c>
      <c r="H1578" s="34">
        <v>9</v>
      </c>
      <c r="I1578" s="15" t="s">
        <v>119</v>
      </c>
      <c r="J1578" s="15" t="s">
        <v>120</v>
      </c>
      <c r="K1578" s="74" t="s">
        <v>29</v>
      </c>
      <c r="L1578" s="16" t="s">
        <v>3366</v>
      </c>
      <c r="M1578" s="16" t="s">
        <v>3366</v>
      </c>
      <c r="N1578" s="16" t="s">
        <v>3366</v>
      </c>
      <c r="O1578" s="16" t="s">
        <v>3366</v>
      </c>
      <c r="P1578" s="16" t="s">
        <v>3366</v>
      </c>
      <c r="Q1578" s="16" t="s">
        <v>3366</v>
      </c>
      <c r="R1578" s="16" t="s">
        <v>3366</v>
      </c>
      <c r="S1578" s="16">
        <v>0</v>
      </c>
      <c r="T1578" s="111">
        <v>0</v>
      </c>
    </row>
    <row r="1579" spans="1:20" ht="15" customHeight="1" x14ac:dyDescent="0.2">
      <c r="A1579" s="12" t="s">
        <v>3370</v>
      </c>
      <c r="B1579" s="56">
        <v>1301541</v>
      </c>
      <c r="C1579" s="12"/>
      <c r="D1579" s="12"/>
      <c r="E1579" s="12"/>
      <c r="F1579" s="12" t="s">
        <v>265</v>
      </c>
      <c r="G1579" s="33">
        <v>2</v>
      </c>
      <c r="H1579" s="33">
        <v>9</v>
      </c>
      <c r="I1579" s="12" t="s">
        <v>564</v>
      </c>
      <c r="J1579" s="12" t="s">
        <v>120</v>
      </c>
      <c r="K1579" s="73" t="s">
        <v>29</v>
      </c>
      <c r="L1579" s="13" t="s">
        <v>3366</v>
      </c>
      <c r="M1579" s="13" t="s">
        <v>3366</v>
      </c>
      <c r="N1579" s="13" t="s">
        <v>3366</v>
      </c>
      <c r="O1579" s="13" t="s">
        <v>3366</v>
      </c>
      <c r="P1579" s="13" t="s">
        <v>3366</v>
      </c>
      <c r="Q1579" s="13" t="s">
        <v>3366</v>
      </c>
      <c r="R1579" s="13" t="s">
        <v>3366</v>
      </c>
      <c r="S1579" s="13">
        <v>0</v>
      </c>
      <c r="T1579" s="81">
        <v>0</v>
      </c>
    </row>
    <row r="1580" spans="1:20" ht="15" customHeight="1" x14ac:dyDescent="0.2">
      <c r="A1580" s="15" t="s">
        <v>3371</v>
      </c>
      <c r="B1580" s="60">
        <v>3058464</v>
      </c>
      <c r="C1580" s="15" t="s">
        <v>3372</v>
      </c>
      <c r="D1580" s="15"/>
      <c r="E1580" s="15" t="s">
        <v>3373</v>
      </c>
      <c r="F1580" s="15" t="s">
        <v>65</v>
      </c>
      <c r="G1580" s="34">
        <v>1</v>
      </c>
      <c r="H1580" s="34">
        <v>30</v>
      </c>
      <c r="I1580" s="15" t="s">
        <v>3374</v>
      </c>
      <c r="J1580" s="15" t="s">
        <v>3375</v>
      </c>
      <c r="K1580" s="74" t="s">
        <v>29</v>
      </c>
      <c r="L1580" s="16" t="s">
        <v>3366</v>
      </c>
      <c r="M1580" s="16" t="s">
        <v>3366</v>
      </c>
      <c r="N1580" s="16" t="s">
        <v>3366</v>
      </c>
      <c r="O1580" s="16" t="s">
        <v>3366</v>
      </c>
      <c r="P1580" s="16" t="s">
        <v>3366</v>
      </c>
      <c r="Q1580" s="16" t="s">
        <v>3366</v>
      </c>
      <c r="R1580" s="16" t="s">
        <v>3366</v>
      </c>
      <c r="S1580" s="16">
        <v>2</v>
      </c>
      <c r="T1580" s="111">
        <v>0</v>
      </c>
    </row>
    <row r="1581" spans="1:20" ht="15" customHeight="1" x14ac:dyDescent="0.2">
      <c r="A1581" s="12" t="s">
        <v>3376</v>
      </c>
      <c r="B1581" s="56">
        <v>3400651</v>
      </c>
      <c r="C1581" s="12"/>
      <c r="D1581" s="12"/>
      <c r="E1581" s="12"/>
      <c r="F1581" s="12" t="s">
        <v>265</v>
      </c>
      <c r="G1581" s="33">
        <v>2</v>
      </c>
      <c r="H1581" s="33">
        <v>9</v>
      </c>
      <c r="I1581" s="12" t="s">
        <v>3377</v>
      </c>
      <c r="J1581" s="12" t="s">
        <v>39</v>
      </c>
      <c r="K1581" s="73" t="s">
        <v>29</v>
      </c>
      <c r="L1581" s="13" t="s">
        <v>3366</v>
      </c>
      <c r="M1581" s="13" t="s">
        <v>3366</v>
      </c>
      <c r="N1581" s="13" t="s">
        <v>3366</v>
      </c>
      <c r="O1581" s="13" t="s">
        <v>3366</v>
      </c>
      <c r="P1581" s="13" t="s">
        <v>3366</v>
      </c>
      <c r="Q1581" s="13" t="s">
        <v>3366</v>
      </c>
      <c r="R1581" s="13" t="s">
        <v>3366</v>
      </c>
      <c r="S1581" s="13">
        <v>0</v>
      </c>
      <c r="T1581" s="81">
        <v>0</v>
      </c>
    </row>
    <row r="1582" spans="1:20" ht="15" customHeight="1" x14ac:dyDescent="0.2">
      <c r="A1582" s="15" t="s">
        <v>3378</v>
      </c>
      <c r="B1582" s="60">
        <v>3844699</v>
      </c>
      <c r="C1582" s="15"/>
      <c r="D1582" s="15"/>
      <c r="E1582" s="15"/>
      <c r="F1582" s="15" t="s">
        <v>265</v>
      </c>
      <c r="G1582" s="34">
        <v>2</v>
      </c>
      <c r="H1582" s="34">
        <v>9</v>
      </c>
      <c r="I1582" s="15" t="s">
        <v>182</v>
      </c>
      <c r="J1582" s="15" t="s">
        <v>183</v>
      </c>
      <c r="K1582" s="74" t="s">
        <v>29</v>
      </c>
      <c r="L1582" s="16" t="s">
        <v>3366</v>
      </c>
      <c r="M1582" s="16" t="s">
        <v>3366</v>
      </c>
      <c r="N1582" s="16" t="s">
        <v>3366</v>
      </c>
      <c r="O1582" s="16" t="s">
        <v>3366</v>
      </c>
      <c r="P1582" s="16" t="s">
        <v>3366</v>
      </c>
      <c r="Q1582" s="16" t="s">
        <v>3366</v>
      </c>
      <c r="R1582" s="16" t="s">
        <v>3366</v>
      </c>
      <c r="S1582" s="16">
        <v>0</v>
      </c>
      <c r="T1582" s="111">
        <v>0</v>
      </c>
    </row>
    <row r="1583" spans="1:20" ht="15" customHeight="1" x14ac:dyDescent="0.2">
      <c r="A1583" s="12" t="s">
        <v>3379</v>
      </c>
      <c r="B1583" s="56">
        <v>5607266</v>
      </c>
      <c r="C1583" s="12" t="s">
        <v>3380</v>
      </c>
      <c r="D1583" s="12"/>
      <c r="E1583" s="12" t="s">
        <v>3381</v>
      </c>
      <c r="F1583" s="12" t="s">
        <v>84</v>
      </c>
      <c r="G1583" s="33">
        <v>2</v>
      </c>
      <c r="H1583" s="33">
        <v>41</v>
      </c>
      <c r="I1583" s="12" t="s">
        <v>38</v>
      </c>
      <c r="J1583" s="12" t="s">
        <v>39</v>
      </c>
      <c r="K1583" s="73" t="s">
        <v>29</v>
      </c>
      <c r="L1583" s="13" t="s">
        <v>3366</v>
      </c>
      <c r="M1583" s="13" t="s">
        <v>3366</v>
      </c>
      <c r="N1583" s="13" t="s">
        <v>3366</v>
      </c>
      <c r="O1583" s="13" t="s">
        <v>3366</v>
      </c>
      <c r="P1583" s="13" t="s">
        <v>3366</v>
      </c>
      <c r="Q1583" s="13" t="s">
        <v>3366</v>
      </c>
      <c r="R1583" s="13" t="s">
        <v>3366</v>
      </c>
      <c r="S1583" s="13">
        <v>1</v>
      </c>
      <c r="T1583" s="81">
        <v>0</v>
      </c>
    </row>
    <row r="1584" spans="1:20" ht="15" customHeight="1" x14ac:dyDescent="0.2">
      <c r="A1584" s="15" t="s">
        <v>3382</v>
      </c>
      <c r="B1584" s="60">
        <v>5969937</v>
      </c>
      <c r="C1584" s="15"/>
      <c r="D1584" s="15"/>
      <c r="E1584" s="15"/>
      <c r="F1584" s="15" t="s">
        <v>265</v>
      </c>
      <c r="G1584" s="34">
        <v>2</v>
      </c>
      <c r="H1584" s="34">
        <v>9</v>
      </c>
      <c r="I1584" s="15" t="s">
        <v>266</v>
      </c>
      <c r="J1584" s="15" t="s">
        <v>39</v>
      </c>
      <c r="K1584" s="74" t="s">
        <v>29</v>
      </c>
      <c r="L1584" s="16" t="s">
        <v>3366</v>
      </c>
      <c r="M1584" s="16" t="s">
        <v>3366</v>
      </c>
      <c r="N1584" s="16" t="s">
        <v>3366</v>
      </c>
      <c r="O1584" s="16" t="s">
        <v>3366</v>
      </c>
      <c r="P1584" s="16" t="s">
        <v>3366</v>
      </c>
      <c r="Q1584" s="16" t="s">
        <v>3366</v>
      </c>
      <c r="R1584" s="16" t="s">
        <v>3366</v>
      </c>
      <c r="S1584" s="16">
        <v>0</v>
      </c>
      <c r="T1584" s="111">
        <v>0</v>
      </c>
    </row>
    <row r="1585" spans="1:20" ht="15" customHeight="1" x14ac:dyDescent="0.2">
      <c r="A1585" s="12" t="s">
        <v>3383</v>
      </c>
      <c r="B1585" s="56">
        <v>7333726</v>
      </c>
      <c r="C1585" s="12" t="s">
        <v>3384</v>
      </c>
      <c r="D1585" s="12"/>
      <c r="E1585" s="12" t="s">
        <v>3385</v>
      </c>
      <c r="F1585" s="12" t="s">
        <v>98</v>
      </c>
      <c r="G1585" s="33">
        <v>2</v>
      </c>
      <c r="H1585" s="33">
        <v>21</v>
      </c>
      <c r="I1585" s="12" t="s">
        <v>73</v>
      </c>
      <c r="J1585" s="12" t="s">
        <v>74</v>
      </c>
      <c r="K1585" s="73" t="s">
        <v>29</v>
      </c>
      <c r="L1585" s="13" t="s">
        <v>3366</v>
      </c>
      <c r="M1585" s="13" t="s">
        <v>3366</v>
      </c>
      <c r="N1585" s="13" t="s">
        <v>3366</v>
      </c>
      <c r="O1585" s="13" t="s">
        <v>3366</v>
      </c>
      <c r="P1585" s="13" t="s">
        <v>3366</v>
      </c>
      <c r="Q1585" s="13" t="s">
        <v>3366</v>
      </c>
      <c r="R1585" s="13" t="s">
        <v>3366</v>
      </c>
      <c r="S1585" s="13">
        <v>2</v>
      </c>
      <c r="T1585" s="81">
        <v>0</v>
      </c>
    </row>
    <row r="1586" spans="1:20" ht="15" customHeight="1" x14ac:dyDescent="0.2">
      <c r="A1586" s="15" t="s">
        <v>3386</v>
      </c>
      <c r="B1586" s="60">
        <v>8482873</v>
      </c>
      <c r="C1586" s="15"/>
      <c r="D1586" s="15"/>
      <c r="E1586" s="15"/>
      <c r="F1586" s="15" t="s">
        <v>265</v>
      </c>
      <c r="G1586" s="34">
        <v>2</v>
      </c>
      <c r="H1586" s="34">
        <v>9</v>
      </c>
      <c r="I1586" s="15" t="s">
        <v>3387</v>
      </c>
      <c r="J1586" s="15" t="s">
        <v>819</v>
      </c>
      <c r="K1586" s="74" t="s">
        <v>29</v>
      </c>
      <c r="L1586" s="16" t="s">
        <v>3366</v>
      </c>
      <c r="M1586" s="16" t="s">
        <v>3366</v>
      </c>
      <c r="N1586" s="16" t="s">
        <v>3366</v>
      </c>
      <c r="O1586" s="16" t="s">
        <v>3366</v>
      </c>
      <c r="P1586" s="16" t="s">
        <v>3366</v>
      </c>
      <c r="Q1586" s="16" t="s">
        <v>3366</v>
      </c>
      <c r="R1586" s="16" t="s">
        <v>3366</v>
      </c>
      <c r="S1586" s="16">
        <v>0</v>
      </c>
      <c r="T1586" s="111">
        <v>0</v>
      </c>
    </row>
    <row r="1587" spans="1:20" ht="15" customHeight="1" x14ac:dyDescent="0.2">
      <c r="A1587" s="12" t="s">
        <v>3388</v>
      </c>
      <c r="B1587" s="56">
        <v>8520517</v>
      </c>
      <c r="C1587" s="12" t="s">
        <v>3389</v>
      </c>
      <c r="D1587" s="12"/>
      <c r="E1587" s="12" t="s">
        <v>3390</v>
      </c>
      <c r="F1587" s="12" t="s">
        <v>98</v>
      </c>
      <c r="G1587" s="33">
        <v>2</v>
      </c>
      <c r="H1587" s="33">
        <v>21</v>
      </c>
      <c r="I1587" s="12" t="s">
        <v>821</v>
      </c>
      <c r="J1587" s="12" t="s">
        <v>822</v>
      </c>
      <c r="K1587" s="73" t="s">
        <v>29</v>
      </c>
      <c r="L1587" s="13" t="s">
        <v>3366</v>
      </c>
      <c r="M1587" s="13" t="s">
        <v>3366</v>
      </c>
      <c r="N1587" s="13" t="s">
        <v>3366</v>
      </c>
      <c r="O1587" s="13" t="s">
        <v>3366</v>
      </c>
      <c r="P1587" s="13" t="s">
        <v>3366</v>
      </c>
      <c r="Q1587" s="13" t="s">
        <v>3366</v>
      </c>
      <c r="R1587" s="13" t="s">
        <v>3366</v>
      </c>
      <c r="S1587" s="13">
        <v>2</v>
      </c>
      <c r="T1587" s="81">
        <v>0</v>
      </c>
    </row>
    <row r="1588" spans="1:20" ht="15" customHeight="1" x14ac:dyDescent="0.2">
      <c r="A1588" s="15" t="s">
        <v>3391</v>
      </c>
      <c r="B1588" s="60">
        <v>10808037</v>
      </c>
      <c r="C1588" s="15"/>
      <c r="D1588" s="15"/>
      <c r="E1588" s="15"/>
      <c r="F1588" s="15" t="s">
        <v>265</v>
      </c>
      <c r="G1588" s="34">
        <v>2</v>
      </c>
      <c r="H1588" s="34">
        <v>9</v>
      </c>
      <c r="I1588" s="15" t="s">
        <v>1585</v>
      </c>
      <c r="J1588" s="15" t="s">
        <v>1586</v>
      </c>
      <c r="K1588" s="74" t="s">
        <v>29</v>
      </c>
      <c r="L1588" s="16" t="s">
        <v>3366</v>
      </c>
      <c r="M1588" s="16" t="s">
        <v>3366</v>
      </c>
      <c r="N1588" s="16" t="s">
        <v>3366</v>
      </c>
      <c r="O1588" s="16" t="s">
        <v>3366</v>
      </c>
      <c r="P1588" s="16" t="s">
        <v>3366</v>
      </c>
      <c r="Q1588" s="16" t="s">
        <v>3366</v>
      </c>
      <c r="R1588" s="16" t="s">
        <v>3366</v>
      </c>
      <c r="S1588" s="16">
        <v>0</v>
      </c>
      <c r="T1588" s="111">
        <v>0</v>
      </c>
    </row>
    <row r="1589" spans="1:20" ht="15" customHeight="1" x14ac:dyDescent="0.2">
      <c r="A1589" s="12" t="s">
        <v>3392</v>
      </c>
      <c r="B1589" s="56">
        <v>11271860</v>
      </c>
      <c r="C1589" s="12" t="s">
        <v>3393</v>
      </c>
      <c r="D1589" s="12"/>
      <c r="E1589" s="12" t="s">
        <v>3394</v>
      </c>
      <c r="F1589" s="12" t="s">
        <v>65</v>
      </c>
      <c r="G1589" s="33">
        <v>2</v>
      </c>
      <c r="H1589" s="33">
        <v>14</v>
      </c>
      <c r="I1589" s="12" t="s">
        <v>3395</v>
      </c>
      <c r="J1589" s="12" t="s">
        <v>74</v>
      </c>
      <c r="K1589" s="73" t="s">
        <v>29</v>
      </c>
      <c r="L1589" s="13" t="s">
        <v>3366</v>
      </c>
      <c r="M1589" s="13" t="s">
        <v>3366</v>
      </c>
      <c r="N1589" s="13" t="s">
        <v>3366</v>
      </c>
      <c r="O1589" s="13" t="s">
        <v>3366</v>
      </c>
      <c r="P1589" s="13" t="s">
        <v>3366</v>
      </c>
      <c r="Q1589" s="13" t="s">
        <v>3366</v>
      </c>
      <c r="R1589" s="13" t="s">
        <v>3366</v>
      </c>
      <c r="S1589" s="13">
        <v>2</v>
      </c>
      <c r="T1589" s="81">
        <v>0</v>
      </c>
    </row>
    <row r="1590" spans="1:20" ht="15" customHeight="1" x14ac:dyDescent="0.2">
      <c r="A1590" s="15" t="s">
        <v>3396</v>
      </c>
      <c r="B1590" s="60">
        <v>11356599</v>
      </c>
      <c r="C1590" s="15"/>
      <c r="D1590" s="15"/>
      <c r="E1590" s="15"/>
      <c r="F1590" s="15" t="s">
        <v>265</v>
      </c>
      <c r="G1590" s="34">
        <v>2</v>
      </c>
      <c r="H1590" s="34">
        <v>9</v>
      </c>
      <c r="I1590" s="15" t="s">
        <v>1133</v>
      </c>
      <c r="J1590" s="15" t="s">
        <v>1078</v>
      </c>
      <c r="K1590" s="74" t="s">
        <v>29</v>
      </c>
      <c r="L1590" s="16" t="s">
        <v>3366</v>
      </c>
      <c r="M1590" s="16" t="s">
        <v>3366</v>
      </c>
      <c r="N1590" s="16" t="s">
        <v>3366</v>
      </c>
      <c r="O1590" s="16" t="s">
        <v>3366</v>
      </c>
      <c r="P1590" s="16" t="s">
        <v>3366</v>
      </c>
      <c r="Q1590" s="16" t="s">
        <v>3366</v>
      </c>
      <c r="R1590" s="16" t="s">
        <v>3366</v>
      </c>
      <c r="S1590" s="16">
        <v>0</v>
      </c>
      <c r="T1590" s="111">
        <v>0</v>
      </c>
    </row>
    <row r="1591" spans="1:20" ht="15" customHeight="1" x14ac:dyDescent="0.2">
      <c r="A1591" s="12" t="s">
        <v>3397</v>
      </c>
      <c r="B1591" s="56">
        <v>12473687</v>
      </c>
      <c r="C1591" s="12" t="s">
        <v>3398</v>
      </c>
      <c r="D1591" s="12"/>
      <c r="E1591" s="12" t="s">
        <v>3399</v>
      </c>
      <c r="F1591" s="12" t="s">
        <v>84</v>
      </c>
      <c r="G1591" s="33">
        <v>2</v>
      </c>
      <c r="H1591" s="33">
        <v>41</v>
      </c>
      <c r="I1591" s="12" t="s">
        <v>107</v>
      </c>
      <c r="J1591" s="12" t="s">
        <v>39</v>
      </c>
      <c r="K1591" s="73" t="s">
        <v>29</v>
      </c>
      <c r="L1591" s="13" t="s">
        <v>3366</v>
      </c>
      <c r="M1591" s="13" t="s">
        <v>3366</v>
      </c>
      <c r="N1591" s="13" t="s">
        <v>3366</v>
      </c>
      <c r="O1591" s="13" t="s">
        <v>3366</v>
      </c>
      <c r="P1591" s="13" t="s">
        <v>3366</v>
      </c>
      <c r="Q1591" s="13" t="s">
        <v>3366</v>
      </c>
      <c r="R1591" s="13" t="s">
        <v>3366</v>
      </c>
      <c r="S1591" s="13">
        <v>1</v>
      </c>
      <c r="T1591" s="81">
        <v>0</v>
      </c>
    </row>
    <row r="1592" spans="1:20" ht="15" customHeight="1" x14ac:dyDescent="0.2">
      <c r="A1592" s="15" t="s">
        <v>3400</v>
      </c>
      <c r="B1592" s="60">
        <v>13935893</v>
      </c>
      <c r="C1592" s="15" t="s">
        <v>2015</v>
      </c>
      <c r="D1592" s="15"/>
      <c r="E1592" s="15" t="s">
        <v>2016</v>
      </c>
      <c r="F1592" s="15" t="s">
        <v>84</v>
      </c>
      <c r="G1592" s="34">
        <v>3</v>
      </c>
      <c r="H1592" s="34">
        <v>41</v>
      </c>
      <c r="I1592" s="15" t="s">
        <v>107</v>
      </c>
      <c r="J1592" s="15" t="s">
        <v>39</v>
      </c>
      <c r="K1592" s="74" t="s">
        <v>29</v>
      </c>
      <c r="L1592" s="16" t="s">
        <v>3366</v>
      </c>
      <c r="M1592" s="16" t="s">
        <v>3366</v>
      </c>
      <c r="N1592" s="16" t="s">
        <v>3366</v>
      </c>
      <c r="O1592" s="16" t="s">
        <v>3366</v>
      </c>
      <c r="P1592" s="16" t="s">
        <v>3366</v>
      </c>
      <c r="Q1592" s="16" t="s">
        <v>3366</v>
      </c>
      <c r="R1592" s="16" t="s">
        <v>3366</v>
      </c>
      <c r="S1592" s="16">
        <v>1</v>
      </c>
      <c r="T1592" s="111">
        <v>0</v>
      </c>
    </row>
    <row r="1593" spans="1:20" ht="15" customHeight="1" x14ac:dyDescent="0.2">
      <c r="A1593" s="12" t="s">
        <v>3401</v>
      </c>
      <c r="B1593" s="56">
        <v>16651002</v>
      </c>
      <c r="C1593" s="12"/>
      <c r="D1593" s="12"/>
      <c r="E1593" s="12"/>
      <c r="F1593" s="12" t="s">
        <v>265</v>
      </c>
      <c r="G1593" s="33">
        <v>2</v>
      </c>
      <c r="H1593" s="33">
        <v>9</v>
      </c>
      <c r="I1593" s="12" t="s">
        <v>3402</v>
      </c>
      <c r="J1593" s="12" t="s">
        <v>120</v>
      </c>
      <c r="K1593" s="73" t="s">
        <v>29</v>
      </c>
      <c r="L1593" s="13" t="s">
        <v>3366</v>
      </c>
      <c r="M1593" s="13" t="s">
        <v>3366</v>
      </c>
      <c r="N1593" s="13" t="s">
        <v>3366</v>
      </c>
      <c r="O1593" s="13" t="s">
        <v>3366</v>
      </c>
      <c r="P1593" s="13" t="s">
        <v>3366</v>
      </c>
      <c r="Q1593" s="13" t="s">
        <v>3366</v>
      </c>
      <c r="R1593" s="13" t="s">
        <v>3366</v>
      </c>
      <c r="S1593" s="13">
        <v>0</v>
      </c>
      <c r="T1593" s="81">
        <v>0</v>
      </c>
    </row>
    <row r="1594" spans="1:20" ht="15" customHeight="1" x14ac:dyDescent="0.2">
      <c r="A1594" s="15" t="s">
        <v>3403</v>
      </c>
      <c r="B1594" s="60">
        <v>18287740</v>
      </c>
      <c r="C1594" s="15" t="s">
        <v>3404</v>
      </c>
      <c r="D1594" s="15"/>
      <c r="E1594" s="15" t="s">
        <v>3405</v>
      </c>
      <c r="F1594" s="15" t="s">
        <v>98</v>
      </c>
      <c r="G1594" s="34">
        <v>2</v>
      </c>
      <c r="H1594" s="34">
        <v>21</v>
      </c>
      <c r="I1594" s="15" t="s">
        <v>38</v>
      </c>
      <c r="J1594" s="15" t="s">
        <v>39</v>
      </c>
      <c r="K1594" s="74" t="s">
        <v>29</v>
      </c>
      <c r="L1594" s="16" t="s">
        <v>3366</v>
      </c>
      <c r="M1594" s="16" t="s">
        <v>3366</v>
      </c>
      <c r="N1594" s="16" t="s">
        <v>3366</v>
      </c>
      <c r="O1594" s="16" t="s">
        <v>3366</v>
      </c>
      <c r="P1594" s="16" t="s">
        <v>3366</v>
      </c>
      <c r="Q1594" s="16" t="s">
        <v>3366</v>
      </c>
      <c r="R1594" s="16" t="s">
        <v>3366</v>
      </c>
      <c r="S1594" s="16">
        <v>2</v>
      </c>
      <c r="T1594" s="111">
        <v>0</v>
      </c>
    </row>
    <row r="1595" spans="1:20" ht="15" customHeight="1" x14ac:dyDescent="0.2">
      <c r="A1595" s="12" t="s">
        <v>3406</v>
      </c>
      <c r="B1595" s="56">
        <v>20251847</v>
      </c>
      <c r="C1595" s="12" t="s">
        <v>3407</v>
      </c>
      <c r="D1595" s="12"/>
      <c r="E1595" s="12" t="s">
        <v>3408</v>
      </c>
      <c r="F1595" s="12" t="s">
        <v>65</v>
      </c>
      <c r="G1595" s="33">
        <v>2</v>
      </c>
      <c r="H1595" s="33">
        <v>43</v>
      </c>
      <c r="I1595" s="12" t="s">
        <v>228</v>
      </c>
      <c r="J1595" s="12" t="s">
        <v>229</v>
      </c>
      <c r="K1595" s="73" t="s">
        <v>29</v>
      </c>
      <c r="L1595" s="13" t="s">
        <v>3366</v>
      </c>
      <c r="M1595" s="13" t="s">
        <v>3366</v>
      </c>
      <c r="N1595" s="13" t="s">
        <v>3366</v>
      </c>
      <c r="O1595" s="13" t="s">
        <v>3366</v>
      </c>
      <c r="P1595" s="13" t="s">
        <v>3366</v>
      </c>
      <c r="Q1595" s="13" t="s">
        <v>3366</v>
      </c>
      <c r="R1595" s="13" t="s">
        <v>3366</v>
      </c>
      <c r="S1595" s="13">
        <v>2</v>
      </c>
      <c r="T1595" s="81">
        <v>0</v>
      </c>
    </row>
    <row r="1596" spans="1:20" ht="15" customHeight="1" x14ac:dyDescent="0.2">
      <c r="A1596" s="15" t="s">
        <v>3409</v>
      </c>
      <c r="B1596" s="60">
        <v>20443996</v>
      </c>
      <c r="C1596" s="15" t="s">
        <v>3410</v>
      </c>
      <c r="D1596" s="15"/>
      <c r="E1596" s="15" t="s">
        <v>3411</v>
      </c>
      <c r="F1596" s="15" t="s">
        <v>65</v>
      </c>
      <c r="G1596" s="34">
        <v>2</v>
      </c>
      <c r="H1596" s="34">
        <v>14</v>
      </c>
      <c r="I1596" s="15" t="s">
        <v>3412</v>
      </c>
      <c r="J1596" s="15" t="s">
        <v>74</v>
      </c>
      <c r="K1596" s="74" t="s">
        <v>29</v>
      </c>
      <c r="L1596" s="16" t="s">
        <v>3366</v>
      </c>
      <c r="M1596" s="16" t="s">
        <v>3366</v>
      </c>
      <c r="N1596" s="16" t="s">
        <v>3366</v>
      </c>
      <c r="O1596" s="16" t="s">
        <v>3366</v>
      </c>
      <c r="P1596" s="16" t="s">
        <v>3366</v>
      </c>
      <c r="Q1596" s="16" t="s">
        <v>3366</v>
      </c>
      <c r="R1596" s="16" t="s">
        <v>3366</v>
      </c>
      <c r="S1596" s="16">
        <v>2</v>
      </c>
      <c r="T1596" s="111">
        <v>0</v>
      </c>
    </row>
    <row r="1597" spans="1:20" ht="15" customHeight="1" x14ac:dyDescent="0.2">
      <c r="A1597" s="12" t="s">
        <v>3413</v>
      </c>
      <c r="B1597" s="56">
        <v>20833992</v>
      </c>
      <c r="C1597" s="12"/>
      <c r="D1597" s="12"/>
      <c r="E1597" s="12"/>
      <c r="F1597" s="12" t="s">
        <v>265</v>
      </c>
      <c r="G1597" s="33">
        <v>2</v>
      </c>
      <c r="H1597" s="33">
        <v>9</v>
      </c>
      <c r="I1597" s="12" t="s">
        <v>119</v>
      </c>
      <c r="J1597" s="12" t="s">
        <v>120</v>
      </c>
      <c r="K1597" s="73" t="s">
        <v>29</v>
      </c>
      <c r="L1597" s="13" t="s">
        <v>3366</v>
      </c>
      <c r="M1597" s="13" t="s">
        <v>3366</v>
      </c>
      <c r="N1597" s="13" t="s">
        <v>3366</v>
      </c>
      <c r="O1597" s="13" t="s">
        <v>3366</v>
      </c>
      <c r="P1597" s="13" t="s">
        <v>3366</v>
      </c>
      <c r="Q1597" s="13" t="s">
        <v>3366</v>
      </c>
      <c r="R1597" s="13" t="s">
        <v>3366</v>
      </c>
      <c r="S1597" s="13">
        <v>0</v>
      </c>
      <c r="T1597" s="81">
        <v>0</v>
      </c>
    </row>
    <row r="1598" spans="1:20" ht="15" customHeight="1" x14ac:dyDescent="0.2">
      <c r="A1598" s="15" t="s">
        <v>3414</v>
      </c>
      <c r="B1598" s="60">
        <v>26615279</v>
      </c>
      <c r="C1598" s="15" t="s">
        <v>3415</v>
      </c>
      <c r="D1598" s="15"/>
      <c r="E1598" s="15" t="s">
        <v>3416</v>
      </c>
      <c r="F1598" s="15" t="s">
        <v>84</v>
      </c>
      <c r="G1598" s="34">
        <v>2</v>
      </c>
      <c r="H1598" s="34">
        <v>41</v>
      </c>
      <c r="I1598" s="15" t="s">
        <v>228</v>
      </c>
      <c r="J1598" s="15" t="s">
        <v>229</v>
      </c>
      <c r="K1598" s="74" t="s">
        <v>29</v>
      </c>
      <c r="L1598" s="16" t="s">
        <v>3366</v>
      </c>
      <c r="M1598" s="16" t="s">
        <v>3366</v>
      </c>
      <c r="N1598" s="16" t="s">
        <v>3366</v>
      </c>
      <c r="O1598" s="16" t="s">
        <v>3366</v>
      </c>
      <c r="P1598" s="16" t="s">
        <v>3366</v>
      </c>
      <c r="Q1598" s="16" t="s">
        <v>3366</v>
      </c>
      <c r="R1598" s="16" t="s">
        <v>3366</v>
      </c>
      <c r="S1598" s="16">
        <v>1</v>
      </c>
      <c r="T1598" s="111">
        <v>0</v>
      </c>
    </row>
    <row r="1599" spans="1:20" ht="15" customHeight="1" x14ac:dyDescent="0.2">
      <c r="A1599" s="12" t="s">
        <v>3417</v>
      </c>
      <c r="B1599" s="56">
        <v>27302181</v>
      </c>
      <c r="C1599" s="12"/>
      <c r="D1599" s="12"/>
      <c r="E1599" s="12"/>
      <c r="F1599" s="12" t="s">
        <v>265</v>
      </c>
      <c r="G1599" s="33">
        <v>2</v>
      </c>
      <c r="H1599" s="33">
        <v>9</v>
      </c>
      <c r="I1599" s="12" t="s">
        <v>182</v>
      </c>
      <c r="J1599" s="12" t="s">
        <v>183</v>
      </c>
      <c r="K1599" s="73" t="s">
        <v>29</v>
      </c>
      <c r="L1599" s="13" t="s">
        <v>3366</v>
      </c>
      <c r="M1599" s="13" t="s">
        <v>3366</v>
      </c>
      <c r="N1599" s="13" t="s">
        <v>3366</v>
      </c>
      <c r="O1599" s="13" t="s">
        <v>3366</v>
      </c>
      <c r="P1599" s="13" t="s">
        <v>3366</v>
      </c>
      <c r="Q1599" s="13" t="s">
        <v>3366</v>
      </c>
      <c r="R1599" s="13" t="s">
        <v>3366</v>
      </c>
      <c r="S1599" s="13">
        <v>0</v>
      </c>
      <c r="T1599" s="81">
        <v>4</v>
      </c>
    </row>
    <row r="1600" spans="1:20" ht="15" customHeight="1" x14ac:dyDescent="0.2">
      <c r="A1600" s="15" t="s">
        <v>3418</v>
      </c>
      <c r="B1600" s="60">
        <v>29341260</v>
      </c>
      <c r="C1600" s="15"/>
      <c r="D1600" s="15"/>
      <c r="E1600" s="15"/>
      <c r="F1600" s="15" t="s">
        <v>265</v>
      </c>
      <c r="G1600" s="34">
        <v>2</v>
      </c>
      <c r="H1600" s="34">
        <v>9</v>
      </c>
      <c r="I1600" s="15" t="s">
        <v>53</v>
      </c>
      <c r="J1600" s="15" t="s">
        <v>54</v>
      </c>
      <c r="K1600" s="74" t="s">
        <v>29</v>
      </c>
      <c r="L1600" s="16" t="s">
        <v>3366</v>
      </c>
      <c r="M1600" s="16" t="s">
        <v>3366</v>
      </c>
      <c r="N1600" s="16" t="s">
        <v>3366</v>
      </c>
      <c r="O1600" s="16" t="s">
        <v>3366</v>
      </c>
      <c r="P1600" s="16" t="s">
        <v>3366</v>
      </c>
      <c r="Q1600" s="16" t="s">
        <v>3366</v>
      </c>
      <c r="R1600" s="16" t="s">
        <v>3366</v>
      </c>
      <c r="S1600" s="16">
        <v>0</v>
      </c>
      <c r="T1600" s="111">
        <v>0</v>
      </c>
    </row>
    <row r="1601" spans="1:20" ht="15" customHeight="1" x14ac:dyDescent="0.2">
      <c r="A1601" s="12" t="s">
        <v>3419</v>
      </c>
      <c r="B1601" s="56">
        <v>31818873</v>
      </c>
      <c r="C1601" s="12" t="s">
        <v>3420</v>
      </c>
      <c r="D1601" s="12"/>
      <c r="E1601" s="12" t="s">
        <v>3421</v>
      </c>
      <c r="F1601" s="12" t="s">
        <v>84</v>
      </c>
      <c r="G1601" s="33">
        <v>2</v>
      </c>
      <c r="H1601" s="33">
        <v>41</v>
      </c>
      <c r="I1601" s="12" t="s">
        <v>2156</v>
      </c>
      <c r="J1601" s="12" t="s">
        <v>120</v>
      </c>
      <c r="K1601" s="73" t="s">
        <v>29</v>
      </c>
      <c r="L1601" s="13" t="s">
        <v>3366</v>
      </c>
      <c r="M1601" s="13" t="s">
        <v>3366</v>
      </c>
      <c r="N1601" s="13" t="s">
        <v>3366</v>
      </c>
      <c r="O1601" s="13" t="s">
        <v>3366</v>
      </c>
      <c r="P1601" s="13" t="s">
        <v>3366</v>
      </c>
      <c r="Q1601" s="13" t="s">
        <v>3366</v>
      </c>
      <c r="R1601" s="13" t="s">
        <v>3366</v>
      </c>
      <c r="S1601" s="13">
        <v>1</v>
      </c>
      <c r="T1601" s="81">
        <v>0</v>
      </c>
    </row>
    <row r="1602" spans="1:20" ht="15" customHeight="1" x14ac:dyDescent="0.2">
      <c r="A1602" s="15" t="s">
        <v>3422</v>
      </c>
      <c r="B1602" s="60">
        <v>31880826</v>
      </c>
      <c r="C1602" s="15" t="s">
        <v>3423</v>
      </c>
      <c r="D1602" s="15"/>
      <c r="E1602" s="15" t="s">
        <v>3424</v>
      </c>
      <c r="F1602" s="15" t="s">
        <v>26</v>
      </c>
      <c r="G1602" s="34">
        <v>2</v>
      </c>
      <c r="H1602" s="34">
        <v>8</v>
      </c>
      <c r="I1602" s="15" t="s">
        <v>53</v>
      </c>
      <c r="J1602" s="15" t="s">
        <v>54</v>
      </c>
      <c r="K1602" s="74" t="s">
        <v>29</v>
      </c>
      <c r="L1602" s="16" t="s">
        <v>3366</v>
      </c>
      <c r="M1602" s="16" t="s">
        <v>3366</v>
      </c>
      <c r="N1602" s="16" t="s">
        <v>3366</v>
      </c>
      <c r="O1602" s="16" t="s">
        <v>3366</v>
      </c>
      <c r="P1602" s="16" t="s">
        <v>3366</v>
      </c>
      <c r="Q1602" s="16" t="s">
        <v>3366</v>
      </c>
      <c r="R1602" s="16" t="s">
        <v>3366</v>
      </c>
      <c r="S1602" s="16">
        <v>3</v>
      </c>
      <c r="T1602" s="111">
        <v>0</v>
      </c>
    </row>
    <row r="1603" spans="1:20" ht="15" customHeight="1" x14ac:dyDescent="0.2">
      <c r="A1603" s="12" t="s">
        <v>3425</v>
      </c>
      <c r="B1603" s="56">
        <v>33136888</v>
      </c>
      <c r="C1603" s="12" t="s">
        <v>2145</v>
      </c>
      <c r="D1603" s="12" t="s">
        <v>2146</v>
      </c>
      <c r="E1603" s="12" t="s">
        <v>2147</v>
      </c>
      <c r="F1603" s="12" t="s">
        <v>65</v>
      </c>
      <c r="G1603" s="33">
        <v>1</v>
      </c>
      <c r="H1603" s="33">
        <v>14</v>
      </c>
      <c r="I1603" s="12" t="s">
        <v>27</v>
      </c>
      <c r="J1603" s="12" t="s">
        <v>28</v>
      </c>
      <c r="K1603" s="73" t="s">
        <v>29</v>
      </c>
      <c r="L1603" s="13" t="s">
        <v>3366</v>
      </c>
      <c r="M1603" s="13" t="s">
        <v>3366</v>
      </c>
      <c r="N1603" s="13" t="s">
        <v>3366</v>
      </c>
      <c r="O1603" s="13" t="s">
        <v>3366</v>
      </c>
      <c r="P1603" s="13" t="s">
        <v>3366</v>
      </c>
      <c r="Q1603" s="13" t="s">
        <v>3366</v>
      </c>
      <c r="R1603" s="13" t="s">
        <v>3366</v>
      </c>
      <c r="S1603" s="13">
        <v>2</v>
      </c>
      <c r="T1603" s="81">
        <v>0</v>
      </c>
    </row>
    <row r="1604" spans="1:20" ht="15" customHeight="1" x14ac:dyDescent="0.2">
      <c r="A1604" s="15" t="s">
        <v>3426</v>
      </c>
      <c r="B1604" s="60">
        <v>33444505</v>
      </c>
      <c r="C1604" s="15" t="s">
        <v>3427</v>
      </c>
      <c r="D1604" s="15"/>
      <c r="E1604" s="15" t="s">
        <v>3428</v>
      </c>
      <c r="F1604" s="15" t="s">
        <v>84</v>
      </c>
      <c r="G1604" s="34">
        <v>2</v>
      </c>
      <c r="H1604" s="34">
        <v>41</v>
      </c>
      <c r="I1604" s="15" t="s">
        <v>38</v>
      </c>
      <c r="J1604" s="15" t="s">
        <v>39</v>
      </c>
      <c r="K1604" s="74" t="s">
        <v>29</v>
      </c>
      <c r="L1604" s="16" t="s">
        <v>3366</v>
      </c>
      <c r="M1604" s="16" t="s">
        <v>3366</v>
      </c>
      <c r="N1604" s="16" t="s">
        <v>3366</v>
      </c>
      <c r="O1604" s="16" t="s">
        <v>3366</v>
      </c>
      <c r="P1604" s="16" t="s">
        <v>3366</v>
      </c>
      <c r="Q1604" s="16" t="s">
        <v>3366</v>
      </c>
      <c r="R1604" s="16" t="s">
        <v>3366</v>
      </c>
      <c r="S1604" s="16">
        <v>1</v>
      </c>
      <c r="T1604" s="111">
        <v>0</v>
      </c>
    </row>
    <row r="1605" spans="1:20" ht="15" customHeight="1" x14ac:dyDescent="0.2">
      <c r="A1605" s="12" t="s">
        <v>3429</v>
      </c>
      <c r="B1605" s="56">
        <v>34254279</v>
      </c>
      <c r="C1605" s="12" t="s">
        <v>3430</v>
      </c>
      <c r="D1605" s="12"/>
      <c r="E1605" s="12" t="s">
        <v>3431</v>
      </c>
      <c r="F1605" s="12" t="s">
        <v>65</v>
      </c>
      <c r="G1605" s="33">
        <v>2</v>
      </c>
      <c r="H1605" s="33">
        <v>44</v>
      </c>
      <c r="I1605" s="12" t="s">
        <v>38</v>
      </c>
      <c r="J1605" s="12" t="s">
        <v>39</v>
      </c>
      <c r="K1605" s="73" t="s">
        <v>29</v>
      </c>
      <c r="L1605" s="13" t="s">
        <v>3366</v>
      </c>
      <c r="M1605" s="13" t="s">
        <v>3366</v>
      </c>
      <c r="N1605" s="13" t="s">
        <v>3366</v>
      </c>
      <c r="O1605" s="13" t="s">
        <v>3366</v>
      </c>
      <c r="P1605" s="13" t="s">
        <v>3366</v>
      </c>
      <c r="Q1605" s="13" t="s">
        <v>3366</v>
      </c>
      <c r="R1605" s="13" t="s">
        <v>3366</v>
      </c>
      <c r="S1605" s="13">
        <v>2</v>
      </c>
      <c r="T1605" s="81">
        <v>0</v>
      </c>
    </row>
    <row r="1606" spans="1:20" ht="15" customHeight="1" x14ac:dyDescent="0.2">
      <c r="A1606" s="15" t="s">
        <v>3432</v>
      </c>
      <c r="B1606" s="60">
        <v>34669130</v>
      </c>
      <c r="C1606" s="15" t="s">
        <v>3433</v>
      </c>
      <c r="D1606" s="15"/>
      <c r="E1606" s="15" t="s">
        <v>3434</v>
      </c>
      <c r="F1606" s="15" t="s">
        <v>84</v>
      </c>
      <c r="G1606" s="34">
        <v>3</v>
      </c>
      <c r="H1606" s="34">
        <v>41</v>
      </c>
      <c r="I1606" s="15" t="s">
        <v>165</v>
      </c>
      <c r="J1606" s="15" t="s">
        <v>39</v>
      </c>
      <c r="K1606" s="74" t="s">
        <v>29</v>
      </c>
      <c r="L1606" s="16" t="s">
        <v>3366</v>
      </c>
      <c r="M1606" s="16" t="s">
        <v>3366</v>
      </c>
      <c r="N1606" s="16" t="s">
        <v>3366</v>
      </c>
      <c r="O1606" s="16" t="s">
        <v>3366</v>
      </c>
      <c r="P1606" s="16" t="s">
        <v>3366</v>
      </c>
      <c r="Q1606" s="16" t="s">
        <v>3366</v>
      </c>
      <c r="R1606" s="16" t="s">
        <v>3366</v>
      </c>
      <c r="S1606" s="16">
        <v>1</v>
      </c>
      <c r="T1606" s="111">
        <v>0</v>
      </c>
    </row>
    <row r="1607" spans="1:20" ht="15" customHeight="1" x14ac:dyDescent="0.2">
      <c r="A1607" s="12" t="s">
        <v>3435</v>
      </c>
      <c r="B1607" s="56">
        <v>35810871</v>
      </c>
      <c r="C1607" s="12" t="s">
        <v>3436</v>
      </c>
      <c r="D1607" s="12"/>
      <c r="E1607" s="12" t="s">
        <v>3437</v>
      </c>
      <c r="F1607" s="12" t="s">
        <v>84</v>
      </c>
      <c r="G1607" s="33">
        <v>3</v>
      </c>
      <c r="H1607" s="33">
        <v>41</v>
      </c>
      <c r="I1607" s="12" t="s">
        <v>38</v>
      </c>
      <c r="J1607" s="12" t="s">
        <v>39</v>
      </c>
      <c r="K1607" s="73" t="s">
        <v>29</v>
      </c>
      <c r="L1607" s="13" t="s">
        <v>3366</v>
      </c>
      <c r="M1607" s="13" t="s">
        <v>3366</v>
      </c>
      <c r="N1607" s="13" t="s">
        <v>3366</v>
      </c>
      <c r="O1607" s="13" t="s">
        <v>3366</v>
      </c>
      <c r="P1607" s="13" t="s">
        <v>3366</v>
      </c>
      <c r="Q1607" s="13" t="s">
        <v>3366</v>
      </c>
      <c r="R1607" s="13" t="s">
        <v>3366</v>
      </c>
      <c r="S1607" s="13">
        <v>1</v>
      </c>
      <c r="T1607" s="81">
        <v>0</v>
      </c>
    </row>
    <row r="1608" spans="1:20" ht="15" customHeight="1" x14ac:dyDescent="0.2">
      <c r="A1608" s="15" t="s">
        <v>3438</v>
      </c>
      <c r="B1608" s="60">
        <v>36010822</v>
      </c>
      <c r="C1608" s="15" t="s">
        <v>3439</v>
      </c>
      <c r="D1608" s="15"/>
      <c r="E1608" s="15" t="s">
        <v>3440</v>
      </c>
      <c r="F1608" s="15" t="s">
        <v>84</v>
      </c>
      <c r="G1608" s="34">
        <v>2</v>
      </c>
      <c r="H1608" s="34">
        <v>41</v>
      </c>
      <c r="I1608" s="15" t="s">
        <v>119</v>
      </c>
      <c r="J1608" s="15" t="s">
        <v>120</v>
      </c>
      <c r="K1608" s="74" t="s">
        <v>29</v>
      </c>
      <c r="L1608" s="16" t="s">
        <v>3366</v>
      </c>
      <c r="M1608" s="16" t="s">
        <v>3366</v>
      </c>
      <c r="N1608" s="16" t="s">
        <v>3366</v>
      </c>
      <c r="O1608" s="16" t="s">
        <v>3366</v>
      </c>
      <c r="P1608" s="16" t="s">
        <v>3366</v>
      </c>
      <c r="Q1608" s="16" t="s">
        <v>3366</v>
      </c>
      <c r="R1608" s="16" t="s">
        <v>3366</v>
      </c>
      <c r="S1608" s="16">
        <v>1</v>
      </c>
      <c r="T1608" s="111">
        <v>0</v>
      </c>
    </row>
    <row r="1609" spans="1:20" ht="15" customHeight="1" x14ac:dyDescent="0.2">
      <c r="A1609" s="12" t="s">
        <v>3441</v>
      </c>
      <c r="B1609" s="56">
        <v>42064545</v>
      </c>
      <c r="C1609" s="12" t="s">
        <v>3442</v>
      </c>
      <c r="D1609" s="12"/>
      <c r="E1609" s="12" t="s">
        <v>3443</v>
      </c>
      <c r="F1609" s="12" t="s">
        <v>84</v>
      </c>
      <c r="G1609" s="33">
        <v>2</v>
      </c>
      <c r="H1609" s="33">
        <v>41</v>
      </c>
      <c r="I1609" s="12" t="s">
        <v>38</v>
      </c>
      <c r="J1609" s="12" t="s">
        <v>39</v>
      </c>
      <c r="K1609" s="73" t="s">
        <v>29</v>
      </c>
      <c r="L1609" s="13" t="s">
        <v>3366</v>
      </c>
      <c r="M1609" s="13" t="s">
        <v>3366</v>
      </c>
      <c r="N1609" s="13" t="s">
        <v>3366</v>
      </c>
      <c r="O1609" s="13" t="s">
        <v>3366</v>
      </c>
      <c r="P1609" s="13" t="s">
        <v>3366</v>
      </c>
      <c r="Q1609" s="13" t="s">
        <v>3366</v>
      </c>
      <c r="R1609" s="13" t="s">
        <v>3366</v>
      </c>
      <c r="S1609" s="13">
        <v>1</v>
      </c>
      <c r="T1609" s="81">
        <v>0</v>
      </c>
    </row>
    <row r="1610" spans="1:20" ht="15" customHeight="1" x14ac:dyDescent="0.2">
      <c r="A1610" s="15" t="s">
        <v>3444</v>
      </c>
      <c r="B1610" s="60">
        <v>42622791</v>
      </c>
      <c r="C1610" s="15" t="s">
        <v>3445</v>
      </c>
      <c r="D1610" s="15"/>
      <c r="E1610" s="15" t="s">
        <v>3446</v>
      </c>
      <c r="F1610" s="15" t="s">
        <v>65</v>
      </c>
      <c r="G1610" s="34">
        <v>3</v>
      </c>
      <c r="H1610" s="34">
        <v>43</v>
      </c>
      <c r="I1610" s="15" t="s">
        <v>38</v>
      </c>
      <c r="J1610" s="15" t="s">
        <v>39</v>
      </c>
      <c r="K1610" s="74" t="s">
        <v>29</v>
      </c>
      <c r="L1610" s="16" t="s">
        <v>3366</v>
      </c>
      <c r="M1610" s="16" t="s">
        <v>3366</v>
      </c>
      <c r="N1610" s="16" t="s">
        <v>3366</v>
      </c>
      <c r="O1610" s="16" t="s">
        <v>3366</v>
      </c>
      <c r="P1610" s="16" t="s">
        <v>3366</v>
      </c>
      <c r="Q1610" s="16" t="s">
        <v>3366</v>
      </c>
      <c r="R1610" s="16" t="s">
        <v>3366</v>
      </c>
      <c r="S1610" s="16">
        <v>2</v>
      </c>
      <c r="T1610" s="111">
        <v>0</v>
      </c>
    </row>
    <row r="1611" spans="1:20" ht="15" customHeight="1" x14ac:dyDescent="0.2">
      <c r="A1611" s="12" t="s">
        <v>3447</v>
      </c>
      <c r="B1611" s="56">
        <v>42926025</v>
      </c>
      <c r="C1611" s="12" t="s">
        <v>3448</v>
      </c>
      <c r="D1611" s="12"/>
      <c r="E1611" s="12" t="s">
        <v>3449</v>
      </c>
      <c r="F1611" s="12" t="s">
        <v>84</v>
      </c>
      <c r="G1611" s="33">
        <v>2</v>
      </c>
      <c r="H1611" s="33">
        <v>41</v>
      </c>
      <c r="I1611" s="12" t="s">
        <v>53</v>
      </c>
      <c r="J1611" s="12" t="s">
        <v>54</v>
      </c>
      <c r="K1611" s="73" t="s">
        <v>29</v>
      </c>
      <c r="L1611" s="13" t="s">
        <v>3366</v>
      </c>
      <c r="M1611" s="13" t="s">
        <v>3366</v>
      </c>
      <c r="N1611" s="13" t="s">
        <v>3366</v>
      </c>
      <c r="O1611" s="13" t="s">
        <v>3366</v>
      </c>
      <c r="P1611" s="13" t="s">
        <v>3366</v>
      </c>
      <c r="Q1611" s="13" t="s">
        <v>3366</v>
      </c>
      <c r="R1611" s="13" t="s">
        <v>3366</v>
      </c>
      <c r="S1611" s="13">
        <v>1</v>
      </c>
      <c r="T1611" s="81">
        <v>0</v>
      </c>
    </row>
    <row r="1612" spans="1:20" ht="15" customHeight="1" x14ac:dyDescent="0.2">
      <c r="A1612" s="15" t="s">
        <v>3450</v>
      </c>
      <c r="B1612" s="60">
        <v>43010260</v>
      </c>
      <c r="C1612" s="15" t="s">
        <v>3451</v>
      </c>
      <c r="D1612" s="15"/>
      <c r="E1612" s="15" t="s">
        <v>3452</v>
      </c>
      <c r="F1612" s="15" t="s">
        <v>84</v>
      </c>
      <c r="G1612" s="34">
        <v>3</v>
      </c>
      <c r="H1612" s="34">
        <v>41</v>
      </c>
      <c r="I1612" s="15" t="s">
        <v>38</v>
      </c>
      <c r="J1612" s="15" t="s">
        <v>39</v>
      </c>
      <c r="K1612" s="74" t="s">
        <v>29</v>
      </c>
      <c r="L1612" s="16" t="s">
        <v>3366</v>
      </c>
      <c r="M1612" s="16" t="s">
        <v>3366</v>
      </c>
      <c r="N1612" s="16" t="s">
        <v>3366</v>
      </c>
      <c r="O1612" s="16" t="s">
        <v>3366</v>
      </c>
      <c r="P1612" s="16" t="s">
        <v>3366</v>
      </c>
      <c r="Q1612" s="16" t="s">
        <v>3366</v>
      </c>
      <c r="R1612" s="16" t="s">
        <v>3366</v>
      </c>
      <c r="S1612" s="16">
        <v>1</v>
      </c>
      <c r="T1612" s="111">
        <v>0</v>
      </c>
    </row>
    <row r="1613" spans="1:20" ht="15" customHeight="1" x14ac:dyDescent="0.2">
      <c r="A1613" s="12" t="s">
        <v>3453</v>
      </c>
      <c r="B1613" s="56">
        <v>43268960</v>
      </c>
      <c r="C1613" s="12"/>
      <c r="D1613" s="12"/>
      <c r="E1613" s="12"/>
      <c r="F1613" s="12" t="s">
        <v>265</v>
      </c>
      <c r="G1613" s="33">
        <v>2</v>
      </c>
      <c r="H1613" s="33">
        <v>9</v>
      </c>
      <c r="I1613" s="12" t="s">
        <v>2549</v>
      </c>
      <c r="J1613" s="12" t="s">
        <v>39</v>
      </c>
      <c r="K1613" s="73" t="s">
        <v>29</v>
      </c>
      <c r="L1613" s="13" t="s">
        <v>3366</v>
      </c>
      <c r="M1613" s="13" t="s">
        <v>3366</v>
      </c>
      <c r="N1613" s="13" t="s">
        <v>3366</v>
      </c>
      <c r="O1613" s="13" t="s">
        <v>3366</v>
      </c>
      <c r="P1613" s="13" t="s">
        <v>3366</v>
      </c>
      <c r="Q1613" s="13" t="s">
        <v>3366</v>
      </c>
      <c r="R1613" s="13" t="s">
        <v>3366</v>
      </c>
      <c r="S1613" s="13">
        <v>0</v>
      </c>
      <c r="T1613" s="81">
        <v>0</v>
      </c>
    </row>
    <row r="1614" spans="1:20" ht="15" customHeight="1" x14ac:dyDescent="0.2">
      <c r="A1614" s="15" t="s">
        <v>3454</v>
      </c>
      <c r="B1614" s="60">
        <v>44019481</v>
      </c>
      <c r="C1614" s="15" t="s">
        <v>3455</v>
      </c>
      <c r="D1614" s="15"/>
      <c r="E1614" s="15" t="s">
        <v>3456</v>
      </c>
      <c r="F1614" s="15" t="s">
        <v>65</v>
      </c>
      <c r="G1614" s="34">
        <v>2</v>
      </c>
      <c r="H1614" s="34">
        <v>44</v>
      </c>
      <c r="I1614" s="15" t="s">
        <v>38</v>
      </c>
      <c r="J1614" s="15" t="s">
        <v>39</v>
      </c>
      <c r="K1614" s="74" t="s">
        <v>29</v>
      </c>
      <c r="L1614" s="16" t="s">
        <v>3366</v>
      </c>
      <c r="M1614" s="16" t="s">
        <v>3366</v>
      </c>
      <c r="N1614" s="16" t="s">
        <v>3366</v>
      </c>
      <c r="O1614" s="16" t="s">
        <v>3366</v>
      </c>
      <c r="P1614" s="16" t="s">
        <v>3366</v>
      </c>
      <c r="Q1614" s="16" t="s">
        <v>3366</v>
      </c>
      <c r="R1614" s="16" t="s">
        <v>3366</v>
      </c>
      <c r="S1614" s="16">
        <v>2</v>
      </c>
      <c r="T1614" s="111">
        <v>0</v>
      </c>
    </row>
    <row r="1615" spans="1:20" ht="15" customHeight="1" x14ac:dyDescent="0.2">
      <c r="A1615" s="12" t="s">
        <v>3457</v>
      </c>
      <c r="B1615" s="56">
        <v>44064068</v>
      </c>
      <c r="C1615" s="12" t="s">
        <v>3458</v>
      </c>
      <c r="D1615" s="12"/>
      <c r="E1615" s="12" t="s">
        <v>3459</v>
      </c>
      <c r="F1615" s="12" t="s">
        <v>65</v>
      </c>
      <c r="G1615" s="33">
        <v>2</v>
      </c>
      <c r="H1615" s="33">
        <v>44</v>
      </c>
      <c r="I1615" s="12" t="s">
        <v>27</v>
      </c>
      <c r="J1615" s="12" t="s">
        <v>28</v>
      </c>
      <c r="K1615" s="73" t="s">
        <v>29</v>
      </c>
      <c r="L1615" s="13" t="s">
        <v>3366</v>
      </c>
      <c r="M1615" s="13" t="s">
        <v>3366</v>
      </c>
      <c r="N1615" s="13" t="s">
        <v>3366</v>
      </c>
      <c r="O1615" s="13" t="s">
        <v>3366</v>
      </c>
      <c r="P1615" s="13" t="s">
        <v>3366</v>
      </c>
      <c r="Q1615" s="13" t="s">
        <v>3366</v>
      </c>
      <c r="R1615" s="13" t="s">
        <v>3366</v>
      </c>
      <c r="S1615" s="13">
        <v>2</v>
      </c>
      <c r="T1615" s="81">
        <v>0</v>
      </c>
    </row>
    <row r="1616" spans="1:20" ht="15" customHeight="1" x14ac:dyDescent="0.2">
      <c r="A1616" s="15" t="s">
        <v>3460</v>
      </c>
      <c r="B1616" s="60">
        <v>44704839</v>
      </c>
      <c r="C1616" s="15" t="s">
        <v>3461</v>
      </c>
      <c r="D1616" s="15"/>
      <c r="E1616" s="15" t="s">
        <v>3462</v>
      </c>
      <c r="F1616" s="15" t="s">
        <v>84</v>
      </c>
      <c r="G1616" s="34">
        <v>3</v>
      </c>
      <c r="H1616" s="34">
        <v>41</v>
      </c>
      <c r="I1616" s="15" t="s">
        <v>38</v>
      </c>
      <c r="J1616" s="15" t="s">
        <v>39</v>
      </c>
      <c r="K1616" s="74" t="s">
        <v>29</v>
      </c>
      <c r="L1616" s="16" t="s">
        <v>3366</v>
      </c>
      <c r="M1616" s="16" t="s">
        <v>3366</v>
      </c>
      <c r="N1616" s="16" t="s">
        <v>3366</v>
      </c>
      <c r="O1616" s="16" t="s">
        <v>3366</v>
      </c>
      <c r="P1616" s="16" t="s">
        <v>3366</v>
      </c>
      <c r="Q1616" s="16" t="s">
        <v>3366</v>
      </c>
      <c r="R1616" s="16" t="s">
        <v>3366</v>
      </c>
      <c r="S1616" s="16">
        <v>1</v>
      </c>
      <c r="T1616" s="111">
        <v>0</v>
      </c>
    </row>
    <row r="1617" spans="1:20" ht="15" customHeight="1" x14ac:dyDescent="0.2">
      <c r="A1617" s="12" t="s">
        <v>3463</v>
      </c>
      <c r="B1617" s="56">
        <v>50626276</v>
      </c>
      <c r="C1617" s="12" t="s">
        <v>3464</v>
      </c>
      <c r="D1617" s="12"/>
      <c r="E1617" s="12" t="s">
        <v>3465</v>
      </c>
      <c r="F1617" s="12" t="s">
        <v>65</v>
      </c>
      <c r="G1617" s="33">
        <v>2</v>
      </c>
      <c r="H1617" s="33">
        <v>43</v>
      </c>
      <c r="I1617" s="12" t="s">
        <v>38</v>
      </c>
      <c r="J1617" s="12" t="s">
        <v>39</v>
      </c>
      <c r="K1617" s="73" t="s">
        <v>29</v>
      </c>
      <c r="L1617" s="13" t="s">
        <v>3366</v>
      </c>
      <c r="M1617" s="13" t="s">
        <v>3366</v>
      </c>
      <c r="N1617" s="13" t="s">
        <v>3366</v>
      </c>
      <c r="O1617" s="13" t="s">
        <v>3366</v>
      </c>
      <c r="P1617" s="13" t="s">
        <v>3366</v>
      </c>
      <c r="Q1617" s="13" t="s">
        <v>3366</v>
      </c>
      <c r="R1617" s="13" t="s">
        <v>3366</v>
      </c>
      <c r="S1617" s="13">
        <v>2</v>
      </c>
      <c r="T1617" s="81">
        <v>0</v>
      </c>
    </row>
    <row r="1618" spans="1:20" ht="15" customHeight="1" x14ac:dyDescent="0.2">
      <c r="A1618" s="15" t="s">
        <v>3466</v>
      </c>
      <c r="B1618" s="60">
        <v>50946592</v>
      </c>
      <c r="C1618" s="15" t="s">
        <v>3467</v>
      </c>
      <c r="D1618" s="15"/>
      <c r="E1618" s="15" t="s">
        <v>3468</v>
      </c>
      <c r="F1618" s="15" t="s">
        <v>65</v>
      </c>
      <c r="G1618" s="34">
        <v>2</v>
      </c>
      <c r="H1618" s="34">
        <v>43</v>
      </c>
      <c r="I1618" s="15" t="s">
        <v>216</v>
      </c>
      <c r="J1618" s="15" t="s">
        <v>217</v>
      </c>
      <c r="K1618" s="74" t="s">
        <v>29</v>
      </c>
      <c r="L1618" s="16" t="s">
        <v>3366</v>
      </c>
      <c r="M1618" s="16" t="s">
        <v>3366</v>
      </c>
      <c r="N1618" s="16" t="s">
        <v>3366</v>
      </c>
      <c r="O1618" s="16" t="s">
        <v>3366</v>
      </c>
      <c r="P1618" s="16" t="s">
        <v>3366</v>
      </c>
      <c r="Q1618" s="16" t="s">
        <v>3366</v>
      </c>
      <c r="R1618" s="16" t="s">
        <v>3366</v>
      </c>
      <c r="S1618" s="16">
        <v>2</v>
      </c>
      <c r="T1618" s="111">
        <v>0</v>
      </c>
    </row>
    <row r="1619" spans="1:20" ht="15" customHeight="1" x14ac:dyDescent="0.2">
      <c r="A1619" s="12" t="s">
        <v>3469</v>
      </c>
      <c r="B1619" s="56">
        <v>53841911</v>
      </c>
      <c r="C1619" s="12"/>
      <c r="D1619" s="12"/>
      <c r="E1619" s="12"/>
      <c r="F1619" s="12" t="s">
        <v>265</v>
      </c>
      <c r="G1619" s="33">
        <v>2</v>
      </c>
      <c r="H1619" s="33">
        <v>9</v>
      </c>
      <c r="I1619" s="12" t="s">
        <v>608</v>
      </c>
      <c r="J1619" s="12" t="s">
        <v>217</v>
      </c>
      <c r="K1619" s="73" t="s">
        <v>29</v>
      </c>
      <c r="L1619" s="13" t="s">
        <v>3366</v>
      </c>
      <c r="M1619" s="13" t="s">
        <v>3366</v>
      </c>
      <c r="N1619" s="13" t="s">
        <v>3366</v>
      </c>
      <c r="O1619" s="13" t="s">
        <v>3366</v>
      </c>
      <c r="P1619" s="13" t="s">
        <v>3366</v>
      </c>
      <c r="Q1619" s="13" t="s">
        <v>3366</v>
      </c>
      <c r="R1619" s="13" t="s">
        <v>3366</v>
      </c>
      <c r="S1619" s="13">
        <v>0</v>
      </c>
      <c r="T1619" s="81">
        <v>2</v>
      </c>
    </row>
    <row r="1620" spans="1:20" ht="15" customHeight="1" x14ac:dyDescent="0.2">
      <c r="A1620" s="15" t="s">
        <v>3470</v>
      </c>
      <c r="B1620" s="60">
        <v>58859402</v>
      </c>
      <c r="C1620" s="15" t="s">
        <v>3471</v>
      </c>
      <c r="D1620" s="15"/>
      <c r="E1620" s="15" t="s">
        <v>3472</v>
      </c>
      <c r="F1620" s="15" t="s">
        <v>65</v>
      </c>
      <c r="G1620" s="34">
        <v>2</v>
      </c>
      <c r="H1620" s="34">
        <v>43</v>
      </c>
      <c r="I1620" s="15" t="s">
        <v>2546</v>
      </c>
      <c r="J1620" s="15" t="s">
        <v>183</v>
      </c>
      <c r="K1620" s="74" t="s">
        <v>29</v>
      </c>
      <c r="L1620" s="16" t="s">
        <v>3366</v>
      </c>
      <c r="M1620" s="16" t="s">
        <v>3366</v>
      </c>
      <c r="N1620" s="16" t="s">
        <v>3366</v>
      </c>
      <c r="O1620" s="16" t="s">
        <v>3366</v>
      </c>
      <c r="P1620" s="16" t="s">
        <v>3366</v>
      </c>
      <c r="Q1620" s="16" t="s">
        <v>3366</v>
      </c>
      <c r="R1620" s="16" t="s">
        <v>3366</v>
      </c>
      <c r="S1620" s="16">
        <v>2</v>
      </c>
      <c r="T1620" s="111">
        <v>0</v>
      </c>
    </row>
    <row r="1621" spans="1:20" ht="15" customHeight="1" x14ac:dyDescent="0.2">
      <c r="A1621" s="12" t="s">
        <v>3473</v>
      </c>
      <c r="B1621" s="56">
        <v>62223733</v>
      </c>
      <c r="C1621" s="12"/>
      <c r="D1621" s="12"/>
      <c r="E1621" s="12"/>
      <c r="F1621" s="12" t="s">
        <v>265</v>
      </c>
      <c r="G1621" s="33">
        <v>2</v>
      </c>
      <c r="H1621" s="33">
        <v>9</v>
      </c>
      <c r="I1621" s="12" t="s">
        <v>210</v>
      </c>
      <c r="J1621" s="12" t="s">
        <v>211</v>
      </c>
      <c r="K1621" s="73" t="s">
        <v>29</v>
      </c>
      <c r="L1621" s="13" t="s">
        <v>3366</v>
      </c>
      <c r="M1621" s="13" t="s">
        <v>3366</v>
      </c>
      <c r="N1621" s="13" t="s">
        <v>3366</v>
      </c>
      <c r="O1621" s="13" t="s">
        <v>3366</v>
      </c>
      <c r="P1621" s="13" t="s">
        <v>3366</v>
      </c>
      <c r="Q1621" s="13" t="s">
        <v>3366</v>
      </c>
      <c r="R1621" s="13" t="s">
        <v>3366</v>
      </c>
      <c r="S1621" s="13">
        <v>0</v>
      </c>
      <c r="T1621" s="81">
        <v>0</v>
      </c>
    </row>
    <row r="1622" spans="1:20" ht="15" customHeight="1" x14ac:dyDescent="0.2">
      <c r="A1622" s="15" t="s">
        <v>3474</v>
      </c>
      <c r="B1622" s="60">
        <v>62605290</v>
      </c>
      <c r="C1622" s="15"/>
      <c r="D1622" s="15"/>
      <c r="E1622" s="15"/>
      <c r="F1622" s="15" t="s">
        <v>265</v>
      </c>
      <c r="G1622" s="34">
        <v>2</v>
      </c>
      <c r="H1622" s="34">
        <v>9</v>
      </c>
      <c r="I1622" s="15" t="s">
        <v>2628</v>
      </c>
      <c r="J1622" s="15" t="s">
        <v>120</v>
      </c>
      <c r="K1622" s="74" t="s">
        <v>29</v>
      </c>
      <c r="L1622" s="16" t="s">
        <v>3366</v>
      </c>
      <c r="M1622" s="16" t="s">
        <v>3366</v>
      </c>
      <c r="N1622" s="16" t="s">
        <v>3366</v>
      </c>
      <c r="O1622" s="16" t="s">
        <v>3366</v>
      </c>
      <c r="P1622" s="16" t="s">
        <v>3366</v>
      </c>
      <c r="Q1622" s="16" t="s">
        <v>3366</v>
      </c>
      <c r="R1622" s="16" t="s">
        <v>3366</v>
      </c>
      <c r="S1622" s="16">
        <v>0</v>
      </c>
      <c r="T1622" s="111">
        <v>0</v>
      </c>
    </row>
    <row r="1623" spans="1:20" ht="15" customHeight="1" x14ac:dyDescent="0.2">
      <c r="A1623" s="12" t="s">
        <v>3475</v>
      </c>
      <c r="B1623" s="56">
        <v>65635377</v>
      </c>
      <c r="C1623" s="12" t="s">
        <v>3476</v>
      </c>
      <c r="D1623" s="12"/>
      <c r="E1623" s="12" t="s">
        <v>3477</v>
      </c>
      <c r="F1623" s="12" t="s">
        <v>98</v>
      </c>
      <c r="G1623" s="33">
        <v>2</v>
      </c>
      <c r="H1623" s="33">
        <v>21</v>
      </c>
      <c r="I1623" s="12" t="s">
        <v>38</v>
      </c>
      <c r="J1623" s="12" t="s">
        <v>39</v>
      </c>
      <c r="K1623" s="73" t="s">
        <v>29</v>
      </c>
      <c r="L1623" s="13" t="s">
        <v>3366</v>
      </c>
      <c r="M1623" s="13" t="s">
        <v>3366</v>
      </c>
      <c r="N1623" s="13" t="s">
        <v>3366</v>
      </c>
      <c r="O1623" s="13" t="s">
        <v>3366</v>
      </c>
      <c r="P1623" s="13" t="s">
        <v>3366</v>
      </c>
      <c r="Q1623" s="13" t="s">
        <v>3366</v>
      </c>
      <c r="R1623" s="13" t="s">
        <v>3366</v>
      </c>
      <c r="S1623" s="13">
        <v>2</v>
      </c>
      <c r="T1623" s="81">
        <v>0</v>
      </c>
    </row>
    <row r="1624" spans="1:20" ht="15" customHeight="1" x14ac:dyDescent="0.2">
      <c r="A1624" s="15" t="s">
        <v>3478</v>
      </c>
      <c r="B1624" s="60">
        <v>75174953</v>
      </c>
      <c r="C1624" s="15"/>
      <c r="D1624" s="15"/>
      <c r="E1624" s="15"/>
      <c r="F1624" s="15" t="s">
        <v>265</v>
      </c>
      <c r="G1624" s="34">
        <v>2</v>
      </c>
      <c r="H1624" s="34">
        <v>9</v>
      </c>
      <c r="I1624" s="15" t="s">
        <v>3479</v>
      </c>
      <c r="J1624" s="15" t="s">
        <v>229</v>
      </c>
      <c r="K1624" s="74" t="s">
        <v>29</v>
      </c>
      <c r="L1624" s="16" t="s">
        <v>3366</v>
      </c>
      <c r="M1624" s="16" t="s">
        <v>3366</v>
      </c>
      <c r="N1624" s="16" t="s">
        <v>3366</v>
      </c>
      <c r="O1624" s="16" t="s">
        <v>3366</v>
      </c>
      <c r="P1624" s="16" t="s">
        <v>3366</v>
      </c>
      <c r="Q1624" s="16" t="s">
        <v>3366</v>
      </c>
      <c r="R1624" s="16" t="s">
        <v>3366</v>
      </c>
      <c r="S1624" s="16">
        <v>0</v>
      </c>
      <c r="T1624" s="111">
        <v>0</v>
      </c>
    </row>
    <row r="1625" spans="1:20" ht="15" customHeight="1" x14ac:dyDescent="0.2">
      <c r="A1625" s="12" t="s">
        <v>3480</v>
      </c>
      <c r="B1625" s="56">
        <v>89960090</v>
      </c>
      <c r="C1625" s="12" t="s">
        <v>3481</v>
      </c>
      <c r="D1625" s="12"/>
      <c r="E1625" s="12" t="s">
        <v>3482</v>
      </c>
      <c r="F1625" s="12" t="s">
        <v>98</v>
      </c>
      <c r="G1625" s="33">
        <v>2</v>
      </c>
      <c r="H1625" s="33">
        <v>16</v>
      </c>
      <c r="I1625" s="12" t="s">
        <v>38</v>
      </c>
      <c r="J1625" s="12" t="s">
        <v>39</v>
      </c>
      <c r="K1625" s="73" t="s">
        <v>29</v>
      </c>
      <c r="L1625" s="13" t="s">
        <v>3366</v>
      </c>
      <c r="M1625" s="13" t="s">
        <v>3366</v>
      </c>
      <c r="N1625" s="13" t="s">
        <v>3366</v>
      </c>
      <c r="O1625" s="13" t="s">
        <v>3366</v>
      </c>
      <c r="P1625" s="13" t="s">
        <v>3366</v>
      </c>
      <c r="Q1625" s="13" t="s">
        <v>3366</v>
      </c>
      <c r="R1625" s="13" t="s">
        <v>3366</v>
      </c>
      <c r="S1625" s="13">
        <v>2</v>
      </c>
      <c r="T1625" s="81">
        <v>0</v>
      </c>
    </row>
    <row r="1626" spans="1:20" ht="15" customHeight="1" x14ac:dyDescent="0.2">
      <c r="A1626" s="15" t="s">
        <v>3483</v>
      </c>
      <c r="B1626" s="60">
        <v>92825397</v>
      </c>
      <c r="C1626" s="15"/>
      <c r="D1626" s="15"/>
      <c r="E1626" s="15"/>
      <c r="F1626" s="15" t="s">
        <v>265</v>
      </c>
      <c r="G1626" s="34">
        <v>2</v>
      </c>
      <c r="H1626" s="34">
        <v>9</v>
      </c>
      <c r="I1626" s="15" t="s">
        <v>73</v>
      </c>
      <c r="J1626" s="15" t="s">
        <v>74</v>
      </c>
      <c r="K1626" s="74" t="s">
        <v>29</v>
      </c>
      <c r="L1626" s="16" t="s">
        <v>3366</v>
      </c>
      <c r="M1626" s="16" t="s">
        <v>3366</v>
      </c>
      <c r="N1626" s="16" t="s">
        <v>3366</v>
      </c>
      <c r="O1626" s="16" t="s">
        <v>3366</v>
      </c>
      <c r="P1626" s="16" t="s">
        <v>3366</v>
      </c>
      <c r="Q1626" s="16" t="s">
        <v>3366</v>
      </c>
      <c r="R1626" s="16" t="s">
        <v>3366</v>
      </c>
      <c r="S1626" s="16">
        <v>0</v>
      </c>
      <c r="T1626" s="111">
        <v>1</v>
      </c>
    </row>
  </sheetData>
  <autoFilter ref="A4:T1626" xr:uid="{00000000-0009-0000-0000-000000000000}"/>
  <mergeCells count="3">
    <mergeCell ref="A1:T1"/>
    <mergeCell ref="A2:T2"/>
    <mergeCell ref="A3:T3"/>
  </mergeCells>
  <conditionalFormatting sqref="A1:T1">
    <cfRule type="colorScale" priority="1">
      <colorScale>
        <cfvo type="min"/>
        <cfvo type="max"/>
        <color rgb="FFFF7128"/>
        <color rgb="FFFFEF9C"/>
      </colorScale>
    </cfRule>
  </conditionalFormatting>
  <conditionalFormatting sqref="A5:T1626">
    <cfRule type="expression" dxfId="17" priority="14">
      <formula>MOD(ROW(),2)=0</formula>
    </cfRule>
  </conditionalFormatting>
  <conditionalFormatting sqref="G5:G1626">
    <cfRule type="expression" dxfId="16" priority="3">
      <formula>G5=1</formula>
    </cfRule>
    <cfRule type="expression" dxfId="15" priority="4">
      <formula>G5=2</formula>
    </cfRule>
    <cfRule type="expression" dxfId="14" priority="5">
      <formula>G5=3</formula>
    </cfRule>
  </conditionalFormatting>
  <conditionalFormatting sqref="L5:T1626">
    <cfRule type="cellIs" dxfId="13" priority="9" operator="equal">
      <formula>"NI"</formula>
    </cfRule>
    <cfRule type="cellIs" dxfId="12" priority="10" operator="equal">
      <formula>"n.d."</formula>
    </cfRule>
  </conditionalFormatting>
  <conditionalFormatting sqref="Q5:R1626">
    <cfRule type="cellIs" dxfId="11" priority="11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5112-4C79-6244-8FEF-02A7B5F1146D}">
  <sheetPr>
    <tabColor rgb="FF1D1B10"/>
    <pageSetUpPr fitToPage="1"/>
  </sheetPr>
  <dimension ref="A1:Y162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:W2"/>
    </sheetView>
  </sheetViews>
  <sheetFormatPr baseColWidth="10" defaultColWidth="8.6640625" defaultRowHeight="15" x14ac:dyDescent="0.2"/>
  <cols>
    <col min="1" max="1" width="52.1640625" customWidth="1"/>
    <col min="2" max="2" width="13.83203125" customWidth="1"/>
    <col min="3" max="3" width="50" customWidth="1"/>
    <col min="4" max="4" width="20.83203125" customWidth="1"/>
    <col min="5" max="5" width="21" customWidth="1"/>
    <col min="6" max="6" width="10.5" customWidth="1"/>
    <col min="7" max="7" width="9.33203125" customWidth="1"/>
    <col min="8" max="8" width="9" customWidth="1"/>
    <col min="9" max="9" width="33" customWidth="1"/>
    <col min="10" max="10" width="9.33203125" customWidth="1"/>
    <col min="11" max="11" width="10.83203125" customWidth="1"/>
    <col min="12" max="12" width="15.83203125" customWidth="1"/>
    <col min="13" max="13" width="19.5" customWidth="1"/>
    <col min="14" max="14" width="22.6640625" customWidth="1"/>
    <col min="15" max="15" width="20.1640625" customWidth="1"/>
    <col min="16" max="16" width="15.6640625" customWidth="1"/>
    <col min="17" max="17" width="22.5" customWidth="1"/>
    <col min="18" max="18" width="18.33203125" customWidth="1"/>
    <col min="19" max="19" width="15.83203125" customWidth="1"/>
    <col min="20" max="20" width="17.33203125" customWidth="1"/>
    <col min="21" max="21" width="18.6640625" customWidth="1"/>
    <col min="22" max="22" width="17.6640625" customWidth="1"/>
    <col min="23" max="23" width="14.83203125" customWidth="1"/>
    <col min="24" max="24" width="13.83203125" customWidth="1"/>
    <col min="25" max="25" width="17" style="77" customWidth="1"/>
  </cols>
  <sheetData>
    <row r="1" spans="1:25" ht="31.5" customHeight="1" x14ac:dyDescent="0.2">
      <c r="A1" s="145" t="s">
        <v>3814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31"/>
      <c r="V1" s="131"/>
      <c r="W1" s="131"/>
      <c r="X1" s="131"/>
      <c r="Y1" s="132"/>
    </row>
    <row r="2" spans="1:25" ht="27.75" customHeight="1" x14ac:dyDescent="0.2">
      <c r="A2" s="148" t="s">
        <v>3812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33"/>
      <c r="Y2" s="134"/>
    </row>
    <row r="3" spans="1:25" ht="18" customHeight="1" x14ac:dyDescent="0.2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8"/>
      <c r="Y3" s="78"/>
    </row>
    <row r="4" spans="1:25" ht="40" customHeight="1" x14ac:dyDescent="0.2">
      <c r="A4" s="125" t="s">
        <v>0</v>
      </c>
      <c r="B4" s="125" t="s">
        <v>1</v>
      </c>
      <c r="C4" s="125" t="s">
        <v>3852</v>
      </c>
      <c r="D4" s="125" t="s">
        <v>2</v>
      </c>
      <c r="E4" s="125" t="s">
        <v>3</v>
      </c>
      <c r="F4" s="125" t="s">
        <v>4</v>
      </c>
      <c r="G4" s="125" t="s">
        <v>5</v>
      </c>
      <c r="H4" s="125" t="s">
        <v>6</v>
      </c>
      <c r="I4" s="125" t="s">
        <v>7</v>
      </c>
      <c r="J4" s="125" t="s">
        <v>8</v>
      </c>
      <c r="K4" s="125" t="s">
        <v>9</v>
      </c>
      <c r="L4" s="125" t="s">
        <v>10</v>
      </c>
      <c r="M4" s="125" t="s">
        <v>11</v>
      </c>
      <c r="N4" s="125" t="s">
        <v>12</v>
      </c>
      <c r="O4" s="125" t="s">
        <v>13</v>
      </c>
      <c r="P4" s="125" t="s">
        <v>14</v>
      </c>
      <c r="Q4" s="125" t="s">
        <v>15</v>
      </c>
      <c r="R4" s="125" t="s">
        <v>16</v>
      </c>
      <c r="S4" s="125" t="s">
        <v>17</v>
      </c>
      <c r="T4" s="125" t="s">
        <v>18</v>
      </c>
      <c r="U4" s="125" t="s">
        <v>19</v>
      </c>
      <c r="V4" s="125" t="s">
        <v>20</v>
      </c>
      <c r="W4" s="125" t="s">
        <v>21</v>
      </c>
      <c r="X4" s="125" t="s">
        <v>3741</v>
      </c>
      <c r="Y4" s="126" t="s">
        <v>3742</v>
      </c>
    </row>
    <row r="5" spans="1:25" ht="15" customHeight="1" x14ac:dyDescent="0.2">
      <c r="A5" s="47" t="s">
        <v>22</v>
      </c>
      <c r="B5" s="75">
        <v>0</v>
      </c>
      <c r="C5" s="47" t="s">
        <v>23</v>
      </c>
      <c r="D5" s="47" t="s">
        <v>24</v>
      </c>
      <c r="E5" s="47" t="s">
        <v>25</v>
      </c>
      <c r="F5" s="47" t="s">
        <v>26</v>
      </c>
      <c r="G5" s="32">
        <v>1</v>
      </c>
      <c r="H5" s="32">
        <v>1</v>
      </c>
      <c r="I5" s="47" t="s">
        <v>27</v>
      </c>
      <c r="J5" s="47" t="s">
        <v>28</v>
      </c>
      <c r="K5" s="76" t="s">
        <v>29</v>
      </c>
      <c r="L5" s="40">
        <v>2461086914</v>
      </c>
      <c r="M5" s="40">
        <v>1065710905</v>
      </c>
      <c r="N5" s="40">
        <v>714731784</v>
      </c>
      <c r="O5" s="40">
        <v>2279753810</v>
      </c>
      <c r="P5" s="40">
        <v>1974660924</v>
      </c>
      <c r="Q5" s="40">
        <v>181333105</v>
      </c>
      <c r="R5" s="40">
        <v>6216056</v>
      </c>
      <c r="S5" s="40">
        <v>3932</v>
      </c>
      <c r="T5" s="40">
        <v>309</v>
      </c>
      <c r="U5" s="47" t="str">
        <f t="shared" ref="U5:U68" si="0">IFERROR(CHOOSE(G5,"Público","Privado Nacional","Privado Estrangeiro"),"n.d.")</f>
        <v>Público</v>
      </c>
      <c r="V5" s="48">
        <f t="shared" ref="V5:V68" si="1">IF(AND(ISNUMBER(M5),ISNUMBER(L5)),IF(L5&gt;0,M5/L5,"n.d."),"NI")</f>
        <v>0.43302448968285401</v>
      </c>
      <c r="W5" s="48">
        <f t="shared" ref="W5:W68" si="2">IF(AND(ISNUMBER(R5),ISNUMBER(Q5)),IF(Q5&gt;0,R5/Q5,"n.d."),"NI")</f>
        <v>3.4279763753011346E-2</v>
      </c>
      <c r="X5" s="47" t="str">
        <f t="shared" ref="X5:X68" si="3">IF(ISNUMBER(L5),IF(L5&gt;100000000,"Grande","Média/Pequena"),"Sem dado")</f>
        <v>Grande</v>
      </c>
      <c r="Y5" s="120" t="str" cm="1">
        <f t="array" ref="Y5">_xlfn.IFS(ISNUMBER(W5)=FALSE,"Sem dado",W5&gt;0.075,"Excelente",W5&gt;0.04,"Bom",W5&gt;0,"Fraco",TRUE,"Prejuízo")</f>
        <v>Fraco</v>
      </c>
    </row>
    <row r="6" spans="1:25" ht="15" customHeight="1" x14ac:dyDescent="0.2">
      <c r="A6" s="15" t="s">
        <v>30</v>
      </c>
      <c r="B6" s="60">
        <v>360305</v>
      </c>
      <c r="C6" s="15" t="s">
        <v>31</v>
      </c>
      <c r="D6" s="15" t="s">
        <v>32</v>
      </c>
      <c r="E6" s="15" t="s">
        <v>33</v>
      </c>
      <c r="F6" s="15" t="s">
        <v>26</v>
      </c>
      <c r="G6" s="34">
        <v>1</v>
      </c>
      <c r="H6" s="34">
        <v>6</v>
      </c>
      <c r="I6" s="15" t="s">
        <v>27</v>
      </c>
      <c r="J6" s="15" t="s">
        <v>28</v>
      </c>
      <c r="K6" s="74" t="s">
        <v>29</v>
      </c>
      <c r="L6" s="16">
        <v>2368147225</v>
      </c>
      <c r="M6" s="16">
        <v>1362330927</v>
      </c>
      <c r="N6" s="16">
        <v>452416774</v>
      </c>
      <c r="O6" s="16">
        <v>2249779433</v>
      </c>
      <c r="P6" s="16">
        <v>2063880327</v>
      </c>
      <c r="Q6" s="16">
        <v>118367792</v>
      </c>
      <c r="R6" s="16">
        <v>6585794</v>
      </c>
      <c r="S6" s="16">
        <v>3000</v>
      </c>
      <c r="T6" s="16">
        <v>868</v>
      </c>
      <c r="U6" s="15" t="str">
        <f t="shared" si="0"/>
        <v>Público</v>
      </c>
      <c r="V6" s="17">
        <f t="shared" si="1"/>
        <v>0.57527290221578176</v>
      </c>
      <c r="W6" s="17">
        <f t="shared" si="2"/>
        <v>5.563839528239236E-2</v>
      </c>
      <c r="X6" s="15" t="str">
        <f t="shared" si="3"/>
        <v>Grande</v>
      </c>
      <c r="Y6" s="121" t="str" cm="1">
        <f t="array" ref="Y6">_xlfn.IFS(ISNUMBER(W6)=FALSE,"Sem dado",W6&gt;0.075,"Excelente",W6&gt;0.04,"Bom",W6&gt;0,"Fraco",TRUE,"Prejuízo")</f>
        <v>Bom</v>
      </c>
    </row>
    <row r="7" spans="1:25" ht="15" customHeight="1" x14ac:dyDescent="0.2">
      <c r="A7" s="12" t="s">
        <v>34</v>
      </c>
      <c r="B7" s="56">
        <v>60701190</v>
      </c>
      <c r="C7" s="12" t="s">
        <v>35</v>
      </c>
      <c r="D7" s="12" t="s">
        <v>36</v>
      </c>
      <c r="E7" s="12" t="s">
        <v>37</v>
      </c>
      <c r="F7" s="12" t="s">
        <v>26</v>
      </c>
      <c r="G7" s="33">
        <v>2</v>
      </c>
      <c r="H7" s="33">
        <v>8</v>
      </c>
      <c r="I7" s="12" t="s">
        <v>38</v>
      </c>
      <c r="J7" s="12" t="s">
        <v>39</v>
      </c>
      <c r="K7" s="73" t="s">
        <v>29</v>
      </c>
      <c r="L7" s="13">
        <v>2169409565</v>
      </c>
      <c r="M7" s="13">
        <v>700105223</v>
      </c>
      <c r="N7" s="13">
        <v>559549223</v>
      </c>
      <c r="O7" s="13">
        <v>2006548179</v>
      </c>
      <c r="P7" s="13">
        <v>1842394345</v>
      </c>
      <c r="Q7" s="13">
        <v>162861385</v>
      </c>
      <c r="R7" s="13">
        <v>19759837</v>
      </c>
      <c r="S7" s="13">
        <v>1345</v>
      </c>
      <c r="T7" s="13">
        <v>1403</v>
      </c>
      <c r="U7" s="12" t="str">
        <f t="shared" si="0"/>
        <v>Privado Nacional</v>
      </c>
      <c r="V7" s="14">
        <f t="shared" si="1"/>
        <v>0.32271694303145565</v>
      </c>
      <c r="W7" s="14">
        <f t="shared" si="2"/>
        <v>0.1213291720440668</v>
      </c>
      <c r="X7" s="12" t="str">
        <f t="shared" si="3"/>
        <v>Grande</v>
      </c>
      <c r="Y7" s="122" t="str" cm="1">
        <f t="array" ref="Y7">_xlfn.IFS(ISNUMBER(W7)=FALSE,"Sem dado",W7&gt;0.075,"Excelente",W7&gt;0.04,"Bom",W7&gt;0,"Fraco",TRUE,"Prejuízo")</f>
        <v>Excelente</v>
      </c>
    </row>
    <row r="8" spans="1:25" ht="15" customHeight="1" x14ac:dyDescent="0.2">
      <c r="A8" s="15" t="s">
        <v>40</v>
      </c>
      <c r="B8" s="60">
        <v>60746948</v>
      </c>
      <c r="C8" s="15" t="s">
        <v>41</v>
      </c>
      <c r="D8" s="15" t="s">
        <v>42</v>
      </c>
      <c r="E8" s="15" t="s">
        <v>43</v>
      </c>
      <c r="F8" s="15" t="s">
        <v>26</v>
      </c>
      <c r="G8" s="34">
        <v>2</v>
      </c>
      <c r="H8" s="34">
        <v>8</v>
      </c>
      <c r="I8" s="15" t="s">
        <v>44</v>
      </c>
      <c r="J8" s="15" t="s">
        <v>39</v>
      </c>
      <c r="K8" s="74" t="s">
        <v>29</v>
      </c>
      <c r="L8" s="16">
        <v>1952464273</v>
      </c>
      <c r="M8" s="16">
        <v>756014814</v>
      </c>
      <c r="N8" s="16">
        <v>322119751</v>
      </c>
      <c r="O8" s="16">
        <v>1777233946</v>
      </c>
      <c r="P8" s="16">
        <v>1545720299</v>
      </c>
      <c r="Q8" s="16">
        <v>175230327</v>
      </c>
      <c r="R8" s="16">
        <v>12080064</v>
      </c>
      <c r="S8" s="16">
        <v>2026</v>
      </c>
      <c r="T8" s="16">
        <v>762</v>
      </c>
      <c r="U8" s="15" t="str">
        <f t="shared" si="0"/>
        <v>Privado Nacional</v>
      </c>
      <c r="V8" s="17">
        <f t="shared" si="1"/>
        <v>0.38721057509460505</v>
      </c>
      <c r="W8" s="17">
        <f t="shared" si="2"/>
        <v>6.8938203830436265E-2</v>
      </c>
      <c r="X8" s="15" t="str">
        <f t="shared" si="3"/>
        <v>Grande</v>
      </c>
      <c r="Y8" s="121" t="str" cm="1">
        <f t="array" ref="Y8">_xlfn.IFS(ISNUMBER(W8)=FALSE,"Sem dado",W8&gt;0.075,"Excelente",W8&gt;0.04,"Bom",W8&gt;0,"Fraco",TRUE,"Prejuízo")</f>
        <v>Bom</v>
      </c>
    </row>
    <row r="9" spans="1:25" ht="15" customHeight="1" x14ac:dyDescent="0.2">
      <c r="A9" s="12" t="s">
        <v>45</v>
      </c>
      <c r="B9" s="56">
        <v>90400888</v>
      </c>
      <c r="C9" s="12" t="s">
        <v>46</v>
      </c>
      <c r="D9" s="12" t="s">
        <v>47</v>
      </c>
      <c r="E9" s="12" t="s">
        <v>48</v>
      </c>
      <c r="F9" s="12" t="s">
        <v>26</v>
      </c>
      <c r="G9" s="33">
        <v>3</v>
      </c>
      <c r="H9" s="33">
        <v>8</v>
      </c>
      <c r="I9" s="12" t="s">
        <v>38</v>
      </c>
      <c r="J9" s="12" t="s">
        <v>39</v>
      </c>
      <c r="K9" s="73" t="s">
        <v>29</v>
      </c>
      <c r="L9" s="13">
        <v>1209443083</v>
      </c>
      <c r="M9" s="13">
        <v>365285710</v>
      </c>
      <c r="N9" s="13">
        <v>260716671</v>
      </c>
      <c r="O9" s="13">
        <v>1110706856</v>
      </c>
      <c r="P9" s="13">
        <v>953249578</v>
      </c>
      <c r="Q9" s="13">
        <v>98736227</v>
      </c>
      <c r="R9" s="13">
        <v>7382760</v>
      </c>
      <c r="S9" s="13">
        <v>1196</v>
      </c>
      <c r="T9" s="13">
        <v>2516</v>
      </c>
      <c r="U9" s="12" t="str">
        <f t="shared" si="0"/>
        <v>Privado Estrangeiro</v>
      </c>
      <c r="V9" s="14">
        <f t="shared" si="1"/>
        <v>0.30202802854840916</v>
      </c>
      <c r="W9" s="14">
        <f t="shared" si="2"/>
        <v>7.4772555366127161E-2</v>
      </c>
      <c r="X9" s="12" t="str">
        <f t="shared" si="3"/>
        <v>Grande</v>
      </c>
      <c r="Y9" s="122" t="str" cm="1">
        <f t="array" ref="Y9">_xlfn.IFS(ISNUMBER(W9)=FALSE,"Sem dado",W9&gt;0.075,"Excelente",W9&gt;0.04,"Bom",W9&gt;0,"Fraco",TRUE,"Prejuízo")</f>
        <v>Bom</v>
      </c>
    </row>
    <row r="10" spans="1:25" ht="15" customHeight="1" x14ac:dyDescent="0.2">
      <c r="A10" s="15" t="s">
        <v>49</v>
      </c>
      <c r="B10" s="60">
        <v>33657248</v>
      </c>
      <c r="C10" s="15" t="s">
        <v>50</v>
      </c>
      <c r="D10" s="15"/>
      <c r="E10" s="15" t="s">
        <v>51</v>
      </c>
      <c r="F10" s="15" t="s">
        <v>52</v>
      </c>
      <c r="G10" s="34">
        <v>1</v>
      </c>
      <c r="H10" s="34">
        <v>4</v>
      </c>
      <c r="I10" s="15" t="s">
        <v>53</v>
      </c>
      <c r="J10" s="15" t="s">
        <v>54</v>
      </c>
      <c r="K10" s="74" t="s">
        <v>29</v>
      </c>
      <c r="L10" s="16">
        <v>1073403746</v>
      </c>
      <c r="M10" s="16">
        <v>375703869</v>
      </c>
      <c r="N10" s="16">
        <v>209161034</v>
      </c>
      <c r="O10" s="16">
        <v>892700475</v>
      </c>
      <c r="P10" s="16">
        <v>661452493</v>
      </c>
      <c r="Q10" s="16">
        <v>180703272</v>
      </c>
      <c r="R10" s="16">
        <v>11153448</v>
      </c>
      <c r="S10" s="16">
        <v>5</v>
      </c>
      <c r="T10" s="16">
        <v>0</v>
      </c>
      <c r="U10" s="15" t="str">
        <f t="shared" si="0"/>
        <v>Público</v>
      </c>
      <c r="V10" s="17">
        <f t="shared" si="1"/>
        <v>0.35001169913934693</v>
      </c>
      <c r="W10" s="17">
        <f t="shared" si="2"/>
        <v>6.1722446287524886E-2</v>
      </c>
      <c r="X10" s="15" t="str">
        <f t="shared" si="3"/>
        <v>Grande</v>
      </c>
      <c r="Y10" s="121" t="str" cm="1">
        <f t="array" ref="Y10">_xlfn.IFS(ISNUMBER(W10)=FALSE,"Sem dado",W10&gt;0.075,"Excelente",W10&gt;0.04,"Bom",W10&gt;0,"Fraco",TRUE,"Prejuízo")</f>
        <v>Bom</v>
      </c>
    </row>
    <row r="11" spans="1:25" ht="15" customHeight="1" x14ac:dyDescent="0.2">
      <c r="A11" s="12" t="s">
        <v>55</v>
      </c>
      <c r="B11" s="56">
        <v>30306294</v>
      </c>
      <c r="C11" s="12" t="s">
        <v>56</v>
      </c>
      <c r="D11" s="12" t="s">
        <v>57</v>
      </c>
      <c r="E11" s="12" t="s">
        <v>58</v>
      </c>
      <c r="F11" s="12" t="s">
        <v>26</v>
      </c>
      <c r="G11" s="33">
        <v>2</v>
      </c>
      <c r="H11" s="33">
        <v>8</v>
      </c>
      <c r="I11" s="12" t="s">
        <v>53</v>
      </c>
      <c r="J11" s="12" t="s">
        <v>54</v>
      </c>
      <c r="K11" s="73" t="s">
        <v>29</v>
      </c>
      <c r="L11" s="13">
        <v>743258957</v>
      </c>
      <c r="M11" s="13">
        <v>81617597</v>
      </c>
      <c r="N11" s="13">
        <v>228588076</v>
      </c>
      <c r="O11" s="13">
        <v>663705470</v>
      </c>
      <c r="P11" s="13">
        <v>548000573</v>
      </c>
      <c r="Q11" s="13">
        <v>79553487</v>
      </c>
      <c r="R11" s="13">
        <v>9471540</v>
      </c>
      <c r="S11" s="13">
        <v>28</v>
      </c>
      <c r="T11" s="13">
        <v>0</v>
      </c>
      <c r="U11" s="12" t="str">
        <f t="shared" si="0"/>
        <v>Privado Nacional</v>
      </c>
      <c r="V11" s="14">
        <f t="shared" si="1"/>
        <v>0.10981044524432149</v>
      </c>
      <c r="W11" s="14">
        <f t="shared" si="2"/>
        <v>0.11905876608526286</v>
      </c>
      <c r="X11" s="12" t="str">
        <f t="shared" si="3"/>
        <v>Grande</v>
      </c>
      <c r="Y11" s="122" t="str" cm="1">
        <f t="array" ref="Y11">_xlfn.IFS(ISNUMBER(W11)=FALSE,"Sem dado",W11&gt;0.075,"Excelente",W11&gt;0.04,"Bom",W11&gt;0,"Fraco",TRUE,"Prejuízo")</f>
        <v>Excelente</v>
      </c>
    </row>
    <row r="12" spans="1:25" ht="15" customHeight="1" x14ac:dyDescent="0.2">
      <c r="A12" s="15" t="s">
        <v>59</v>
      </c>
      <c r="B12" s="60">
        <v>60872504</v>
      </c>
      <c r="C12" s="15" t="s">
        <v>35</v>
      </c>
      <c r="D12" s="15" t="s">
        <v>36</v>
      </c>
      <c r="E12" s="15" t="s">
        <v>37</v>
      </c>
      <c r="F12" s="15" t="s">
        <v>60</v>
      </c>
      <c r="G12" s="34">
        <v>2</v>
      </c>
      <c r="H12" s="34">
        <v>8</v>
      </c>
      <c r="I12" s="15" t="s">
        <v>38</v>
      </c>
      <c r="J12" s="15" t="s">
        <v>39</v>
      </c>
      <c r="K12" s="74" t="s">
        <v>29</v>
      </c>
      <c r="L12" s="16">
        <v>493183395</v>
      </c>
      <c r="M12" s="16">
        <v>172877389</v>
      </c>
      <c r="N12" s="16">
        <v>41855441</v>
      </c>
      <c r="O12" s="16">
        <v>285535078</v>
      </c>
      <c r="P12" s="16">
        <v>107861159</v>
      </c>
      <c r="Q12" s="16">
        <v>207648317</v>
      </c>
      <c r="R12" s="16">
        <v>23205024</v>
      </c>
      <c r="S12" s="16">
        <v>2</v>
      </c>
      <c r="T12" s="16">
        <v>7</v>
      </c>
      <c r="U12" s="15" t="str">
        <f t="shared" si="0"/>
        <v>Privado Nacional</v>
      </c>
      <c r="V12" s="17">
        <f t="shared" si="1"/>
        <v>0.35053367723380063</v>
      </c>
      <c r="W12" s="17">
        <f t="shared" si="2"/>
        <v>0.11175156310079797</v>
      </c>
      <c r="X12" s="15" t="str">
        <f t="shared" si="3"/>
        <v>Grande</v>
      </c>
      <c r="Y12" s="121" t="str" cm="1">
        <f t="array" ref="Y12">_xlfn.IFS(ISNUMBER(W12)=FALSE,"Sem dado",W12&gt;0.075,"Excelente",W12&gt;0.04,"Bom",W12&gt;0,"Fraco",TRUE,"Prejuízo")</f>
        <v>Excelente</v>
      </c>
    </row>
    <row r="13" spans="1:25" ht="15" customHeight="1" x14ac:dyDescent="0.2">
      <c r="A13" s="12" t="s">
        <v>61</v>
      </c>
      <c r="B13" s="56">
        <v>30680829</v>
      </c>
      <c r="C13" s="12" t="s">
        <v>62</v>
      </c>
      <c r="D13" s="12" t="s">
        <v>63</v>
      </c>
      <c r="E13" s="12" t="s">
        <v>64</v>
      </c>
      <c r="F13" s="12" t="s">
        <v>65</v>
      </c>
      <c r="G13" s="33">
        <v>3</v>
      </c>
      <c r="H13" s="33">
        <v>14</v>
      </c>
      <c r="I13" s="12" t="s">
        <v>38</v>
      </c>
      <c r="J13" s="12" t="s">
        <v>39</v>
      </c>
      <c r="K13" s="73" t="s">
        <v>29</v>
      </c>
      <c r="L13" s="13">
        <v>267624695</v>
      </c>
      <c r="M13" s="13">
        <v>76080601</v>
      </c>
      <c r="N13" s="13">
        <v>80369899</v>
      </c>
      <c r="O13" s="13">
        <v>252606112</v>
      </c>
      <c r="P13" s="13">
        <v>225759535</v>
      </c>
      <c r="Q13" s="13">
        <v>15018583</v>
      </c>
      <c r="R13" s="13">
        <v>4194823</v>
      </c>
      <c r="S13" s="13">
        <v>2</v>
      </c>
      <c r="T13" s="13">
        <v>0</v>
      </c>
      <c r="U13" s="12" t="str">
        <f t="shared" si="0"/>
        <v>Privado Estrangeiro</v>
      </c>
      <c r="V13" s="14">
        <f t="shared" si="1"/>
        <v>0.28428094425292105</v>
      </c>
      <c r="W13" s="14">
        <f t="shared" si="2"/>
        <v>0.27930884025476971</v>
      </c>
      <c r="X13" s="12" t="str">
        <f t="shared" si="3"/>
        <v>Grande</v>
      </c>
      <c r="Y13" s="122" t="str" cm="1">
        <f t="array" ref="Y13">_xlfn.IFS(ISNUMBER(W13)=FALSE,"Sem dado",W13&gt;0.075,"Excelente",W13&gt;0.04,"Bom",W13&gt;0,"Fraco",TRUE,"Prejuízo")</f>
        <v>Excelente</v>
      </c>
    </row>
    <row r="14" spans="1:25" ht="15" customHeight="1" x14ac:dyDescent="0.2">
      <c r="A14" s="15" t="s">
        <v>66</v>
      </c>
      <c r="B14" s="60">
        <v>58160789</v>
      </c>
      <c r="C14" s="15" t="s">
        <v>67</v>
      </c>
      <c r="D14" s="15" t="s">
        <v>68</v>
      </c>
      <c r="E14" s="15" t="s">
        <v>69</v>
      </c>
      <c r="F14" s="15" t="s">
        <v>26</v>
      </c>
      <c r="G14" s="34">
        <v>2</v>
      </c>
      <c r="H14" s="34">
        <v>8</v>
      </c>
      <c r="I14" s="15" t="s">
        <v>38</v>
      </c>
      <c r="J14" s="15" t="s">
        <v>39</v>
      </c>
      <c r="K14" s="74" t="s">
        <v>29</v>
      </c>
      <c r="L14" s="16">
        <v>256683465</v>
      </c>
      <c r="M14" s="16">
        <v>93167603</v>
      </c>
      <c r="N14" s="16">
        <v>46773165</v>
      </c>
      <c r="O14" s="16">
        <v>238676254</v>
      </c>
      <c r="P14" s="16">
        <v>204635211</v>
      </c>
      <c r="Q14" s="16">
        <v>18007212</v>
      </c>
      <c r="R14" s="16">
        <v>1885083</v>
      </c>
      <c r="S14" s="16">
        <v>133</v>
      </c>
      <c r="T14" s="16">
        <v>3</v>
      </c>
      <c r="U14" s="15" t="str">
        <f t="shared" si="0"/>
        <v>Privado Nacional</v>
      </c>
      <c r="V14" s="17">
        <f t="shared" si="1"/>
        <v>0.3629669055620704</v>
      </c>
      <c r="W14" s="17">
        <f t="shared" si="2"/>
        <v>0.10468488958757191</v>
      </c>
      <c r="X14" s="15" t="str">
        <f t="shared" si="3"/>
        <v>Grande</v>
      </c>
      <c r="Y14" s="121" t="str" cm="1">
        <f t="array" ref="Y14">_xlfn.IFS(ISNUMBER(W14)=FALSE,"Sem dado",W14&gt;0.075,"Excelente",W14&gt;0.04,"Bom",W14&gt;0,"Fraco",TRUE,"Prejuízo")</f>
        <v>Excelente</v>
      </c>
    </row>
    <row r="15" spans="1:25" ht="15" customHeight="1" x14ac:dyDescent="0.2">
      <c r="A15" s="12" t="s">
        <v>70</v>
      </c>
      <c r="B15" s="56">
        <v>1181521</v>
      </c>
      <c r="C15" s="12" t="s">
        <v>71</v>
      </c>
      <c r="D15" s="12"/>
      <c r="E15" s="12" t="s">
        <v>72</v>
      </c>
      <c r="F15" s="12" t="s">
        <v>26</v>
      </c>
      <c r="G15" s="33">
        <v>2</v>
      </c>
      <c r="H15" s="33">
        <v>11</v>
      </c>
      <c r="I15" s="12" t="s">
        <v>73</v>
      </c>
      <c r="J15" s="12" t="s">
        <v>74</v>
      </c>
      <c r="K15" s="73" t="s">
        <v>29</v>
      </c>
      <c r="L15" s="13">
        <v>234406077</v>
      </c>
      <c r="M15" s="13">
        <v>50267293</v>
      </c>
      <c r="N15" s="13">
        <v>49289841</v>
      </c>
      <c r="O15" s="13">
        <v>228925803</v>
      </c>
      <c r="P15" s="13">
        <v>202089776</v>
      </c>
      <c r="Q15" s="13">
        <v>5480274</v>
      </c>
      <c r="R15" s="13">
        <v>162608</v>
      </c>
      <c r="S15" s="13">
        <v>6</v>
      </c>
      <c r="T15" s="13">
        <v>0</v>
      </c>
      <c r="U15" s="12" t="str">
        <f t="shared" si="0"/>
        <v>Privado Nacional</v>
      </c>
      <c r="V15" s="14">
        <f t="shared" si="1"/>
        <v>0.21444534904272128</v>
      </c>
      <c r="W15" s="14">
        <f t="shared" si="2"/>
        <v>2.9671509125273662E-2</v>
      </c>
      <c r="X15" s="12" t="str">
        <f t="shared" si="3"/>
        <v>Grande</v>
      </c>
      <c r="Y15" s="122" t="str" cm="1">
        <f t="array" ref="Y15">_xlfn.IFS(ISNUMBER(W15)=FALSE,"Sem dado",W15&gt;0.075,"Excelente",W15&gt;0.04,"Bom",W15&gt;0,"Fraco",TRUE,"Prejuízo")</f>
        <v>Fraco</v>
      </c>
    </row>
    <row r="16" spans="1:25" ht="15" customHeight="1" x14ac:dyDescent="0.2">
      <c r="A16" s="15" t="s">
        <v>75</v>
      </c>
      <c r="B16" s="60">
        <v>2038232</v>
      </c>
      <c r="C16" s="15" t="s">
        <v>76</v>
      </c>
      <c r="D16" s="15" t="s">
        <v>77</v>
      </c>
      <c r="E16" s="15" t="s">
        <v>78</v>
      </c>
      <c r="F16" s="15" t="s">
        <v>26</v>
      </c>
      <c r="G16" s="34">
        <v>2</v>
      </c>
      <c r="H16" s="34">
        <v>11</v>
      </c>
      <c r="I16" s="15" t="s">
        <v>27</v>
      </c>
      <c r="J16" s="15" t="s">
        <v>28</v>
      </c>
      <c r="K16" s="74" t="s">
        <v>29</v>
      </c>
      <c r="L16" s="16">
        <v>223159409</v>
      </c>
      <c r="M16" s="16">
        <v>44908980</v>
      </c>
      <c r="N16" s="16">
        <v>68401403</v>
      </c>
      <c r="O16" s="16">
        <v>216175011</v>
      </c>
      <c r="P16" s="16">
        <v>188203009</v>
      </c>
      <c r="Q16" s="16">
        <v>6984398</v>
      </c>
      <c r="R16" s="16">
        <v>458952</v>
      </c>
      <c r="S16" s="16">
        <v>5</v>
      </c>
      <c r="T16" s="16">
        <v>0</v>
      </c>
      <c r="U16" s="15" t="str">
        <f t="shared" si="0"/>
        <v>Privado Nacional</v>
      </c>
      <c r="V16" s="17">
        <f t="shared" si="1"/>
        <v>0.20124170520634421</v>
      </c>
      <c r="W16" s="17">
        <f t="shared" si="2"/>
        <v>6.5711031931456373E-2</v>
      </c>
      <c r="X16" s="15" t="str">
        <f t="shared" si="3"/>
        <v>Grande</v>
      </c>
      <c r="Y16" s="121" t="str" cm="1">
        <f t="array" ref="Y16">_xlfn.IFS(ISNUMBER(W16)=FALSE,"Sem dado",W16&gt;0.075,"Excelente",W16&gt;0.04,"Bom",W16&gt;0,"Fraco",TRUE,"Prejuízo")</f>
        <v>Bom</v>
      </c>
    </row>
    <row r="17" spans="1:25" ht="15" customHeight="1" x14ac:dyDescent="0.2">
      <c r="A17" s="12" t="s">
        <v>79</v>
      </c>
      <c r="B17" s="56">
        <v>33264668</v>
      </c>
      <c r="C17" s="12" t="s">
        <v>80</v>
      </c>
      <c r="D17" s="12" t="s">
        <v>81</v>
      </c>
      <c r="E17" s="12" t="s">
        <v>82</v>
      </c>
      <c r="F17" s="12" t="s">
        <v>26</v>
      </c>
      <c r="G17" s="33">
        <v>2</v>
      </c>
      <c r="H17" s="33">
        <v>8</v>
      </c>
      <c r="I17" s="12" t="s">
        <v>53</v>
      </c>
      <c r="J17" s="12" t="s">
        <v>54</v>
      </c>
      <c r="K17" s="73" t="s">
        <v>29</v>
      </c>
      <c r="L17" s="13">
        <v>221732251</v>
      </c>
      <c r="M17" s="13">
        <v>32257267</v>
      </c>
      <c r="N17" s="13">
        <v>75852463</v>
      </c>
      <c r="O17" s="13">
        <v>209296234</v>
      </c>
      <c r="P17" s="13">
        <v>169190938</v>
      </c>
      <c r="Q17" s="13">
        <v>12436018</v>
      </c>
      <c r="R17" s="13">
        <v>366732</v>
      </c>
      <c r="S17" s="13">
        <v>2</v>
      </c>
      <c r="T17" s="13">
        <v>0</v>
      </c>
      <c r="U17" s="12" t="str">
        <f t="shared" si="0"/>
        <v>Privado Nacional</v>
      </c>
      <c r="V17" s="14">
        <f t="shared" si="1"/>
        <v>0.14547846267072803</v>
      </c>
      <c r="W17" s="14">
        <f t="shared" si="2"/>
        <v>2.9489503794542595E-2</v>
      </c>
      <c r="X17" s="12" t="str">
        <f t="shared" si="3"/>
        <v>Grande</v>
      </c>
      <c r="Y17" s="122" t="str" cm="1">
        <f t="array" ref="Y17">_xlfn.IFS(ISNUMBER(W17)=FALSE,"Sem dado",W17&gt;0.075,"Excelente",W17&gt;0.04,"Bom",W17&gt;0,"Fraco",TRUE,"Prejuízo")</f>
        <v>Fraco</v>
      </c>
    </row>
    <row r="18" spans="1:25" ht="15" customHeight="1" x14ac:dyDescent="0.2">
      <c r="A18" s="15" t="s">
        <v>83</v>
      </c>
      <c r="B18" s="60">
        <v>1425787</v>
      </c>
      <c r="C18" s="15" t="s">
        <v>35</v>
      </c>
      <c r="D18" s="15"/>
      <c r="E18" s="15" t="s">
        <v>37</v>
      </c>
      <c r="F18" s="15" t="s">
        <v>84</v>
      </c>
      <c r="G18" s="34">
        <v>2</v>
      </c>
      <c r="H18" s="34">
        <v>41</v>
      </c>
      <c r="I18" s="15" t="s">
        <v>38</v>
      </c>
      <c r="J18" s="15" t="s">
        <v>39</v>
      </c>
      <c r="K18" s="74" t="s">
        <v>29</v>
      </c>
      <c r="L18" s="16">
        <v>178389094</v>
      </c>
      <c r="M18" s="16">
        <v>0</v>
      </c>
      <c r="N18" s="16">
        <v>18863330</v>
      </c>
      <c r="O18" s="16">
        <v>137181221</v>
      </c>
      <c r="P18" s="16">
        <v>16821616</v>
      </c>
      <c r="Q18" s="16">
        <v>41207873</v>
      </c>
      <c r="R18" s="16">
        <v>1497264</v>
      </c>
      <c r="S18" s="16">
        <v>1</v>
      </c>
      <c r="T18" s="16">
        <v>0</v>
      </c>
      <c r="U18" s="15" t="str">
        <f t="shared" si="0"/>
        <v>Privado Nacional</v>
      </c>
      <c r="V18" s="17">
        <f t="shared" si="1"/>
        <v>0</v>
      </c>
      <c r="W18" s="17">
        <f t="shared" si="2"/>
        <v>3.6334415998612694E-2</v>
      </c>
      <c r="X18" s="15" t="str">
        <f t="shared" si="3"/>
        <v>Grande</v>
      </c>
      <c r="Y18" s="121" t="str" cm="1">
        <f t="array" ref="Y18">_xlfn.IFS(ISNUMBER(W18)=FALSE,"Sem dado",W18&gt;0.075,"Excelente",W18&gt;0.04,"Bom",W18&gt;0,"Fraco",TRUE,"Prejuízo")</f>
        <v>Fraco</v>
      </c>
    </row>
    <row r="19" spans="1:25" ht="15" customHeight="1" x14ac:dyDescent="0.2">
      <c r="A19" s="12" t="s">
        <v>85</v>
      </c>
      <c r="B19" s="56">
        <v>92702067</v>
      </c>
      <c r="C19" s="12" t="s">
        <v>86</v>
      </c>
      <c r="D19" s="12" t="s">
        <v>87</v>
      </c>
      <c r="E19" s="12" t="s">
        <v>88</v>
      </c>
      <c r="F19" s="12" t="s">
        <v>26</v>
      </c>
      <c r="G19" s="33">
        <v>1</v>
      </c>
      <c r="H19" s="33">
        <v>8</v>
      </c>
      <c r="I19" s="12" t="s">
        <v>73</v>
      </c>
      <c r="J19" s="12" t="s">
        <v>74</v>
      </c>
      <c r="K19" s="73" t="s">
        <v>29</v>
      </c>
      <c r="L19" s="13">
        <v>172827959</v>
      </c>
      <c r="M19" s="13">
        <v>60414676</v>
      </c>
      <c r="N19" s="13">
        <v>75506552</v>
      </c>
      <c r="O19" s="13">
        <v>161276935</v>
      </c>
      <c r="P19" s="13">
        <v>150456265</v>
      </c>
      <c r="Q19" s="13">
        <v>11551023</v>
      </c>
      <c r="R19" s="13">
        <v>546547</v>
      </c>
      <c r="S19" s="13">
        <v>506</v>
      </c>
      <c r="T19" s="13">
        <v>43</v>
      </c>
      <c r="U19" s="12" t="str">
        <f t="shared" si="0"/>
        <v>Público</v>
      </c>
      <c r="V19" s="14">
        <f t="shared" si="1"/>
        <v>0.34956540799049762</v>
      </c>
      <c r="W19" s="14">
        <f t="shared" si="2"/>
        <v>4.731589574360643E-2</v>
      </c>
      <c r="X19" s="12" t="str">
        <f t="shared" si="3"/>
        <v>Grande</v>
      </c>
      <c r="Y19" s="122" t="str" cm="1">
        <f t="array" ref="Y19">_xlfn.IFS(ISNUMBER(W19)=FALSE,"Sem dado",W19&gt;0.075,"Excelente",W19&gt;0.04,"Bom",W19&gt;0,"Fraco",TRUE,"Prejuízo")</f>
        <v>Bom</v>
      </c>
    </row>
    <row r="20" spans="1:25" ht="15" customHeight="1" x14ac:dyDescent="0.2">
      <c r="A20" s="15" t="s">
        <v>89</v>
      </c>
      <c r="B20" s="60">
        <v>33479023</v>
      </c>
      <c r="C20" s="15" t="s">
        <v>90</v>
      </c>
      <c r="D20" s="15" t="s">
        <v>91</v>
      </c>
      <c r="E20" s="15" t="s">
        <v>92</v>
      </c>
      <c r="F20" s="15" t="s">
        <v>26</v>
      </c>
      <c r="G20" s="34">
        <v>3</v>
      </c>
      <c r="H20" s="34">
        <v>8</v>
      </c>
      <c r="I20" s="15" t="s">
        <v>38</v>
      </c>
      <c r="J20" s="15" t="s">
        <v>39</v>
      </c>
      <c r="K20" s="74" t="s">
        <v>29</v>
      </c>
      <c r="L20" s="16">
        <v>169403341</v>
      </c>
      <c r="M20" s="16">
        <v>26037160</v>
      </c>
      <c r="N20" s="16">
        <v>46301711</v>
      </c>
      <c r="O20" s="16">
        <v>164218702</v>
      </c>
      <c r="P20" s="16">
        <v>145825012</v>
      </c>
      <c r="Q20" s="16">
        <v>5184639</v>
      </c>
      <c r="R20" s="16">
        <v>880369</v>
      </c>
      <c r="S20" s="16">
        <v>44</v>
      </c>
      <c r="T20" s="16">
        <v>8</v>
      </c>
      <c r="U20" s="15" t="str">
        <f t="shared" si="0"/>
        <v>Privado Estrangeiro</v>
      </c>
      <c r="V20" s="17">
        <f t="shared" si="1"/>
        <v>0.15369921187091581</v>
      </c>
      <c r="W20" s="17">
        <f t="shared" si="2"/>
        <v>0.16980333635572312</v>
      </c>
      <c r="X20" s="15" t="str">
        <f t="shared" si="3"/>
        <v>Grande</v>
      </c>
      <c r="Y20" s="121" t="str" cm="1">
        <f t="array" ref="Y20">_xlfn.IFS(ISNUMBER(W20)=FALSE,"Sem dado",W20&gt;0.075,"Excelente",W20&gt;0.04,"Bom",W20&gt;0,"Fraco",TRUE,"Prejuízo")</f>
        <v>Excelente</v>
      </c>
    </row>
    <row r="21" spans="1:25" ht="15" customHeight="1" x14ac:dyDescent="0.2">
      <c r="A21" s="12" t="s">
        <v>93</v>
      </c>
      <c r="B21" s="56">
        <v>59588111</v>
      </c>
      <c r="C21" s="12" t="s">
        <v>94</v>
      </c>
      <c r="D21" s="12" t="s">
        <v>95</v>
      </c>
      <c r="E21" s="12" t="s">
        <v>96</v>
      </c>
      <c r="F21" s="12" t="s">
        <v>26</v>
      </c>
      <c r="G21" s="33">
        <v>2</v>
      </c>
      <c r="H21" s="33">
        <v>8</v>
      </c>
      <c r="I21" s="12" t="s">
        <v>38</v>
      </c>
      <c r="J21" s="12" t="s">
        <v>39</v>
      </c>
      <c r="K21" s="73" t="s">
        <v>29</v>
      </c>
      <c r="L21" s="13">
        <v>147547552</v>
      </c>
      <c r="M21" s="13">
        <v>71981491</v>
      </c>
      <c r="N21" s="13">
        <v>32816913</v>
      </c>
      <c r="O21" s="13">
        <v>134575200</v>
      </c>
      <c r="P21" s="13">
        <v>111045483</v>
      </c>
      <c r="Q21" s="13">
        <v>12972352</v>
      </c>
      <c r="R21" s="13">
        <v>961452</v>
      </c>
      <c r="S21" s="13">
        <v>4</v>
      </c>
      <c r="T21" s="13">
        <v>3</v>
      </c>
      <c r="U21" s="12" t="str">
        <f t="shared" si="0"/>
        <v>Privado Nacional</v>
      </c>
      <c r="V21" s="14">
        <f t="shared" si="1"/>
        <v>0.48785283133670698</v>
      </c>
      <c r="W21" s="14">
        <f t="shared" si="2"/>
        <v>7.4115472660624682E-2</v>
      </c>
      <c r="X21" s="12" t="str">
        <f t="shared" si="3"/>
        <v>Grande</v>
      </c>
      <c r="Y21" s="122" t="str" cm="1">
        <f t="array" ref="Y21">_xlfn.IFS(ISNUMBER(W21)=FALSE,"Sem dado",W21&gt;0.075,"Excelente",W21&gt;0.04,"Bom",W21&gt;0,"Fraco",TRUE,"Prejuízo")</f>
        <v>Bom</v>
      </c>
    </row>
    <row r="22" spans="1:25" ht="15" customHeight="1" x14ac:dyDescent="0.2">
      <c r="A22" s="15" t="s">
        <v>97</v>
      </c>
      <c r="B22" s="60">
        <v>2332886</v>
      </c>
      <c r="C22" s="15" t="s">
        <v>80</v>
      </c>
      <c r="D22" s="15" t="s">
        <v>81</v>
      </c>
      <c r="E22" s="15" t="s">
        <v>82</v>
      </c>
      <c r="F22" s="15" t="s">
        <v>98</v>
      </c>
      <c r="G22" s="34">
        <v>2</v>
      </c>
      <c r="H22" s="34">
        <v>15</v>
      </c>
      <c r="I22" s="15" t="s">
        <v>53</v>
      </c>
      <c r="J22" s="15" t="s">
        <v>54</v>
      </c>
      <c r="K22" s="74" t="s">
        <v>29</v>
      </c>
      <c r="L22" s="16">
        <v>132450653</v>
      </c>
      <c r="M22" s="16">
        <v>147006</v>
      </c>
      <c r="N22" s="16">
        <v>39754591</v>
      </c>
      <c r="O22" s="16">
        <v>125124019</v>
      </c>
      <c r="P22" s="16">
        <v>91424497</v>
      </c>
      <c r="Q22" s="16">
        <v>7326634</v>
      </c>
      <c r="R22" s="16">
        <v>-40139</v>
      </c>
      <c r="S22" s="16">
        <v>5</v>
      </c>
      <c r="T22" s="16">
        <v>0</v>
      </c>
      <c r="U22" s="15" t="str">
        <f t="shared" si="0"/>
        <v>Privado Nacional</v>
      </c>
      <c r="V22" s="17">
        <f t="shared" si="1"/>
        <v>1.1098926027944913E-3</v>
      </c>
      <c r="W22" s="17">
        <f t="shared" si="2"/>
        <v>-5.478504863215496E-3</v>
      </c>
      <c r="X22" s="15" t="str">
        <f t="shared" si="3"/>
        <v>Grande</v>
      </c>
      <c r="Y22" s="121" t="str" cm="1">
        <f t="array" ref="Y22">_xlfn.IFS(ISNUMBER(W22)=FALSE,"Sem dado",W22&gt;0.075,"Excelente",W22&gt;0.04,"Bom",W22&gt;0,"Fraco",TRUE,"Prejuízo")</f>
        <v>Prejuízo</v>
      </c>
    </row>
    <row r="23" spans="1:25" ht="15" customHeight="1" x14ac:dyDescent="0.2">
      <c r="A23" s="12" t="s">
        <v>99</v>
      </c>
      <c r="B23" s="56">
        <v>18236120</v>
      </c>
      <c r="C23" s="12" t="s">
        <v>62</v>
      </c>
      <c r="D23" s="12"/>
      <c r="E23" s="12" t="s">
        <v>64</v>
      </c>
      <c r="F23" s="12" t="s">
        <v>84</v>
      </c>
      <c r="G23" s="33">
        <v>3</v>
      </c>
      <c r="H23" s="33">
        <v>41</v>
      </c>
      <c r="I23" s="12" t="s">
        <v>38</v>
      </c>
      <c r="J23" s="12" t="s">
        <v>39</v>
      </c>
      <c r="K23" s="73" t="s">
        <v>29</v>
      </c>
      <c r="L23" s="13">
        <v>122363230</v>
      </c>
      <c r="M23" s="13">
        <v>75801555</v>
      </c>
      <c r="N23" s="13">
        <v>684426</v>
      </c>
      <c r="O23" s="13">
        <v>99117282</v>
      </c>
      <c r="P23" s="13">
        <v>3084398</v>
      </c>
      <c r="Q23" s="13">
        <v>23245948</v>
      </c>
      <c r="R23" s="13">
        <v>4093013</v>
      </c>
      <c r="S23" s="13">
        <v>1</v>
      </c>
      <c r="T23" s="13">
        <v>0</v>
      </c>
      <c r="U23" s="12" t="str">
        <f t="shared" si="0"/>
        <v>Privado Estrangeiro</v>
      </c>
      <c r="V23" s="14">
        <f t="shared" si="1"/>
        <v>0.61947984700959591</v>
      </c>
      <c r="W23" s="14">
        <f t="shared" si="2"/>
        <v>0.17607425603808458</v>
      </c>
      <c r="X23" s="12" t="str">
        <f t="shared" si="3"/>
        <v>Grande</v>
      </c>
      <c r="Y23" s="122" t="str" cm="1">
        <f t="array" ref="Y23">_xlfn.IFS(ISNUMBER(W23)=FALSE,"Sem dado",W23&gt;0.075,"Excelente",W23&gt;0.04,"Bom",W23&gt;0,"Fraco",TRUE,"Prejuízo")</f>
        <v>Excelente</v>
      </c>
    </row>
    <row r="24" spans="1:25" ht="15" customHeight="1" x14ac:dyDescent="0.2">
      <c r="A24" s="15" t="s">
        <v>100</v>
      </c>
      <c r="B24" s="60">
        <v>31872495</v>
      </c>
      <c r="C24" s="15" t="s">
        <v>101</v>
      </c>
      <c r="D24" s="15" t="s">
        <v>102</v>
      </c>
      <c r="E24" s="15" t="s">
        <v>103</v>
      </c>
      <c r="F24" s="15" t="s">
        <v>26</v>
      </c>
      <c r="G24" s="34">
        <v>2</v>
      </c>
      <c r="H24" s="34">
        <v>8</v>
      </c>
      <c r="I24" s="15" t="s">
        <v>38</v>
      </c>
      <c r="J24" s="15" t="s">
        <v>39</v>
      </c>
      <c r="K24" s="74" t="s">
        <v>29</v>
      </c>
      <c r="L24" s="16">
        <v>117193733</v>
      </c>
      <c r="M24" s="16">
        <v>52508241</v>
      </c>
      <c r="N24" s="16">
        <v>43492491</v>
      </c>
      <c r="O24" s="16">
        <v>114382052</v>
      </c>
      <c r="P24" s="16">
        <v>87601269</v>
      </c>
      <c r="Q24" s="16">
        <v>2811681</v>
      </c>
      <c r="R24" s="16">
        <v>662077</v>
      </c>
      <c r="S24" s="16">
        <v>2</v>
      </c>
      <c r="T24" s="16">
        <v>0</v>
      </c>
      <c r="U24" s="15" t="str">
        <f t="shared" si="0"/>
        <v>Privado Nacional</v>
      </c>
      <c r="V24" s="17">
        <f t="shared" si="1"/>
        <v>0.44804649238368405</v>
      </c>
      <c r="W24" s="17">
        <f t="shared" si="2"/>
        <v>0.23547372550442244</v>
      </c>
      <c r="X24" s="15" t="str">
        <f t="shared" si="3"/>
        <v>Grande</v>
      </c>
      <c r="Y24" s="121" t="str" cm="1">
        <f t="array" ref="Y24">_xlfn.IFS(ISNUMBER(W24)=FALSE,"Sem dado",W24&gt;0.075,"Excelente",W24&gt;0.04,"Bom",W24&gt;0,"Fraco",TRUE,"Prejuízo")</f>
        <v>Excelente</v>
      </c>
    </row>
    <row r="25" spans="1:25" ht="15" customHeight="1" x14ac:dyDescent="0.2">
      <c r="A25" s="12" t="s">
        <v>104</v>
      </c>
      <c r="B25" s="56">
        <v>1027058</v>
      </c>
      <c r="C25" s="12" t="s">
        <v>105</v>
      </c>
      <c r="D25" s="12"/>
      <c r="E25" s="12" t="s">
        <v>106</v>
      </c>
      <c r="F25" s="12" t="s">
        <v>84</v>
      </c>
      <c r="G25" s="33">
        <v>2</v>
      </c>
      <c r="H25" s="33">
        <v>41</v>
      </c>
      <c r="I25" s="12" t="s">
        <v>107</v>
      </c>
      <c r="J25" s="12" t="s">
        <v>39</v>
      </c>
      <c r="K25" s="73" t="s">
        <v>29</v>
      </c>
      <c r="L25" s="13">
        <v>116680888</v>
      </c>
      <c r="M25" s="13">
        <v>0</v>
      </c>
      <c r="N25" s="13">
        <v>6134397</v>
      </c>
      <c r="O25" s="13">
        <v>105006218</v>
      </c>
      <c r="P25" s="13">
        <v>10367314</v>
      </c>
      <c r="Q25" s="13">
        <v>11674670</v>
      </c>
      <c r="R25" s="13">
        <v>566759</v>
      </c>
      <c r="S25" s="13">
        <v>1</v>
      </c>
      <c r="T25" s="13">
        <v>0</v>
      </c>
      <c r="U25" s="12" t="str">
        <f t="shared" si="0"/>
        <v>Privado Nacional</v>
      </c>
      <c r="V25" s="14">
        <f t="shared" si="1"/>
        <v>0</v>
      </c>
      <c r="W25" s="14">
        <f t="shared" si="2"/>
        <v>4.8546040273515223E-2</v>
      </c>
      <c r="X25" s="12" t="str">
        <f t="shared" si="3"/>
        <v>Grande</v>
      </c>
      <c r="Y25" s="122" t="str" cm="1">
        <f t="array" ref="Y25">_xlfn.IFS(ISNUMBER(W25)=FALSE,"Sem dado",W25&gt;0.075,"Excelente",W25&gt;0.04,"Bom",W25&gt;0,"Fraco",TRUE,"Prejuízo")</f>
        <v>Bom</v>
      </c>
    </row>
    <row r="26" spans="1:25" ht="15" customHeight="1" x14ac:dyDescent="0.2">
      <c r="A26" s="15" t="s">
        <v>108</v>
      </c>
      <c r="B26" s="60">
        <v>33172537</v>
      </c>
      <c r="C26" s="15" t="s">
        <v>109</v>
      </c>
      <c r="D26" s="15" t="s">
        <v>110</v>
      </c>
      <c r="E26" s="15" t="s">
        <v>111</v>
      </c>
      <c r="F26" s="15" t="s">
        <v>26</v>
      </c>
      <c r="G26" s="34">
        <v>3</v>
      </c>
      <c r="H26" s="34">
        <v>8</v>
      </c>
      <c r="I26" s="15" t="s">
        <v>38</v>
      </c>
      <c r="J26" s="15" t="s">
        <v>39</v>
      </c>
      <c r="K26" s="74" t="s">
        <v>29</v>
      </c>
      <c r="L26" s="16">
        <v>110025345</v>
      </c>
      <c r="M26" s="16">
        <v>3735715</v>
      </c>
      <c r="N26" s="16">
        <v>62256458</v>
      </c>
      <c r="O26" s="16">
        <v>98253022</v>
      </c>
      <c r="P26" s="16">
        <v>84833031</v>
      </c>
      <c r="Q26" s="16">
        <v>11772323</v>
      </c>
      <c r="R26" s="16">
        <v>1038284</v>
      </c>
      <c r="S26" s="16">
        <v>3</v>
      </c>
      <c r="T26" s="16">
        <v>0</v>
      </c>
      <c r="U26" s="15" t="str">
        <f t="shared" si="0"/>
        <v>Privado Estrangeiro</v>
      </c>
      <c r="V26" s="17">
        <f t="shared" si="1"/>
        <v>3.3953222323456475E-2</v>
      </c>
      <c r="W26" s="17">
        <f t="shared" si="2"/>
        <v>8.819703638780553E-2</v>
      </c>
      <c r="X26" s="15" t="str">
        <f t="shared" si="3"/>
        <v>Grande</v>
      </c>
      <c r="Y26" s="121" t="str" cm="1">
        <f t="array" ref="Y26">_xlfn.IFS(ISNUMBER(W26)=FALSE,"Sem dado",W26&gt;0.075,"Excelente",W26&gt;0.04,"Bom",W26&gt;0,"Fraco",TRUE,"Prejuízo")</f>
        <v>Excelente</v>
      </c>
    </row>
    <row r="27" spans="1:25" ht="15" customHeight="1" x14ac:dyDescent="0.2">
      <c r="A27" s="12" t="s">
        <v>112</v>
      </c>
      <c r="B27" s="56">
        <v>10573521</v>
      </c>
      <c r="C27" s="12" t="s">
        <v>113</v>
      </c>
      <c r="D27" s="12"/>
      <c r="E27" s="12" t="s">
        <v>114</v>
      </c>
      <c r="F27" s="12" t="s">
        <v>84</v>
      </c>
      <c r="G27" s="33">
        <v>3</v>
      </c>
      <c r="H27" s="33">
        <v>41</v>
      </c>
      <c r="I27" s="12" t="s">
        <v>44</v>
      </c>
      <c r="J27" s="12" t="s">
        <v>39</v>
      </c>
      <c r="K27" s="73" t="s">
        <v>29</v>
      </c>
      <c r="L27" s="13">
        <v>105731564</v>
      </c>
      <c r="M27" s="13">
        <v>22485259</v>
      </c>
      <c r="N27" s="13">
        <v>1505659</v>
      </c>
      <c r="O27" s="13">
        <v>102742356</v>
      </c>
      <c r="P27" s="13">
        <v>59815921</v>
      </c>
      <c r="Q27" s="13">
        <v>2989208</v>
      </c>
      <c r="R27" s="13">
        <v>-189822</v>
      </c>
      <c r="S27" s="13">
        <v>1</v>
      </c>
      <c r="T27" s="13">
        <v>0</v>
      </c>
      <c r="U27" s="12" t="str">
        <f t="shared" si="0"/>
        <v>Privado Estrangeiro</v>
      </c>
      <c r="V27" s="14">
        <f t="shared" si="1"/>
        <v>0.2126636375113112</v>
      </c>
      <c r="W27" s="14">
        <f t="shared" si="2"/>
        <v>-6.3502439442153238E-2</v>
      </c>
      <c r="X27" s="12" t="str">
        <f t="shared" si="3"/>
        <v>Grande</v>
      </c>
      <c r="Y27" s="122" t="str" cm="1">
        <f t="array" ref="Y27">_xlfn.IFS(ISNUMBER(W27)=FALSE,"Sem dado",W27&gt;0.075,"Excelente",W27&gt;0.04,"Bom",W27&gt;0,"Fraco",TRUE,"Prejuízo")</f>
        <v>Prejuízo</v>
      </c>
    </row>
    <row r="28" spans="1:25" ht="15" customHeight="1" x14ac:dyDescent="0.2">
      <c r="A28" s="15" t="s">
        <v>115</v>
      </c>
      <c r="B28" s="60">
        <v>416968</v>
      </c>
      <c r="C28" s="15" t="s">
        <v>116</v>
      </c>
      <c r="D28" s="15" t="s">
        <v>117</v>
      </c>
      <c r="E28" s="15" t="s">
        <v>118</v>
      </c>
      <c r="F28" s="15" t="s">
        <v>26</v>
      </c>
      <c r="G28" s="34">
        <v>2</v>
      </c>
      <c r="H28" s="34">
        <v>8</v>
      </c>
      <c r="I28" s="15" t="s">
        <v>119</v>
      </c>
      <c r="J28" s="15" t="s">
        <v>120</v>
      </c>
      <c r="K28" s="74" t="s">
        <v>29</v>
      </c>
      <c r="L28" s="16">
        <v>100898332</v>
      </c>
      <c r="M28" s="16">
        <v>46141022</v>
      </c>
      <c r="N28" s="16">
        <v>28722089</v>
      </c>
      <c r="O28" s="16">
        <v>93446498</v>
      </c>
      <c r="P28" s="16">
        <v>77773587</v>
      </c>
      <c r="Q28" s="16">
        <v>7451834</v>
      </c>
      <c r="R28" s="16">
        <v>712041</v>
      </c>
      <c r="S28" s="16">
        <v>2</v>
      </c>
      <c r="T28" s="16">
        <v>0</v>
      </c>
      <c r="U28" s="15" t="str">
        <f t="shared" si="0"/>
        <v>Privado Nacional</v>
      </c>
      <c r="V28" s="17">
        <f t="shared" si="1"/>
        <v>0.4573021286417302</v>
      </c>
      <c r="W28" s="17">
        <f t="shared" si="2"/>
        <v>9.5552450577938264E-2</v>
      </c>
      <c r="X28" s="15" t="str">
        <f t="shared" si="3"/>
        <v>Grande</v>
      </c>
      <c r="Y28" s="121" t="str" cm="1">
        <f t="array" ref="Y28">_xlfn.IFS(ISNUMBER(W28)=FALSE,"Sem dado",W28&gt;0.075,"Excelente",W28&gt;0.04,"Bom",W28&gt;0,"Fraco",TRUE,"Prejuízo")</f>
        <v>Excelente</v>
      </c>
    </row>
    <row r="29" spans="1:25" ht="15" customHeight="1" x14ac:dyDescent="0.2">
      <c r="A29" s="12" t="s">
        <v>121</v>
      </c>
      <c r="B29" s="56">
        <v>62232889</v>
      </c>
      <c r="C29" s="12" t="s">
        <v>122</v>
      </c>
      <c r="D29" s="12" t="s">
        <v>123</v>
      </c>
      <c r="E29" s="12" t="s">
        <v>124</v>
      </c>
      <c r="F29" s="12" t="s">
        <v>26</v>
      </c>
      <c r="G29" s="33">
        <v>2</v>
      </c>
      <c r="H29" s="33">
        <v>8</v>
      </c>
      <c r="I29" s="12" t="s">
        <v>38</v>
      </c>
      <c r="J29" s="12" t="s">
        <v>39</v>
      </c>
      <c r="K29" s="73" t="s">
        <v>29</v>
      </c>
      <c r="L29" s="13">
        <v>99778656</v>
      </c>
      <c r="M29" s="13">
        <v>53810851</v>
      </c>
      <c r="N29" s="13">
        <v>24713706</v>
      </c>
      <c r="O29" s="13">
        <v>92122935</v>
      </c>
      <c r="P29" s="13">
        <v>82698919</v>
      </c>
      <c r="Q29" s="13">
        <v>7655721</v>
      </c>
      <c r="R29" s="13">
        <v>901621</v>
      </c>
      <c r="S29" s="13">
        <v>53</v>
      </c>
      <c r="T29" s="13">
        <v>0</v>
      </c>
      <c r="U29" s="12" t="str">
        <f t="shared" si="0"/>
        <v>Privado Nacional</v>
      </c>
      <c r="V29" s="14">
        <f t="shared" si="1"/>
        <v>0.53930222311272669</v>
      </c>
      <c r="W29" s="14">
        <f t="shared" si="2"/>
        <v>0.11777088010391183</v>
      </c>
      <c r="X29" s="12" t="str">
        <f t="shared" si="3"/>
        <v>Média/Pequena</v>
      </c>
      <c r="Y29" s="122" t="str" cm="1">
        <f t="array" ref="Y29">_xlfn.IFS(ISNUMBER(W29)=FALSE,"Sem dado",W29&gt;0.075,"Excelente",W29&gt;0.04,"Bom",W29&gt;0,"Fraco",TRUE,"Prejuízo")</f>
        <v>Excelente</v>
      </c>
    </row>
    <row r="30" spans="1:25" ht="15" customHeight="1" x14ac:dyDescent="0.2">
      <c r="A30" s="15" t="s">
        <v>125</v>
      </c>
      <c r="B30" s="60">
        <v>7707650</v>
      </c>
      <c r="C30" s="15" t="s">
        <v>46</v>
      </c>
      <c r="D30" s="15" t="s">
        <v>47</v>
      </c>
      <c r="E30" s="15" t="s">
        <v>48</v>
      </c>
      <c r="F30" s="15" t="s">
        <v>65</v>
      </c>
      <c r="G30" s="34">
        <v>3</v>
      </c>
      <c r="H30" s="34">
        <v>14</v>
      </c>
      <c r="I30" s="15" t="s">
        <v>38</v>
      </c>
      <c r="J30" s="15" t="s">
        <v>39</v>
      </c>
      <c r="K30" s="74" t="s">
        <v>29</v>
      </c>
      <c r="L30" s="16">
        <v>94908733</v>
      </c>
      <c r="M30" s="16">
        <v>78916545</v>
      </c>
      <c r="N30" s="16">
        <v>8626164</v>
      </c>
      <c r="O30" s="16">
        <v>90101084</v>
      </c>
      <c r="P30" s="16">
        <v>84719722</v>
      </c>
      <c r="Q30" s="16">
        <v>4807649</v>
      </c>
      <c r="R30" s="16">
        <v>361088</v>
      </c>
      <c r="S30" s="16">
        <v>1</v>
      </c>
      <c r="T30" s="16">
        <v>0</v>
      </c>
      <c r="U30" s="15" t="str">
        <f t="shared" si="0"/>
        <v>Privado Estrangeiro</v>
      </c>
      <c r="V30" s="17">
        <f t="shared" si="1"/>
        <v>0.83149929943749223</v>
      </c>
      <c r="W30" s="17">
        <f t="shared" si="2"/>
        <v>7.5106980563680911E-2</v>
      </c>
      <c r="X30" s="15" t="str">
        <f t="shared" si="3"/>
        <v>Média/Pequena</v>
      </c>
      <c r="Y30" s="121" t="str" cm="1">
        <f t="array" ref="Y30">_xlfn.IFS(ISNUMBER(W30)=FALSE,"Sem dado",W30&gt;0.075,"Excelente",W30&gt;0.04,"Bom",W30&gt;0,"Fraco",TRUE,"Prejuízo")</f>
        <v>Excelente</v>
      </c>
    </row>
    <row r="31" spans="1:25" ht="15" customHeight="1" x14ac:dyDescent="0.2">
      <c r="A31" s="12" t="s">
        <v>126</v>
      </c>
      <c r="B31" s="56">
        <v>16501555</v>
      </c>
      <c r="C31" s="12" t="s">
        <v>127</v>
      </c>
      <c r="D31" s="12"/>
      <c r="E31" s="12" t="s">
        <v>128</v>
      </c>
      <c r="F31" s="12" t="s">
        <v>84</v>
      </c>
      <c r="G31" s="33">
        <v>3</v>
      </c>
      <c r="H31" s="33">
        <v>41</v>
      </c>
      <c r="I31" s="12" t="s">
        <v>38</v>
      </c>
      <c r="J31" s="12" t="s">
        <v>39</v>
      </c>
      <c r="K31" s="73" t="s">
        <v>29</v>
      </c>
      <c r="L31" s="13">
        <v>89229885</v>
      </c>
      <c r="M31" s="13">
        <v>0</v>
      </c>
      <c r="N31" s="13">
        <v>33856104</v>
      </c>
      <c r="O31" s="13">
        <v>86020632</v>
      </c>
      <c r="P31" s="13">
        <v>35329072</v>
      </c>
      <c r="Q31" s="13">
        <v>3209254</v>
      </c>
      <c r="R31" s="13">
        <v>867035</v>
      </c>
      <c r="S31" s="13">
        <v>1</v>
      </c>
      <c r="T31" s="13">
        <v>0</v>
      </c>
      <c r="U31" s="12" t="str">
        <f t="shared" si="0"/>
        <v>Privado Estrangeiro</v>
      </c>
      <c r="V31" s="14">
        <f t="shared" si="1"/>
        <v>0</v>
      </c>
      <c r="W31" s="14">
        <f t="shared" si="2"/>
        <v>0.27016714787922674</v>
      </c>
      <c r="X31" s="12" t="str">
        <f t="shared" si="3"/>
        <v>Média/Pequena</v>
      </c>
      <c r="Y31" s="122" t="str" cm="1">
        <f t="array" ref="Y31">_xlfn.IFS(ISNUMBER(W31)=FALSE,"Sem dado",W31&gt;0.075,"Excelente",W31&gt;0.04,"Bom",W31&gt;0,"Fraco",TRUE,"Prejuízo")</f>
        <v>Excelente</v>
      </c>
    </row>
    <row r="32" spans="1:25" ht="15" customHeight="1" x14ac:dyDescent="0.2">
      <c r="A32" s="15" t="s">
        <v>129</v>
      </c>
      <c r="B32" s="60">
        <v>7237373</v>
      </c>
      <c r="C32" s="15" t="s">
        <v>130</v>
      </c>
      <c r="D32" s="15"/>
      <c r="E32" s="15" t="s">
        <v>131</v>
      </c>
      <c r="F32" s="15" t="s">
        <v>26</v>
      </c>
      <c r="G32" s="34">
        <v>1</v>
      </c>
      <c r="H32" s="34">
        <v>8</v>
      </c>
      <c r="I32" s="15" t="s">
        <v>132</v>
      </c>
      <c r="J32" s="15" t="s">
        <v>133</v>
      </c>
      <c r="K32" s="74" t="s">
        <v>29</v>
      </c>
      <c r="L32" s="16">
        <v>81039783</v>
      </c>
      <c r="M32" s="16">
        <v>17779920</v>
      </c>
      <c r="N32" s="16">
        <v>44768452</v>
      </c>
      <c r="O32" s="16">
        <v>64226772</v>
      </c>
      <c r="P32" s="16">
        <v>23269171</v>
      </c>
      <c r="Q32" s="16">
        <v>16813010</v>
      </c>
      <c r="R32" s="16">
        <v>1057412</v>
      </c>
      <c r="S32" s="16">
        <v>301</v>
      </c>
      <c r="T32" s="16">
        <v>1</v>
      </c>
      <c r="U32" s="15" t="str">
        <f t="shared" si="0"/>
        <v>Público</v>
      </c>
      <c r="V32" s="17">
        <f t="shared" si="1"/>
        <v>0.2193974285444471</v>
      </c>
      <c r="W32" s="17">
        <f t="shared" si="2"/>
        <v>6.2892486235361783E-2</v>
      </c>
      <c r="X32" s="15" t="str">
        <f t="shared" si="3"/>
        <v>Média/Pequena</v>
      </c>
      <c r="Y32" s="121" t="str" cm="1">
        <f t="array" ref="Y32">_xlfn.IFS(ISNUMBER(W32)=FALSE,"Sem dado",W32&gt;0.075,"Excelente",W32&gt;0.04,"Bom",W32&gt;0,"Fraco",TRUE,"Prejuízo")</f>
        <v>Bom</v>
      </c>
    </row>
    <row r="33" spans="1:25" ht="15" customHeight="1" x14ac:dyDescent="0.2">
      <c r="A33" s="12" t="s">
        <v>134</v>
      </c>
      <c r="B33" s="56">
        <v>59285411</v>
      </c>
      <c r="C33" s="12" t="s">
        <v>56</v>
      </c>
      <c r="D33" s="12" t="s">
        <v>57</v>
      </c>
      <c r="E33" s="12" t="s">
        <v>58</v>
      </c>
      <c r="F33" s="12" t="s">
        <v>26</v>
      </c>
      <c r="G33" s="33">
        <v>2</v>
      </c>
      <c r="H33" s="33">
        <v>8</v>
      </c>
      <c r="I33" s="12" t="s">
        <v>53</v>
      </c>
      <c r="J33" s="12" t="s">
        <v>54</v>
      </c>
      <c r="K33" s="73" t="s">
        <v>29</v>
      </c>
      <c r="L33" s="13">
        <v>77255474</v>
      </c>
      <c r="M33" s="13">
        <v>35566859</v>
      </c>
      <c r="N33" s="13">
        <v>24319234</v>
      </c>
      <c r="O33" s="13">
        <v>68495128</v>
      </c>
      <c r="P33" s="13">
        <v>64315922</v>
      </c>
      <c r="Q33" s="13">
        <v>8760346</v>
      </c>
      <c r="R33" s="13">
        <v>689725</v>
      </c>
      <c r="S33" s="13">
        <v>2</v>
      </c>
      <c r="T33" s="13">
        <v>0</v>
      </c>
      <c r="U33" s="12" t="str">
        <f t="shared" si="0"/>
        <v>Privado Nacional</v>
      </c>
      <c r="V33" s="14">
        <f t="shared" si="1"/>
        <v>0.46037979134009327</v>
      </c>
      <c r="W33" s="14">
        <f t="shared" si="2"/>
        <v>7.8732620834839173E-2</v>
      </c>
      <c r="X33" s="12" t="str">
        <f t="shared" si="3"/>
        <v>Média/Pequena</v>
      </c>
      <c r="Y33" s="122" t="str" cm="1">
        <f t="array" ref="Y33">_xlfn.IFS(ISNUMBER(W33)=FALSE,"Sem dado",W33&gt;0.075,"Excelente",W33&gt;0.04,"Bom",W33&gt;0,"Fraco",TRUE,"Prejuízo")</f>
        <v>Excelente</v>
      </c>
    </row>
    <row r="34" spans="1:25" ht="15" customHeight="1" x14ac:dyDescent="0.2">
      <c r="A34" s="15" t="s">
        <v>135</v>
      </c>
      <c r="B34" s="60">
        <v>10440482</v>
      </c>
      <c r="C34" s="15" t="s">
        <v>46</v>
      </c>
      <c r="D34" s="15"/>
      <c r="E34" s="15" t="s">
        <v>48</v>
      </c>
      <c r="F34" s="15" t="s">
        <v>84</v>
      </c>
      <c r="G34" s="34">
        <v>3</v>
      </c>
      <c r="H34" s="34">
        <v>41</v>
      </c>
      <c r="I34" s="15" t="s">
        <v>38</v>
      </c>
      <c r="J34" s="15" t="s">
        <v>39</v>
      </c>
      <c r="K34" s="74" t="s">
        <v>29</v>
      </c>
      <c r="L34" s="16">
        <v>74198667</v>
      </c>
      <c r="M34" s="16">
        <v>0</v>
      </c>
      <c r="N34" s="16">
        <v>471650</v>
      </c>
      <c r="O34" s="16">
        <v>70373351</v>
      </c>
      <c r="P34" s="16">
        <v>457227</v>
      </c>
      <c r="Q34" s="16">
        <v>3825316</v>
      </c>
      <c r="R34" s="16">
        <v>529101</v>
      </c>
      <c r="S34" s="16">
        <v>1</v>
      </c>
      <c r="T34" s="16">
        <v>0</v>
      </c>
      <c r="U34" s="15" t="str">
        <f t="shared" si="0"/>
        <v>Privado Estrangeiro</v>
      </c>
      <c r="V34" s="17">
        <f t="shared" si="1"/>
        <v>0</v>
      </c>
      <c r="W34" s="17">
        <f t="shared" si="2"/>
        <v>0.13831563196347701</v>
      </c>
      <c r="X34" s="15" t="str">
        <f t="shared" si="3"/>
        <v>Média/Pequena</v>
      </c>
      <c r="Y34" s="121" t="str" cm="1">
        <f t="array" ref="Y34">_xlfn.IFS(ISNUMBER(W34)=FALSE,"Sem dado",W34&gt;0.075,"Excelente",W34&gt;0.04,"Bom",W34&gt;0,"Fraco",TRUE,"Prejuízo")</f>
        <v>Excelente</v>
      </c>
    </row>
    <row r="35" spans="1:25" ht="15" customHeight="1" x14ac:dyDescent="0.2">
      <c r="A35" s="12" t="s">
        <v>136</v>
      </c>
      <c r="B35" s="56">
        <v>8561701</v>
      </c>
      <c r="C35" s="12" t="s">
        <v>137</v>
      </c>
      <c r="D35" s="12"/>
      <c r="E35" s="12" t="s">
        <v>138</v>
      </c>
      <c r="F35" s="12" t="s">
        <v>84</v>
      </c>
      <c r="G35" s="33">
        <v>2</v>
      </c>
      <c r="H35" s="33">
        <v>41</v>
      </c>
      <c r="I35" s="12" t="s">
        <v>38</v>
      </c>
      <c r="J35" s="12" t="s">
        <v>39</v>
      </c>
      <c r="K35" s="73" t="s">
        <v>29</v>
      </c>
      <c r="L35" s="13">
        <v>73530147</v>
      </c>
      <c r="M35" s="13">
        <v>746551</v>
      </c>
      <c r="N35" s="13">
        <v>5259611</v>
      </c>
      <c r="O35" s="13">
        <v>67499312</v>
      </c>
      <c r="P35" s="13">
        <v>46766864</v>
      </c>
      <c r="Q35" s="13">
        <v>6030835</v>
      </c>
      <c r="R35" s="13">
        <v>463519</v>
      </c>
      <c r="S35" s="13">
        <v>1</v>
      </c>
      <c r="T35" s="13">
        <v>0</v>
      </c>
      <c r="U35" s="12" t="str">
        <f t="shared" si="0"/>
        <v>Privado Nacional</v>
      </c>
      <c r="V35" s="14">
        <f t="shared" si="1"/>
        <v>1.0152992078201611E-2</v>
      </c>
      <c r="W35" s="14">
        <f t="shared" si="2"/>
        <v>7.6858179671637508E-2</v>
      </c>
      <c r="X35" s="12" t="str">
        <f t="shared" si="3"/>
        <v>Média/Pequena</v>
      </c>
      <c r="Y35" s="122" t="str" cm="1">
        <f t="array" ref="Y35">_xlfn.IFS(ISNUMBER(W35)=FALSE,"Sem dado",W35&gt;0.075,"Excelente",W35&gt;0.04,"Bom",W35&gt;0,"Fraco",TRUE,"Prejuízo")</f>
        <v>Excelente</v>
      </c>
    </row>
    <row r="36" spans="1:25" ht="15" customHeight="1" x14ac:dyDescent="0.2">
      <c r="A36" s="15" t="s">
        <v>139</v>
      </c>
      <c r="B36" s="60">
        <v>7207996</v>
      </c>
      <c r="C36" s="15" t="s">
        <v>41</v>
      </c>
      <c r="D36" s="15" t="s">
        <v>42</v>
      </c>
      <c r="E36" s="15" t="s">
        <v>43</v>
      </c>
      <c r="F36" s="15" t="s">
        <v>26</v>
      </c>
      <c r="G36" s="34">
        <v>2</v>
      </c>
      <c r="H36" s="34">
        <v>8</v>
      </c>
      <c r="I36" s="15" t="s">
        <v>44</v>
      </c>
      <c r="J36" s="15" t="s">
        <v>39</v>
      </c>
      <c r="K36" s="74" t="s">
        <v>29</v>
      </c>
      <c r="L36" s="16">
        <v>68748096</v>
      </c>
      <c r="M36" s="16">
        <v>52483412</v>
      </c>
      <c r="N36" s="16">
        <v>60748</v>
      </c>
      <c r="O36" s="16">
        <v>68114489</v>
      </c>
      <c r="P36" s="16">
        <v>65248099</v>
      </c>
      <c r="Q36" s="16">
        <v>633608</v>
      </c>
      <c r="R36" s="16">
        <v>12331</v>
      </c>
      <c r="S36" s="16">
        <v>2</v>
      </c>
      <c r="T36" s="16">
        <v>5</v>
      </c>
      <c r="U36" s="15" t="str">
        <f t="shared" si="0"/>
        <v>Privado Nacional</v>
      </c>
      <c r="V36" s="17">
        <f t="shared" si="1"/>
        <v>0.76341622610173809</v>
      </c>
      <c r="W36" s="17">
        <f t="shared" si="2"/>
        <v>1.946155982879004E-2</v>
      </c>
      <c r="X36" s="15" t="str">
        <f t="shared" si="3"/>
        <v>Média/Pequena</v>
      </c>
      <c r="Y36" s="121" t="str" cm="1">
        <f t="array" ref="Y36">_xlfn.IFS(ISNUMBER(W36)=FALSE,"Sem dado",W36&gt;0.075,"Excelente",W36&gt;0.04,"Bom",W36&gt;0,"Fraco",TRUE,"Prejuízo")</f>
        <v>Fraco</v>
      </c>
    </row>
    <row r="37" spans="1:25" ht="15" customHeight="1" x14ac:dyDescent="0.2">
      <c r="A37" s="12" t="s">
        <v>140</v>
      </c>
      <c r="B37" s="56">
        <v>4902979</v>
      </c>
      <c r="C37" s="12" t="s">
        <v>141</v>
      </c>
      <c r="D37" s="12"/>
      <c r="E37" s="12" t="s">
        <v>142</v>
      </c>
      <c r="F37" s="12" t="s">
        <v>26</v>
      </c>
      <c r="G37" s="33">
        <v>1</v>
      </c>
      <c r="H37" s="33">
        <v>2</v>
      </c>
      <c r="I37" s="12" t="s">
        <v>143</v>
      </c>
      <c r="J37" s="12" t="s">
        <v>144</v>
      </c>
      <c r="K37" s="73" t="s">
        <v>29</v>
      </c>
      <c r="L37" s="13">
        <v>67352881</v>
      </c>
      <c r="M37" s="13">
        <v>38713829</v>
      </c>
      <c r="N37" s="13">
        <v>21699434</v>
      </c>
      <c r="O37" s="13">
        <v>60078810</v>
      </c>
      <c r="P37" s="13">
        <v>15601132</v>
      </c>
      <c r="Q37" s="13">
        <v>7274071</v>
      </c>
      <c r="R37" s="13">
        <v>353060</v>
      </c>
      <c r="S37" s="13">
        <v>115</v>
      </c>
      <c r="T37" s="13">
        <v>0</v>
      </c>
      <c r="U37" s="12" t="str">
        <f t="shared" si="0"/>
        <v>Público</v>
      </c>
      <c r="V37" s="14">
        <f t="shared" si="1"/>
        <v>0.57479098778269044</v>
      </c>
      <c r="W37" s="14">
        <f t="shared" si="2"/>
        <v>4.8536782222774563E-2</v>
      </c>
      <c r="X37" s="12" t="str">
        <f t="shared" si="3"/>
        <v>Média/Pequena</v>
      </c>
      <c r="Y37" s="122" t="str" cm="1">
        <f t="array" ref="Y37">_xlfn.IFS(ISNUMBER(W37)=FALSE,"Sem dado",W37&gt;0.075,"Excelente",W37&gt;0.04,"Bom",W37&gt;0,"Fraco",TRUE,"Prejuízo")</f>
        <v>Bom</v>
      </c>
    </row>
    <row r="38" spans="1:25" ht="15" customHeight="1" x14ac:dyDescent="0.2">
      <c r="A38" s="15" t="s">
        <v>145</v>
      </c>
      <c r="B38" s="60">
        <v>28195667</v>
      </c>
      <c r="C38" s="15" t="s">
        <v>146</v>
      </c>
      <c r="D38" s="15" t="s">
        <v>147</v>
      </c>
      <c r="E38" s="15" t="s">
        <v>148</v>
      </c>
      <c r="F38" s="15" t="s">
        <v>26</v>
      </c>
      <c r="G38" s="34">
        <v>3</v>
      </c>
      <c r="H38" s="34">
        <v>8</v>
      </c>
      <c r="I38" s="15" t="s">
        <v>38</v>
      </c>
      <c r="J38" s="15" t="s">
        <v>39</v>
      </c>
      <c r="K38" s="74" t="s">
        <v>29</v>
      </c>
      <c r="L38" s="16">
        <v>66147427</v>
      </c>
      <c r="M38" s="16">
        <v>18520743</v>
      </c>
      <c r="N38" s="16">
        <v>29173812</v>
      </c>
      <c r="O38" s="16">
        <v>58888511</v>
      </c>
      <c r="P38" s="16">
        <v>50226679</v>
      </c>
      <c r="Q38" s="16">
        <v>7258915</v>
      </c>
      <c r="R38" s="16">
        <v>487535</v>
      </c>
      <c r="S38" s="16">
        <v>13</v>
      </c>
      <c r="T38" s="16">
        <v>0</v>
      </c>
      <c r="U38" s="15" t="str">
        <f t="shared" si="0"/>
        <v>Privado Estrangeiro</v>
      </c>
      <c r="V38" s="17">
        <f t="shared" si="1"/>
        <v>0.27999188842220574</v>
      </c>
      <c r="W38" s="17">
        <f t="shared" si="2"/>
        <v>6.7163618805289774E-2</v>
      </c>
      <c r="X38" s="15" t="str">
        <f t="shared" si="3"/>
        <v>Média/Pequena</v>
      </c>
      <c r="Y38" s="121" t="str" cm="1">
        <f t="array" ref="Y38">_xlfn.IFS(ISNUMBER(W38)=FALSE,"Sem dado",W38&gt;0.075,"Excelente",W38&gt;0.04,"Bom",W38&gt;0,"Fraco",TRUE,"Prejuízo")</f>
        <v>Bom</v>
      </c>
    </row>
    <row r="39" spans="1:25" ht="15" customHeight="1" x14ac:dyDescent="0.2">
      <c r="A39" s="12" t="s">
        <v>149</v>
      </c>
      <c r="B39" s="56">
        <v>59109165</v>
      </c>
      <c r="C39" s="12" t="s">
        <v>150</v>
      </c>
      <c r="D39" s="12"/>
      <c r="E39" s="12" t="s">
        <v>151</v>
      </c>
      <c r="F39" s="12" t="s">
        <v>60</v>
      </c>
      <c r="G39" s="33">
        <v>3</v>
      </c>
      <c r="H39" s="33">
        <v>8</v>
      </c>
      <c r="I39" s="12" t="s">
        <v>38</v>
      </c>
      <c r="J39" s="12" t="s">
        <v>39</v>
      </c>
      <c r="K39" s="73" t="s">
        <v>29</v>
      </c>
      <c r="L39" s="13">
        <v>61250495</v>
      </c>
      <c r="M39" s="13">
        <v>50345582</v>
      </c>
      <c r="N39" s="13">
        <v>819927</v>
      </c>
      <c r="O39" s="13">
        <v>55986251</v>
      </c>
      <c r="P39" s="13">
        <v>47916041</v>
      </c>
      <c r="Q39" s="13">
        <v>5264244</v>
      </c>
      <c r="R39" s="13">
        <v>-203091</v>
      </c>
      <c r="S39" s="13">
        <v>2</v>
      </c>
      <c r="T39" s="13">
        <v>0</v>
      </c>
      <c r="U39" s="12" t="str">
        <f t="shared" si="0"/>
        <v>Privado Estrangeiro</v>
      </c>
      <c r="V39" s="14">
        <f t="shared" si="1"/>
        <v>0.8219620429190001</v>
      </c>
      <c r="W39" s="14">
        <f t="shared" si="2"/>
        <v>-3.8579328769715079E-2</v>
      </c>
      <c r="X39" s="12" t="str">
        <f t="shared" si="3"/>
        <v>Média/Pequena</v>
      </c>
      <c r="Y39" s="122" t="str" cm="1">
        <f t="array" ref="Y39">_xlfn.IFS(ISNUMBER(W39)=FALSE,"Sem dado",W39&gt;0.075,"Excelente",W39&gt;0.04,"Bom",W39&gt;0,"Fraco",TRUE,"Prejuízo")</f>
        <v>Prejuízo</v>
      </c>
    </row>
    <row r="40" spans="1:25" ht="15" customHeight="1" x14ac:dyDescent="0.2">
      <c r="A40" s="15" t="s">
        <v>152</v>
      </c>
      <c r="B40" s="60">
        <v>1522368</v>
      </c>
      <c r="C40" s="15" t="s">
        <v>153</v>
      </c>
      <c r="D40" s="15"/>
      <c r="E40" s="15" t="s">
        <v>154</v>
      </c>
      <c r="F40" s="15" t="s">
        <v>26</v>
      </c>
      <c r="G40" s="34">
        <v>3</v>
      </c>
      <c r="H40" s="34">
        <v>8</v>
      </c>
      <c r="I40" s="15" t="s">
        <v>38</v>
      </c>
      <c r="J40" s="15" t="s">
        <v>39</v>
      </c>
      <c r="K40" s="74" t="s">
        <v>29</v>
      </c>
      <c r="L40" s="16">
        <v>58787929</v>
      </c>
      <c r="M40" s="16">
        <v>6716037</v>
      </c>
      <c r="N40" s="16">
        <v>21646070</v>
      </c>
      <c r="O40" s="16">
        <v>54077310</v>
      </c>
      <c r="P40" s="16">
        <v>34516225</v>
      </c>
      <c r="Q40" s="16">
        <v>4710619</v>
      </c>
      <c r="R40" s="16">
        <v>86546</v>
      </c>
      <c r="S40" s="16">
        <v>2</v>
      </c>
      <c r="T40" s="16">
        <v>0</v>
      </c>
      <c r="U40" s="15" t="str">
        <f t="shared" si="0"/>
        <v>Privado Estrangeiro</v>
      </c>
      <c r="V40" s="17">
        <f t="shared" si="1"/>
        <v>0.1142417689182417</v>
      </c>
      <c r="W40" s="17">
        <f t="shared" si="2"/>
        <v>1.8372532357212503E-2</v>
      </c>
      <c r="X40" s="15" t="str">
        <f t="shared" si="3"/>
        <v>Média/Pequena</v>
      </c>
      <c r="Y40" s="121" t="str" cm="1">
        <f t="array" ref="Y40">_xlfn.IFS(ISNUMBER(W40)=FALSE,"Sem dado",W40&gt;0.075,"Excelente",W40&gt;0.04,"Bom",W40&gt;0,"Fraco",TRUE,"Prejuízo")</f>
        <v>Fraco</v>
      </c>
    </row>
    <row r="41" spans="1:25" ht="15" customHeight="1" x14ac:dyDescent="0.2">
      <c r="A41" s="12" t="s">
        <v>155</v>
      </c>
      <c r="B41" s="56">
        <v>61348538</v>
      </c>
      <c r="C41" s="12" t="s">
        <v>101</v>
      </c>
      <c r="D41" s="12" t="s">
        <v>102</v>
      </c>
      <c r="E41" s="12" t="s">
        <v>103</v>
      </c>
      <c r="F41" s="12" t="s">
        <v>26</v>
      </c>
      <c r="G41" s="33">
        <v>2</v>
      </c>
      <c r="H41" s="33">
        <v>8</v>
      </c>
      <c r="I41" s="12" t="s">
        <v>38</v>
      </c>
      <c r="J41" s="12" t="s">
        <v>39</v>
      </c>
      <c r="K41" s="73" t="s">
        <v>29</v>
      </c>
      <c r="L41" s="13">
        <v>56164263</v>
      </c>
      <c r="M41" s="13">
        <v>42537256</v>
      </c>
      <c r="N41" s="13">
        <v>7432727</v>
      </c>
      <c r="O41" s="13">
        <v>52511688</v>
      </c>
      <c r="P41" s="13">
        <v>39443515</v>
      </c>
      <c r="Q41" s="13">
        <v>3652575</v>
      </c>
      <c r="R41" s="13">
        <v>559375</v>
      </c>
      <c r="S41" s="13">
        <v>2</v>
      </c>
      <c r="T41" s="13">
        <v>0</v>
      </c>
      <c r="U41" s="12" t="str">
        <f t="shared" si="0"/>
        <v>Privado Nacional</v>
      </c>
      <c r="V41" s="14">
        <f t="shared" si="1"/>
        <v>0.7573722813740118</v>
      </c>
      <c r="W41" s="14">
        <f t="shared" si="2"/>
        <v>0.15314538373613135</v>
      </c>
      <c r="X41" s="12" t="str">
        <f t="shared" si="3"/>
        <v>Média/Pequena</v>
      </c>
      <c r="Y41" s="122" t="str" cm="1">
        <f t="array" ref="Y41">_xlfn.IFS(ISNUMBER(W41)=FALSE,"Sem dado",W41&gt;0.075,"Excelente",W41&gt;0.04,"Bom",W41&gt;0,"Fraco",TRUE,"Prejuízo")</f>
        <v>Excelente</v>
      </c>
    </row>
    <row r="42" spans="1:25" ht="15" customHeight="1" x14ac:dyDescent="0.2">
      <c r="A42" s="15" t="s">
        <v>156</v>
      </c>
      <c r="B42" s="60">
        <v>1023570</v>
      </c>
      <c r="C42" s="15" t="s">
        <v>157</v>
      </c>
      <c r="D42" s="15"/>
      <c r="E42" s="15" t="s">
        <v>158</v>
      </c>
      <c r="F42" s="15" t="s">
        <v>26</v>
      </c>
      <c r="G42" s="34">
        <v>3</v>
      </c>
      <c r="H42" s="34">
        <v>8</v>
      </c>
      <c r="I42" s="15" t="s">
        <v>38</v>
      </c>
      <c r="J42" s="15" t="s">
        <v>39</v>
      </c>
      <c r="K42" s="74" t="s">
        <v>29</v>
      </c>
      <c r="L42" s="16">
        <v>54678970</v>
      </c>
      <c r="M42" s="16">
        <v>37932273</v>
      </c>
      <c r="N42" s="16">
        <v>7485572</v>
      </c>
      <c r="O42" s="16">
        <v>48983962</v>
      </c>
      <c r="P42" s="16">
        <v>44719472</v>
      </c>
      <c r="Q42" s="16">
        <v>5695008</v>
      </c>
      <c r="R42" s="16">
        <v>270816</v>
      </c>
      <c r="S42" s="16">
        <v>19</v>
      </c>
      <c r="T42" s="16">
        <v>0</v>
      </c>
      <c r="U42" s="15" t="str">
        <f t="shared" si="0"/>
        <v>Privado Estrangeiro</v>
      </c>
      <c r="V42" s="17">
        <f t="shared" si="1"/>
        <v>0.69372691182734425</v>
      </c>
      <c r="W42" s="17">
        <f t="shared" si="2"/>
        <v>4.755322556175514E-2</v>
      </c>
      <c r="X42" s="15" t="str">
        <f t="shared" si="3"/>
        <v>Média/Pequena</v>
      </c>
      <c r="Y42" s="121" t="str" cm="1">
        <f t="array" ref="Y42">_xlfn.IFS(ISNUMBER(W42)=FALSE,"Sem dado",W42&gt;0.075,"Excelente",W42&gt;0.04,"Bom",W42&gt;0,"Fraco",TRUE,"Prejuízo")</f>
        <v>Bom</v>
      </c>
    </row>
    <row r="43" spans="1:25" ht="15" customHeight="1" x14ac:dyDescent="0.2">
      <c r="A43" s="12" t="s">
        <v>159</v>
      </c>
      <c r="B43" s="56">
        <v>10264663</v>
      </c>
      <c r="C43" s="12" t="s">
        <v>137</v>
      </c>
      <c r="D43" s="12" t="s">
        <v>160</v>
      </c>
      <c r="E43" s="12" t="s">
        <v>138</v>
      </c>
      <c r="F43" s="12" t="s">
        <v>26</v>
      </c>
      <c r="G43" s="33">
        <v>2</v>
      </c>
      <c r="H43" s="33">
        <v>8</v>
      </c>
      <c r="I43" s="12" t="s">
        <v>38</v>
      </c>
      <c r="J43" s="12" t="s">
        <v>39</v>
      </c>
      <c r="K43" s="73" t="s">
        <v>29</v>
      </c>
      <c r="L43" s="13">
        <v>52291197</v>
      </c>
      <c r="M43" s="13">
        <v>47649262</v>
      </c>
      <c r="N43" s="13">
        <v>355175</v>
      </c>
      <c r="O43" s="13">
        <v>50569304</v>
      </c>
      <c r="P43" s="13">
        <v>50254095</v>
      </c>
      <c r="Q43" s="13">
        <v>1721893</v>
      </c>
      <c r="R43" s="13">
        <v>66118</v>
      </c>
      <c r="S43" s="13">
        <v>2</v>
      </c>
      <c r="T43" s="13">
        <v>0</v>
      </c>
      <c r="U43" s="12" t="str">
        <f t="shared" si="0"/>
        <v>Privado Nacional</v>
      </c>
      <c r="V43" s="14">
        <f t="shared" si="1"/>
        <v>0.91122913097590785</v>
      </c>
      <c r="W43" s="14">
        <f t="shared" si="2"/>
        <v>3.8398437068970025E-2</v>
      </c>
      <c r="X43" s="12" t="str">
        <f t="shared" si="3"/>
        <v>Média/Pequena</v>
      </c>
      <c r="Y43" s="122" t="str" cm="1">
        <f t="array" ref="Y43">_xlfn.IFS(ISNUMBER(W43)=FALSE,"Sem dado",W43&gt;0.075,"Excelente",W43&gt;0.04,"Bom",W43&gt;0,"Fraco",TRUE,"Prejuízo")</f>
        <v>Fraco</v>
      </c>
    </row>
    <row r="44" spans="1:25" ht="15" customHeight="1" x14ac:dyDescent="0.2">
      <c r="A44" s="15" t="s">
        <v>161</v>
      </c>
      <c r="B44" s="60">
        <v>10664513</v>
      </c>
      <c r="C44" s="15" t="s">
        <v>162</v>
      </c>
      <c r="D44" s="15" t="s">
        <v>163</v>
      </c>
      <c r="E44" s="15" t="s">
        <v>164</v>
      </c>
      <c r="F44" s="15" t="s">
        <v>26</v>
      </c>
      <c r="G44" s="34">
        <v>3</v>
      </c>
      <c r="H44" s="34">
        <v>2</v>
      </c>
      <c r="I44" s="15" t="s">
        <v>165</v>
      </c>
      <c r="J44" s="15" t="s">
        <v>39</v>
      </c>
      <c r="K44" s="74" t="s">
        <v>29</v>
      </c>
      <c r="L44" s="16">
        <v>51241770</v>
      </c>
      <c r="M44" s="16">
        <v>34675580</v>
      </c>
      <c r="N44" s="16">
        <v>10607480</v>
      </c>
      <c r="O44" s="16">
        <v>47809811</v>
      </c>
      <c r="P44" s="16">
        <v>31576717</v>
      </c>
      <c r="Q44" s="16">
        <v>3431960</v>
      </c>
      <c r="R44" s="16">
        <v>167735</v>
      </c>
      <c r="S44" s="16">
        <v>2</v>
      </c>
      <c r="T44" s="16">
        <v>340</v>
      </c>
      <c r="U44" s="15" t="str">
        <f t="shared" si="0"/>
        <v>Privado Estrangeiro</v>
      </c>
      <c r="V44" s="17">
        <f t="shared" si="1"/>
        <v>0.6767053519033398</v>
      </c>
      <c r="W44" s="17">
        <f t="shared" si="2"/>
        <v>4.8874404130584276E-2</v>
      </c>
      <c r="X44" s="15" t="str">
        <f t="shared" si="3"/>
        <v>Média/Pequena</v>
      </c>
      <c r="Y44" s="121" t="str" cm="1">
        <f t="array" ref="Y44">_xlfn.IFS(ISNUMBER(W44)=FALSE,"Sem dado",W44&gt;0.075,"Excelente",W44&gt;0.04,"Bom",W44&gt;0,"Fraco",TRUE,"Prejuízo")</f>
        <v>Bom</v>
      </c>
    </row>
    <row r="45" spans="1:25" ht="15" customHeight="1" x14ac:dyDescent="0.2">
      <c r="A45" s="12" t="s">
        <v>166</v>
      </c>
      <c r="B45" s="56">
        <v>61186680</v>
      </c>
      <c r="C45" s="12" t="s">
        <v>167</v>
      </c>
      <c r="D45" s="12" t="s">
        <v>168</v>
      </c>
      <c r="E45" s="12" t="s">
        <v>169</v>
      </c>
      <c r="F45" s="12" t="s">
        <v>26</v>
      </c>
      <c r="G45" s="33">
        <v>2</v>
      </c>
      <c r="H45" s="33">
        <v>8</v>
      </c>
      <c r="I45" s="12" t="s">
        <v>38</v>
      </c>
      <c r="J45" s="12" t="s">
        <v>39</v>
      </c>
      <c r="K45" s="73" t="s">
        <v>29</v>
      </c>
      <c r="L45" s="13">
        <v>50846808</v>
      </c>
      <c r="M45" s="13">
        <v>21352794</v>
      </c>
      <c r="N45" s="13">
        <v>13897187</v>
      </c>
      <c r="O45" s="13">
        <v>46527758</v>
      </c>
      <c r="P45" s="13">
        <v>37011430</v>
      </c>
      <c r="Q45" s="13">
        <v>4319050</v>
      </c>
      <c r="R45" s="13">
        <v>304550</v>
      </c>
      <c r="S45" s="13">
        <v>27</v>
      </c>
      <c r="T45" s="13">
        <v>2</v>
      </c>
      <c r="U45" s="12" t="str">
        <f t="shared" si="0"/>
        <v>Privado Nacional</v>
      </c>
      <c r="V45" s="14">
        <f t="shared" si="1"/>
        <v>0.41994364720003663</v>
      </c>
      <c r="W45" s="14">
        <f t="shared" si="2"/>
        <v>7.0513191558328803E-2</v>
      </c>
      <c r="X45" s="12" t="str">
        <f t="shared" si="3"/>
        <v>Média/Pequena</v>
      </c>
      <c r="Y45" s="122" t="str" cm="1">
        <f t="array" ref="Y45">_xlfn.IFS(ISNUMBER(W45)=FALSE,"Sem dado",W45&gt;0.075,"Excelente",W45&gt;0.04,"Bom",W45&gt;0,"Fraco",TRUE,"Prejuízo")</f>
        <v>Bom</v>
      </c>
    </row>
    <row r="46" spans="1:25" ht="15" customHeight="1" x14ac:dyDescent="0.2">
      <c r="A46" s="15" t="s">
        <v>170</v>
      </c>
      <c r="B46" s="60">
        <v>9516419</v>
      </c>
      <c r="C46" s="15" t="s">
        <v>171</v>
      </c>
      <c r="D46" s="15" t="s">
        <v>172</v>
      </c>
      <c r="E46" s="15" t="s">
        <v>173</v>
      </c>
      <c r="F46" s="15" t="s">
        <v>26</v>
      </c>
      <c r="G46" s="34">
        <v>2</v>
      </c>
      <c r="H46" s="34">
        <v>8</v>
      </c>
      <c r="I46" s="15" t="s">
        <v>38</v>
      </c>
      <c r="J46" s="15" t="s">
        <v>39</v>
      </c>
      <c r="K46" s="74" t="s">
        <v>29</v>
      </c>
      <c r="L46" s="16">
        <v>48954093</v>
      </c>
      <c r="M46" s="16">
        <v>28852169</v>
      </c>
      <c r="N46" s="16">
        <v>10196292</v>
      </c>
      <c r="O46" s="16">
        <v>46414805</v>
      </c>
      <c r="P46" s="16">
        <v>34871092</v>
      </c>
      <c r="Q46" s="16">
        <v>2539288</v>
      </c>
      <c r="R46" s="16">
        <v>8433</v>
      </c>
      <c r="S46" s="16">
        <v>2</v>
      </c>
      <c r="T46" s="16">
        <v>0</v>
      </c>
      <c r="U46" s="15" t="str">
        <f t="shared" si="0"/>
        <v>Privado Nacional</v>
      </c>
      <c r="V46" s="17">
        <f t="shared" si="1"/>
        <v>0.58937194485453959</v>
      </c>
      <c r="W46" s="17">
        <f t="shared" si="2"/>
        <v>3.321009668852056E-3</v>
      </c>
      <c r="X46" s="15" t="str">
        <f t="shared" si="3"/>
        <v>Média/Pequena</v>
      </c>
      <c r="Y46" s="121" t="str" cm="1">
        <f t="array" ref="Y46">_xlfn.IFS(ISNUMBER(W46)=FALSE,"Sem dado",W46&gt;0.075,"Excelente",W46&gt;0.04,"Bom",W46&gt;0,"Fraco",TRUE,"Prejuízo")</f>
        <v>Fraco</v>
      </c>
    </row>
    <row r="47" spans="1:25" ht="15" customHeight="1" x14ac:dyDescent="0.2">
      <c r="A47" s="12" t="s">
        <v>174</v>
      </c>
      <c r="B47" s="56">
        <v>17184037</v>
      </c>
      <c r="C47" s="12" t="s">
        <v>175</v>
      </c>
      <c r="D47" s="12" t="s">
        <v>176</v>
      </c>
      <c r="E47" s="12" t="s">
        <v>177</v>
      </c>
      <c r="F47" s="12" t="s">
        <v>26</v>
      </c>
      <c r="G47" s="33">
        <v>2</v>
      </c>
      <c r="H47" s="33">
        <v>8</v>
      </c>
      <c r="I47" s="12" t="s">
        <v>119</v>
      </c>
      <c r="J47" s="12" t="s">
        <v>120</v>
      </c>
      <c r="K47" s="73" t="s">
        <v>29</v>
      </c>
      <c r="L47" s="13">
        <v>43054391</v>
      </c>
      <c r="M47" s="13">
        <v>23085077</v>
      </c>
      <c r="N47" s="13">
        <v>4252511</v>
      </c>
      <c r="O47" s="13">
        <v>39931439</v>
      </c>
      <c r="P47" s="13">
        <v>31586492</v>
      </c>
      <c r="Q47" s="13">
        <v>3122951</v>
      </c>
      <c r="R47" s="13">
        <v>548541</v>
      </c>
      <c r="S47" s="13">
        <v>3</v>
      </c>
      <c r="T47" s="13">
        <v>298</v>
      </c>
      <c r="U47" s="12" t="str">
        <f t="shared" si="0"/>
        <v>Privado Nacional</v>
      </c>
      <c r="V47" s="14">
        <f t="shared" si="1"/>
        <v>0.53618403288993222</v>
      </c>
      <c r="W47" s="14">
        <f t="shared" si="2"/>
        <v>0.17564828907017754</v>
      </c>
      <c r="X47" s="12" t="str">
        <f t="shared" si="3"/>
        <v>Média/Pequena</v>
      </c>
      <c r="Y47" s="122" t="str" cm="1">
        <f t="array" ref="Y47">_xlfn.IFS(ISNUMBER(W47)=FALSE,"Sem dado",W47&gt;0.075,"Excelente",W47&gt;0.04,"Bom",W47&gt;0,"Fraco",TRUE,"Prejuízo")</f>
        <v>Excelente</v>
      </c>
    </row>
    <row r="48" spans="1:25" ht="15" customHeight="1" x14ac:dyDescent="0.2">
      <c r="A48" s="15" t="s">
        <v>178</v>
      </c>
      <c r="B48" s="60">
        <v>28127603</v>
      </c>
      <c r="C48" s="15" t="s">
        <v>179</v>
      </c>
      <c r="D48" s="15" t="s">
        <v>180</v>
      </c>
      <c r="E48" s="15" t="s">
        <v>181</v>
      </c>
      <c r="F48" s="15" t="s">
        <v>26</v>
      </c>
      <c r="G48" s="34">
        <v>1</v>
      </c>
      <c r="H48" s="34">
        <v>8</v>
      </c>
      <c r="I48" s="15" t="s">
        <v>182</v>
      </c>
      <c r="J48" s="15" t="s">
        <v>183</v>
      </c>
      <c r="K48" s="74" t="s">
        <v>29</v>
      </c>
      <c r="L48" s="16">
        <v>42689901</v>
      </c>
      <c r="M48" s="16">
        <v>12460035</v>
      </c>
      <c r="N48" s="16">
        <v>21316783</v>
      </c>
      <c r="O48" s="16">
        <v>40185159</v>
      </c>
      <c r="P48" s="16">
        <v>38716345</v>
      </c>
      <c r="Q48" s="16">
        <v>2504742</v>
      </c>
      <c r="R48" s="16">
        <v>226057</v>
      </c>
      <c r="S48" s="16">
        <v>86</v>
      </c>
      <c r="T48" s="16">
        <v>63</v>
      </c>
      <c r="U48" s="15" t="str">
        <f t="shared" si="0"/>
        <v>Público</v>
      </c>
      <c r="V48" s="17">
        <f t="shared" si="1"/>
        <v>0.29187312943171267</v>
      </c>
      <c r="W48" s="17">
        <f t="shared" si="2"/>
        <v>9.0251610744739377E-2</v>
      </c>
      <c r="X48" s="15" t="str">
        <f t="shared" si="3"/>
        <v>Média/Pequena</v>
      </c>
      <c r="Y48" s="121" t="str" cm="1">
        <f t="array" ref="Y48">_xlfn.IFS(ISNUMBER(W48)=FALSE,"Sem dado",W48&gt;0.075,"Excelente",W48&gt;0.04,"Bom",W48&gt;0,"Fraco",TRUE,"Prejuízo")</f>
        <v>Excelente</v>
      </c>
    </row>
    <row r="49" spans="1:25" ht="15" customHeight="1" x14ac:dyDescent="0.2">
      <c r="A49" s="12" t="s">
        <v>184</v>
      </c>
      <c r="B49" s="56">
        <v>31597552</v>
      </c>
      <c r="C49" s="12" t="s">
        <v>185</v>
      </c>
      <c r="D49" s="12"/>
      <c r="E49" s="12" t="s">
        <v>186</v>
      </c>
      <c r="F49" s="12" t="s">
        <v>26</v>
      </c>
      <c r="G49" s="33">
        <v>2</v>
      </c>
      <c r="H49" s="33">
        <v>8</v>
      </c>
      <c r="I49" s="12" t="s">
        <v>53</v>
      </c>
      <c r="J49" s="12" t="s">
        <v>54</v>
      </c>
      <c r="K49" s="73" t="s">
        <v>29</v>
      </c>
      <c r="L49" s="13">
        <v>40612776</v>
      </c>
      <c r="M49" s="13">
        <v>0</v>
      </c>
      <c r="N49" s="13">
        <v>34521002</v>
      </c>
      <c r="O49" s="13">
        <v>19060286</v>
      </c>
      <c r="P49" s="13">
        <v>5629524</v>
      </c>
      <c r="Q49" s="13">
        <v>21552491</v>
      </c>
      <c r="R49" s="13">
        <v>52934</v>
      </c>
      <c r="S49" s="13">
        <v>2</v>
      </c>
      <c r="T49" s="13">
        <v>0</v>
      </c>
      <c r="U49" s="12" t="str">
        <f t="shared" si="0"/>
        <v>Privado Nacional</v>
      </c>
      <c r="V49" s="14">
        <f t="shared" si="1"/>
        <v>0</v>
      </c>
      <c r="W49" s="14">
        <f t="shared" si="2"/>
        <v>2.4560502078390845E-3</v>
      </c>
      <c r="X49" s="12" t="str">
        <f t="shared" si="3"/>
        <v>Média/Pequena</v>
      </c>
      <c r="Y49" s="122" t="str" cm="1">
        <f t="array" ref="Y49">_xlfn.IFS(ISNUMBER(W49)=FALSE,"Sem dado",W49&gt;0.075,"Excelente",W49&gt;0.04,"Bom",W49&gt;0,"Fraco",TRUE,"Prejuízo")</f>
        <v>Fraco</v>
      </c>
    </row>
    <row r="50" spans="1:25" ht="15" customHeight="1" x14ac:dyDescent="0.2">
      <c r="A50" s="15" t="s">
        <v>187</v>
      </c>
      <c r="B50" s="60">
        <v>62073200</v>
      </c>
      <c r="C50" s="15" t="s">
        <v>188</v>
      </c>
      <c r="D50" s="15" t="s">
        <v>189</v>
      </c>
      <c r="E50" s="15" t="s">
        <v>190</v>
      </c>
      <c r="F50" s="15" t="s">
        <v>26</v>
      </c>
      <c r="G50" s="34">
        <v>3</v>
      </c>
      <c r="H50" s="34">
        <v>8</v>
      </c>
      <c r="I50" s="15" t="s">
        <v>38</v>
      </c>
      <c r="J50" s="15" t="s">
        <v>39</v>
      </c>
      <c r="K50" s="74" t="s">
        <v>29</v>
      </c>
      <c r="L50" s="16">
        <v>40609859</v>
      </c>
      <c r="M50" s="16">
        <v>2646247</v>
      </c>
      <c r="N50" s="16">
        <v>13444360</v>
      </c>
      <c r="O50" s="16">
        <v>33810603</v>
      </c>
      <c r="P50" s="16">
        <v>22340451</v>
      </c>
      <c r="Q50" s="16">
        <v>6799255</v>
      </c>
      <c r="R50" s="16">
        <v>511110</v>
      </c>
      <c r="S50" s="16">
        <v>2</v>
      </c>
      <c r="T50" s="16">
        <v>0</v>
      </c>
      <c r="U50" s="15" t="str">
        <f t="shared" si="0"/>
        <v>Privado Estrangeiro</v>
      </c>
      <c r="V50" s="17">
        <f t="shared" si="1"/>
        <v>6.5162673921128358E-2</v>
      </c>
      <c r="W50" s="17">
        <f t="shared" si="2"/>
        <v>7.5171470992042508E-2</v>
      </c>
      <c r="X50" s="15" t="str">
        <f t="shared" si="3"/>
        <v>Média/Pequena</v>
      </c>
      <c r="Y50" s="121" t="str" cm="1">
        <f t="array" ref="Y50">_xlfn.IFS(ISNUMBER(W50)=FALSE,"Sem dado",W50&gt;0.075,"Excelente",W50&gt;0.04,"Bom",W50&gt;0,"Fraco",TRUE,"Prejuízo")</f>
        <v>Excelente</v>
      </c>
    </row>
    <row r="51" spans="1:25" ht="15" customHeight="1" x14ac:dyDescent="0.2">
      <c r="A51" s="12" t="s">
        <v>191</v>
      </c>
      <c r="B51" s="56">
        <v>62144175</v>
      </c>
      <c r="C51" s="12" t="s">
        <v>192</v>
      </c>
      <c r="D51" s="12" t="s">
        <v>193</v>
      </c>
      <c r="E51" s="12" t="s">
        <v>194</v>
      </c>
      <c r="F51" s="12" t="s">
        <v>26</v>
      </c>
      <c r="G51" s="33">
        <v>2</v>
      </c>
      <c r="H51" s="33">
        <v>8</v>
      </c>
      <c r="I51" s="12" t="s">
        <v>38</v>
      </c>
      <c r="J51" s="12" t="s">
        <v>39</v>
      </c>
      <c r="K51" s="73" t="s">
        <v>29</v>
      </c>
      <c r="L51" s="13">
        <v>37647108</v>
      </c>
      <c r="M51" s="13">
        <v>19314789</v>
      </c>
      <c r="N51" s="13">
        <v>13824794</v>
      </c>
      <c r="O51" s="13">
        <v>35844473</v>
      </c>
      <c r="P51" s="13">
        <v>31432120</v>
      </c>
      <c r="Q51" s="13">
        <v>1802635</v>
      </c>
      <c r="R51" s="13">
        <v>315564</v>
      </c>
      <c r="S51" s="13">
        <v>3</v>
      </c>
      <c r="T51" s="13">
        <v>0</v>
      </c>
      <c r="U51" s="12" t="str">
        <f t="shared" si="0"/>
        <v>Privado Nacional</v>
      </c>
      <c r="V51" s="14">
        <f t="shared" si="1"/>
        <v>0.51304841264301093</v>
      </c>
      <c r="W51" s="14">
        <f t="shared" si="2"/>
        <v>0.17505706923475911</v>
      </c>
      <c r="X51" s="12" t="str">
        <f t="shared" si="3"/>
        <v>Média/Pequena</v>
      </c>
      <c r="Y51" s="122" t="str" cm="1">
        <f t="array" ref="Y51">_xlfn.IFS(ISNUMBER(W51)=FALSE,"Sem dado",W51&gt;0.075,"Excelente",W51&gt;0.04,"Bom",W51&gt;0,"Fraco",TRUE,"Prejuízo")</f>
        <v>Excelente</v>
      </c>
    </row>
    <row r="52" spans="1:25" ht="15" customHeight="1" x14ac:dyDescent="0.2">
      <c r="A52" s="15" t="s">
        <v>195</v>
      </c>
      <c r="B52" s="60">
        <v>92894922</v>
      </c>
      <c r="C52" s="15" t="s">
        <v>196</v>
      </c>
      <c r="D52" s="15"/>
      <c r="E52" s="15" t="s">
        <v>197</v>
      </c>
      <c r="F52" s="15" t="s">
        <v>26</v>
      </c>
      <c r="G52" s="34">
        <v>2</v>
      </c>
      <c r="H52" s="34">
        <v>8</v>
      </c>
      <c r="I52" s="15" t="s">
        <v>38</v>
      </c>
      <c r="J52" s="15" t="s">
        <v>39</v>
      </c>
      <c r="K52" s="74" t="s">
        <v>29</v>
      </c>
      <c r="L52" s="16">
        <v>37169761</v>
      </c>
      <c r="M52" s="16">
        <v>17893178</v>
      </c>
      <c r="N52" s="16">
        <v>6467856</v>
      </c>
      <c r="O52" s="16">
        <v>34845614</v>
      </c>
      <c r="P52" s="16">
        <v>32608252</v>
      </c>
      <c r="Q52" s="16">
        <v>2324147</v>
      </c>
      <c r="R52" s="16">
        <v>156076</v>
      </c>
      <c r="S52" s="16">
        <v>2</v>
      </c>
      <c r="T52" s="16">
        <v>0</v>
      </c>
      <c r="U52" s="15" t="str">
        <f t="shared" si="0"/>
        <v>Privado Nacional</v>
      </c>
      <c r="V52" s="17">
        <f t="shared" si="1"/>
        <v>0.48139071973048198</v>
      </c>
      <c r="W52" s="17">
        <f t="shared" si="2"/>
        <v>6.7154099977325007E-2</v>
      </c>
      <c r="X52" s="15" t="str">
        <f t="shared" si="3"/>
        <v>Média/Pequena</v>
      </c>
      <c r="Y52" s="121" t="str" cm="1">
        <f t="array" ref="Y52">_xlfn.IFS(ISNUMBER(W52)=FALSE,"Sem dado",W52&gt;0.075,"Excelente",W52&gt;0.04,"Bom",W52&gt;0,"Fraco",TRUE,"Prejuízo")</f>
        <v>Bom</v>
      </c>
    </row>
    <row r="53" spans="1:25" ht="15" customHeight="1" x14ac:dyDescent="0.2">
      <c r="A53" s="12" t="s">
        <v>198</v>
      </c>
      <c r="B53" s="56">
        <v>25683434</v>
      </c>
      <c r="C53" s="12"/>
      <c r="D53" s="12"/>
      <c r="E53" s="12"/>
      <c r="F53" s="12" t="s">
        <v>199</v>
      </c>
      <c r="G53" s="33">
        <v>2</v>
      </c>
      <c r="H53" s="33">
        <v>9</v>
      </c>
      <c r="I53" s="12" t="s">
        <v>119</v>
      </c>
      <c r="J53" s="12" t="s">
        <v>120</v>
      </c>
      <c r="K53" s="73" t="s">
        <v>29</v>
      </c>
      <c r="L53" s="13">
        <v>34542515</v>
      </c>
      <c r="M53" s="13">
        <v>93624</v>
      </c>
      <c r="N53" s="13">
        <v>16768612</v>
      </c>
      <c r="O53" s="13">
        <v>32723827</v>
      </c>
      <c r="P53" s="13">
        <v>884328</v>
      </c>
      <c r="Q53" s="13">
        <v>1818687</v>
      </c>
      <c r="R53" s="13">
        <v>118531</v>
      </c>
      <c r="S53" s="13">
        <v>0</v>
      </c>
      <c r="T53" s="13">
        <v>0</v>
      </c>
      <c r="U53" s="12" t="str">
        <f t="shared" si="0"/>
        <v>Privado Nacional</v>
      </c>
      <c r="V53" s="14">
        <f t="shared" si="1"/>
        <v>2.7103990546142919E-3</v>
      </c>
      <c r="W53" s="14">
        <f t="shared" si="2"/>
        <v>6.5173941420376344E-2</v>
      </c>
      <c r="X53" s="12" t="str">
        <f t="shared" si="3"/>
        <v>Média/Pequena</v>
      </c>
      <c r="Y53" s="122" t="str" cm="1">
        <f t="array" ref="Y53">_xlfn.IFS(ISNUMBER(W53)=FALSE,"Sem dado",W53&gt;0.075,"Excelente",W53&gt;0.04,"Bom",W53&gt;0,"Fraco",TRUE,"Prejuízo")</f>
        <v>Bom</v>
      </c>
    </row>
    <row r="54" spans="1:25" ht="15" customHeight="1" x14ac:dyDescent="0.2">
      <c r="A54" s="15" t="s">
        <v>200</v>
      </c>
      <c r="B54" s="60">
        <v>4332281</v>
      </c>
      <c r="C54" s="15" t="s">
        <v>201</v>
      </c>
      <c r="D54" s="15" t="s">
        <v>202</v>
      </c>
      <c r="E54" s="15" t="s">
        <v>203</v>
      </c>
      <c r="F54" s="15" t="s">
        <v>60</v>
      </c>
      <c r="G54" s="34">
        <v>3</v>
      </c>
      <c r="H54" s="34">
        <v>8</v>
      </c>
      <c r="I54" s="15" t="s">
        <v>38</v>
      </c>
      <c r="J54" s="15" t="s">
        <v>39</v>
      </c>
      <c r="K54" s="74" t="s">
        <v>29</v>
      </c>
      <c r="L54" s="16">
        <v>34267958</v>
      </c>
      <c r="M54" s="16">
        <v>5685</v>
      </c>
      <c r="N54" s="16">
        <v>20186889</v>
      </c>
      <c r="O54" s="16">
        <v>28404250</v>
      </c>
      <c r="P54" s="16">
        <v>14608413</v>
      </c>
      <c r="Q54" s="16">
        <v>5863708</v>
      </c>
      <c r="R54" s="16">
        <v>686226</v>
      </c>
      <c r="S54" s="16">
        <v>2</v>
      </c>
      <c r="T54" s="16">
        <v>0</v>
      </c>
      <c r="U54" s="15" t="str">
        <f t="shared" si="0"/>
        <v>Privado Estrangeiro</v>
      </c>
      <c r="V54" s="17">
        <f t="shared" si="1"/>
        <v>1.6589841740788873E-4</v>
      </c>
      <c r="W54" s="17">
        <f t="shared" si="2"/>
        <v>0.11702936094362135</v>
      </c>
      <c r="X54" s="15" t="str">
        <f t="shared" si="3"/>
        <v>Média/Pequena</v>
      </c>
      <c r="Y54" s="121" t="str" cm="1">
        <f t="array" ref="Y54">_xlfn.IFS(ISNUMBER(W54)=FALSE,"Sem dado",W54&gt;0.075,"Excelente",W54&gt;0.04,"Bom",W54&gt;0,"Fraco",TRUE,"Prejuízo")</f>
        <v>Excelente</v>
      </c>
    </row>
    <row r="55" spans="1:25" ht="15" customHeight="1" x14ac:dyDescent="0.2">
      <c r="A55" s="12" t="s">
        <v>204</v>
      </c>
      <c r="B55" s="56">
        <v>53505601</v>
      </c>
      <c r="C55" s="12" t="s">
        <v>127</v>
      </c>
      <c r="D55" s="12" t="s">
        <v>128</v>
      </c>
      <c r="E55" s="12" t="s">
        <v>128</v>
      </c>
      <c r="F55" s="12" t="s">
        <v>65</v>
      </c>
      <c r="G55" s="33">
        <v>3</v>
      </c>
      <c r="H55" s="33">
        <v>14</v>
      </c>
      <c r="I55" s="12" t="s">
        <v>38</v>
      </c>
      <c r="J55" s="12" t="s">
        <v>39</v>
      </c>
      <c r="K55" s="73" t="s">
        <v>29</v>
      </c>
      <c r="L55" s="13">
        <v>33803605</v>
      </c>
      <c r="M55" s="13">
        <v>30264738</v>
      </c>
      <c r="N55" s="13">
        <v>32559</v>
      </c>
      <c r="O55" s="13">
        <v>33678082</v>
      </c>
      <c r="P55" s="13">
        <v>33153032</v>
      </c>
      <c r="Q55" s="13">
        <v>125523</v>
      </c>
      <c r="R55" s="13">
        <v>46816</v>
      </c>
      <c r="S55" s="13">
        <v>2</v>
      </c>
      <c r="T55" s="13">
        <v>0</v>
      </c>
      <c r="U55" s="12" t="str">
        <f t="shared" si="0"/>
        <v>Privado Estrangeiro</v>
      </c>
      <c r="V55" s="14">
        <f t="shared" si="1"/>
        <v>0.89531095869804422</v>
      </c>
      <c r="W55" s="14">
        <f t="shared" si="2"/>
        <v>0.37296750396341705</v>
      </c>
      <c r="X55" s="12" t="str">
        <f t="shared" si="3"/>
        <v>Média/Pequena</v>
      </c>
      <c r="Y55" s="122" t="str" cm="1">
        <f t="array" ref="Y55">_xlfn.IFS(ISNUMBER(W55)=FALSE,"Sem dado",W55&gt;0.075,"Excelente",W55&gt;0.04,"Bom",W55&gt;0,"Fraco",TRUE,"Prejuízo")</f>
        <v>Excelente</v>
      </c>
    </row>
    <row r="56" spans="1:25" ht="15" customHeight="1" x14ac:dyDescent="0.2">
      <c r="A56" s="15" t="s">
        <v>205</v>
      </c>
      <c r="B56" s="60">
        <v>45437547</v>
      </c>
      <c r="C56" s="15" t="s">
        <v>67</v>
      </c>
      <c r="D56" s="15" t="s">
        <v>68</v>
      </c>
      <c r="E56" s="15" t="s">
        <v>69</v>
      </c>
      <c r="F56" s="15" t="s">
        <v>65</v>
      </c>
      <c r="G56" s="34">
        <v>2</v>
      </c>
      <c r="H56" s="34">
        <v>14</v>
      </c>
      <c r="I56" s="15" t="s">
        <v>38</v>
      </c>
      <c r="J56" s="15" t="s">
        <v>39</v>
      </c>
      <c r="K56" s="74" t="s">
        <v>29</v>
      </c>
      <c r="L56" s="16">
        <v>33188402</v>
      </c>
      <c r="M56" s="16">
        <v>21325158</v>
      </c>
      <c r="N56" s="16">
        <v>1657536</v>
      </c>
      <c r="O56" s="16">
        <v>32730969</v>
      </c>
      <c r="P56" s="16">
        <v>32013875</v>
      </c>
      <c r="Q56" s="16">
        <v>457433</v>
      </c>
      <c r="R56" s="16">
        <v>74616</v>
      </c>
      <c r="S56" s="16">
        <v>2</v>
      </c>
      <c r="T56" s="16">
        <v>0</v>
      </c>
      <c r="U56" s="15" t="str">
        <f t="shared" si="0"/>
        <v>Privado Nacional</v>
      </c>
      <c r="V56" s="17">
        <f t="shared" si="1"/>
        <v>0.64254850233524352</v>
      </c>
      <c r="W56" s="17">
        <f t="shared" si="2"/>
        <v>0.16311897042845619</v>
      </c>
      <c r="X56" s="15" t="str">
        <f t="shared" si="3"/>
        <v>Média/Pequena</v>
      </c>
      <c r="Y56" s="121" t="str" cm="1">
        <f t="array" ref="Y56">_xlfn.IFS(ISNUMBER(W56)=FALSE,"Sem dado",W56&gt;0.075,"Excelente",W56&gt;0.04,"Bom",W56&gt;0,"Fraco",TRUE,"Prejuízo")</f>
        <v>Excelente</v>
      </c>
    </row>
    <row r="57" spans="1:25" ht="15" customHeight="1" x14ac:dyDescent="0.2">
      <c r="A57" s="12" t="s">
        <v>206</v>
      </c>
      <c r="B57" s="56">
        <v>15114366</v>
      </c>
      <c r="C57" s="12" t="s">
        <v>207</v>
      </c>
      <c r="D57" s="12" t="s">
        <v>208</v>
      </c>
      <c r="E57" s="12" t="s">
        <v>209</v>
      </c>
      <c r="F57" s="12" t="s">
        <v>26</v>
      </c>
      <c r="G57" s="33">
        <v>3</v>
      </c>
      <c r="H57" s="33">
        <v>8</v>
      </c>
      <c r="I57" s="12" t="s">
        <v>210</v>
      </c>
      <c r="J57" s="12" t="s">
        <v>211</v>
      </c>
      <c r="K57" s="73" t="s">
        <v>29</v>
      </c>
      <c r="L57" s="13">
        <v>32001928</v>
      </c>
      <c r="M57" s="13">
        <v>14049138</v>
      </c>
      <c r="N57" s="13">
        <v>8031598</v>
      </c>
      <c r="O57" s="13">
        <v>30176603</v>
      </c>
      <c r="P57" s="13">
        <v>27817408</v>
      </c>
      <c r="Q57" s="13">
        <v>1825324</v>
      </c>
      <c r="R57" s="13">
        <v>257821</v>
      </c>
      <c r="S57" s="13">
        <v>4</v>
      </c>
      <c r="T57" s="13">
        <v>0</v>
      </c>
      <c r="U57" s="12" t="str">
        <f t="shared" si="0"/>
        <v>Privado Estrangeiro</v>
      </c>
      <c r="V57" s="14">
        <f t="shared" si="1"/>
        <v>0.43900911220098987</v>
      </c>
      <c r="W57" s="14">
        <f t="shared" si="2"/>
        <v>0.14124670469461859</v>
      </c>
      <c r="X57" s="12" t="str">
        <f t="shared" si="3"/>
        <v>Média/Pequena</v>
      </c>
      <c r="Y57" s="122" t="str" cm="1">
        <f t="array" ref="Y57">_xlfn.IFS(ISNUMBER(W57)=FALSE,"Sem dado",W57&gt;0.075,"Excelente",W57&gt;0.04,"Bom",W57&gt;0,"Fraco",TRUE,"Prejuízo")</f>
        <v>Excelente</v>
      </c>
    </row>
    <row r="58" spans="1:25" ht="15" customHeight="1" x14ac:dyDescent="0.2">
      <c r="A58" s="15" t="s">
        <v>212</v>
      </c>
      <c r="B58" s="60">
        <v>92816560</v>
      </c>
      <c r="C58" s="15" t="s">
        <v>213</v>
      </c>
      <c r="D58" s="15"/>
      <c r="E58" s="15" t="s">
        <v>214</v>
      </c>
      <c r="F58" s="15" t="s">
        <v>52</v>
      </c>
      <c r="G58" s="34">
        <v>1</v>
      </c>
      <c r="H58" s="34">
        <v>5</v>
      </c>
      <c r="I58" s="15" t="s">
        <v>73</v>
      </c>
      <c r="J58" s="15" t="s">
        <v>74</v>
      </c>
      <c r="K58" s="74" t="s">
        <v>29</v>
      </c>
      <c r="L58" s="16">
        <v>30944445</v>
      </c>
      <c r="M58" s="16">
        <v>24677869</v>
      </c>
      <c r="N58" s="16">
        <v>5511980</v>
      </c>
      <c r="O58" s="16">
        <v>25160827</v>
      </c>
      <c r="P58" s="16">
        <v>23606986</v>
      </c>
      <c r="Q58" s="16">
        <v>5783618</v>
      </c>
      <c r="R58" s="16">
        <v>315733</v>
      </c>
      <c r="S58" s="16">
        <v>4</v>
      </c>
      <c r="T58" s="16">
        <v>0</v>
      </c>
      <c r="U58" s="15" t="str">
        <f t="shared" si="0"/>
        <v>Público</v>
      </c>
      <c r="V58" s="17">
        <f t="shared" si="1"/>
        <v>0.79748946862675996</v>
      </c>
      <c r="W58" s="17">
        <f t="shared" si="2"/>
        <v>5.4590915236794685E-2</v>
      </c>
      <c r="X58" s="15" t="str">
        <f t="shared" si="3"/>
        <v>Média/Pequena</v>
      </c>
      <c r="Y58" s="121" t="str" cm="1">
        <f t="array" ref="Y58">_xlfn.IFS(ISNUMBER(W58)=FALSE,"Sem dado",W58&gt;0.075,"Excelente",W58&gt;0.04,"Bom",W58&gt;0,"Fraco",TRUE,"Prejuízo")</f>
        <v>Bom</v>
      </c>
    </row>
    <row r="59" spans="1:25" ht="15" customHeight="1" x14ac:dyDescent="0.2">
      <c r="A59" s="12" t="s">
        <v>215</v>
      </c>
      <c r="B59" s="56">
        <v>80160260</v>
      </c>
      <c r="C59" s="12"/>
      <c r="D59" s="12"/>
      <c r="E59" s="12"/>
      <c r="F59" s="12" t="s">
        <v>199</v>
      </c>
      <c r="G59" s="33">
        <v>2</v>
      </c>
      <c r="H59" s="33">
        <v>9</v>
      </c>
      <c r="I59" s="12" t="s">
        <v>216</v>
      </c>
      <c r="J59" s="12" t="s">
        <v>217</v>
      </c>
      <c r="K59" s="73" t="s">
        <v>29</v>
      </c>
      <c r="L59" s="13">
        <v>29002304</v>
      </c>
      <c r="M59" s="13">
        <v>302641</v>
      </c>
      <c r="N59" s="13">
        <v>5844789</v>
      </c>
      <c r="O59" s="13">
        <v>27464682</v>
      </c>
      <c r="P59" s="13">
        <v>681810</v>
      </c>
      <c r="Q59" s="13">
        <v>1537622</v>
      </c>
      <c r="R59" s="13">
        <v>73985</v>
      </c>
      <c r="S59" s="13">
        <v>0</v>
      </c>
      <c r="T59" s="13">
        <v>0</v>
      </c>
      <c r="U59" s="12" t="str">
        <f t="shared" si="0"/>
        <v>Privado Nacional</v>
      </c>
      <c r="V59" s="14">
        <f t="shared" si="1"/>
        <v>1.0435067503602473E-2</v>
      </c>
      <c r="W59" s="14">
        <f t="shared" si="2"/>
        <v>4.8116507177967019E-2</v>
      </c>
      <c r="X59" s="12" t="str">
        <f t="shared" si="3"/>
        <v>Média/Pequena</v>
      </c>
      <c r="Y59" s="122" t="str" cm="1">
        <f t="array" ref="Y59">_xlfn.IFS(ISNUMBER(W59)=FALSE,"Sem dado",W59&gt;0.075,"Excelente",W59&gt;0.04,"Bom",W59&gt;0,"Fraco",TRUE,"Prejuízo")</f>
        <v>Bom</v>
      </c>
    </row>
    <row r="60" spans="1:25" ht="15" customHeight="1" x14ac:dyDescent="0.2">
      <c r="A60" s="15" t="s">
        <v>218</v>
      </c>
      <c r="B60" s="60">
        <v>27098060</v>
      </c>
      <c r="C60" s="15" t="s">
        <v>41</v>
      </c>
      <c r="D60" s="15" t="s">
        <v>42</v>
      </c>
      <c r="E60" s="15" t="s">
        <v>43</v>
      </c>
      <c r="F60" s="15" t="s">
        <v>60</v>
      </c>
      <c r="G60" s="34">
        <v>2</v>
      </c>
      <c r="H60" s="34">
        <v>8</v>
      </c>
      <c r="I60" s="15" t="s">
        <v>44</v>
      </c>
      <c r="J60" s="15" t="s">
        <v>39</v>
      </c>
      <c r="K60" s="74" t="s">
        <v>29</v>
      </c>
      <c r="L60" s="16">
        <v>28060664</v>
      </c>
      <c r="M60" s="16">
        <v>20228053</v>
      </c>
      <c r="N60" s="16">
        <v>2336309</v>
      </c>
      <c r="O60" s="16">
        <v>28005231</v>
      </c>
      <c r="P60" s="16">
        <v>25773075</v>
      </c>
      <c r="Q60" s="16">
        <v>55433</v>
      </c>
      <c r="R60" s="16">
        <v>-219706</v>
      </c>
      <c r="S60" s="16">
        <v>2</v>
      </c>
      <c r="T60" s="16">
        <v>0</v>
      </c>
      <c r="U60" s="15" t="str">
        <f t="shared" si="0"/>
        <v>Privado Nacional</v>
      </c>
      <c r="V60" s="17">
        <f t="shared" si="1"/>
        <v>0.72086865086300167</v>
      </c>
      <c r="W60" s="17">
        <f t="shared" si="2"/>
        <v>-3.9634513737304493</v>
      </c>
      <c r="X60" s="15" t="str">
        <f t="shared" si="3"/>
        <v>Média/Pequena</v>
      </c>
      <c r="Y60" s="121" t="str" cm="1">
        <f t="array" ref="Y60">_xlfn.IFS(ISNUMBER(W60)=FALSE,"Sem dado",W60&gt;0.075,"Excelente",W60&gt;0.04,"Bom",W60&gt;0,"Fraco",TRUE,"Prejuízo")</f>
        <v>Prejuízo</v>
      </c>
    </row>
    <row r="61" spans="1:25" ht="15" customHeight="1" x14ac:dyDescent="0.2">
      <c r="A61" s="12" t="s">
        <v>219</v>
      </c>
      <c r="B61" s="56">
        <v>309024</v>
      </c>
      <c r="C61" s="12"/>
      <c r="D61" s="12"/>
      <c r="E61" s="12"/>
      <c r="F61" s="12" t="s">
        <v>199</v>
      </c>
      <c r="G61" s="33">
        <v>2</v>
      </c>
      <c r="H61" s="33">
        <v>9</v>
      </c>
      <c r="I61" s="12" t="s">
        <v>119</v>
      </c>
      <c r="J61" s="12" t="s">
        <v>120</v>
      </c>
      <c r="K61" s="73" t="s">
        <v>29</v>
      </c>
      <c r="L61" s="13">
        <v>27630783</v>
      </c>
      <c r="M61" s="13">
        <v>643420</v>
      </c>
      <c r="N61" s="13">
        <v>10514846</v>
      </c>
      <c r="O61" s="13">
        <v>26627866</v>
      </c>
      <c r="P61" s="13">
        <v>0</v>
      </c>
      <c r="Q61" s="13">
        <v>1002917</v>
      </c>
      <c r="R61" s="13">
        <v>50294</v>
      </c>
      <c r="S61" s="13">
        <v>0</v>
      </c>
      <c r="T61" s="13">
        <v>0</v>
      </c>
      <c r="U61" s="12" t="str">
        <f t="shared" si="0"/>
        <v>Privado Nacional</v>
      </c>
      <c r="V61" s="14">
        <f t="shared" si="1"/>
        <v>2.3286346970333775E-2</v>
      </c>
      <c r="W61" s="14">
        <f t="shared" si="2"/>
        <v>5.0147719103375454E-2</v>
      </c>
      <c r="X61" s="12" t="str">
        <f t="shared" si="3"/>
        <v>Média/Pequena</v>
      </c>
      <c r="Y61" s="122" t="str" cm="1">
        <f t="array" ref="Y61">_xlfn.IFS(ISNUMBER(W61)=FALSE,"Sem dado",W61&gt;0.075,"Excelente",W61&gt;0.04,"Bom",W61&gt;0,"Fraco",TRUE,"Prejuízo")</f>
        <v>Bom</v>
      </c>
    </row>
    <row r="62" spans="1:25" ht="15" customHeight="1" x14ac:dyDescent="0.2">
      <c r="A62" s="15" t="s">
        <v>220</v>
      </c>
      <c r="B62" s="60">
        <v>33042953</v>
      </c>
      <c r="C62" s="15" t="s">
        <v>90</v>
      </c>
      <c r="D62" s="15" t="s">
        <v>91</v>
      </c>
      <c r="E62" s="15" t="s">
        <v>92</v>
      </c>
      <c r="F62" s="15" t="s">
        <v>26</v>
      </c>
      <c r="G62" s="34">
        <v>3</v>
      </c>
      <c r="H62" s="34">
        <v>28</v>
      </c>
      <c r="I62" s="15" t="s">
        <v>38</v>
      </c>
      <c r="J62" s="15" t="s">
        <v>39</v>
      </c>
      <c r="K62" s="74" t="s">
        <v>29</v>
      </c>
      <c r="L62" s="16">
        <v>26282572</v>
      </c>
      <c r="M62" s="16">
        <v>15968</v>
      </c>
      <c r="N62" s="16">
        <v>2311009</v>
      </c>
      <c r="O62" s="16">
        <v>21074114</v>
      </c>
      <c r="P62" s="16">
        <v>15553292</v>
      </c>
      <c r="Q62" s="16">
        <v>5208458</v>
      </c>
      <c r="R62" s="16">
        <v>341539</v>
      </c>
      <c r="S62" s="16">
        <v>2</v>
      </c>
      <c r="T62" s="16">
        <v>0</v>
      </c>
      <c r="U62" s="15" t="str">
        <f t="shared" si="0"/>
        <v>Privado Estrangeiro</v>
      </c>
      <c r="V62" s="17">
        <f t="shared" si="1"/>
        <v>6.0755088961613043E-4</v>
      </c>
      <c r="W62" s="17">
        <f t="shared" si="2"/>
        <v>6.5573918422688629E-2</v>
      </c>
      <c r="X62" s="15" t="str">
        <f t="shared" si="3"/>
        <v>Média/Pequena</v>
      </c>
      <c r="Y62" s="121" t="str" cm="1">
        <f t="array" ref="Y62">_xlfn.IFS(ISNUMBER(W62)=FALSE,"Sem dado",W62&gt;0.075,"Excelente",W62&gt;0.04,"Bom",W62&gt;0,"Fraco",TRUE,"Prejuízo")</f>
        <v>Bom</v>
      </c>
    </row>
    <row r="63" spans="1:25" ht="15" customHeight="1" x14ac:dyDescent="0.2">
      <c r="A63" s="12" t="s">
        <v>221</v>
      </c>
      <c r="B63" s="56">
        <v>4862600</v>
      </c>
      <c r="C63" s="12" t="s">
        <v>222</v>
      </c>
      <c r="D63" s="12" t="s">
        <v>223</v>
      </c>
      <c r="E63" s="12" t="s">
        <v>224</v>
      </c>
      <c r="F63" s="12" t="s">
        <v>65</v>
      </c>
      <c r="G63" s="33">
        <v>2</v>
      </c>
      <c r="H63" s="33">
        <v>14</v>
      </c>
      <c r="I63" s="12" t="s">
        <v>38</v>
      </c>
      <c r="J63" s="12" t="s">
        <v>39</v>
      </c>
      <c r="K63" s="73" t="s">
        <v>29</v>
      </c>
      <c r="L63" s="13">
        <v>25524629</v>
      </c>
      <c r="M63" s="13">
        <v>20556575</v>
      </c>
      <c r="N63" s="13">
        <v>2421316</v>
      </c>
      <c r="O63" s="13">
        <v>24209822</v>
      </c>
      <c r="P63" s="13">
        <v>6946052</v>
      </c>
      <c r="Q63" s="13">
        <v>1314807</v>
      </c>
      <c r="R63" s="13">
        <v>-32886</v>
      </c>
      <c r="S63" s="13">
        <v>2</v>
      </c>
      <c r="T63" s="13">
        <v>0</v>
      </c>
      <c r="U63" s="12" t="str">
        <f t="shared" si="0"/>
        <v>Privado Nacional</v>
      </c>
      <c r="V63" s="14">
        <f t="shared" si="1"/>
        <v>0.8053623423870333</v>
      </c>
      <c r="W63" s="14">
        <f t="shared" si="2"/>
        <v>-2.5012035987030796E-2</v>
      </c>
      <c r="X63" s="12" t="str">
        <f t="shared" si="3"/>
        <v>Média/Pequena</v>
      </c>
      <c r="Y63" s="122" t="str" cm="1">
        <f t="array" ref="Y63">_xlfn.IFS(ISNUMBER(W63)=FALSE,"Sem dado",W63&gt;0.075,"Excelente",W63&gt;0.04,"Bom",W63&gt;0,"Fraco",TRUE,"Prejuízo")</f>
        <v>Prejuízo</v>
      </c>
    </row>
    <row r="64" spans="1:25" ht="15" customHeight="1" x14ac:dyDescent="0.2">
      <c r="A64" s="15" t="s">
        <v>225</v>
      </c>
      <c r="B64" s="60">
        <v>2992446</v>
      </c>
      <c r="C64" s="15" t="s">
        <v>226</v>
      </c>
      <c r="D64" s="15"/>
      <c r="E64" s="15" t="s">
        <v>227</v>
      </c>
      <c r="F64" s="15" t="s">
        <v>60</v>
      </c>
      <c r="G64" s="34">
        <v>3</v>
      </c>
      <c r="H64" s="34">
        <v>8</v>
      </c>
      <c r="I64" s="15" t="s">
        <v>228</v>
      </c>
      <c r="J64" s="15" t="s">
        <v>229</v>
      </c>
      <c r="K64" s="74" t="s">
        <v>29</v>
      </c>
      <c r="L64" s="16">
        <v>24178316</v>
      </c>
      <c r="M64" s="16">
        <v>20416836</v>
      </c>
      <c r="N64" s="16">
        <v>1306</v>
      </c>
      <c r="O64" s="16">
        <v>21566756</v>
      </c>
      <c r="P64" s="16">
        <v>19821707</v>
      </c>
      <c r="Q64" s="16">
        <v>2611560</v>
      </c>
      <c r="R64" s="16">
        <v>-99496</v>
      </c>
      <c r="S64" s="16">
        <v>2</v>
      </c>
      <c r="T64" s="16">
        <v>0</v>
      </c>
      <c r="U64" s="15" t="str">
        <f t="shared" si="0"/>
        <v>Privado Estrangeiro</v>
      </c>
      <c r="V64" s="17">
        <f t="shared" si="1"/>
        <v>0.84442754408536969</v>
      </c>
      <c r="W64" s="17">
        <f t="shared" si="2"/>
        <v>-3.8098301398397892E-2</v>
      </c>
      <c r="X64" s="15" t="str">
        <f t="shared" si="3"/>
        <v>Média/Pequena</v>
      </c>
      <c r="Y64" s="121" t="str" cm="1">
        <f t="array" ref="Y64">_xlfn.IFS(ISNUMBER(W64)=FALSE,"Sem dado",W64&gt;0.075,"Excelente",W64&gt;0.04,"Bom",W64&gt;0,"Fraco",TRUE,"Prejuízo")</f>
        <v>Prejuízo</v>
      </c>
    </row>
    <row r="65" spans="1:25" ht="15" customHeight="1" x14ac:dyDescent="0.2">
      <c r="A65" s="12" t="s">
        <v>230</v>
      </c>
      <c r="B65" s="56">
        <v>8357240</v>
      </c>
      <c r="C65" s="12" t="s">
        <v>231</v>
      </c>
      <c r="D65" s="12"/>
      <c r="E65" s="12" t="s">
        <v>232</v>
      </c>
      <c r="F65" s="12" t="s">
        <v>60</v>
      </c>
      <c r="G65" s="33">
        <v>2</v>
      </c>
      <c r="H65" s="33">
        <v>8</v>
      </c>
      <c r="I65" s="12" t="s">
        <v>38</v>
      </c>
      <c r="J65" s="12" t="s">
        <v>39</v>
      </c>
      <c r="K65" s="73" t="s">
        <v>29</v>
      </c>
      <c r="L65" s="13">
        <v>23818077</v>
      </c>
      <c r="M65" s="13">
        <v>18220416</v>
      </c>
      <c r="N65" s="13">
        <v>1536756</v>
      </c>
      <c r="O65" s="13">
        <v>20380331</v>
      </c>
      <c r="P65" s="13">
        <v>4877271</v>
      </c>
      <c r="Q65" s="13">
        <v>3437746</v>
      </c>
      <c r="R65" s="13">
        <v>300157</v>
      </c>
      <c r="S65" s="13">
        <v>2</v>
      </c>
      <c r="T65" s="13">
        <v>0</v>
      </c>
      <c r="U65" s="12" t="str">
        <f t="shared" si="0"/>
        <v>Privado Nacional</v>
      </c>
      <c r="V65" s="14">
        <f t="shared" si="1"/>
        <v>0.76498266421760241</v>
      </c>
      <c r="W65" s="14">
        <f t="shared" si="2"/>
        <v>8.7312151624930986E-2</v>
      </c>
      <c r="X65" s="12" t="str">
        <f t="shared" si="3"/>
        <v>Média/Pequena</v>
      </c>
      <c r="Y65" s="122" t="str" cm="1">
        <f t="array" ref="Y65">_xlfn.IFS(ISNUMBER(W65)=FALSE,"Sem dado",W65&gt;0.075,"Excelente",W65&gt;0.04,"Bom",W65&gt;0,"Fraco",TRUE,"Prejuízo")</f>
        <v>Excelente</v>
      </c>
    </row>
    <row r="66" spans="1:25" ht="15" customHeight="1" x14ac:dyDescent="0.2">
      <c r="A66" s="15" t="s">
        <v>233</v>
      </c>
      <c r="B66" s="60">
        <v>17157777</v>
      </c>
      <c r="C66" s="15" t="s">
        <v>56</v>
      </c>
      <c r="D66" s="15" t="s">
        <v>57</v>
      </c>
      <c r="E66" s="15" t="s">
        <v>58</v>
      </c>
      <c r="F66" s="15" t="s">
        <v>60</v>
      </c>
      <c r="G66" s="34">
        <v>2</v>
      </c>
      <c r="H66" s="34">
        <v>8</v>
      </c>
      <c r="I66" s="15" t="s">
        <v>53</v>
      </c>
      <c r="J66" s="15" t="s">
        <v>54</v>
      </c>
      <c r="K66" s="74" t="s">
        <v>29</v>
      </c>
      <c r="L66" s="16">
        <v>23199020</v>
      </c>
      <c r="M66" s="16">
        <v>362369</v>
      </c>
      <c r="N66" s="16">
        <v>198133</v>
      </c>
      <c r="O66" s="16">
        <v>11829743</v>
      </c>
      <c r="P66" s="16">
        <v>5909715</v>
      </c>
      <c r="Q66" s="16">
        <v>11369277</v>
      </c>
      <c r="R66" s="16">
        <v>1828643</v>
      </c>
      <c r="S66" s="16">
        <v>1</v>
      </c>
      <c r="T66" s="16">
        <v>0</v>
      </c>
      <c r="U66" s="15" t="str">
        <f t="shared" si="0"/>
        <v>Privado Nacional</v>
      </c>
      <c r="V66" s="17">
        <f t="shared" si="1"/>
        <v>1.5620013259180776E-2</v>
      </c>
      <c r="W66" s="17">
        <f t="shared" si="2"/>
        <v>0.16084074651360855</v>
      </c>
      <c r="X66" s="15" t="str">
        <f t="shared" si="3"/>
        <v>Média/Pequena</v>
      </c>
      <c r="Y66" s="121" t="str" cm="1">
        <f t="array" ref="Y66">_xlfn.IFS(ISNUMBER(W66)=FALSE,"Sem dado",W66&gt;0.075,"Excelente",W66&gt;0.04,"Bom",W66&gt;0,"Fraco",TRUE,"Prejuízo")</f>
        <v>Excelente</v>
      </c>
    </row>
    <row r="67" spans="1:25" ht="15" customHeight="1" x14ac:dyDescent="0.2">
      <c r="A67" s="12" t="s">
        <v>234</v>
      </c>
      <c r="B67" s="56">
        <v>37679449</v>
      </c>
      <c r="C67" s="12" t="s">
        <v>113</v>
      </c>
      <c r="D67" s="12" t="s">
        <v>114</v>
      </c>
      <c r="E67" s="12" t="s">
        <v>114</v>
      </c>
      <c r="F67" s="12" t="s">
        <v>65</v>
      </c>
      <c r="G67" s="33">
        <v>3</v>
      </c>
      <c r="H67" s="33">
        <v>14</v>
      </c>
      <c r="I67" s="12" t="s">
        <v>44</v>
      </c>
      <c r="J67" s="12" t="s">
        <v>39</v>
      </c>
      <c r="K67" s="73" t="s">
        <v>29</v>
      </c>
      <c r="L67" s="13">
        <v>23031915</v>
      </c>
      <c r="M67" s="13">
        <v>11218909</v>
      </c>
      <c r="N67" s="13">
        <v>3421828</v>
      </c>
      <c r="O67" s="13">
        <v>19040377</v>
      </c>
      <c r="P67" s="13">
        <v>15365256</v>
      </c>
      <c r="Q67" s="13">
        <v>3991538</v>
      </c>
      <c r="R67" s="13">
        <v>293857</v>
      </c>
      <c r="S67" s="13">
        <v>2</v>
      </c>
      <c r="T67" s="13">
        <v>0</v>
      </c>
      <c r="U67" s="12" t="str">
        <f t="shared" si="0"/>
        <v>Privado Estrangeiro</v>
      </c>
      <c r="V67" s="14">
        <f t="shared" si="1"/>
        <v>0.48710274417042615</v>
      </c>
      <c r="W67" s="14">
        <f t="shared" si="2"/>
        <v>7.3619993095393299E-2</v>
      </c>
      <c r="X67" s="12" t="str">
        <f t="shared" si="3"/>
        <v>Média/Pequena</v>
      </c>
      <c r="Y67" s="122" t="str" cm="1">
        <f t="array" ref="Y67">_xlfn.IFS(ISNUMBER(W67)=FALSE,"Sem dado",W67&gt;0.075,"Excelente",W67&gt;0.04,"Bom",W67&gt;0,"Fraco",TRUE,"Prejuízo")</f>
        <v>Bom</v>
      </c>
    </row>
    <row r="68" spans="1:25" ht="15" customHeight="1" x14ac:dyDescent="0.2">
      <c r="A68" s="15" t="s">
        <v>235</v>
      </c>
      <c r="B68" s="60">
        <v>58616418</v>
      </c>
      <c r="C68" s="15" t="s">
        <v>236</v>
      </c>
      <c r="D68" s="15"/>
      <c r="E68" s="15" t="s">
        <v>237</v>
      </c>
      <c r="F68" s="15" t="s">
        <v>26</v>
      </c>
      <c r="G68" s="34">
        <v>2</v>
      </c>
      <c r="H68" s="34">
        <v>8</v>
      </c>
      <c r="I68" s="15" t="s">
        <v>38</v>
      </c>
      <c r="J68" s="15" t="s">
        <v>39</v>
      </c>
      <c r="K68" s="74" t="s">
        <v>29</v>
      </c>
      <c r="L68" s="16">
        <v>22655142</v>
      </c>
      <c r="M68" s="16">
        <v>5556997</v>
      </c>
      <c r="N68" s="16">
        <v>12148350</v>
      </c>
      <c r="O68" s="16">
        <v>21200920</v>
      </c>
      <c r="P68" s="16">
        <v>19896779</v>
      </c>
      <c r="Q68" s="16">
        <v>1454222</v>
      </c>
      <c r="R68" s="16">
        <v>154451</v>
      </c>
      <c r="S68" s="16">
        <v>2</v>
      </c>
      <c r="T68" s="16">
        <v>0</v>
      </c>
      <c r="U68" s="15" t="str">
        <f t="shared" si="0"/>
        <v>Privado Nacional</v>
      </c>
      <c r="V68" s="17">
        <f t="shared" si="1"/>
        <v>0.24528634603128949</v>
      </c>
      <c r="W68" s="17">
        <f t="shared" si="2"/>
        <v>0.10620868065536074</v>
      </c>
      <c r="X68" s="15" t="str">
        <f t="shared" si="3"/>
        <v>Média/Pequena</v>
      </c>
      <c r="Y68" s="121" t="str" cm="1">
        <f t="array" ref="Y68">_xlfn.IFS(ISNUMBER(W68)=FALSE,"Sem dado",W68&gt;0.075,"Excelente",W68&gt;0.04,"Bom",W68&gt;0,"Fraco",TRUE,"Prejuízo")</f>
        <v>Excelente</v>
      </c>
    </row>
    <row r="69" spans="1:25" ht="15" customHeight="1" x14ac:dyDescent="0.2">
      <c r="A69" s="12" t="s">
        <v>238</v>
      </c>
      <c r="B69" s="56">
        <v>18189547</v>
      </c>
      <c r="C69" s="12" t="s">
        <v>239</v>
      </c>
      <c r="D69" s="12"/>
      <c r="E69" s="12" t="s">
        <v>240</v>
      </c>
      <c r="F69" s="12" t="s">
        <v>84</v>
      </c>
      <c r="G69" s="33">
        <v>2</v>
      </c>
      <c r="H69" s="33">
        <v>41</v>
      </c>
      <c r="I69" s="12" t="s">
        <v>38</v>
      </c>
      <c r="J69" s="12" t="s">
        <v>39</v>
      </c>
      <c r="K69" s="73" t="s">
        <v>29</v>
      </c>
      <c r="L69" s="13">
        <v>22593972</v>
      </c>
      <c r="M69" s="13">
        <v>0</v>
      </c>
      <c r="N69" s="13">
        <v>819519</v>
      </c>
      <c r="O69" s="13">
        <v>20277561</v>
      </c>
      <c r="P69" s="13">
        <v>1355863</v>
      </c>
      <c r="Q69" s="13">
        <v>2316411</v>
      </c>
      <c r="R69" s="13">
        <v>552378</v>
      </c>
      <c r="S69" s="13">
        <v>1</v>
      </c>
      <c r="T69" s="13">
        <v>0</v>
      </c>
      <c r="U69" s="12" t="str">
        <f t="shared" ref="U69:U132" si="4">IFERROR(CHOOSE(G69,"Público","Privado Nacional","Privado Estrangeiro"),"n.d.")</f>
        <v>Privado Nacional</v>
      </c>
      <c r="V69" s="14">
        <f t="shared" ref="V69:V132" si="5">IF(AND(ISNUMBER(M69),ISNUMBER(L69)),IF(L69&gt;0,M69/L69,"n.d."),"NI")</f>
        <v>0</v>
      </c>
      <c r="W69" s="14">
        <f t="shared" ref="W69:W132" si="6">IF(AND(ISNUMBER(R69),ISNUMBER(Q69)),IF(Q69&gt;0,R69/Q69,"n.d."),"NI")</f>
        <v>0.23846286345557849</v>
      </c>
      <c r="X69" s="12" t="str">
        <f t="shared" ref="X69:X132" si="7">IF(ISNUMBER(L69),IF(L69&gt;100000000,"Grande","Média/Pequena"),"Sem dado")</f>
        <v>Média/Pequena</v>
      </c>
      <c r="Y69" s="122" t="str" cm="1">
        <f t="array" ref="Y69">_xlfn.IFS(ISNUMBER(W69)=FALSE,"Sem dado",W69&gt;0.075,"Excelente",W69&gt;0.04,"Bom",W69&gt;0,"Fraco",TRUE,"Prejuízo")</f>
        <v>Excelente</v>
      </c>
    </row>
    <row r="70" spans="1:25" ht="15" customHeight="1" x14ac:dyDescent="0.2">
      <c r="A70" s="15" t="s">
        <v>241</v>
      </c>
      <c r="B70" s="60">
        <v>62331228</v>
      </c>
      <c r="C70" s="15" t="s">
        <v>242</v>
      </c>
      <c r="D70" s="15"/>
      <c r="E70" s="15" t="s">
        <v>243</v>
      </c>
      <c r="F70" s="15" t="s">
        <v>26</v>
      </c>
      <c r="G70" s="34">
        <v>3</v>
      </c>
      <c r="H70" s="34">
        <v>8</v>
      </c>
      <c r="I70" s="15" t="s">
        <v>38</v>
      </c>
      <c r="J70" s="15" t="s">
        <v>39</v>
      </c>
      <c r="K70" s="74" t="s">
        <v>29</v>
      </c>
      <c r="L70" s="16">
        <v>21745428</v>
      </c>
      <c r="M70" s="16">
        <v>3777593</v>
      </c>
      <c r="N70" s="16">
        <v>9872679</v>
      </c>
      <c r="O70" s="16">
        <v>18666470</v>
      </c>
      <c r="P70" s="16">
        <v>15460387</v>
      </c>
      <c r="Q70" s="16">
        <v>3078957</v>
      </c>
      <c r="R70" s="16">
        <v>101246</v>
      </c>
      <c r="S70" s="16">
        <v>2</v>
      </c>
      <c r="T70" s="16">
        <v>0</v>
      </c>
      <c r="U70" s="15" t="str">
        <f t="shared" si="4"/>
        <v>Privado Estrangeiro</v>
      </c>
      <c r="V70" s="17">
        <f t="shared" si="5"/>
        <v>0.17371895370373946</v>
      </c>
      <c r="W70" s="17">
        <f t="shared" si="6"/>
        <v>3.2883213373879533E-2</v>
      </c>
      <c r="X70" s="15" t="str">
        <f t="shared" si="7"/>
        <v>Média/Pequena</v>
      </c>
      <c r="Y70" s="121" t="str" cm="1">
        <f t="array" ref="Y70">_xlfn.IFS(ISNUMBER(W70)=FALSE,"Sem dado",W70&gt;0.075,"Excelente",W70&gt;0.04,"Bom",W70&gt;0,"Fraco",TRUE,"Prejuízo")</f>
        <v>Fraco</v>
      </c>
    </row>
    <row r="71" spans="1:25" ht="15" customHeight="1" x14ac:dyDescent="0.2">
      <c r="A71" s="12" t="s">
        <v>244</v>
      </c>
      <c r="B71" s="56">
        <v>3502961</v>
      </c>
      <c r="C71" s="12" t="s">
        <v>245</v>
      </c>
      <c r="D71" s="12" t="s">
        <v>246</v>
      </c>
      <c r="E71" s="12" t="s">
        <v>247</v>
      </c>
      <c r="F71" s="12" t="s">
        <v>65</v>
      </c>
      <c r="G71" s="33">
        <v>3</v>
      </c>
      <c r="H71" s="33">
        <v>14</v>
      </c>
      <c r="I71" s="12" t="s">
        <v>38</v>
      </c>
      <c r="J71" s="12" t="s">
        <v>39</v>
      </c>
      <c r="K71" s="73" t="s">
        <v>29</v>
      </c>
      <c r="L71" s="13">
        <v>21539454</v>
      </c>
      <c r="M71" s="13">
        <v>18478169</v>
      </c>
      <c r="N71" s="13">
        <v>750647</v>
      </c>
      <c r="O71" s="13">
        <v>18535784</v>
      </c>
      <c r="P71" s="13">
        <v>17973893</v>
      </c>
      <c r="Q71" s="13">
        <v>3003670</v>
      </c>
      <c r="R71" s="13">
        <v>119318</v>
      </c>
      <c r="S71" s="13">
        <v>2</v>
      </c>
      <c r="T71" s="13">
        <v>0</v>
      </c>
      <c r="U71" s="12" t="str">
        <f t="shared" si="4"/>
        <v>Privado Estrangeiro</v>
      </c>
      <c r="V71" s="14">
        <f t="shared" si="5"/>
        <v>0.85787545961007183</v>
      </c>
      <c r="W71" s="14">
        <f t="shared" si="6"/>
        <v>3.9724070886615372E-2</v>
      </c>
      <c r="X71" s="12" t="str">
        <f t="shared" si="7"/>
        <v>Média/Pequena</v>
      </c>
      <c r="Y71" s="122" t="str" cm="1">
        <f t="array" ref="Y71">_xlfn.IFS(ISNUMBER(W71)=FALSE,"Sem dado",W71&gt;0.075,"Excelente",W71&gt;0.04,"Bom",W71&gt;0,"Fraco",TRUE,"Prejuízo")</f>
        <v>Fraco</v>
      </c>
    </row>
    <row r="72" spans="1:25" ht="15" customHeight="1" x14ac:dyDescent="0.2">
      <c r="A72" s="15" t="s">
        <v>248</v>
      </c>
      <c r="B72" s="60">
        <v>4913711</v>
      </c>
      <c r="C72" s="15" t="s">
        <v>249</v>
      </c>
      <c r="D72" s="15"/>
      <c r="E72" s="15" t="s">
        <v>250</v>
      </c>
      <c r="F72" s="15" t="s">
        <v>26</v>
      </c>
      <c r="G72" s="34">
        <v>1</v>
      </c>
      <c r="H72" s="34">
        <v>8</v>
      </c>
      <c r="I72" s="15" t="s">
        <v>143</v>
      </c>
      <c r="J72" s="15" t="s">
        <v>144</v>
      </c>
      <c r="K72" s="74" t="s">
        <v>29</v>
      </c>
      <c r="L72" s="16">
        <v>21444615</v>
      </c>
      <c r="M72" s="16">
        <v>15444766</v>
      </c>
      <c r="N72" s="16">
        <v>1420567</v>
      </c>
      <c r="O72" s="16">
        <v>19200343</v>
      </c>
      <c r="P72" s="16">
        <v>18223337</v>
      </c>
      <c r="Q72" s="16">
        <v>2244272</v>
      </c>
      <c r="R72" s="16">
        <v>100805</v>
      </c>
      <c r="S72" s="16">
        <v>165</v>
      </c>
      <c r="T72" s="16">
        <v>34</v>
      </c>
      <c r="U72" s="15" t="str">
        <f t="shared" si="4"/>
        <v>Público</v>
      </c>
      <c r="V72" s="17">
        <f t="shared" si="5"/>
        <v>0.72021652055772512</v>
      </c>
      <c r="W72" s="17">
        <f t="shared" si="6"/>
        <v>4.4916569827543183E-2</v>
      </c>
      <c r="X72" s="15" t="str">
        <f t="shared" si="7"/>
        <v>Média/Pequena</v>
      </c>
      <c r="Y72" s="121" t="str" cm="1">
        <f t="array" ref="Y72">_xlfn.IFS(ISNUMBER(W72)=FALSE,"Sem dado",W72&gt;0.075,"Excelente",W72&gt;0.04,"Bom",W72&gt;0,"Fraco",TRUE,"Prejuízo")</f>
        <v>Bom</v>
      </c>
    </row>
    <row r="73" spans="1:25" ht="15" customHeight="1" x14ac:dyDescent="0.2">
      <c r="A73" s="12" t="s">
        <v>251</v>
      </c>
      <c r="B73" s="56">
        <v>60814191</v>
      </c>
      <c r="C73" s="12" t="s">
        <v>252</v>
      </c>
      <c r="D73" s="12" t="s">
        <v>253</v>
      </c>
      <c r="E73" s="12" t="s">
        <v>254</v>
      </c>
      <c r="F73" s="12" t="s">
        <v>60</v>
      </c>
      <c r="G73" s="33">
        <v>3</v>
      </c>
      <c r="H73" s="33">
        <v>8</v>
      </c>
      <c r="I73" s="12" t="s">
        <v>255</v>
      </c>
      <c r="J73" s="12" t="s">
        <v>39</v>
      </c>
      <c r="K73" s="73" t="s">
        <v>29</v>
      </c>
      <c r="L73" s="13">
        <v>20853819</v>
      </c>
      <c r="M73" s="13">
        <v>19284332</v>
      </c>
      <c r="N73" s="13">
        <v>317664</v>
      </c>
      <c r="O73" s="13">
        <v>18430109</v>
      </c>
      <c r="P73" s="13">
        <v>17728172</v>
      </c>
      <c r="Q73" s="13">
        <v>2423711</v>
      </c>
      <c r="R73" s="13">
        <v>39490</v>
      </c>
      <c r="S73" s="13">
        <v>2</v>
      </c>
      <c r="T73" s="13">
        <v>0</v>
      </c>
      <c r="U73" s="12" t="str">
        <f t="shared" si="4"/>
        <v>Privado Estrangeiro</v>
      </c>
      <c r="V73" s="14">
        <f t="shared" si="5"/>
        <v>0.92473862940883877</v>
      </c>
      <c r="W73" s="14">
        <f t="shared" si="6"/>
        <v>1.6293196672375544E-2</v>
      </c>
      <c r="X73" s="12" t="str">
        <f t="shared" si="7"/>
        <v>Média/Pequena</v>
      </c>
      <c r="Y73" s="122" t="str" cm="1">
        <f t="array" ref="Y73">_xlfn.IFS(ISNUMBER(W73)=FALSE,"Sem dado",W73&gt;0.075,"Excelente",W73&gt;0.04,"Bom",W73&gt;0,"Fraco",TRUE,"Prejuízo")</f>
        <v>Fraco</v>
      </c>
    </row>
    <row r="74" spans="1:25" ht="15" customHeight="1" x14ac:dyDescent="0.2">
      <c r="A74" s="15" t="s">
        <v>256</v>
      </c>
      <c r="B74" s="60">
        <v>75647891</v>
      </c>
      <c r="C74" s="15" t="s">
        <v>257</v>
      </c>
      <c r="D74" s="15"/>
      <c r="E74" s="15" t="s">
        <v>258</v>
      </c>
      <c r="F74" s="15" t="s">
        <v>26</v>
      </c>
      <c r="G74" s="34">
        <v>3</v>
      </c>
      <c r="H74" s="34">
        <v>8</v>
      </c>
      <c r="I74" s="15" t="s">
        <v>38</v>
      </c>
      <c r="J74" s="15" t="s">
        <v>39</v>
      </c>
      <c r="K74" s="74" t="s">
        <v>29</v>
      </c>
      <c r="L74" s="16">
        <v>20150414</v>
      </c>
      <c r="M74" s="16">
        <v>8746825</v>
      </c>
      <c r="N74" s="16">
        <v>4002938</v>
      </c>
      <c r="O74" s="16">
        <v>15955785</v>
      </c>
      <c r="P74" s="16">
        <v>14040180</v>
      </c>
      <c r="Q74" s="16">
        <v>4194628</v>
      </c>
      <c r="R74" s="16">
        <v>137358</v>
      </c>
      <c r="S74" s="16">
        <v>2</v>
      </c>
      <c r="T74" s="16">
        <v>0</v>
      </c>
      <c r="U74" s="15" t="str">
        <f t="shared" si="4"/>
        <v>Privado Estrangeiro</v>
      </c>
      <c r="V74" s="17">
        <f t="shared" si="5"/>
        <v>0.43407668944171568</v>
      </c>
      <c r="W74" s="17">
        <f t="shared" si="6"/>
        <v>3.2746169624576958E-2</v>
      </c>
      <c r="X74" s="15" t="str">
        <f t="shared" si="7"/>
        <v>Média/Pequena</v>
      </c>
      <c r="Y74" s="121" t="str" cm="1">
        <f t="array" ref="Y74">_xlfn.IFS(ISNUMBER(W74)=FALSE,"Sem dado",W74&gt;0.075,"Excelente",W74&gt;0.04,"Bom",W74&gt;0,"Fraco",TRUE,"Prejuízo")</f>
        <v>Fraco</v>
      </c>
    </row>
    <row r="75" spans="1:25" ht="15" customHeight="1" x14ac:dyDescent="0.2">
      <c r="A75" s="12" t="s">
        <v>259</v>
      </c>
      <c r="B75" s="56">
        <v>2206577</v>
      </c>
      <c r="C75" s="12" t="s">
        <v>35</v>
      </c>
      <c r="D75" s="12" t="s">
        <v>36</v>
      </c>
      <c r="E75" s="12" t="s">
        <v>37</v>
      </c>
      <c r="F75" s="12" t="s">
        <v>65</v>
      </c>
      <c r="G75" s="33">
        <v>2</v>
      </c>
      <c r="H75" s="33">
        <v>14</v>
      </c>
      <c r="I75" s="12" t="s">
        <v>38</v>
      </c>
      <c r="J75" s="12" t="s">
        <v>39</v>
      </c>
      <c r="K75" s="73" t="s">
        <v>29</v>
      </c>
      <c r="L75" s="13">
        <v>19422651</v>
      </c>
      <c r="M75" s="13">
        <v>17848013</v>
      </c>
      <c r="N75" s="13">
        <v>26208</v>
      </c>
      <c r="O75" s="13">
        <v>17177854</v>
      </c>
      <c r="P75" s="13">
        <v>3392857</v>
      </c>
      <c r="Q75" s="13">
        <v>2244797</v>
      </c>
      <c r="R75" s="13">
        <v>218800</v>
      </c>
      <c r="S75" s="13">
        <v>2</v>
      </c>
      <c r="T75" s="13">
        <v>0</v>
      </c>
      <c r="U75" s="12" t="str">
        <f t="shared" si="4"/>
        <v>Privado Nacional</v>
      </c>
      <c r="V75" s="14">
        <f t="shared" si="5"/>
        <v>0.91892775090279899</v>
      </c>
      <c r="W75" s="14">
        <f t="shared" si="6"/>
        <v>9.7469838029897587E-2</v>
      </c>
      <c r="X75" s="12" t="str">
        <f t="shared" si="7"/>
        <v>Média/Pequena</v>
      </c>
      <c r="Y75" s="122" t="str" cm="1">
        <f t="array" ref="Y75">_xlfn.IFS(ISNUMBER(W75)=FALSE,"Sem dado",W75&gt;0.075,"Excelente",W75&gt;0.04,"Bom",W75&gt;0,"Fraco",TRUE,"Prejuízo")</f>
        <v>Excelente</v>
      </c>
    </row>
    <row r="76" spans="1:25" ht="15" customHeight="1" x14ac:dyDescent="0.2">
      <c r="A76" s="15" t="s">
        <v>260</v>
      </c>
      <c r="B76" s="60">
        <v>47509120</v>
      </c>
      <c r="C76" s="15" t="s">
        <v>41</v>
      </c>
      <c r="D76" s="15" t="s">
        <v>42</v>
      </c>
      <c r="E76" s="15" t="s">
        <v>43</v>
      </c>
      <c r="F76" s="15" t="s">
        <v>65</v>
      </c>
      <c r="G76" s="34">
        <v>2</v>
      </c>
      <c r="H76" s="34">
        <v>19</v>
      </c>
      <c r="I76" s="15" t="s">
        <v>44</v>
      </c>
      <c r="J76" s="15" t="s">
        <v>39</v>
      </c>
      <c r="K76" s="74" t="s">
        <v>29</v>
      </c>
      <c r="L76" s="16">
        <v>19322032</v>
      </c>
      <c r="M76" s="16">
        <v>8085279</v>
      </c>
      <c r="N76" s="16">
        <v>9678666</v>
      </c>
      <c r="O76" s="16">
        <v>14638157</v>
      </c>
      <c r="P76" s="16">
        <v>13099402</v>
      </c>
      <c r="Q76" s="16">
        <v>4683875</v>
      </c>
      <c r="R76" s="16">
        <v>238141</v>
      </c>
      <c r="S76" s="16">
        <v>2</v>
      </c>
      <c r="T76" s="16">
        <v>0</v>
      </c>
      <c r="U76" s="15" t="str">
        <f t="shared" si="4"/>
        <v>Privado Nacional</v>
      </c>
      <c r="V76" s="17">
        <f t="shared" si="5"/>
        <v>0.41844869111074862</v>
      </c>
      <c r="W76" s="17">
        <f t="shared" si="6"/>
        <v>5.0842731712524354E-2</v>
      </c>
      <c r="X76" s="15" t="str">
        <f t="shared" si="7"/>
        <v>Média/Pequena</v>
      </c>
      <c r="Y76" s="121" t="str" cm="1">
        <f t="array" ref="Y76">_xlfn.IFS(ISNUMBER(W76)=FALSE,"Sem dado",W76&gt;0.075,"Excelente",W76&gt;0.04,"Bom",W76&gt;0,"Fraco",TRUE,"Prejuízo")</f>
        <v>Bom</v>
      </c>
    </row>
    <row r="77" spans="1:25" ht="15" customHeight="1" x14ac:dyDescent="0.2">
      <c r="A77" s="12" t="s">
        <v>261</v>
      </c>
      <c r="B77" s="56">
        <v>63917579</v>
      </c>
      <c r="C77" s="12"/>
      <c r="D77" s="12"/>
      <c r="E77" s="12"/>
      <c r="F77" s="12" t="s">
        <v>199</v>
      </c>
      <c r="G77" s="33">
        <v>2</v>
      </c>
      <c r="H77" s="33">
        <v>9</v>
      </c>
      <c r="I77" s="12" t="s">
        <v>262</v>
      </c>
      <c r="J77" s="12" t="s">
        <v>39</v>
      </c>
      <c r="K77" s="73" t="s">
        <v>29</v>
      </c>
      <c r="L77" s="13">
        <v>19289667</v>
      </c>
      <c r="M77" s="13">
        <v>0</v>
      </c>
      <c r="N77" s="13">
        <v>6723730</v>
      </c>
      <c r="O77" s="13">
        <v>18358775</v>
      </c>
      <c r="P77" s="13">
        <v>1544428</v>
      </c>
      <c r="Q77" s="13">
        <v>930893</v>
      </c>
      <c r="R77" s="13">
        <v>61944</v>
      </c>
      <c r="S77" s="13">
        <v>0</v>
      </c>
      <c r="T77" s="13">
        <v>0</v>
      </c>
      <c r="U77" s="12" t="str">
        <f t="shared" si="4"/>
        <v>Privado Nacional</v>
      </c>
      <c r="V77" s="14">
        <f t="shared" si="5"/>
        <v>0</v>
      </c>
      <c r="W77" s="14">
        <f t="shared" si="6"/>
        <v>6.6542556448485488E-2</v>
      </c>
      <c r="X77" s="12" t="str">
        <f t="shared" si="7"/>
        <v>Média/Pequena</v>
      </c>
      <c r="Y77" s="122" t="str" cm="1">
        <f t="array" ref="Y77">_xlfn.IFS(ISNUMBER(W77)=FALSE,"Sem dado",W77&gt;0.075,"Excelente",W77&gt;0.04,"Bom",W77&gt;0,"Fraco",TRUE,"Prejuízo")</f>
        <v>Bom</v>
      </c>
    </row>
    <row r="78" spans="1:25" ht="15" customHeight="1" x14ac:dyDescent="0.2">
      <c r="A78" s="15" t="s">
        <v>263</v>
      </c>
      <c r="B78" s="60">
        <v>43815158</v>
      </c>
      <c r="C78" s="15" t="s">
        <v>56</v>
      </c>
      <c r="D78" s="15" t="s">
        <v>57</v>
      </c>
      <c r="E78" s="15" t="s">
        <v>58</v>
      </c>
      <c r="F78" s="15" t="s">
        <v>98</v>
      </c>
      <c r="G78" s="34">
        <v>2</v>
      </c>
      <c r="H78" s="34">
        <v>15</v>
      </c>
      <c r="I78" s="15" t="s">
        <v>53</v>
      </c>
      <c r="J78" s="15" t="s">
        <v>54</v>
      </c>
      <c r="K78" s="74" t="s">
        <v>29</v>
      </c>
      <c r="L78" s="16">
        <v>19186457</v>
      </c>
      <c r="M78" s="16">
        <v>0</v>
      </c>
      <c r="N78" s="16">
        <v>1113824</v>
      </c>
      <c r="O78" s="16">
        <v>18159300</v>
      </c>
      <c r="P78" s="16">
        <v>325053</v>
      </c>
      <c r="Q78" s="16">
        <v>1027158</v>
      </c>
      <c r="R78" s="16">
        <v>180891</v>
      </c>
      <c r="S78" s="16">
        <v>6</v>
      </c>
      <c r="T78" s="16">
        <v>0</v>
      </c>
      <c r="U78" s="15" t="str">
        <f t="shared" si="4"/>
        <v>Privado Nacional</v>
      </c>
      <c r="V78" s="17">
        <f t="shared" si="5"/>
        <v>0</v>
      </c>
      <c r="W78" s="17">
        <f t="shared" si="6"/>
        <v>0.17610825208974665</v>
      </c>
      <c r="X78" s="15" t="str">
        <f t="shared" si="7"/>
        <v>Média/Pequena</v>
      </c>
      <c r="Y78" s="121" t="str" cm="1">
        <f t="array" ref="Y78">_xlfn.IFS(ISNUMBER(W78)=FALSE,"Sem dado",W78&gt;0.075,"Excelente",W78&gt;0.04,"Bom",W78&gt;0,"Fraco",TRUE,"Prejuízo")</f>
        <v>Excelente</v>
      </c>
    </row>
    <row r="79" spans="1:25" ht="15" customHeight="1" x14ac:dyDescent="0.2">
      <c r="A79" s="12" t="s">
        <v>264</v>
      </c>
      <c r="B79" s="56">
        <v>54037916</v>
      </c>
      <c r="C79" s="12"/>
      <c r="D79" s="12"/>
      <c r="E79" s="12"/>
      <c r="F79" s="12" t="s">
        <v>265</v>
      </c>
      <c r="G79" s="33">
        <v>2</v>
      </c>
      <c r="H79" s="33">
        <v>9</v>
      </c>
      <c r="I79" s="12" t="s">
        <v>266</v>
      </c>
      <c r="J79" s="12" t="s">
        <v>39</v>
      </c>
      <c r="K79" s="73" t="s">
        <v>29</v>
      </c>
      <c r="L79" s="13">
        <v>18797895</v>
      </c>
      <c r="M79" s="13">
        <v>9038341</v>
      </c>
      <c r="N79" s="13">
        <v>3840257</v>
      </c>
      <c r="O79" s="13">
        <v>15102280</v>
      </c>
      <c r="P79" s="13">
        <v>13307188</v>
      </c>
      <c r="Q79" s="13">
        <v>3695615</v>
      </c>
      <c r="R79" s="13">
        <v>164239</v>
      </c>
      <c r="S79" s="13">
        <v>0</v>
      </c>
      <c r="T79" s="13">
        <v>127</v>
      </c>
      <c r="U79" s="12" t="str">
        <f t="shared" si="4"/>
        <v>Privado Nacional</v>
      </c>
      <c r="V79" s="14">
        <f t="shared" si="5"/>
        <v>0.48081665526911394</v>
      </c>
      <c r="W79" s="14">
        <f t="shared" si="6"/>
        <v>4.4441588206563722E-2</v>
      </c>
      <c r="X79" s="12" t="str">
        <f t="shared" si="7"/>
        <v>Média/Pequena</v>
      </c>
      <c r="Y79" s="122" t="str" cm="1">
        <f t="array" ref="Y79">_xlfn.IFS(ISNUMBER(W79)=FALSE,"Sem dado",W79&gt;0.075,"Excelente",W79&gt;0.04,"Bom",W79&gt;0,"Fraco",TRUE,"Prejuízo")</f>
        <v>Bom</v>
      </c>
    </row>
    <row r="80" spans="1:25" ht="15" customHeight="1" x14ac:dyDescent="0.2">
      <c r="A80" s="15" t="s">
        <v>267</v>
      </c>
      <c r="B80" s="60">
        <v>13220493</v>
      </c>
      <c r="C80" s="15" t="s">
        <v>268</v>
      </c>
      <c r="D80" s="15"/>
      <c r="E80" s="15" t="s">
        <v>269</v>
      </c>
      <c r="F80" s="15" t="s">
        <v>60</v>
      </c>
      <c r="G80" s="34">
        <v>2</v>
      </c>
      <c r="H80" s="34">
        <v>13</v>
      </c>
      <c r="I80" s="15" t="s">
        <v>38</v>
      </c>
      <c r="J80" s="15" t="s">
        <v>39</v>
      </c>
      <c r="K80" s="74" t="s">
        <v>29</v>
      </c>
      <c r="L80" s="16">
        <v>18254444</v>
      </c>
      <c r="M80" s="16">
        <v>178232</v>
      </c>
      <c r="N80" s="16">
        <v>16606264</v>
      </c>
      <c r="O80" s="16">
        <v>17676436</v>
      </c>
      <c r="P80" s="16">
        <v>16192670</v>
      </c>
      <c r="Q80" s="16">
        <v>578008</v>
      </c>
      <c r="R80" s="16">
        <v>-4635</v>
      </c>
      <c r="S80" s="16">
        <v>2</v>
      </c>
      <c r="T80" s="16">
        <v>0</v>
      </c>
      <c r="U80" s="15" t="str">
        <f t="shared" si="4"/>
        <v>Privado Nacional</v>
      </c>
      <c r="V80" s="17">
        <f t="shared" si="5"/>
        <v>9.7637594440016899E-3</v>
      </c>
      <c r="W80" s="17">
        <f t="shared" si="6"/>
        <v>-8.0189201533542795E-3</v>
      </c>
      <c r="X80" s="15" t="str">
        <f t="shared" si="7"/>
        <v>Média/Pequena</v>
      </c>
      <c r="Y80" s="121" t="str" cm="1">
        <f t="array" ref="Y80">_xlfn.IFS(ISNUMBER(W80)=FALSE,"Sem dado",W80&gt;0.075,"Excelente",W80&gt;0.04,"Bom",W80&gt;0,"Fraco",TRUE,"Prejuízo")</f>
        <v>Prejuízo</v>
      </c>
    </row>
    <row r="81" spans="1:25" ht="15" customHeight="1" x14ac:dyDescent="0.2">
      <c r="A81" s="12" t="s">
        <v>270</v>
      </c>
      <c r="B81" s="56">
        <v>59274605</v>
      </c>
      <c r="C81" s="12" t="s">
        <v>271</v>
      </c>
      <c r="D81" s="12"/>
      <c r="E81" s="12" t="s">
        <v>272</v>
      </c>
      <c r="F81" s="12" t="s">
        <v>60</v>
      </c>
      <c r="G81" s="33">
        <v>3</v>
      </c>
      <c r="H81" s="33">
        <v>8</v>
      </c>
      <c r="I81" s="12" t="s">
        <v>38</v>
      </c>
      <c r="J81" s="12" t="s">
        <v>39</v>
      </c>
      <c r="K81" s="73" t="s">
        <v>29</v>
      </c>
      <c r="L81" s="13">
        <v>18035945</v>
      </c>
      <c r="M81" s="13">
        <v>13773333</v>
      </c>
      <c r="N81" s="13">
        <v>162166</v>
      </c>
      <c r="O81" s="13">
        <v>15113876</v>
      </c>
      <c r="P81" s="13">
        <v>13229613</v>
      </c>
      <c r="Q81" s="13">
        <v>2922069</v>
      </c>
      <c r="R81" s="13">
        <v>277328</v>
      </c>
      <c r="S81" s="13">
        <v>2</v>
      </c>
      <c r="T81" s="13">
        <v>0</v>
      </c>
      <c r="U81" s="12" t="str">
        <f t="shared" si="4"/>
        <v>Privado Estrangeiro</v>
      </c>
      <c r="V81" s="14">
        <f t="shared" si="5"/>
        <v>0.76366017971334466</v>
      </c>
      <c r="W81" s="14">
        <f t="shared" si="6"/>
        <v>9.4908094230492165E-2</v>
      </c>
      <c r="X81" s="12" t="str">
        <f t="shared" si="7"/>
        <v>Média/Pequena</v>
      </c>
      <c r="Y81" s="122" t="str" cm="1">
        <f t="array" ref="Y81">_xlfn.IFS(ISNUMBER(W81)=FALSE,"Sem dado",W81&gt;0.075,"Excelente",W81&gt;0.04,"Bom",W81&gt;0,"Fraco",TRUE,"Prejuízo")</f>
        <v>Excelente</v>
      </c>
    </row>
    <row r="82" spans="1:25" ht="15" customHeight="1" x14ac:dyDescent="0.2">
      <c r="A82" s="15" t="s">
        <v>273</v>
      </c>
      <c r="B82" s="60">
        <v>60889128</v>
      </c>
      <c r="C82" s="15" t="s">
        <v>274</v>
      </c>
      <c r="D82" s="15" t="s">
        <v>275</v>
      </c>
      <c r="E82" s="15" t="s">
        <v>276</v>
      </c>
      <c r="F82" s="15" t="s">
        <v>26</v>
      </c>
      <c r="G82" s="34">
        <v>2</v>
      </c>
      <c r="H82" s="34">
        <v>8</v>
      </c>
      <c r="I82" s="15" t="s">
        <v>38</v>
      </c>
      <c r="J82" s="15" t="s">
        <v>39</v>
      </c>
      <c r="K82" s="74" t="s">
        <v>29</v>
      </c>
      <c r="L82" s="16">
        <v>17860040</v>
      </c>
      <c r="M82" s="16">
        <v>7681224</v>
      </c>
      <c r="N82" s="16">
        <v>8389223</v>
      </c>
      <c r="O82" s="16">
        <v>16702237</v>
      </c>
      <c r="P82" s="16">
        <v>15763634</v>
      </c>
      <c r="Q82" s="16">
        <v>1157803</v>
      </c>
      <c r="R82" s="16">
        <v>39612</v>
      </c>
      <c r="S82" s="16">
        <v>24</v>
      </c>
      <c r="T82" s="16">
        <v>0</v>
      </c>
      <c r="U82" s="15" t="str">
        <f t="shared" si="4"/>
        <v>Privado Nacional</v>
      </c>
      <c r="V82" s="17">
        <f t="shared" si="5"/>
        <v>0.43007876802067635</v>
      </c>
      <c r="W82" s="17">
        <f t="shared" si="6"/>
        <v>3.4213074244927678E-2</v>
      </c>
      <c r="X82" s="15" t="str">
        <f t="shared" si="7"/>
        <v>Média/Pequena</v>
      </c>
      <c r="Y82" s="121" t="str" cm="1">
        <f t="array" ref="Y82">_xlfn.IFS(ISNUMBER(W82)=FALSE,"Sem dado",W82&gt;0.075,"Excelente",W82&gt;0.04,"Bom",W82&gt;0,"Fraco",TRUE,"Prejuízo")</f>
        <v>Fraco</v>
      </c>
    </row>
    <row r="83" spans="1:25" ht="15" customHeight="1" x14ac:dyDescent="0.2">
      <c r="A83" s="12" t="s">
        <v>277</v>
      </c>
      <c r="B83" s="56">
        <v>1401771</v>
      </c>
      <c r="C83" s="12"/>
      <c r="D83" s="12"/>
      <c r="E83" s="12"/>
      <c r="F83" s="12" t="s">
        <v>199</v>
      </c>
      <c r="G83" s="33">
        <v>2</v>
      </c>
      <c r="H83" s="33">
        <v>9</v>
      </c>
      <c r="I83" s="12" t="s">
        <v>278</v>
      </c>
      <c r="J83" s="12" t="s">
        <v>229</v>
      </c>
      <c r="K83" s="73" t="s">
        <v>29</v>
      </c>
      <c r="L83" s="13">
        <v>17754461</v>
      </c>
      <c r="M83" s="13">
        <v>99057</v>
      </c>
      <c r="N83" s="13">
        <v>4187898</v>
      </c>
      <c r="O83" s="13">
        <v>16966332</v>
      </c>
      <c r="P83" s="13">
        <v>10293913</v>
      </c>
      <c r="Q83" s="13">
        <v>788128</v>
      </c>
      <c r="R83" s="13">
        <v>57735</v>
      </c>
      <c r="S83" s="13">
        <v>0</v>
      </c>
      <c r="T83" s="13">
        <v>0</v>
      </c>
      <c r="U83" s="12" t="str">
        <f t="shared" si="4"/>
        <v>Privado Nacional</v>
      </c>
      <c r="V83" s="14">
        <f t="shared" si="5"/>
        <v>5.5792738512309668E-3</v>
      </c>
      <c r="W83" s="14">
        <f t="shared" si="6"/>
        <v>7.3255867067278407E-2</v>
      </c>
      <c r="X83" s="12" t="str">
        <f t="shared" si="7"/>
        <v>Média/Pequena</v>
      </c>
      <c r="Y83" s="122" t="str" cm="1">
        <f t="array" ref="Y83">_xlfn.IFS(ISNUMBER(W83)=FALSE,"Sem dado",W83&gt;0.075,"Excelente",W83&gt;0.04,"Bom",W83&gt;0,"Fraco",TRUE,"Prejuízo")</f>
        <v>Bom</v>
      </c>
    </row>
    <row r="84" spans="1:25" ht="15" customHeight="1" x14ac:dyDescent="0.2">
      <c r="A84" s="15" t="s">
        <v>279</v>
      </c>
      <c r="B84" s="60">
        <v>315557</v>
      </c>
      <c r="C84" s="15"/>
      <c r="D84" s="15"/>
      <c r="E84" s="15"/>
      <c r="F84" s="15" t="s">
        <v>199</v>
      </c>
      <c r="G84" s="34">
        <v>2</v>
      </c>
      <c r="H84" s="34">
        <v>9</v>
      </c>
      <c r="I84" s="15" t="s">
        <v>38</v>
      </c>
      <c r="J84" s="15" t="s">
        <v>39</v>
      </c>
      <c r="K84" s="74" t="s">
        <v>29</v>
      </c>
      <c r="L84" s="16">
        <v>17572425</v>
      </c>
      <c r="M84" s="16">
        <v>0</v>
      </c>
      <c r="N84" s="16">
        <v>9733269</v>
      </c>
      <c r="O84" s="16">
        <v>16799091</v>
      </c>
      <c r="P84" s="16">
        <v>58</v>
      </c>
      <c r="Q84" s="16">
        <v>773335</v>
      </c>
      <c r="R84" s="16">
        <v>41955</v>
      </c>
      <c r="S84" s="16">
        <v>0</v>
      </c>
      <c r="T84" s="16">
        <v>1</v>
      </c>
      <c r="U84" s="15" t="str">
        <f t="shared" si="4"/>
        <v>Privado Nacional</v>
      </c>
      <c r="V84" s="17">
        <f t="shared" si="5"/>
        <v>0</v>
      </c>
      <c r="W84" s="17">
        <f t="shared" si="6"/>
        <v>5.4252038249917568E-2</v>
      </c>
      <c r="X84" s="15" t="str">
        <f t="shared" si="7"/>
        <v>Média/Pequena</v>
      </c>
      <c r="Y84" s="121" t="str" cm="1">
        <f t="array" ref="Y84">_xlfn.IFS(ISNUMBER(W84)=FALSE,"Sem dado",W84&gt;0.075,"Excelente",W84&gt;0.04,"Bom",W84&gt;0,"Fraco",TRUE,"Prejuízo")</f>
        <v>Bom</v>
      </c>
    </row>
    <row r="85" spans="1:25" ht="15" customHeight="1" x14ac:dyDescent="0.2">
      <c r="A85" s="12" t="s">
        <v>280</v>
      </c>
      <c r="B85" s="56">
        <v>82639451</v>
      </c>
      <c r="C85" s="12"/>
      <c r="D85" s="12"/>
      <c r="E85" s="12"/>
      <c r="F85" s="12" t="s">
        <v>265</v>
      </c>
      <c r="G85" s="33">
        <v>2</v>
      </c>
      <c r="H85" s="33">
        <v>9</v>
      </c>
      <c r="I85" s="12" t="s">
        <v>281</v>
      </c>
      <c r="J85" s="12" t="s">
        <v>217</v>
      </c>
      <c r="K85" s="73" t="s">
        <v>29</v>
      </c>
      <c r="L85" s="13">
        <v>17524030</v>
      </c>
      <c r="M85" s="13">
        <v>8725675</v>
      </c>
      <c r="N85" s="13">
        <v>721306</v>
      </c>
      <c r="O85" s="13">
        <v>13841312</v>
      </c>
      <c r="P85" s="13">
        <v>12675486</v>
      </c>
      <c r="Q85" s="13">
        <v>3682717</v>
      </c>
      <c r="R85" s="13">
        <v>405343</v>
      </c>
      <c r="S85" s="13">
        <v>0</v>
      </c>
      <c r="T85" s="13">
        <v>119</v>
      </c>
      <c r="U85" s="12" t="str">
        <f t="shared" si="4"/>
        <v>Privado Nacional</v>
      </c>
      <c r="V85" s="14">
        <f t="shared" si="5"/>
        <v>0.49792627609060247</v>
      </c>
      <c r="W85" s="14">
        <f t="shared" si="6"/>
        <v>0.11006629073045797</v>
      </c>
      <c r="X85" s="12" t="str">
        <f t="shared" si="7"/>
        <v>Média/Pequena</v>
      </c>
      <c r="Y85" s="122" t="str" cm="1">
        <f t="array" ref="Y85">_xlfn.IFS(ISNUMBER(W85)=FALSE,"Sem dado",W85&gt;0.075,"Excelente",W85&gt;0.04,"Bom",W85&gt;0,"Fraco",TRUE,"Prejuízo")</f>
        <v>Excelente</v>
      </c>
    </row>
    <row r="86" spans="1:25" ht="15" customHeight="1" x14ac:dyDescent="0.2">
      <c r="A86" s="15" t="s">
        <v>282</v>
      </c>
      <c r="B86" s="60">
        <v>91884981</v>
      </c>
      <c r="C86" s="15" t="s">
        <v>41</v>
      </c>
      <c r="D86" s="15" t="s">
        <v>42</v>
      </c>
      <c r="E86" s="15" t="s">
        <v>43</v>
      </c>
      <c r="F86" s="15" t="s">
        <v>26</v>
      </c>
      <c r="G86" s="34">
        <v>2</v>
      </c>
      <c r="H86" s="34">
        <v>8</v>
      </c>
      <c r="I86" s="15" t="s">
        <v>44</v>
      </c>
      <c r="J86" s="15" t="s">
        <v>39</v>
      </c>
      <c r="K86" s="74" t="s">
        <v>29</v>
      </c>
      <c r="L86" s="16">
        <v>16770609</v>
      </c>
      <c r="M86" s="16">
        <v>14635555</v>
      </c>
      <c r="N86" s="16">
        <v>30340</v>
      </c>
      <c r="O86" s="16">
        <v>12482523</v>
      </c>
      <c r="P86" s="16">
        <v>12310073</v>
      </c>
      <c r="Q86" s="16">
        <v>4288086</v>
      </c>
      <c r="R86" s="16">
        <v>65446</v>
      </c>
      <c r="S86" s="16">
        <v>2</v>
      </c>
      <c r="T86" s="16">
        <v>0</v>
      </c>
      <c r="U86" s="15" t="str">
        <f t="shared" si="4"/>
        <v>Privado Nacional</v>
      </c>
      <c r="V86" s="17">
        <f t="shared" si="5"/>
        <v>0.87269072935872516</v>
      </c>
      <c r="W86" s="17">
        <f t="shared" si="6"/>
        <v>1.5262287183605925E-2</v>
      </c>
      <c r="X86" s="15" t="str">
        <f t="shared" si="7"/>
        <v>Média/Pequena</v>
      </c>
      <c r="Y86" s="121" t="str" cm="1">
        <f t="array" ref="Y86">_xlfn.IFS(ISNUMBER(W86)=FALSE,"Sem dado",W86&gt;0.075,"Excelente",W86&gt;0.04,"Bom",W86&gt;0,"Fraco",TRUE,"Prejuízo")</f>
        <v>Fraco</v>
      </c>
    </row>
    <row r="87" spans="1:25" ht="15" customHeight="1" x14ac:dyDescent="0.2">
      <c r="A87" s="12" t="s">
        <v>283</v>
      </c>
      <c r="B87" s="56">
        <v>6271464</v>
      </c>
      <c r="C87" s="12" t="s">
        <v>41</v>
      </c>
      <c r="D87" s="12" t="s">
        <v>42</v>
      </c>
      <c r="E87" s="12" t="s">
        <v>43</v>
      </c>
      <c r="F87" s="12" t="s">
        <v>26</v>
      </c>
      <c r="G87" s="33">
        <v>2</v>
      </c>
      <c r="H87" s="33">
        <v>8</v>
      </c>
      <c r="I87" s="12" t="s">
        <v>44</v>
      </c>
      <c r="J87" s="12" t="s">
        <v>39</v>
      </c>
      <c r="K87" s="73" t="s">
        <v>29</v>
      </c>
      <c r="L87" s="13">
        <v>16757041</v>
      </c>
      <c r="M87" s="13">
        <v>0</v>
      </c>
      <c r="N87" s="13">
        <v>5081557</v>
      </c>
      <c r="O87" s="13">
        <v>10258524</v>
      </c>
      <c r="P87" s="13">
        <v>8516751</v>
      </c>
      <c r="Q87" s="13">
        <v>6498517</v>
      </c>
      <c r="R87" s="13">
        <v>803976</v>
      </c>
      <c r="S87" s="13">
        <v>5</v>
      </c>
      <c r="T87" s="13">
        <v>0</v>
      </c>
      <c r="U87" s="12" t="str">
        <f t="shared" si="4"/>
        <v>Privado Nacional</v>
      </c>
      <c r="V87" s="14">
        <f t="shared" si="5"/>
        <v>0</v>
      </c>
      <c r="W87" s="14">
        <f t="shared" si="6"/>
        <v>0.12371684185791927</v>
      </c>
      <c r="X87" s="12" t="str">
        <f t="shared" si="7"/>
        <v>Média/Pequena</v>
      </c>
      <c r="Y87" s="122" t="str" cm="1">
        <f t="array" ref="Y87">_xlfn.IFS(ISNUMBER(W87)=FALSE,"Sem dado",W87&gt;0.075,"Excelente",W87&gt;0.04,"Bom",W87&gt;0,"Fraco",TRUE,"Prejuízo")</f>
        <v>Excelente</v>
      </c>
    </row>
    <row r="88" spans="1:25" ht="15" customHeight="1" x14ac:dyDescent="0.2">
      <c r="A88" s="15" t="s">
        <v>284</v>
      </c>
      <c r="B88" s="60">
        <v>29030467</v>
      </c>
      <c r="C88" s="15" t="s">
        <v>285</v>
      </c>
      <c r="D88" s="15" t="s">
        <v>286</v>
      </c>
      <c r="E88" s="15" t="s">
        <v>287</v>
      </c>
      <c r="F88" s="15" t="s">
        <v>26</v>
      </c>
      <c r="G88" s="34">
        <v>3</v>
      </c>
      <c r="H88" s="34">
        <v>8</v>
      </c>
      <c r="I88" s="15" t="s">
        <v>38</v>
      </c>
      <c r="J88" s="15" t="s">
        <v>39</v>
      </c>
      <c r="K88" s="74" t="s">
        <v>29</v>
      </c>
      <c r="L88" s="16">
        <v>16750390</v>
      </c>
      <c r="M88" s="16">
        <v>2503686</v>
      </c>
      <c r="N88" s="16">
        <v>4358158</v>
      </c>
      <c r="O88" s="16">
        <v>13483132</v>
      </c>
      <c r="P88" s="16">
        <v>12778534</v>
      </c>
      <c r="Q88" s="16">
        <v>3267259</v>
      </c>
      <c r="R88" s="16">
        <v>156951</v>
      </c>
      <c r="S88" s="16">
        <v>2</v>
      </c>
      <c r="T88" s="16">
        <v>0</v>
      </c>
      <c r="U88" s="15" t="str">
        <f t="shared" si="4"/>
        <v>Privado Estrangeiro</v>
      </c>
      <c r="V88" s="17">
        <f t="shared" si="5"/>
        <v>0.1494703108405237</v>
      </c>
      <c r="W88" s="17">
        <f t="shared" si="6"/>
        <v>4.8037514014040515E-2</v>
      </c>
      <c r="X88" s="15" t="str">
        <f t="shared" si="7"/>
        <v>Média/Pequena</v>
      </c>
      <c r="Y88" s="121" t="str" cm="1">
        <f t="array" ref="Y88">_xlfn.IFS(ISNUMBER(W88)=FALSE,"Sem dado",W88&gt;0.075,"Excelente",W88&gt;0.04,"Bom",W88&gt;0,"Fraco",TRUE,"Prejuízo")</f>
        <v>Bom</v>
      </c>
    </row>
    <row r="89" spans="1:25" ht="15" customHeight="1" x14ac:dyDescent="0.2">
      <c r="A89" s="12" t="s">
        <v>288</v>
      </c>
      <c r="B89" s="56">
        <v>2801938</v>
      </c>
      <c r="C89" s="12" t="s">
        <v>289</v>
      </c>
      <c r="D89" s="12" t="s">
        <v>290</v>
      </c>
      <c r="E89" s="12" t="s">
        <v>291</v>
      </c>
      <c r="F89" s="12" t="s">
        <v>26</v>
      </c>
      <c r="G89" s="33">
        <v>3</v>
      </c>
      <c r="H89" s="33">
        <v>8</v>
      </c>
      <c r="I89" s="12" t="s">
        <v>38</v>
      </c>
      <c r="J89" s="12" t="s">
        <v>39</v>
      </c>
      <c r="K89" s="73" t="s">
        <v>29</v>
      </c>
      <c r="L89" s="13">
        <v>16726636</v>
      </c>
      <c r="M89" s="13">
        <v>232468</v>
      </c>
      <c r="N89" s="13">
        <v>10148169</v>
      </c>
      <c r="O89" s="13">
        <v>11812063</v>
      </c>
      <c r="P89" s="13">
        <v>6524914</v>
      </c>
      <c r="Q89" s="13">
        <v>4914573</v>
      </c>
      <c r="R89" s="13">
        <v>315166</v>
      </c>
      <c r="S89" s="13">
        <v>2</v>
      </c>
      <c r="T89" s="13">
        <v>0</v>
      </c>
      <c r="U89" s="12" t="str">
        <f t="shared" si="4"/>
        <v>Privado Estrangeiro</v>
      </c>
      <c r="V89" s="14">
        <f t="shared" si="5"/>
        <v>1.3898072511412337E-2</v>
      </c>
      <c r="W89" s="14">
        <f t="shared" si="6"/>
        <v>6.4128867350225549E-2</v>
      </c>
      <c r="X89" s="12" t="str">
        <f t="shared" si="7"/>
        <v>Média/Pequena</v>
      </c>
      <c r="Y89" s="122" t="str" cm="1">
        <f t="array" ref="Y89">_xlfn.IFS(ISNUMBER(W89)=FALSE,"Sem dado",W89&gt;0.075,"Excelente",W89&gt;0.04,"Bom",W89&gt;0,"Fraco",TRUE,"Prejuízo")</f>
        <v>Bom</v>
      </c>
    </row>
    <row r="90" spans="1:25" ht="15" customHeight="1" x14ac:dyDescent="0.2">
      <c r="A90" s="15" t="s">
        <v>292</v>
      </c>
      <c r="B90" s="60">
        <v>53518684</v>
      </c>
      <c r="C90" s="15" t="s">
        <v>293</v>
      </c>
      <c r="D90" s="15"/>
      <c r="E90" s="15" t="s">
        <v>294</v>
      </c>
      <c r="F90" s="15" t="s">
        <v>26</v>
      </c>
      <c r="G90" s="34">
        <v>3</v>
      </c>
      <c r="H90" s="34">
        <v>8</v>
      </c>
      <c r="I90" s="15" t="s">
        <v>38</v>
      </c>
      <c r="J90" s="15" t="s">
        <v>39</v>
      </c>
      <c r="K90" s="74" t="s">
        <v>29</v>
      </c>
      <c r="L90" s="16">
        <v>16666011</v>
      </c>
      <c r="M90" s="16">
        <v>5254439</v>
      </c>
      <c r="N90" s="16">
        <v>6256048</v>
      </c>
      <c r="O90" s="16">
        <v>15037777</v>
      </c>
      <c r="P90" s="16">
        <v>12899483</v>
      </c>
      <c r="Q90" s="16">
        <v>1628234</v>
      </c>
      <c r="R90" s="16">
        <v>91854</v>
      </c>
      <c r="S90" s="16">
        <v>2</v>
      </c>
      <c r="T90" s="16">
        <v>0</v>
      </c>
      <c r="U90" s="15" t="str">
        <f t="shared" si="4"/>
        <v>Privado Estrangeiro</v>
      </c>
      <c r="V90" s="17">
        <f t="shared" si="5"/>
        <v>0.31527874306575221</v>
      </c>
      <c r="W90" s="17">
        <f t="shared" si="6"/>
        <v>5.6413267380487082E-2</v>
      </c>
      <c r="X90" s="15" t="str">
        <f t="shared" si="7"/>
        <v>Média/Pequena</v>
      </c>
      <c r="Y90" s="121" t="str" cm="1">
        <f t="array" ref="Y90">_xlfn.IFS(ISNUMBER(W90)=FALSE,"Sem dado",W90&gt;0.075,"Excelente",W90&gt;0.04,"Bom",W90&gt;0,"Fraco",TRUE,"Prejuízo")</f>
        <v>Bom</v>
      </c>
    </row>
    <row r="91" spans="1:25" ht="15" customHeight="1" x14ac:dyDescent="0.2">
      <c r="A91" s="12" t="s">
        <v>295</v>
      </c>
      <c r="B91" s="56">
        <v>7450604</v>
      </c>
      <c r="C91" s="12" t="s">
        <v>296</v>
      </c>
      <c r="D91" s="12" t="s">
        <v>297</v>
      </c>
      <c r="E91" s="12" t="s">
        <v>298</v>
      </c>
      <c r="F91" s="12" t="s">
        <v>26</v>
      </c>
      <c r="G91" s="33">
        <v>3</v>
      </c>
      <c r="H91" s="33">
        <v>8</v>
      </c>
      <c r="I91" s="12" t="s">
        <v>38</v>
      </c>
      <c r="J91" s="12" t="s">
        <v>39</v>
      </c>
      <c r="K91" s="73" t="s">
        <v>29</v>
      </c>
      <c r="L91" s="13">
        <v>16639710</v>
      </c>
      <c r="M91" s="13">
        <v>7784956</v>
      </c>
      <c r="N91" s="13">
        <v>5876990</v>
      </c>
      <c r="O91" s="13">
        <v>15385491</v>
      </c>
      <c r="P91" s="13">
        <v>14157109</v>
      </c>
      <c r="Q91" s="13">
        <v>1254219</v>
      </c>
      <c r="R91" s="13">
        <v>-26542</v>
      </c>
      <c r="S91" s="13">
        <v>8</v>
      </c>
      <c r="T91" s="13">
        <v>0</v>
      </c>
      <c r="U91" s="12" t="str">
        <f t="shared" si="4"/>
        <v>Privado Estrangeiro</v>
      </c>
      <c r="V91" s="14">
        <f t="shared" si="5"/>
        <v>0.46785406716823791</v>
      </c>
      <c r="W91" s="14">
        <f t="shared" si="6"/>
        <v>-2.1162173432231531E-2</v>
      </c>
      <c r="X91" s="12" t="str">
        <f t="shared" si="7"/>
        <v>Média/Pequena</v>
      </c>
      <c r="Y91" s="122" t="str" cm="1">
        <f t="array" ref="Y91">_xlfn.IFS(ISNUMBER(W91)=FALSE,"Sem dado",W91&gt;0.075,"Excelente",W91&gt;0.04,"Bom",W91&gt;0,"Fraco",TRUE,"Prejuízo")</f>
        <v>Prejuízo</v>
      </c>
    </row>
    <row r="92" spans="1:25" ht="15" customHeight="1" x14ac:dyDescent="0.2">
      <c r="A92" s="15" t="s">
        <v>299</v>
      </c>
      <c r="B92" s="60">
        <v>62307848</v>
      </c>
      <c r="C92" s="15" t="s">
        <v>46</v>
      </c>
      <c r="D92" s="15" t="s">
        <v>47</v>
      </c>
      <c r="E92" s="15" t="s">
        <v>48</v>
      </c>
      <c r="F92" s="15" t="s">
        <v>60</v>
      </c>
      <c r="G92" s="34">
        <v>3</v>
      </c>
      <c r="H92" s="34">
        <v>8</v>
      </c>
      <c r="I92" s="15" t="s">
        <v>38</v>
      </c>
      <c r="J92" s="15" t="s">
        <v>39</v>
      </c>
      <c r="K92" s="74" t="s">
        <v>29</v>
      </c>
      <c r="L92" s="16">
        <v>16401701</v>
      </c>
      <c r="M92" s="16">
        <v>10365397</v>
      </c>
      <c r="N92" s="16">
        <v>4387693</v>
      </c>
      <c r="O92" s="16">
        <v>14986286</v>
      </c>
      <c r="P92" s="16">
        <v>13736063</v>
      </c>
      <c r="Q92" s="16">
        <v>1415415</v>
      </c>
      <c r="R92" s="16">
        <v>149582</v>
      </c>
      <c r="S92" s="16">
        <v>2</v>
      </c>
      <c r="T92" s="16">
        <v>0</v>
      </c>
      <c r="U92" s="15" t="str">
        <f t="shared" si="4"/>
        <v>Privado Estrangeiro</v>
      </c>
      <c r="V92" s="17">
        <f t="shared" si="5"/>
        <v>0.63197085473025028</v>
      </c>
      <c r="W92" s="17">
        <f t="shared" si="6"/>
        <v>0.10568066609439634</v>
      </c>
      <c r="X92" s="15" t="str">
        <f t="shared" si="7"/>
        <v>Média/Pequena</v>
      </c>
      <c r="Y92" s="121" t="str" cm="1">
        <f t="array" ref="Y92">_xlfn.IFS(ISNUMBER(W92)=FALSE,"Sem dado",W92&gt;0.075,"Excelente",W92&gt;0.04,"Bom",W92&gt;0,"Fraco",TRUE,"Prejuízo")</f>
        <v>Excelente</v>
      </c>
    </row>
    <row r="93" spans="1:25" ht="15" customHeight="1" x14ac:dyDescent="0.2">
      <c r="A93" s="12" t="s">
        <v>300</v>
      </c>
      <c r="B93" s="56">
        <v>58017179</v>
      </c>
      <c r="C93" s="12" t="s">
        <v>301</v>
      </c>
      <c r="D93" s="12"/>
      <c r="E93" s="12" t="s">
        <v>302</v>
      </c>
      <c r="F93" s="12" t="s">
        <v>60</v>
      </c>
      <c r="G93" s="33">
        <v>3</v>
      </c>
      <c r="H93" s="33">
        <v>8</v>
      </c>
      <c r="I93" s="12" t="s">
        <v>228</v>
      </c>
      <c r="J93" s="12" t="s">
        <v>229</v>
      </c>
      <c r="K93" s="73" t="s">
        <v>29</v>
      </c>
      <c r="L93" s="13">
        <v>16337893</v>
      </c>
      <c r="M93" s="13">
        <v>14011636</v>
      </c>
      <c r="N93" s="13">
        <v>1158021</v>
      </c>
      <c r="O93" s="13">
        <v>12164690</v>
      </c>
      <c r="P93" s="13">
        <v>12024746</v>
      </c>
      <c r="Q93" s="13">
        <v>4173203</v>
      </c>
      <c r="R93" s="13">
        <v>198482</v>
      </c>
      <c r="S93" s="13">
        <v>2</v>
      </c>
      <c r="T93" s="13">
        <v>0</v>
      </c>
      <c r="U93" s="12" t="str">
        <f t="shared" si="4"/>
        <v>Privado Estrangeiro</v>
      </c>
      <c r="V93" s="14">
        <f t="shared" si="5"/>
        <v>0.85761585046492839</v>
      </c>
      <c r="W93" s="14">
        <f t="shared" si="6"/>
        <v>4.756106999827231E-2</v>
      </c>
      <c r="X93" s="12" t="str">
        <f t="shared" si="7"/>
        <v>Média/Pequena</v>
      </c>
      <c r="Y93" s="122" t="str" cm="1">
        <f t="array" ref="Y93">_xlfn.IFS(ISNUMBER(W93)=FALSE,"Sem dado",W93&gt;0.075,"Excelente",W93&gt;0.04,"Bom",W93&gt;0,"Fraco",TRUE,"Prejuízo")</f>
        <v>Bom</v>
      </c>
    </row>
    <row r="94" spans="1:25" ht="15" customHeight="1" x14ac:dyDescent="0.2">
      <c r="A94" s="15" t="s">
        <v>303</v>
      </c>
      <c r="B94" s="60">
        <v>62237425</v>
      </c>
      <c r="C94" s="15" t="s">
        <v>245</v>
      </c>
      <c r="D94" s="15" t="s">
        <v>246</v>
      </c>
      <c r="E94" s="15" t="s">
        <v>247</v>
      </c>
      <c r="F94" s="15" t="s">
        <v>60</v>
      </c>
      <c r="G94" s="34">
        <v>3</v>
      </c>
      <c r="H94" s="34">
        <v>8</v>
      </c>
      <c r="I94" s="15" t="s">
        <v>38</v>
      </c>
      <c r="J94" s="15" t="s">
        <v>39</v>
      </c>
      <c r="K94" s="74" t="s">
        <v>29</v>
      </c>
      <c r="L94" s="16">
        <v>15786564</v>
      </c>
      <c r="M94" s="16">
        <v>7362599</v>
      </c>
      <c r="N94" s="16">
        <v>439799</v>
      </c>
      <c r="O94" s="16">
        <v>14258835</v>
      </c>
      <c r="P94" s="16">
        <v>13973289</v>
      </c>
      <c r="Q94" s="16">
        <v>1527729</v>
      </c>
      <c r="R94" s="16">
        <v>135403</v>
      </c>
      <c r="S94" s="16">
        <v>2</v>
      </c>
      <c r="T94" s="16">
        <v>0</v>
      </c>
      <c r="U94" s="15" t="str">
        <f t="shared" si="4"/>
        <v>Privado Estrangeiro</v>
      </c>
      <c r="V94" s="17">
        <f t="shared" si="5"/>
        <v>0.46638388188842106</v>
      </c>
      <c r="W94" s="17">
        <f t="shared" si="6"/>
        <v>8.8630247903914897E-2</v>
      </c>
      <c r="X94" s="15" t="str">
        <f t="shared" si="7"/>
        <v>Média/Pequena</v>
      </c>
      <c r="Y94" s="121" t="str" cm="1">
        <f t="array" ref="Y94">_xlfn.IFS(ISNUMBER(W94)=FALSE,"Sem dado",W94&gt;0.075,"Excelente",W94&gt;0.04,"Bom",W94&gt;0,"Fraco",TRUE,"Prejuízo")</f>
        <v>Excelente</v>
      </c>
    </row>
    <row r="95" spans="1:25" ht="15" customHeight="1" x14ac:dyDescent="0.2">
      <c r="A95" s="12" t="s">
        <v>304</v>
      </c>
      <c r="B95" s="56">
        <v>79342069</v>
      </c>
      <c r="C95" s="12"/>
      <c r="D95" s="12"/>
      <c r="E95" s="12"/>
      <c r="F95" s="12" t="s">
        <v>265</v>
      </c>
      <c r="G95" s="33">
        <v>2</v>
      </c>
      <c r="H95" s="33">
        <v>9</v>
      </c>
      <c r="I95" s="12" t="s">
        <v>305</v>
      </c>
      <c r="J95" s="12" t="s">
        <v>229</v>
      </c>
      <c r="K95" s="73" t="s">
        <v>29</v>
      </c>
      <c r="L95" s="13">
        <v>15763618</v>
      </c>
      <c r="M95" s="13">
        <v>8895732</v>
      </c>
      <c r="N95" s="13">
        <v>5471429</v>
      </c>
      <c r="O95" s="13">
        <v>14298311</v>
      </c>
      <c r="P95" s="13">
        <v>9139325</v>
      </c>
      <c r="Q95" s="13">
        <v>1465307</v>
      </c>
      <c r="R95" s="13">
        <v>88996</v>
      </c>
      <c r="S95" s="13">
        <v>0</v>
      </c>
      <c r="T95" s="13">
        <v>114</v>
      </c>
      <c r="U95" s="12" t="str">
        <f t="shared" si="4"/>
        <v>Privado Nacional</v>
      </c>
      <c r="V95" s="14">
        <f t="shared" si="5"/>
        <v>0.56432044978506835</v>
      </c>
      <c r="W95" s="14">
        <f t="shared" si="6"/>
        <v>6.0735395381309169E-2</v>
      </c>
      <c r="X95" s="12" t="str">
        <f t="shared" si="7"/>
        <v>Média/Pequena</v>
      </c>
      <c r="Y95" s="122" t="str" cm="1">
        <f t="array" ref="Y95">_xlfn.IFS(ISNUMBER(W95)=FALSE,"Sem dado",W95&gt;0.075,"Excelente",W95&gt;0.04,"Bom",W95&gt;0,"Fraco",TRUE,"Prejuízo")</f>
        <v>Bom</v>
      </c>
    </row>
    <row r="96" spans="1:25" ht="15" customHeight="1" x14ac:dyDescent="0.2">
      <c r="A96" s="15" t="s">
        <v>306</v>
      </c>
      <c r="B96" s="60">
        <v>1701201</v>
      </c>
      <c r="C96" s="15" t="s">
        <v>41</v>
      </c>
      <c r="D96" s="15" t="s">
        <v>42</v>
      </c>
      <c r="E96" s="15" t="s">
        <v>43</v>
      </c>
      <c r="F96" s="15" t="s">
        <v>26</v>
      </c>
      <c r="G96" s="34">
        <v>2</v>
      </c>
      <c r="H96" s="34">
        <v>8</v>
      </c>
      <c r="I96" s="15" t="s">
        <v>44</v>
      </c>
      <c r="J96" s="15" t="s">
        <v>39</v>
      </c>
      <c r="K96" s="74" t="s">
        <v>29</v>
      </c>
      <c r="L96" s="16">
        <v>15529831</v>
      </c>
      <c r="M96" s="16">
        <v>0</v>
      </c>
      <c r="N96" s="16">
        <v>4250</v>
      </c>
      <c r="O96" s="16">
        <v>3698093</v>
      </c>
      <c r="P96" s="16">
        <v>2427709</v>
      </c>
      <c r="Q96" s="16">
        <v>11831737</v>
      </c>
      <c r="R96" s="16">
        <v>377737</v>
      </c>
      <c r="S96" s="16">
        <v>1</v>
      </c>
      <c r="T96" s="16">
        <v>0</v>
      </c>
      <c r="U96" s="15" t="str">
        <f t="shared" si="4"/>
        <v>Privado Nacional</v>
      </c>
      <c r="V96" s="17">
        <f t="shared" si="5"/>
        <v>0</v>
      </c>
      <c r="W96" s="17">
        <f t="shared" si="6"/>
        <v>3.1925743447475209E-2</v>
      </c>
      <c r="X96" s="15" t="str">
        <f t="shared" si="7"/>
        <v>Média/Pequena</v>
      </c>
      <c r="Y96" s="121" t="str" cm="1">
        <f t="array" ref="Y96">_xlfn.IFS(ISNUMBER(W96)=FALSE,"Sem dado",W96&gt;0.075,"Excelente",W96&gt;0.04,"Bom",W96&gt;0,"Fraco",TRUE,"Prejuízo")</f>
        <v>Fraco</v>
      </c>
    </row>
    <row r="97" spans="1:25" ht="15" customHeight="1" x14ac:dyDescent="0.2">
      <c r="A97" s="12" t="s">
        <v>307</v>
      </c>
      <c r="B97" s="56">
        <v>4184779</v>
      </c>
      <c r="C97" s="12" t="s">
        <v>41</v>
      </c>
      <c r="D97" s="12" t="s">
        <v>42</v>
      </c>
      <c r="E97" s="12" t="s">
        <v>43</v>
      </c>
      <c r="F97" s="12" t="s">
        <v>26</v>
      </c>
      <c r="G97" s="33">
        <v>2</v>
      </c>
      <c r="H97" s="33">
        <v>8</v>
      </c>
      <c r="I97" s="12" t="s">
        <v>44</v>
      </c>
      <c r="J97" s="12" t="s">
        <v>39</v>
      </c>
      <c r="K97" s="73" t="s">
        <v>29</v>
      </c>
      <c r="L97" s="13">
        <v>15522406</v>
      </c>
      <c r="M97" s="13">
        <v>8283770</v>
      </c>
      <c r="N97" s="13">
        <v>18</v>
      </c>
      <c r="O97" s="13">
        <v>15413267</v>
      </c>
      <c r="P97" s="13">
        <v>7112832</v>
      </c>
      <c r="Q97" s="13">
        <v>109139</v>
      </c>
      <c r="R97" s="13">
        <v>1536</v>
      </c>
      <c r="S97" s="13">
        <v>2</v>
      </c>
      <c r="T97" s="13">
        <v>0</v>
      </c>
      <c r="U97" s="12" t="str">
        <f t="shared" si="4"/>
        <v>Privado Nacional</v>
      </c>
      <c r="V97" s="14">
        <f t="shared" si="5"/>
        <v>0.53366533512910308</v>
      </c>
      <c r="W97" s="14">
        <f t="shared" si="6"/>
        <v>1.4073795801684091E-2</v>
      </c>
      <c r="X97" s="12" t="str">
        <f t="shared" si="7"/>
        <v>Média/Pequena</v>
      </c>
      <c r="Y97" s="122" t="str" cm="1">
        <f t="array" ref="Y97">_xlfn.IFS(ISNUMBER(W97)=FALSE,"Sem dado",W97&gt;0.075,"Excelente",W97&gt;0.04,"Bom",W97&gt;0,"Fraco",TRUE,"Prejuízo")</f>
        <v>Fraco</v>
      </c>
    </row>
    <row r="98" spans="1:25" ht="15" customHeight="1" x14ac:dyDescent="0.2">
      <c r="A98" s="15" t="s">
        <v>308</v>
      </c>
      <c r="B98" s="60">
        <v>38486817</v>
      </c>
      <c r="C98" s="15" t="s">
        <v>309</v>
      </c>
      <c r="D98" s="15"/>
      <c r="E98" s="15" t="s">
        <v>310</v>
      </c>
      <c r="F98" s="15" t="s">
        <v>52</v>
      </c>
      <c r="G98" s="34">
        <v>1</v>
      </c>
      <c r="H98" s="34">
        <v>5</v>
      </c>
      <c r="I98" s="15" t="s">
        <v>119</v>
      </c>
      <c r="J98" s="15" t="s">
        <v>120</v>
      </c>
      <c r="K98" s="74" t="s">
        <v>29</v>
      </c>
      <c r="L98" s="16">
        <v>15427555</v>
      </c>
      <c r="M98" s="16">
        <v>9253331</v>
      </c>
      <c r="N98" s="16">
        <v>4175546</v>
      </c>
      <c r="O98" s="16">
        <v>12945523</v>
      </c>
      <c r="P98" s="16">
        <v>11810887</v>
      </c>
      <c r="Q98" s="16">
        <v>2482032</v>
      </c>
      <c r="R98" s="16">
        <v>71599</v>
      </c>
      <c r="S98" s="16">
        <v>2</v>
      </c>
      <c r="T98" s="16">
        <v>0</v>
      </c>
      <c r="U98" s="15" t="str">
        <f t="shared" si="4"/>
        <v>Público</v>
      </c>
      <c r="V98" s="17">
        <f t="shared" si="5"/>
        <v>0.59979244928959907</v>
      </c>
      <c r="W98" s="17">
        <f t="shared" si="6"/>
        <v>2.884692864556138E-2</v>
      </c>
      <c r="X98" s="15" t="str">
        <f t="shared" si="7"/>
        <v>Média/Pequena</v>
      </c>
      <c r="Y98" s="121" t="str" cm="1">
        <f t="array" ref="Y98">_xlfn.IFS(ISNUMBER(W98)=FALSE,"Sem dado",W98&gt;0.075,"Excelente",W98&gt;0.04,"Bom",W98&gt;0,"Fraco",TRUE,"Prejuízo")</f>
        <v>Fraco</v>
      </c>
    </row>
    <row r="99" spans="1:25" ht="15" customHeight="1" x14ac:dyDescent="0.2">
      <c r="A99" s="12" t="s">
        <v>311</v>
      </c>
      <c r="B99" s="56">
        <v>32428294</v>
      </c>
      <c r="C99" s="12"/>
      <c r="D99" s="12"/>
      <c r="E99" s="12"/>
      <c r="F99" s="12" t="s">
        <v>199</v>
      </c>
      <c r="G99" s="33">
        <v>2</v>
      </c>
      <c r="H99" s="33">
        <v>9</v>
      </c>
      <c r="I99" s="12" t="s">
        <v>182</v>
      </c>
      <c r="J99" s="12" t="s">
        <v>183</v>
      </c>
      <c r="K99" s="73" t="s">
        <v>29</v>
      </c>
      <c r="L99" s="13">
        <v>15057607</v>
      </c>
      <c r="M99" s="13">
        <v>124827</v>
      </c>
      <c r="N99" s="13">
        <v>4108110</v>
      </c>
      <c r="O99" s="13">
        <v>14252356</v>
      </c>
      <c r="P99" s="13">
        <v>282392</v>
      </c>
      <c r="Q99" s="13">
        <v>805251</v>
      </c>
      <c r="R99" s="13">
        <v>19394</v>
      </c>
      <c r="S99" s="13">
        <v>0</v>
      </c>
      <c r="T99" s="13">
        <v>0</v>
      </c>
      <c r="U99" s="12" t="str">
        <f t="shared" si="4"/>
        <v>Privado Nacional</v>
      </c>
      <c r="V99" s="14">
        <f t="shared" si="5"/>
        <v>8.28996267467998E-3</v>
      </c>
      <c r="W99" s="14">
        <f t="shared" si="6"/>
        <v>2.4084415915037672E-2</v>
      </c>
      <c r="X99" s="12" t="str">
        <f t="shared" si="7"/>
        <v>Média/Pequena</v>
      </c>
      <c r="Y99" s="122" t="str" cm="1">
        <f t="array" ref="Y99">_xlfn.IFS(ISNUMBER(W99)=FALSE,"Sem dado",W99&gt;0.075,"Excelente",W99&gt;0.04,"Bom",W99&gt;0,"Fraco",TRUE,"Prejuízo")</f>
        <v>Fraco</v>
      </c>
    </row>
    <row r="100" spans="1:25" ht="15" customHeight="1" x14ac:dyDescent="0.2">
      <c r="A100" s="15" t="s">
        <v>312</v>
      </c>
      <c r="B100" s="60">
        <v>61088183</v>
      </c>
      <c r="C100" s="15" t="s">
        <v>313</v>
      </c>
      <c r="D100" s="15"/>
      <c r="E100" s="15" t="s">
        <v>314</v>
      </c>
      <c r="F100" s="15" t="s">
        <v>26</v>
      </c>
      <c r="G100" s="34">
        <v>3</v>
      </c>
      <c r="H100" s="34">
        <v>8</v>
      </c>
      <c r="I100" s="15" t="s">
        <v>38</v>
      </c>
      <c r="J100" s="15" t="s">
        <v>39</v>
      </c>
      <c r="K100" s="74" t="s">
        <v>29</v>
      </c>
      <c r="L100" s="16">
        <v>15033171</v>
      </c>
      <c r="M100" s="16">
        <v>3270316</v>
      </c>
      <c r="N100" s="16">
        <v>5891940</v>
      </c>
      <c r="O100" s="16">
        <v>13699571</v>
      </c>
      <c r="P100" s="16">
        <v>12505201</v>
      </c>
      <c r="Q100" s="16">
        <v>1333599</v>
      </c>
      <c r="R100" s="16">
        <v>40301</v>
      </c>
      <c r="S100" s="16">
        <v>2</v>
      </c>
      <c r="T100" s="16">
        <v>0</v>
      </c>
      <c r="U100" s="15" t="str">
        <f t="shared" si="4"/>
        <v>Privado Estrangeiro</v>
      </c>
      <c r="V100" s="17">
        <f t="shared" si="5"/>
        <v>0.2175399987135116</v>
      </c>
      <c r="W100" s="17">
        <f t="shared" si="6"/>
        <v>3.0219728719052728E-2</v>
      </c>
      <c r="X100" s="15" t="str">
        <f t="shared" si="7"/>
        <v>Média/Pequena</v>
      </c>
      <c r="Y100" s="121" t="str" cm="1">
        <f t="array" ref="Y100">_xlfn.IFS(ISNUMBER(W100)=FALSE,"Sem dado",W100&gt;0.075,"Excelente",W100&gt;0.04,"Bom",W100&gt;0,"Fraco",TRUE,"Prejuízo")</f>
        <v>Fraco</v>
      </c>
    </row>
    <row r="101" spans="1:25" ht="15" customHeight="1" x14ac:dyDescent="0.2">
      <c r="A101" s="12" t="s">
        <v>315</v>
      </c>
      <c r="B101" s="56">
        <v>5463212</v>
      </c>
      <c r="C101" s="12"/>
      <c r="D101" s="12"/>
      <c r="E101" s="12"/>
      <c r="F101" s="12" t="s">
        <v>199</v>
      </c>
      <c r="G101" s="33">
        <v>2</v>
      </c>
      <c r="H101" s="33">
        <v>9</v>
      </c>
      <c r="I101" s="12" t="s">
        <v>281</v>
      </c>
      <c r="J101" s="12" t="s">
        <v>217</v>
      </c>
      <c r="K101" s="73" t="s">
        <v>29</v>
      </c>
      <c r="L101" s="13">
        <v>15013283</v>
      </c>
      <c r="M101" s="13">
        <v>867026</v>
      </c>
      <c r="N101" s="13">
        <v>10349258</v>
      </c>
      <c r="O101" s="13">
        <v>13955963</v>
      </c>
      <c r="P101" s="13">
        <v>2549732</v>
      </c>
      <c r="Q101" s="13">
        <v>1057321</v>
      </c>
      <c r="R101" s="13">
        <v>0</v>
      </c>
      <c r="S101" s="13">
        <v>0</v>
      </c>
      <c r="T101" s="13">
        <v>0</v>
      </c>
      <c r="U101" s="12" t="str">
        <f t="shared" si="4"/>
        <v>Privado Nacional</v>
      </c>
      <c r="V101" s="14">
        <f t="shared" si="5"/>
        <v>5.7750593257983616E-2</v>
      </c>
      <c r="W101" s="14">
        <f t="shared" si="6"/>
        <v>0</v>
      </c>
      <c r="X101" s="12" t="str">
        <f t="shared" si="7"/>
        <v>Média/Pequena</v>
      </c>
      <c r="Y101" s="122" t="str" cm="1">
        <f t="array" ref="Y101">_xlfn.IFS(ISNUMBER(W101)=FALSE,"Sem dado",W101&gt;0.075,"Excelente",W101&gt;0.04,"Bom",W101&gt;0,"Fraco",TRUE,"Prejuízo")</f>
        <v>Prejuízo</v>
      </c>
    </row>
    <row r="102" spans="1:25" ht="15" customHeight="1" x14ac:dyDescent="0.2">
      <c r="A102" s="15" t="s">
        <v>316</v>
      </c>
      <c r="B102" s="60">
        <v>4866275</v>
      </c>
      <c r="C102" s="15" t="s">
        <v>317</v>
      </c>
      <c r="D102" s="15"/>
      <c r="E102" s="15" t="s">
        <v>318</v>
      </c>
      <c r="F102" s="15" t="s">
        <v>26</v>
      </c>
      <c r="G102" s="34">
        <v>3</v>
      </c>
      <c r="H102" s="34">
        <v>8</v>
      </c>
      <c r="I102" s="15" t="s">
        <v>38</v>
      </c>
      <c r="J102" s="15" t="s">
        <v>39</v>
      </c>
      <c r="K102" s="74" t="s">
        <v>29</v>
      </c>
      <c r="L102" s="16">
        <v>14606558</v>
      </c>
      <c r="M102" s="16">
        <v>13506814</v>
      </c>
      <c r="N102" s="16">
        <v>927339</v>
      </c>
      <c r="O102" s="16">
        <v>13161285</v>
      </c>
      <c r="P102" s="16">
        <v>13090687</v>
      </c>
      <c r="Q102" s="16">
        <v>1445274</v>
      </c>
      <c r="R102" s="16">
        <v>50461</v>
      </c>
      <c r="S102" s="16">
        <v>2</v>
      </c>
      <c r="T102" s="16">
        <v>1</v>
      </c>
      <c r="U102" s="15" t="str">
        <f t="shared" si="4"/>
        <v>Privado Estrangeiro</v>
      </c>
      <c r="V102" s="17">
        <f t="shared" si="5"/>
        <v>0.92470888761061987</v>
      </c>
      <c r="W102" s="17">
        <f t="shared" si="6"/>
        <v>3.4914486803194408E-2</v>
      </c>
      <c r="X102" s="15" t="str">
        <f t="shared" si="7"/>
        <v>Média/Pequena</v>
      </c>
      <c r="Y102" s="121" t="str" cm="1">
        <f t="array" ref="Y102">_xlfn.IFS(ISNUMBER(W102)=FALSE,"Sem dado",W102&gt;0.075,"Excelente",W102&gt;0.04,"Bom",W102&gt;0,"Fraco",TRUE,"Prejuízo")</f>
        <v>Fraco</v>
      </c>
    </row>
    <row r="103" spans="1:25" ht="15" customHeight="1" x14ac:dyDescent="0.2">
      <c r="A103" s="12" t="s">
        <v>319</v>
      </c>
      <c r="B103" s="56">
        <v>11417016</v>
      </c>
      <c r="C103" s="12" t="s">
        <v>320</v>
      </c>
      <c r="D103" s="12"/>
      <c r="E103" s="12" t="s">
        <v>321</v>
      </c>
      <c r="F103" s="12" t="s">
        <v>60</v>
      </c>
      <c r="G103" s="33">
        <v>3</v>
      </c>
      <c r="H103" s="33">
        <v>8</v>
      </c>
      <c r="I103" s="12" t="s">
        <v>255</v>
      </c>
      <c r="J103" s="12" t="s">
        <v>39</v>
      </c>
      <c r="K103" s="73" t="s">
        <v>29</v>
      </c>
      <c r="L103" s="13">
        <v>14576177</v>
      </c>
      <c r="M103" s="13">
        <v>13856076</v>
      </c>
      <c r="N103" s="13">
        <v>1077</v>
      </c>
      <c r="O103" s="13">
        <v>13361825</v>
      </c>
      <c r="P103" s="13">
        <v>13257387</v>
      </c>
      <c r="Q103" s="13">
        <v>1214352</v>
      </c>
      <c r="R103" s="13">
        <v>-73181</v>
      </c>
      <c r="S103" s="13">
        <v>2</v>
      </c>
      <c r="T103" s="13">
        <v>0</v>
      </c>
      <c r="U103" s="12" t="str">
        <f t="shared" si="4"/>
        <v>Privado Estrangeiro</v>
      </c>
      <c r="V103" s="14">
        <f t="shared" si="5"/>
        <v>0.95059740287182293</v>
      </c>
      <c r="W103" s="14">
        <f t="shared" si="6"/>
        <v>-6.026341620880931E-2</v>
      </c>
      <c r="X103" s="12" t="str">
        <f t="shared" si="7"/>
        <v>Média/Pequena</v>
      </c>
      <c r="Y103" s="122" t="str" cm="1">
        <f t="array" ref="Y103">_xlfn.IFS(ISNUMBER(W103)=FALSE,"Sem dado",W103&gt;0.075,"Excelente",W103&gt;0.04,"Bom",W103&gt;0,"Fraco",TRUE,"Prejuízo")</f>
        <v>Prejuízo</v>
      </c>
    </row>
    <row r="104" spans="1:25" ht="15" customHeight="1" x14ac:dyDescent="0.2">
      <c r="A104" s="15" t="s">
        <v>322</v>
      </c>
      <c r="B104" s="60">
        <v>47193149</v>
      </c>
      <c r="C104" s="15" t="s">
        <v>46</v>
      </c>
      <c r="D104" s="15" t="s">
        <v>47</v>
      </c>
      <c r="E104" s="15" t="s">
        <v>48</v>
      </c>
      <c r="F104" s="15" t="s">
        <v>65</v>
      </c>
      <c r="G104" s="34">
        <v>3</v>
      </c>
      <c r="H104" s="34">
        <v>19</v>
      </c>
      <c r="I104" s="15" t="s">
        <v>38</v>
      </c>
      <c r="J104" s="15" t="s">
        <v>39</v>
      </c>
      <c r="K104" s="74" t="s">
        <v>29</v>
      </c>
      <c r="L104" s="16">
        <v>14538148</v>
      </c>
      <c r="M104" s="16">
        <v>3499587</v>
      </c>
      <c r="N104" s="16">
        <v>1702547</v>
      </c>
      <c r="O104" s="16">
        <v>3935051</v>
      </c>
      <c r="P104" s="16">
        <v>2507342</v>
      </c>
      <c r="Q104" s="16">
        <v>10603098</v>
      </c>
      <c r="R104" s="16">
        <v>541988</v>
      </c>
      <c r="S104" s="16">
        <v>2</v>
      </c>
      <c r="T104" s="16">
        <v>0</v>
      </c>
      <c r="U104" s="15" t="str">
        <f t="shared" si="4"/>
        <v>Privado Estrangeiro</v>
      </c>
      <c r="V104" s="17">
        <f t="shared" si="5"/>
        <v>0.24071752468058519</v>
      </c>
      <c r="W104" s="17">
        <f t="shared" si="6"/>
        <v>5.1116004020711682E-2</v>
      </c>
      <c r="X104" s="15" t="str">
        <f t="shared" si="7"/>
        <v>Média/Pequena</v>
      </c>
      <c r="Y104" s="121" t="str" cm="1">
        <f t="array" ref="Y104">_xlfn.IFS(ISNUMBER(W104)=FALSE,"Sem dado",W104&gt;0.075,"Excelente",W104&gt;0.04,"Bom",W104&gt;0,"Fraco",TRUE,"Prejuízo")</f>
        <v>Bom</v>
      </c>
    </row>
    <row r="105" spans="1:25" ht="15" customHeight="1" x14ac:dyDescent="0.2">
      <c r="A105" s="12" t="s">
        <v>323</v>
      </c>
      <c r="B105" s="56">
        <v>14388334</v>
      </c>
      <c r="C105" s="12" t="s">
        <v>324</v>
      </c>
      <c r="D105" s="12" t="s">
        <v>325</v>
      </c>
      <c r="E105" s="12" t="s">
        <v>326</v>
      </c>
      <c r="F105" s="12" t="s">
        <v>26</v>
      </c>
      <c r="G105" s="33">
        <v>2</v>
      </c>
      <c r="H105" s="33">
        <v>8</v>
      </c>
      <c r="I105" s="12" t="s">
        <v>228</v>
      </c>
      <c r="J105" s="12" t="s">
        <v>229</v>
      </c>
      <c r="K105" s="73" t="s">
        <v>29</v>
      </c>
      <c r="L105" s="13">
        <v>14347062</v>
      </c>
      <c r="M105" s="13">
        <v>10228934</v>
      </c>
      <c r="N105" s="13">
        <v>1948928</v>
      </c>
      <c r="O105" s="13">
        <v>13027790</v>
      </c>
      <c r="P105" s="13">
        <v>12590519</v>
      </c>
      <c r="Q105" s="13">
        <v>1319272</v>
      </c>
      <c r="R105" s="13">
        <v>63662</v>
      </c>
      <c r="S105" s="13">
        <v>2</v>
      </c>
      <c r="T105" s="13">
        <v>0</v>
      </c>
      <c r="U105" s="12" t="str">
        <f t="shared" si="4"/>
        <v>Privado Nacional</v>
      </c>
      <c r="V105" s="14">
        <f t="shared" si="5"/>
        <v>0.71296367158655893</v>
      </c>
      <c r="W105" s="14">
        <f t="shared" si="6"/>
        <v>4.8255401463837631E-2</v>
      </c>
      <c r="X105" s="12" t="str">
        <f t="shared" si="7"/>
        <v>Média/Pequena</v>
      </c>
      <c r="Y105" s="122" t="str" cm="1">
        <f t="array" ref="Y105">_xlfn.IFS(ISNUMBER(W105)=FALSE,"Sem dado",W105&gt;0.075,"Excelente",W105&gt;0.04,"Bom",W105&gt;0,"Fraco",TRUE,"Prejuízo")</f>
        <v>Bom</v>
      </c>
    </row>
    <row r="106" spans="1:25" ht="15" customHeight="1" x14ac:dyDescent="0.2">
      <c r="A106" s="15" t="s">
        <v>327</v>
      </c>
      <c r="B106" s="60">
        <v>26529420</v>
      </c>
      <c r="C106" s="15"/>
      <c r="D106" s="15"/>
      <c r="E106" s="15"/>
      <c r="F106" s="15" t="s">
        <v>265</v>
      </c>
      <c r="G106" s="34">
        <v>2</v>
      </c>
      <c r="H106" s="34">
        <v>9</v>
      </c>
      <c r="I106" s="15" t="s">
        <v>328</v>
      </c>
      <c r="J106" s="15" t="s">
        <v>329</v>
      </c>
      <c r="K106" s="74" t="s">
        <v>29</v>
      </c>
      <c r="L106" s="16">
        <v>14275375</v>
      </c>
      <c r="M106" s="16">
        <v>8240441</v>
      </c>
      <c r="N106" s="16">
        <v>5115503</v>
      </c>
      <c r="O106" s="16">
        <v>12116632</v>
      </c>
      <c r="P106" s="16">
        <v>6937118</v>
      </c>
      <c r="Q106" s="16">
        <v>2158743</v>
      </c>
      <c r="R106" s="16">
        <v>138820</v>
      </c>
      <c r="S106" s="16">
        <v>0</v>
      </c>
      <c r="T106" s="16">
        <v>52</v>
      </c>
      <c r="U106" s="15" t="str">
        <f t="shared" si="4"/>
        <v>Privado Nacional</v>
      </c>
      <c r="V106" s="17">
        <f t="shared" si="5"/>
        <v>0.57724865371312484</v>
      </c>
      <c r="W106" s="17">
        <f t="shared" si="6"/>
        <v>6.4305941003630351E-2</v>
      </c>
      <c r="X106" s="15" t="str">
        <f t="shared" si="7"/>
        <v>Média/Pequena</v>
      </c>
      <c r="Y106" s="121" t="str" cm="1">
        <f t="array" ref="Y106">_xlfn.IFS(ISNUMBER(W106)=FALSE,"Sem dado",W106&gt;0.075,"Excelente",W106&gt;0.04,"Bom",W106&gt;0,"Fraco",TRUE,"Prejuízo")</f>
        <v>Bom</v>
      </c>
    </row>
    <row r="107" spans="1:25" ht="15" customHeight="1" x14ac:dyDescent="0.2">
      <c r="A107" s="12" t="s">
        <v>330</v>
      </c>
      <c r="B107" s="56">
        <v>32430233</v>
      </c>
      <c r="C107" s="12"/>
      <c r="D107" s="12"/>
      <c r="E107" s="12"/>
      <c r="F107" s="12" t="s">
        <v>265</v>
      </c>
      <c r="G107" s="33">
        <v>2</v>
      </c>
      <c r="H107" s="33">
        <v>9</v>
      </c>
      <c r="I107" s="12" t="s">
        <v>331</v>
      </c>
      <c r="J107" s="12" t="s">
        <v>183</v>
      </c>
      <c r="K107" s="73" t="s">
        <v>29</v>
      </c>
      <c r="L107" s="13">
        <v>14077036</v>
      </c>
      <c r="M107" s="13">
        <v>8366223</v>
      </c>
      <c r="N107" s="13">
        <v>1208342</v>
      </c>
      <c r="O107" s="13">
        <v>11335914</v>
      </c>
      <c r="P107" s="13">
        <v>9530472</v>
      </c>
      <c r="Q107" s="13">
        <v>2741123</v>
      </c>
      <c r="R107" s="13">
        <v>344184</v>
      </c>
      <c r="S107" s="13">
        <v>0</v>
      </c>
      <c r="T107" s="13">
        <v>47</v>
      </c>
      <c r="U107" s="12" t="str">
        <f t="shared" si="4"/>
        <v>Privado Nacional</v>
      </c>
      <c r="V107" s="14">
        <f t="shared" si="5"/>
        <v>0.59431708493179958</v>
      </c>
      <c r="W107" s="14">
        <f t="shared" si="6"/>
        <v>0.12556313598477703</v>
      </c>
      <c r="X107" s="12" t="str">
        <f t="shared" si="7"/>
        <v>Média/Pequena</v>
      </c>
      <c r="Y107" s="122" t="str" cm="1">
        <f t="array" ref="Y107">_xlfn.IFS(ISNUMBER(W107)=FALSE,"Sem dado",W107&gt;0.075,"Excelente",W107&gt;0.04,"Bom",W107&gt;0,"Fraco",TRUE,"Prejuízo")</f>
        <v>Excelente</v>
      </c>
    </row>
    <row r="108" spans="1:25" ht="15" customHeight="1" x14ac:dyDescent="0.2">
      <c r="A108" s="15" t="s">
        <v>332</v>
      </c>
      <c r="B108" s="60">
        <v>76543115</v>
      </c>
      <c r="C108" s="15" t="s">
        <v>56</v>
      </c>
      <c r="D108" s="15" t="s">
        <v>57</v>
      </c>
      <c r="E108" s="15" t="s">
        <v>58</v>
      </c>
      <c r="F108" s="15" t="s">
        <v>26</v>
      </c>
      <c r="G108" s="34">
        <v>2</v>
      </c>
      <c r="H108" s="34">
        <v>8</v>
      </c>
      <c r="I108" s="15" t="s">
        <v>53</v>
      </c>
      <c r="J108" s="15" t="s">
        <v>54</v>
      </c>
      <c r="K108" s="74" t="s">
        <v>29</v>
      </c>
      <c r="L108" s="16">
        <v>14045177</v>
      </c>
      <c r="M108" s="16">
        <v>136235</v>
      </c>
      <c r="N108" s="16">
        <v>478</v>
      </c>
      <c r="O108" s="16">
        <v>2973559</v>
      </c>
      <c r="P108" s="16">
        <v>2729563</v>
      </c>
      <c r="Q108" s="16">
        <v>11071619</v>
      </c>
      <c r="R108" s="16">
        <v>791049</v>
      </c>
      <c r="S108" s="16">
        <v>1</v>
      </c>
      <c r="T108" s="16">
        <v>0</v>
      </c>
      <c r="U108" s="15" t="str">
        <f t="shared" si="4"/>
        <v>Privado Nacional</v>
      </c>
      <c r="V108" s="17">
        <f t="shared" si="5"/>
        <v>9.6997709605226058E-3</v>
      </c>
      <c r="W108" s="17">
        <f t="shared" si="6"/>
        <v>7.1448358185013411E-2</v>
      </c>
      <c r="X108" s="15" t="str">
        <f t="shared" si="7"/>
        <v>Média/Pequena</v>
      </c>
      <c r="Y108" s="121" t="str" cm="1">
        <f t="array" ref="Y108">_xlfn.IFS(ISNUMBER(W108)=FALSE,"Sem dado",W108&gt;0.075,"Excelente",W108&gt;0.04,"Bom",W108&gt;0,"Fraco",TRUE,"Prejuízo")</f>
        <v>Bom</v>
      </c>
    </row>
    <row r="109" spans="1:25" ht="15" customHeight="1" x14ac:dyDescent="0.2">
      <c r="A109" s="12" t="s">
        <v>333</v>
      </c>
      <c r="B109" s="56">
        <v>81099491</v>
      </c>
      <c r="C109" s="12"/>
      <c r="D109" s="12"/>
      <c r="E109" s="12"/>
      <c r="F109" s="12" t="s">
        <v>265</v>
      </c>
      <c r="G109" s="33">
        <v>2</v>
      </c>
      <c r="H109" s="33">
        <v>9</v>
      </c>
      <c r="I109" s="12" t="s">
        <v>334</v>
      </c>
      <c r="J109" s="12" t="s">
        <v>229</v>
      </c>
      <c r="K109" s="73" t="s">
        <v>29</v>
      </c>
      <c r="L109" s="13">
        <v>14018360</v>
      </c>
      <c r="M109" s="13">
        <v>7916771</v>
      </c>
      <c r="N109" s="13">
        <v>4987574</v>
      </c>
      <c r="O109" s="13">
        <v>12804827</v>
      </c>
      <c r="P109" s="13">
        <v>9042223</v>
      </c>
      <c r="Q109" s="13">
        <v>1213534</v>
      </c>
      <c r="R109" s="13">
        <v>15132</v>
      </c>
      <c r="S109" s="13">
        <v>0</v>
      </c>
      <c r="T109" s="13">
        <v>99</v>
      </c>
      <c r="U109" s="12" t="str">
        <f t="shared" si="4"/>
        <v>Privado Nacional</v>
      </c>
      <c r="V109" s="14">
        <f t="shared" si="5"/>
        <v>0.56474302272163079</v>
      </c>
      <c r="W109" s="14">
        <f t="shared" si="6"/>
        <v>1.2469366330073983E-2</v>
      </c>
      <c r="X109" s="12" t="str">
        <f t="shared" si="7"/>
        <v>Média/Pequena</v>
      </c>
      <c r="Y109" s="122" t="str" cm="1">
        <f t="array" ref="Y109">_xlfn.IFS(ISNUMBER(W109)=FALSE,"Sem dado",W109&gt;0.075,"Excelente",W109&gt;0.04,"Bom",W109&gt;0,"Fraco",TRUE,"Prejuízo")</f>
        <v>Fraco</v>
      </c>
    </row>
    <row r="110" spans="1:25" ht="15" customHeight="1" x14ac:dyDescent="0.2">
      <c r="A110" s="15" t="s">
        <v>335</v>
      </c>
      <c r="B110" s="60">
        <v>81466286</v>
      </c>
      <c r="C110" s="15"/>
      <c r="D110" s="15"/>
      <c r="E110" s="15"/>
      <c r="F110" s="15" t="s">
        <v>265</v>
      </c>
      <c r="G110" s="34">
        <v>2</v>
      </c>
      <c r="H110" s="34">
        <v>9</v>
      </c>
      <c r="I110" s="15" t="s">
        <v>336</v>
      </c>
      <c r="J110" s="15" t="s">
        <v>229</v>
      </c>
      <c r="K110" s="74" t="s">
        <v>29</v>
      </c>
      <c r="L110" s="16">
        <v>13974601</v>
      </c>
      <c r="M110" s="16">
        <v>7514227</v>
      </c>
      <c r="N110" s="16">
        <v>5894205</v>
      </c>
      <c r="O110" s="16">
        <v>12537460</v>
      </c>
      <c r="P110" s="16">
        <v>9570690</v>
      </c>
      <c r="Q110" s="16">
        <v>1437140</v>
      </c>
      <c r="R110" s="16">
        <v>112756</v>
      </c>
      <c r="S110" s="16">
        <v>0</v>
      </c>
      <c r="T110" s="16">
        <v>67</v>
      </c>
      <c r="U110" s="15" t="str">
        <f t="shared" si="4"/>
        <v>Privado Nacional</v>
      </c>
      <c r="V110" s="17">
        <f t="shared" si="5"/>
        <v>0.53770601393198991</v>
      </c>
      <c r="W110" s="17">
        <f t="shared" si="6"/>
        <v>7.8458605285497585E-2</v>
      </c>
      <c r="X110" s="15" t="str">
        <f t="shared" si="7"/>
        <v>Média/Pequena</v>
      </c>
      <c r="Y110" s="121" t="str" cm="1">
        <f t="array" ref="Y110">_xlfn.IFS(ISNUMBER(W110)=FALSE,"Sem dado",W110&gt;0.075,"Excelente",W110&gt;0.04,"Bom",W110&gt;0,"Fraco",TRUE,"Prejuízo")</f>
        <v>Excelente</v>
      </c>
    </row>
    <row r="111" spans="1:25" ht="15" customHeight="1" x14ac:dyDescent="0.2">
      <c r="A111" s="12" t="s">
        <v>337</v>
      </c>
      <c r="B111" s="56">
        <v>90608712</v>
      </c>
      <c r="C111" s="12"/>
      <c r="D111" s="12"/>
      <c r="E111" s="12"/>
      <c r="F111" s="12" t="s">
        <v>265</v>
      </c>
      <c r="G111" s="33">
        <v>2</v>
      </c>
      <c r="H111" s="33">
        <v>9</v>
      </c>
      <c r="I111" s="12" t="s">
        <v>338</v>
      </c>
      <c r="J111" s="12" t="s">
        <v>74</v>
      </c>
      <c r="K111" s="73" t="s">
        <v>29</v>
      </c>
      <c r="L111" s="13">
        <v>13586344</v>
      </c>
      <c r="M111" s="13">
        <v>6300100</v>
      </c>
      <c r="N111" s="13">
        <v>5905777</v>
      </c>
      <c r="O111" s="13">
        <v>12207314</v>
      </c>
      <c r="P111" s="13">
        <v>9533766</v>
      </c>
      <c r="Q111" s="13">
        <v>1379030</v>
      </c>
      <c r="R111" s="13">
        <v>113959</v>
      </c>
      <c r="S111" s="13">
        <v>0</v>
      </c>
      <c r="T111" s="13">
        <v>53</v>
      </c>
      <c r="U111" s="12" t="str">
        <f t="shared" si="4"/>
        <v>Privado Nacional</v>
      </c>
      <c r="V111" s="14">
        <f t="shared" si="5"/>
        <v>0.46370826471050636</v>
      </c>
      <c r="W111" s="14">
        <f t="shared" si="6"/>
        <v>8.2637070984677638E-2</v>
      </c>
      <c r="X111" s="12" t="str">
        <f t="shared" si="7"/>
        <v>Média/Pequena</v>
      </c>
      <c r="Y111" s="122" t="str" cm="1">
        <f t="array" ref="Y111">_xlfn.IFS(ISNUMBER(W111)=FALSE,"Sem dado",W111&gt;0.075,"Excelente",W111&gt;0.04,"Bom",W111&gt;0,"Fraco",TRUE,"Prejuízo")</f>
        <v>Excelente</v>
      </c>
    </row>
    <row r="112" spans="1:25" ht="15" customHeight="1" x14ac:dyDescent="0.2">
      <c r="A112" s="15" t="s">
        <v>339</v>
      </c>
      <c r="B112" s="60">
        <v>78414067</v>
      </c>
      <c r="C112" s="15"/>
      <c r="D112" s="15"/>
      <c r="E112" s="15"/>
      <c r="F112" s="15" t="s">
        <v>265</v>
      </c>
      <c r="G112" s="34">
        <v>2</v>
      </c>
      <c r="H112" s="34">
        <v>9</v>
      </c>
      <c r="I112" s="15" t="s">
        <v>340</v>
      </c>
      <c r="J112" s="15" t="s">
        <v>229</v>
      </c>
      <c r="K112" s="74" t="s">
        <v>29</v>
      </c>
      <c r="L112" s="16">
        <v>13507632</v>
      </c>
      <c r="M112" s="16">
        <v>6820737</v>
      </c>
      <c r="N112" s="16">
        <v>5547449</v>
      </c>
      <c r="O112" s="16">
        <v>11880745</v>
      </c>
      <c r="P112" s="16">
        <v>8451752</v>
      </c>
      <c r="Q112" s="16">
        <v>1626887</v>
      </c>
      <c r="R112" s="16">
        <v>164127</v>
      </c>
      <c r="S112" s="16">
        <v>0</v>
      </c>
      <c r="T112" s="16">
        <v>103</v>
      </c>
      <c r="U112" s="15" t="str">
        <f t="shared" si="4"/>
        <v>Privado Nacional</v>
      </c>
      <c r="V112" s="17">
        <f t="shared" si="5"/>
        <v>0.50495431027436932</v>
      </c>
      <c r="W112" s="17">
        <f t="shared" si="6"/>
        <v>0.10088408107016653</v>
      </c>
      <c r="X112" s="15" t="str">
        <f t="shared" si="7"/>
        <v>Média/Pequena</v>
      </c>
      <c r="Y112" s="121" t="str" cm="1">
        <f t="array" ref="Y112">_xlfn.IFS(ISNUMBER(W112)=FALSE,"Sem dado",W112&gt;0.075,"Excelente",W112&gt;0.04,"Bom",W112&gt;0,"Fraco",TRUE,"Prejuízo")</f>
        <v>Excelente</v>
      </c>
    </row>
    <row r="113" spans="1:25" ht="15" customHeight="1" x14ac:dyDescent="0.2">
      <c r="A113" s="12" t="s">
        <v>341</v>
      </c>
      <c r="B113" s="56">
        <v>71328769</v>
      </c>
      <c r="C113" s="12"/>
      <c r="D113" s="12"/>
      <c r="E113" s="12"/>
      <c r="F113" s="12" t="s">
        <v>265</v>
      </c>
      <c r="G113" s="33">
        <v>2</v>
      </c>
      <c r="H113" s="33">
        <v>9</v>
      </c>
      <c r="I113" s="12" t="s">
        <v>342</v>
      </c>
      <c r="J113" s="12" t="s">
        <v>39</v>
      </c>
      <c r="K113" s="73" t="s">
        <v>29</v>
      </c>
      <c r="L113" s="13">
        <v>13447581</v>
      </c>
      <c r="M113" s="13">
        <v>7137064</v>
      </c>
      <c r="N113" s="13">
        <v>507699</v>
      </c>
      <c r="O113" s="13">
        <v>11588801</v>
      </c>
      <c r="P113" s="13">
        <v>10812970</v>
      </c>
      <c r="Q113" s="13">
        <v>1858780</v>
      </c>
      <c r="R113" s="13">
        <v>43795</v>
      </c>
      <c r="S113" s="13">
        <v>0</v>
      </c>
      <c r="T113" s="13">
        <v>43</v>
      </c>
      <c r="U113" s="12" t="str">
        <f t="shared" si="4"/>
        <v>Privado Nacional</v>
      </c>
      <c r="V113" s="14">
        <f t="shared" si="5"/>
        <v>0.53073218149792145</v>
      </c>
      <c r="W113" s="14">
        <f t="shared" si="6"/>
        <v>2.356115301434274E-2</v>
      </c>
      <c r="X113" s="12" t="str">
        <f t="shared" si="7"/>
        <v>Média/Pequena</v>
      </c>
      <c r="Y113" s="122" t="str" cm="1">
        <f t="array" ref="Y113">_xlfn.IFS(ISNUMBER(W113)=FALSE,"Sem dado",W113&gt;0.075,"Excelente",W113&gt;0.04,"Bom",W113&gt;0,"Fraco",TRUE,"Prejuízo")</f>
        <v>Fraco</v>
      </c>
    </row>
    <row r="114" spans="1:25" ht="15" customHeight="1" x14ac:dyDescent="0.2">
      <c r="A114" s="15" t="s">
        <v>343</v>
      </c>
      <c r="B114" s="60">
        <v>13009717</v>
      </c>
      <c r="C114" s="15" t="s">
        <v>344</v>
      </c>
      <c r="D114" s="15"/>
      <c r="E114" s="15" t="s">
        <v>345</v>
      </c>
      <c r="F114" s="15" t="s">
        <v>26</v>
      </c>
      <c r="G114" s="34">
        <v>1</v>
      </c>
      <c r="H114" s="34">
        <v>8</v>
      </c>
      <c r="I114" s="15" t="s">
        <v>346</v>
      </c>
      <c r="J114" s="15" t="s">
        <v>347</v>
      </c>
      <c r="K114" s="74" t="s">
        <v>29</v>
      </c>
      <c r="L114" s="16">
        <v>13095223</v>
      </c>
      <c r="M114" s="16">
        <v>5161133</v>
      </c>
      <c r="N114" s="16">
        <v>3681718</v>
      </c>
      <c r="O114" s="16">
        <v>12111926</v>
      </c>
      <c r="P114" s="16">
        <v>11542610</v>
      </c>
      <c r="Q114" s="16">
        <v>983297</v>
      </c>
      <c r="R114" s="16">
        <v>62758</v>
      </c>
      <c r="S114" s="16">
        <v>65</v>
      </c>
      <c r="T114" s="16">
        <v>8</v>
      </c>
      <c r="U114" s="15" t="str">
        <f t="shared" si="4"/>
        <v>Público</v>
      </c>
      <c r="V114" s="17">
        <f t="shared" si="5"/>
        <v>0.39412333795308413</v>
      </c>
      <c r="W114" s="17">
        <f t="shared" si="6"/>
        <v>6.3824053159930311E-2</v>
      </c>
      <c r="X114" s="15" t="str">
        <f t="shared" si="7"/>
        <v>Média/Pequena</v>
      </c>
      <c r="Y114" s="121" t="str" cm="1">
        <f t="array" ref="Y114">_xlfn.IFS(ISNUMBER(W114)=FALSE,"Sem dado",W114&gt;0.075,"Excelente",W114&gt;0.04,"Bom",W114&gt;0,"Fraco",TRUE,"Prejuízo")</f>
        <v>Bom</v>
      </c>
    </row>
    <row r="115" spans="1:25" ht="15" customHeight="1" x14ac:dyDescent="0.2">
      <c r="A115" s="12" t="s">
        <v>348</v>
      </c>
      <c r="B115" s="56">
        <v>3215790</v>
      </c>
      <c r="C115" s="12" t="s">
        <v>349</v>
      </c>
      <c r="D115" s="12"/>
      <c r="E115" s="12" t="s">
        <v>350</v>
      </c>
      <c r="F115" s="12" t="s">
        <v>60</v>
      </c>
      <c r="G115" s="33">
        <v>3</v>
      </c>
      <c r="H115" s="33">
        <v>8</v>
      </c>
      <c r="I115" s="12" t="s">
        <v>38</v>
      </c>
      <c r="J115" s="12" t="s">
        <v>39</v>
      </c>
      <c r="K115" s="73" t="s">
        <v>29</v>
      </c>
      <c r="L115" s="13">
        <v>12962999</v>
      </c>
      <c r="M115" s="13">
        <v>10952867</v>
      </c>
      <c r="N115" s="13">
        <v>0</v>
      </c>
      <c r="O115" s="13">
        <v>11566878</v>
      </c>
      <c r="P115" s="13">
        <v>11024860</v>
      </c>
      <c r="Q115" s="13">
        <v>1396120</v>
      </c>
      <c r="R115" s="13">
        <v>138158</v>
      </c>
      <c r="S115" s="13">
        <v>2</v>
      </c>
      <c r="T115" s="13">
        <v>0</v>
      </c>
      <c r="U115" s="12" t="str">
        <f t="shared" si="4"/>
        <v>Privado Estrangeiro</v>
      </c>
      <c r="V115" s="14">
        <f t="shared" si="5"/>
        <v>0.84493310537168131</v>
      </c>
      <c r="W115" s="14">
        <f t="shared" si="6"/>
        <v>9.8958542245652231E-2</v>
      </c>
      <c r="X115" s="12" t="str">
        <f t="shared" si="7"/>
        <v>Média/Pequena</v>
      </c>
      <c r="Y115" s="122" t="str" cm="1">
        <f t="array" ref="Y115">_xlfn.IFS(ISNUMBER(W115)=FALSE,"Sem dado",W115&gt;0.075,"Excelente",W115&gt;0.04,"Bom",W115&gt;0,"Fraco",TRUE,"Prejuízo")</f>
        <v>Excelente</v>
      </c>
    </row>
    <row r="116" spans="1:25" ht="15" customHeight="1" x14ac:dyDescent="0.2">
      <c r="A116" s="15" t="s">
        <v>351</v>
      </c>
      <c r="B116" s="60">
        <v>33987793</v>
      </c>
      <c r="C116" s="15" t="s">
        <v>352</v>
      </c>
      <c r="D116" s="15" t="s">
        <v>353</v>
      </c>
      <c r="E116" s="15" t="s">
        <v>354</v>
      </c>
      <c r="F116" s="15" t="s">
        <v>60</v>
      </c>
      <c r="G116" s="34">
        <v>3</v>
      </c>
      <c r="H116" s="34">
        <v>13</v>
      </c>
      <c r="I116" s="15" t="s">
        <v>38</v>
      </c>
      <c r="J116" s="15" t="s">
        <v>39</v>
      </c>
      <c r="K116" s="74" t="s">
        <v>29</v>
      </c>
      <c r="L116" s="16">
        <v>12813312</v>
      </c>
      <c r="M116" s="16">
        <v>2829899</v>
      </c>
      <c r="N116" s="16">
        <v>3031128</v>
      </c>
      <c r="O116" s="16">
        <v>8823098</v>
      </c>
      <c r="P116" s="16">
        <v>6910910</v>
      </c>
      <c r="Q116" s="16">
        <v>3990214</v>
      </c>
      <c r="R116" s="16">
        <v>-245038</v>
      </c>
      <c r="S116" s="16">
        <v>3</v>
      </c>
      <c r="T116" s="16">
        <v>0</v>
      </c>
      <c r="U116" s="15" t="str">
        <f t="shared" si="4"/>
        <v>Privado Estrangeiro</v>
      </c>
      <c r="V116" s="17">
        <f t="shared" si="5"/>
        <v>0.22085616895928234</v>
      </c>
      <c r="W116" s="17">
        <f t="shared" si="6"/>
        <v>-6.1409738926283153E-2</v>
      </c>
      <c r="X116" s="15" t="str">
        <f t="shared" si="7"/>
        <v>Média/Pequena</v>
      </c>
      <c r="Y116" s="121" t="str" cm="1">
        <f t="array" ref="Y116">_xlfn.IFS(ISNUMBER(W116)=FALSE,"Sem dado",W116&gt;0.075,"Excelente",W116&gt;0.04,"Bom",W116&gt;0,"Fraco",TRUE,"Prejuízo")</f>
        <v>Prejuízo</v>
      </c>
    </row>
    <row r="117" spans="1:25" ht="15" customHeight="1" x14ac:dyDescent="0.2">
      <c r="A117" s="12" t="s">
        <v>355</v>
      </c>
      <c r="B117" s="56">
        <v>5040481</v>
      </c>
      <c r="C117" s="12" t="s">
        <v>356</v>
      </c>
      <c r="D117" s="12"/>
      <c r="E117" s="12" t="s">
        <v>357</v>
      </c>
      <c r="F117" s="12" t="s">
        <v>60</v>
      </c>
      <c r="G117" s="33">
        <v>3</v>
      </c>
      <c r="H117" s="33">
        <v>8</v>
      </c>
      <c r="I117" s="12" t="s">
        <v>73</v>
      </c>
      <c r="J117" s="12" t="s">
        <v>74</v>
      </c>
      <c r="K117" s="73" t="s">
        <v>29</v>
      </c>
      <c r="L117" s="13">
        <v>12747922</v>
      </c>
      <c r="M117" s="13">
        <v>10633465</v>
      </c>
      <c r="N117" s="13">
        <v>0</v>
      </c>
      <c r="O117" s="13">
        <v>11203148</v>
      </c>
      <c r="P117" s="13">
        <v>10577133</v>
      </c>
      <c r="Q117" s="13">
        <v>1544774</v>
      </c>
      <c r="R117" s="13">
        <v>-82291</v>
      </c>
      <c r="S117" s="13">
        <v>3</v>
      </c>
      <c r="T117" s="13">
        <v>0</v>
      </c>
      <c r="U117" s="12" t="str">
        <f t="shared" si="4"/>
        <v>Privado Estrangeiro</v>
      </c>
      <c r="V117" s="14">
        <f t="shared" si="5"/>
        <v>0.83413320225837595</v>
      </c>
      <c r="W117" s="14">
        <f t="shared" si="6"/>
        <v>-5.3270575501659145E-2</v>
      </c>
      <c r="X117" s="12" t="str">
        <f t="shared" si="7"/>
        <v>Média/Pequena</v>
      </c>
      <c r="Y117" s="122" t="str" cm="1">
        <f t="array" ref="Y117">_xlfn.IFS(ISNUMBER(W117)=FALSE,"Sem dado",W117&gt;0.075,"Excelente",W117&gt;0.04,"Bom",W117&gt;0,"Fraco",TRUE,"Prejuízo")</f>
        <v>Prejuízo</v>
      </c>
    </row>
    <row r="118" spans="1:25" ht="15" customHeight="1" x14ac:dyDescent="0.2">
      <c r="A118" s="15" t="s">
        <v>358</v>
      </c>
      <c r="B118" s="60">
        <v>22896431</v>
      </c>
      <c r="C118" s="15" t="s">
        <v>171</v>
      </c>
      <c r="D118" s="15"/>
      <c r="E118" s="15" t="s">
        <v>173</v>
      </c>
      <c r="F118" s="15" t="s">
        <v>84</v>
      </c>
      <c r="G118" s="34">
        <v>2</v>
      </c>
      <c r="H118" s="34">
        <v>41</v>
      </c>
      <c r="I118" s="15" t="s">
        <v>38</v>
      </c>
      <c r="J118" s="15" t="s">
        <v>39</v>
      </c>
      <c r="K118" s="74" t="s">
        <v>29</v>
      </c>
      <c r="L118" s="16">
        <v>12442386</v>
      </c>
      <c r="M118" s="16">
        <v>0</v>
      </c>
      <c r="N118" s="16">
        <v>579802</v>
      </c>
      <c r="O118" s="16">
        <v>9608844</v>
      </c>
      <c r="P118" s="16">
        <v>3248317</v>
      </c>
      <c r="Q118" s="16">
        <v>2833542</v>
      </c>
      <c r="R118" s="16">
        <v>353166</v>
      </c>
      <c r="S118" s="16">
        <v>1</v>
      </c>
      <c r="T118" s="16">
        <v>0</v>
      </c>
      <c r="U118" s="15" t="str">
        <f t="shared" si="4"/>
        <v>Privado Nacional</v>
      </c>
      <c r="V118" s="17">
        <f t="shared" si="5"/>
        <v>0</v>
      </c>
      <c r="W118" s="17">
        <f t="shared" si="6"/>
        <v>0.12463764433348791</v>
      </c>
      <c r="X118" s="15" t="str">
        <f t="shared" si="7"/>
        <v>Média/Pequena</v>
      </c>
      <c r="Y118" s="121" t="str" cm="1">
        <f t="array" ref="Y118">_xlfn.IFS(ISNUMBER(W118)=FALSE,"Sem dado",W118&gt;0.075,"Excelente",W118&gt;0.04,"Bom",W118&gt;0,"Fraco",TRUE,"Prejuízo")</f>
        <v>Excelente</v>
      </c>
    </row>
    <row r="119" spans="1:25" ht="15" customHeight="1" x14ac:dyDescent="0.2">
      <c r="A119" s="12" t="s">
        <v>359</v>
      </c>
      <c r="B119" s="56">
        <v>91586982</v>
      </c>
      <c r="C119" s="12"/>
      <c r="D119" s="12"/>
      <c r="E119" s="12"/>
      <c r="F119" s="12" t="s">
        <v>265</v>
      </c>
      <c r="G119" s="33">
        <v>2</v>
      </c>
      <c r="H119" s="33">
        <v>9</v>
      </c>
      <c r="I119" s="12" t="s">
        <v>360</v>
      </c>
      <c r="J119" s="12" t="s">
        <v>74</v>
      </c>
      <c r="K119" s="73" t="s">
        <v>29</v>
      </c>
      <c r="L119" s="13">
        <v>12226563</v>
      </c>
      <c r="M119" s="13">
        <v>6209920</v>
      </c>
      <c r="N119" s="13">
        <v>4830757</v>
      </c>
      <c r="O119" s="13">
        <v>10939887</v>
      </c>
      <c r="P119" s="13">
        <v>9065460</v>
      </c>
      <c r="Q119" s="13">
        <v>1286676</v>
      </c>
      <c r="R119" s="13">
        <v>93377</v>
      </c>
      <c r="S119" s="13">
        <v>0</v>
      </c>
      <c r="T119" s="13">
        <v>59</v>
      </c>
      <c r="U119" s="12" t="str">
        <f t="shared" si="4"/>
        <v>Privado Nacional</v>
      </c>
      <c r="V119" s="14">
        <f t="shared" si="5"/>
        <v>0.50790397922948582</v>
      </c>
      <c r="W119" s="14">
        <f t="shared" si="6"/>
        <v>7.2572271496476187E-2</v>
      </c>
      <c r="X119" s="12" t="str">
        <f t="shared" si="7"/>
        <v>Média/Pequena</v>
      </c>
      <c r="Y119" s="122" t="str" cm="1">
        <f t="array" ref="Y119">_xlfn.IFS(ISNUMBER(W119)=FALSE,"Sem dado",W119&gt;0.075,"Excelente",W119&gt;0.04,"Bom",W119&gt;0,"Fraco",TRUE,"Prejuízo")</f>
        <v>Bom</v>
      </c>
    </row>
    <row r="120" spans="1:25" ht="15" customHeight="1" x14ac:dyDescent="0.2">
      <c r="A120" s="15" t="s">
        <v>361</v>
      </c>
      <c r="B120" s="60">
        <v>60498557</v>
      </c>
      <c r="C120" s="15" t="s">
        <v>362</v>
      </c>
      <c r="D120" s="15"/>
      <c r="E120" s="15" t="s">
        <v>363</v>
      </c>
      <c r="F120" s="15" t="s">
        <v>26</v>
      </c>
      <c r="G120" s="34">
        <v>3</v>
      </c>
      <c r="H120" s="34">
        <v>8</v>
      </c>
      <c r="I120" s="15" t="s">
        <v>38</v>
      </c>
      <c r="J120" s="15" t="s">
        <v>39</v>
      </c>
      <c r="K120" s="74" t="s">
        <v>29</v>
      </c>
      <c r="L120" s="16">
        <v>12013998</v>
      </c>
      <c r="M120" s="16">
        <v>3443386</v>
      </c>
      <c r="N120" s="16">
        <v>4322735</v>
      </c>
      <c r="O120" s="16">
        <v>10348619</v>
      </c>
      <c r="P120" s="16">
        <v>9398798</v>
      </c>
      <c r="Q120" s="16">
        <v>1665379</v>
      </c>
      <c r="R120" s="16">
        <v>44215</v>
      </c>
      <c r="S120" s="16">
        <v>2</v>
      </c>
      <c r="T120" s="16">
        <v>0</v>
      </c>
      <c r="U120" s="15" t="str">
        <f t="shared" si="4"/>
        <v>Privado Estrangeiro</v>
      </c>
      <c r="V120" s="17">
        <f t="shared" si="5"/>
        <v>0.28661449752197393</v>
      </c>
      <c r="W120" s="17">
        <f t="shared" si="6"/>
        <v>2.6549512153089476E-2</v>
      </c>
      <c r="X120" s="15" t="str">
        <f t="shared" si="7"/>
        <v>Média/Pequena</v>
      </c>
      <c r="Y120" s="121" t="str" cm="1">
        <f t="array" ref="Y120">_xlfn.IFS(ISNUMBER(W120)=FALSE,"Sem dado",W120&gt;0.075,"Excelente",W120&gt;0.04,"Bom",W120&gt;0,"Fraco",TRUE,"Prejuízo")</f>
        <v>Fraco</v>
      </c>
    </row>
    <row r="121" spans="1:25" ht="15" customHeight="1" x14ac:dyDescent="0.2">
      <c r="A121" s="12" t="s">
        <v>364</v>
      </c>
      <c r="B121" s="56">
        <v>3634220</v>
      </c>
      <c r="C121" s="12" t="s">
        <v>365</v>
      </c>
      <c r="D121" s="12" t="s">
        <v>366</v>
      </c>
      <c r="E121" s="12" t="s">
        <v>367</v>
      </c>
      <c r="F121" s="12" t="s">
        <v>60</v>
      </c>
      <c r="G121" s="33">
        <v>3</v>
      </c>
      <c r="H121" s="33">
        <v>8</v>
      </c>
      <c r="I121" s="12" t="s">
        <v>38</v>
      </c>
      <c r="J121" s="12" t="s">
        <v>39</v>
      </c>
      <c r="K121" s="73" t="s">
        <v>29</v>
      </c>
      <c r="L121" s="13">
        <v>11951545</v>
      </c>
      <c r="M121" s="13">
        <v>9938301</v>
      </c>
      <c r="N121" s="13">
        <v>303287</v>
      </c>
      <c r="O121" s="13">
        <v>10474002</v>
      </c>
      <c r="P121" s="13">
        <v>9514928</v>
      </c>
      <c r="Q121" s="13">
        <v>1477543</v>
      </c>
      <c r="R121" s="13">
        <v>32922</v>
      </c>
      <c r="S121" s="13">
        <v>2</v>
      </c>
      <c r="T121" s="13">
        <v>0</v>
      </c>
      <c r="U121" s="12" t="str">
        <f t="shared" si="4"/>
        <v>Privado Estrangeiro</v>
      </c>
      <c r="V121" s="14">
        <f t="shared" si="5"/>
        <v>0.83154947749433228</v>
      </c>
      <c r="W121" s="14">
        <f t="shared" si="6"/>
        <v>2.2281585036780654E-2</v>
      </c>
      <c r="X121" s="12" t="str">
        <f t="shared" si="7"/>
        <v>Média/Pequena</v>
      </c>
      <c r="Y121" s="122" t="str" cm="1">
        <f t="array" ref="Y121">_xlfn.IFS(ISNUMBER(W121)=FALSE,"Sem dado",W121&gt;0.075,"Excelente",W121&gt;0.04,"Bom",W121&gt;0,"Fraco",TRUE,"Prejuízo")</f>
        <v>Fraco</v>
      </c>
    </row>
    <row r="122" spans="1:25" ht="15" customHeight="1" x14ac:dyDescent="0.2">
      <c r="A122" s="15" t="s">
        <v>368</v>
      </c>
      <c r="B122" s="60">
        <v>78825270</v>
      </c>
      <c r="C122" s="15"/>
      <c r="D122" s="15"/>
      <c r="E122" s="15"/>
      <c r="F122" s="15" t="s">
        <v>265</v>
      </c>
      <c r="G122" s="34">
        <v>2</v>
      </c>
      <c r="H122" s="34">
        <v>9</v>
      </c>
      <c r="I122" s="15" t="s">
        <v>369</v>
      </c>
      <c r="J122" s="15" t="s">
        <v>217</v>
      </c>
      <c r="K122" s="74" t="s">
        <v>29</v>
      </c>
      <c r="L122" s="16">
        <v>11925490</v>
      </c>
      <c r="M122" s="16">
        <v>7818296</v>
      </c>
      <c r="N122" s="16">
        <v>181850</v>
      </c>
      <c r="O122" s="16">
        <v>10540985</v>
      </c>
      <c r="P122" s="16">
        <v>8857750</v>
      </c>
      <c r="Q122" s="16">
        <v>1384505</v>
      </c>
      <c r="R122" s="16">
        <v>139862</v>
      </c>
      <c r="S122" s="16">
        <v>0</v>
      </c>
      <c r="T122" s="16">
        <v>103</v>
      </c>
      <c r="U122" s="15" t="str">
        <f t="shared" si="4"/>
        <v>Privado Nacional</v>
      </c>
      <c r="V122" s="17">
        <f t="shared" si="5"/>
        <v>0.65559536756980219</v>
      </c>
      <c r="W122" s="17">
        <f t="shared" si="6"/>
        <v>0.10101949794330826</v>
      </c>
      <c r="X122" s="15" t="str">
        <f t="shared" si="7"/>
        <v>Média/Pequena</v>
      </c>
      <c r="Y122" s="121" t="str" cm="1">
        <f t="array" ref="Y122">_xlfn.IFS(ISNUMBER(W122)=FALSE,"Sem dado",W122&gt;0.075,"Excelente",W122&gt;0.04,"Bom",W122&gt;0,"Fraco",TRUE,"Prejuízo")</f>
        <v>Excelente</v>
      </c>
    </row>
    <row r="123" spans="1:25" ht="15" customHeight="1" x14ac:dyDescent="0.2">
      <c r="A123" s="12" t="s">
        <v>370</v>
      </c>
      <c r="B123" s="56">
        <v>1858774</v>
      </c>
      <c r="C123" s="12" t="s">
        <v>94</v>
      </c>
      <c r="D123" s="12" t="s">
        <v>95</v>
      </c>
      <c r="E123" s="12" t="s">
        <v>96</v>
      </c>
      <c r="F123" s="12" t="s">
        <v>26</v>
      </c>
      <c r="G123" s="33">
        <v>2</v>
      </c>
      <c r="H123" s="33">
        <v>8</v>
      </c>
      <c r="I123" s="12" t="s">
        <v>38</v>
      </c>
      <c r="J123" s="12" t="s">
        <v>39</v>
      </c>
      <c r="K123" s="73" t="s">
        <v>29</v>
      </c>
      <c r="L123" s="13">
        <v>11825107</v>
      </c>
      <c r="M123" s="13">
        <v>6655877</v>
      </c>
      <c r="N123" s="13">
        <v>326975</v>
      </c>
      <c r="O123" s="13">
        <v>9013559</v>
      </c>
      <c r="P123" s="13">
        <v>5460687</v>
      </c>
      <c r="Q123" s="13">
        <v>2811548</v>
      </c>
      <c r="R123" s="13">
        <v>2587</v>
      </c>
      <c r="S123" s="13">
        <v>3</v>
      </c>
      <c r="T123" s="13">
        <v>0</v>
      </c>
      <c r="U123" s="12" t="str">
        <f t="shared" si="4"/>
        <v>Privado Nacional</v>
      </c>
      <c r="V123" s="14">
        <f t="shared" si="5"/>
        <v>0.56285976947185345</v>
      </c>
      <c r="W123" s="14">
        <f t="shared" si="6"/>
        <v>9.2013367724826328E-4</v>
      </c>
      <c r="X123" s="12" t="str">
        <f t="shared" si="7"/>
        <v>Média/Pequena</v>
      </c>
      <c r="Y123" s="122" t="str" cm="1">
        <f t="array" ref="Y123">_xlfn.IFS(ISNUMBER(W123)=FALSE,"Sem dado",W123&gt;0.075,"Excelente",W123&gt;0.04,"Bom",W123&gt;0,"Fraco",TRUE,"Prejuízo")</f>
        <v>Fraco</v>
      </c>
    </row>
    <row r="124" spans="1:25" ht="15" customHeight="1" x14ac:dyDescent="0.2">
      <c r="A124" s="15" t="s">
        <v>371</v>
      </c>
      <c r="B124" s="60">
        <v>2398976</v>
      </c>
      <c r="C124" s="15"/>
      <c r="D124" s="15"/>
      <c r="E124" s="15"/>
      <c r="F124" s="15" t="s">
        <v>265</v>
      </c>
      <c r="G124" s="34">
        <v>2</v>
      </c>
      <c r="H124" s="34">
        <v>9</v>
      </c>
      <c r="I124" s="15" t="s">
        <v>372</v>
      </c>
      <c r="J124" s="15" t="s">
        <v>229</v>
      </c>
      <c r="K124" s="74" t="s">
        <v>29</v>
      </c>
      <c r="L124" s="16">
        <v>11545828</v>
      </c>
      <c r="M124" s="16">
        <v>5767254</v>
      </c>
      <c r="N124" s="16">
        <v>4148694</v>
      </c>
      <c r="O124" s="16">
        <v>9645699</v>
      </c>
      <c r="P124" s="16">
        <v>9078257</v>
      </c>
      <c r="Q124" s="16">
        <v>1900128</v>
      </c>
      <c r="R124" s="16">
        <v>166110</v>
      </c>
      <c r="S124" s="16">
        <v>0</v>
      </c>
      <c r="T124" s="16">
        <v>50</v>
      </c>
      <c r="U124" s="15" t="str">
        <f t="shared" si="4"/>
        <v>Privado Nacional</v>
      </c>
      <c r="V124" s="17">
        <f t="shared" si="5"/>
        <v>0.49950977963641929</v>
      </c>
      <c r="W124" s="17">
        <f t="shared" si="6"/>
        <v>8.7420426413378466E-2</v>
      </c>
      <c r="X124" s="15" t="str">
        <f t="shared" si="7"/>
        <v>Média/Pequena</v>
      </c>
      <c r="Y124" s="121" t="str" cm="1">
        <f t="array" ref="Y124">_xlfn.IFS(ISNUMBER(W124)=FALSE,"Sem dado",W124&gt;0.075,"Excelente",W124&gt;0.04,"Bom",W124&gt;0,"Fraco",TRUE,"Prejuízo")</f>
        <v>Excelente</v>
      </c>
    </row>
    <row r="125" spans="1:25" ht="15" customHeight="1" x14ac:dyDescent="0.2">
      <c r="A125" s="12" t="s">
        <v>373</v>
      </c>
      <c r="B125" s="56">
        <v>32345784</v>
      </c>
      <c r="C125" s="12" t="s">
        <v>101</v>
      </c>
      <c r="D125" s="12" t="s">
        <v>102</v>
      </c>
      <c r="E125" s="12" t="s">
        <v>103</v>
      </c>
      <c r="F125" s="12" t="s">
        <v>98</v>
      </c>
      <c r="G125" s="33">
        <v>2</v>
      </c>
      <c r="H125" s="33">
        <v>15</v>
      </c>
      <c r="I125" s="12" t="s">
        <v>38</v>
      </c>
      <c r="J125" s="12" t="s">
        <v>39</v>
      </c>
      <c r="K125" s="73" t="s">
        <v>29</v>
      </c>
      <c r="L125" s="13">
        <v>11539480</v>
      </c>
      <c r="M125" s="13">
        <v>0</v>
      </c>
      <c r="N125" s="13">
        <v>134483</v>
      </c>
      <c r="O125" s="13">
        <v>11058162</v>
      </c>
      <c r="P125" s="13">
        <v>10645661</v>
      </c>
      <c r="Q125" s="13">
        <v>481319</v>
      </c>
      <c r="R125" s="13">
        <v>65663</v>
      </c>
      <c r="S125" s="13">
        <v>2</v>
      </c>
      <c r="T125" s="13">
        <v>0</v>
      </c>
      <c r="U125" s="12" t="str">
        <f t="shared" si="4"/>
        <v>Privado Nacional</v>
      </c>
      <c r="V125" s="14">
        <f t="shared" si="5"/>
        <v>0</v>
      </c>
      <c r="W125" s="14">
        <f t="shared" si="6"/>
        <v>0.13642303752812585</v>
      </c>
      <c r="X125" s="12" t="str">
        <f t="shared" si="7"/>
        <v>Média/Pequena</v>
      </c>
      <c r="Y125" s="122" t="str" cm="1">
        <f t="array" ref="Y125">_xlfn.IFS(ISNUMBER(W125)=FALSE,"Sem dado",W125&gt;0.075,"Excelente",W125&gt;0.04,"Bom",W125&gt;0,"Fraco",TRUE,"Prejuízo")</f>
        <v>Excelente</v>
      </c>
    </row>
    <row r="126" spans="1:25" ht="15" customHeight="1" x14ac:dyDescent="0.2">
      <c r="A126" s="15" t="s">
        <v>374</v>
      </c>
      <c r="B126" s="60">
        <v>655522</v>
      </c>
      <c r="C126" s="15" t="s">
        <v>375</v>
      </c>
      <c r="D126" s="15"/>
      <c r="E126" s="15" t="s">
        <v>376</v>
      </c>
      <c r="F126" s="15" t="s">
        <v>65</v>
      </c>
      <c r="G126" s="34">
        <v>2</v>
      </c>
      <c r="H126" s="34">
        <v>25</v>
      </c>
      <c r="I126" s="15" t="s">
        <v>27</v>
      </c>
      <c r="J126" s="15" t="s">
        <v>28</v>
      </c>
      <c r="K126" s="74" t="s">
        <v>29</v>
      </c>
      <c r="L126" s="16">
        <v>11286494</v>
      </c>
      <c r="M126" s="16">
        <v>5130634</v>
      </c>
      <c r="N126" s="16">
        <v>1238420</v>
      </c>
      <c r="O126" s="16">
        <v>3354854</v>
      </c>
      <c r="P126" s="16">
        <v>3229622</v>
      </c>
      <c r="Q126" s="16">
        <v>7931640</v>
      </c>
      <c r="R126" s="16">
        <v>123226</v>
      </c>
      <c r="S126" s="16">
        <v>61</v>
      </c>
      <c r="T126" s="16">
        <v>0</v>
      </c>
      <c r="U126" s="15" t="str">
        <f t="shared" si="4"/>
        <v>Privado Nacional</v>
      </c>
      <c r="V126" s="17">
        <f t="shared" si="5"/>
        <v>0.45458173282154757</v>
      </c>
      <c r="W126" s="17">
        <f t="shared" si="6"/>
        <v>1.5536005164127469E-2</v>
      </c>
      <c r="X126" s="15" t="str">
        <f t="shared" si="7"/>
        <v>Média/Pequena</v>
      </c>
      <c r="Y126" s="121" t="str" cm="1">
        <f t="array" ref="Y126">_xlfn.IFS(ISNUMBER(W126)=FALSE,"Sem dado",W126&gt;0.075,"Excelente",W126&gt;0.04,"Bom",W126&gt;0,"Fraco",TRUE,"Prejuízo")</f>
        <v>Fraco</v>
      </c>
    </row>
    <row r="127" spans="1:25" ht="15" customHeight="1" x14ac:dyDescent="0.2">
      <c r="A127" s="12" t="s">
        <v>377</v>
      </c>
      <c r="B127" s="56">
        <v>4088208</v>
      </c>
      <c r="C127" s="12" t="s">
        <v>378</v>
      </c>
      <c r="D127" s="12"/>
      <c r="E127" s="12" t="s">
        <v>379</v>
      </c>
      <c r="F127" s="12" t="s">
        <v>84</v>
      </c>
      <c r="G127" s="33">
        <v>3</v>
      </c>
      <c r="H127" s="33">
        <v>41</v>
      </c>
      <c r="I127" s="12" t="s">
        <v>38</v>
      </c>
      <c r="J127" s="12" t="s">
        <v>39</v>
      </c>
      <c r="K127" s="73" t="s">
        <v>29</v>
      </c>
      <c r="L127" s="13">
        <v>11099227</v>
      </c>
      <c r="M127" s="13">
        <v>0</v>
      </c>
      <c r="N127" s="13">
        <v>2640376</v>
      </c>
      <c r="O127" s="13">
        <v>5179821</v>
      </c>
      <c r="P127" s="13">
        <v>1423695</v>
      </c>
      <c r="Q127" s="13">
        <v>5919406</v>
      </c>
      <c r="R127" s="13">
        <v>769491</v>
      </c>
      <c r="S127" s="13">
        <v>1</v>
      </c>
      <c r="T127" s="13">
        <v>0</v>
      </c>
      <c r="U127" s="12" t="str">
        <f t="shared" si="4"/>
        <v>Privado Estrangeiro</v>
      </c>
      <c r="V127" s="14">
        <f t="shared" si="5"/>
        <v>0</v>
      </c>
      <c r="W127" s="14">
        <f t="shared" si="6"/>
        <v>0.12999463121806479</v>
      </c>
      <c r="X127" s="12" t="str">
        <f t="shared" si="7"/>
        <v>Média/Pequena</v>
      </c>
      <c r="Y127" s="122" t="str" cm="1">
        <f t="array" ref="Y127">_xlfn.IFS(ISNUMBER(W127)=FALSE,"Sem dado",W127&gt;0.075,"Excelente",W127&gt;0.04,"Bom",W127&gt;0,"Fraco",TRUE,"Prejuízo")</f>
        <v>Excelente</v>
      </c>
    </row>
    <row r="128" spans="1:25" ht="15" customHeight="1" x14ac:dyDescent="0.2">
      <c r="A128" s="15" t="s">
        <v>380</v>
      </c>
      <c r="B128" s="60">
        <v>15124464</v>
      </c>
      <c r="C128" s="15" t="s">
        <v>56</v>
      </c>
      <c r="D128" s="15" t="s">
        <v>57</v>
      </c>
      <c r="E128" s="15" t="s">
        <v>58</v>
      </c>
      <c r="F128" s="15" t="s">
        <v>60</v>
      </c>
      <c r="G128" s="34">
        <v>2</v>
      </c>
      <c r="H128" s="34">
        <v>8</v>
      </c>
      <c r="I128" s="15" t="s">
        <v>53</v>
      </c>
      <c r="J128" s="15" t="s">
        <v>54</v>
      </c>
      <c r="K128" s="74" t="s">
        <v>29</v>
      </c>
      <c r="L128" s="16">
        <v>10702180</v>
      </c>
      <c r="M128" s="16">
        <v>16158</v>
      </c>
      <c r="N128" s="16">
        <v>202434</v>
      </c>
      <c r="O128" s="16">
        <v>4537075</v>
      </c>
      <c r="P128" s="16">
        <v>1250075</v>
      </c>
      <c r="Q128" s="16">
        <v>6165104</v>
      </c>
      <c r="R128" s="16">
        <v>799257</v>
      </c>
      <c r="S128" s="16">
        <v>1</v>
      </c>
      <c r="T128" s="16">
        <v>0</v>
      </c>
      <c r="U128" s="15" t="str">
        <f t="shared" si="4"/>
        <v>Privado Nacional</v>
      </c>
      <c r="V128" s="17">
        <f t="shared" si="5"/>
        <v>1.5097858567133051E-3</v>
      </c>
      <c r="W128" s="17">
        <f t="shared" si="6"/>
        <v>0.12964209525094791</v>
      </c>
      <c r="X128" s="15" t="str">
        <f t="shared" si="7"/>
        <v>Média/Pequena</v>
      </c>
      <c r="Y128" s="121" t="str" cm="1">
        <f t="array" ref="Y128">_xlfn.IFS(ISNUMBER(W128)=FALSE,"Sem dado",W128&gt;0.075,"Excelente",W128&gt;0.04,"Bom",W128&gt;0,"Fraco",TRUE,"Prejuízo")</f>
        <v>Excelente</v>
      </c>
    </row>
    <row r="129" spans="1:25" ht="15" customHeight="1" x14ac:dyDescent="0.2">
      <c r="A129" s="12" t="s">
        <v>381</v>
      </c>
      <c r="B129" s="56">
        <v>88894548</v>
      </c>
      <c r="C129" s="12"/>
      <c r="D129" s="12"/>
      <c r="E129" s="12"/>
      <c r="F129" s="12" t="s">
        <v>265</v>
      </c>
      <c r="G129" s="33">
        <v>2</v>
      </c>
      <c r="H129" s="33">
        <v>9</v>
      </c>
      <c r="I129" s="12" t="s">
        <v>382</v>
      </c>
      <c r="J129" s="12" t="s">
        <v>74</v>
      </c>
      <c r="K129" s="73" t="s">
        <v>29</v>
      </c>
      <c r="L129" s="13">
        <v>10639748</v>
      </c>
      <c r="M129" s="13">
        <v>6280671</v>
      </c>
      <c r="N129" s="13">
        <v>3545702</v>
      </c>
      <c r="O129" s="13">
        <v>9314803</v>
      </c>
      <c r="P129" s="13">
        <v>5972633</v>
      </c>
      <c r="Q129" s="13">
        <v>1324945</v>
      </c>
      <c r="R129" s="13">
        <v>101195</v>
      </c>
      <c r="S129" s="13">
        <v>0</v>
      </c>
      <c r="T129" s="13">
        <v>74</v>
      </c>
      <c r="U129" s="12" t="str">
        <f t="shared" si="4"/>
        <v>Privado Nacional</v>
      </c>
      <c r="V129" s="14">
        <f t="shared" si="5"/>
        <v>0.59030260867080686</v>
      </c>
      <c r="W129" s="14">
        <f t="shared" si="6"/>
        <v>7.6376755261539156E-2</v>
      </c>
      <c r="X129" s="12" t="str">
        <f t="shared" si="7"/>
        <v>Média/Pequena</v>
      </c>
      <c r="Y129" s="122" t="str" cm="1">
        <f t="array" ref="Y129">_xlfn.IFS(ISNUMBER(W129)=FALSE,"Sem dado",W129&gt;0.075,"Excelente",W129&gt;0.04,"Bom",W129&gt;0,"Fraco",TRUE,"Prejuízo")</f>
        <v>Excelente</v>
      </c>
    </row>
    <row r="130" spans="1:25" ht="15" customHeight="1" x14ac:dyDescent="0.2">
      <c r="A130" s="15" t="s">
        <v>383</v>
      </c>
      <c r="B130" s="60">
        <v>42898825</v>
      </c>
      <c r="C130" s="15"/>
      <c r="D130" s="15"/>
      <c r="E130" s="15"/>
      <c r="F130" s="15" t="s">
        <v>265</v>
      </c>
      <c r="G130" s="34">
        <v>2</v>
      </c>
      <c r="H130" s="34">
        <v>9</v>
      </c>
      <c r="I130" s="15" t="s">
        <v>119</v>
      </c>
      <c r="J130" s="15" t="s">
        <v>120</v>
      </c>
      <c r="K130" s="74" t="s">
        <v>29</v>
      </c>
      <c r="L130" s="16">
        <v>10596586</v>
      </c>
      <c r="M130" s="16">
        <v>4690192</v>
      </c>
      <c r="N130" s="16">
        <v>196069</v>
      </c>
      <c r="O130" s="16">
        <v>9130854</v>
      </c>
      <c r="P130" s="16">
        <v>8391715</v>
      </c>
      <c r="Q130" s="16">
        <v>1465732</v>
      </c>
      <c r="R130" s="16">
        <v>107626</v>
      </c>
      <c r="S130" s="16">
        <v>0</v>
      </c>
      <c r="T130" s="16">
        <v>54</v>
      </c>
      <c r="U130" s="15" t="str">
        <f t="shared" si="4"/>
        <v>Privado Nacional</v>
      </c>
      <c r="V130" s="17">
        <f t="shared" si="5"/>
        <v>0.44261349834748664</v>
      </c>
      <c r="W130" s="17">
        <f t="shared" si="6"/>
        <v>7.3428157398487584E-2</v>
      </c>
      <c r="X130" s="15" t="str">
        <f t="shared" si="7"/>
        <v>Média/Pequena</v>
      </c>
      <c r="Y130" s="121" t="str" cm="1">
        <f t="array" ref="Y130">_xlfn.IFS(ISNUMBER(W130)=FALSE,"Sem dado",W130&gt;0.075,"Excelente",W130&gt;0.04,"Bom",W130&gt;0,"Fraco",TRUE,"Prejuízo")</f>
        <v>Bom</v>
      </c>
    </row>
    <row r="131" spans="1:25" ht="15" customHeight="1" x14ac:dyDescent="0.2">
      <c r="A131" s="12" t="s">
        <v>384</v>
      </c>
      <c r="B131" s="56">
        <v>33147315</v>
      </c>
      <c r="C131" s="12" t="s">
        <v>41</v>
      </c>
      <c r="D131" s="12" t="s">
        <v>42</v>
      </c>
      <c r="E131" s="12" t="s">
        <v>43</v>
      </c>
      <c r="F131" s="12" t="s">
        <v>26</v>
      </c>
      <c r="G131" s="33">
        <v>2</v>
      </c>
      <c r="H131" s="33">
        <v>8</v>
      </c>
      <c r="I131" s="12" t="s">
        <v>44</v>
      </c>
      <c r="J131" s="12" t="s">
        <v>39</v>
      </c>
      <c r="K131" s="73" t="s">
        <v>29</v>
      </c>
      <c r="L131" s="13">
        <v>10462849</v>
      </c>
      <c r="M131" s="13">
        <v>0</v>
      </c>
      <c r="N131" s="13">
        <v>6438208</v>
      </c>
      <c r="O131" s="13">
        <v>9348029</v>
      </c>
      <c r="P131" s="13">
        <v>7695623</v>
      </c>
      <c r="Q131" s="13">
        <v>1114820</v>
      </c>
      <c r="R131" s="13">
        <v>26881</v>
      </c>
      <c r="S131" s="13">
        <v>2</v>
      </c>
      <c r="T131" s="13">
        <v>0</v>
      </c>
      <c r="U131" s="12" t="str">
        <f t="shared" si="4"/>
        <v>Privado Nacional</v>
      </c>
      <c r="V131" s="14">
        <f t="shared" si="5"/>
        <v>0</v>
      </c>
      <c r="W131" s="14">
        <f t="shared" si="6"/>
        <v>2.4112412766186468E-2</v>
      </c>
      <c r="X131" s="12" t="str">
        <f t="shared" si="7"/>
        <v>Média/Pequena</v>
      </c>
      <c r="Y131" s="122" t="str" cm="1">
        <f t="array" ref="Y131">_xlfn.IFS(ISNUMBER(W131)=FALSE,"Sem dado",W131&gt;0.075,"Excelente",W131&gt;0.04,"Bom",W131&gt;0,"Fraco",TRUE,"Prejuízo")</f>
        <v>Fraco</v>
      </c>
    </row>
    <row r="132" spans="1:25" ht="15" customHeight="1" x14ac:dyDescent="0.2">
      <c r="A132" s="15" t="s">
        <v>385</v>
      </c>
      <c r="B132" s="60">
        <v>32995755</v>
      </c>
      <c r="C132" s="15"/>
      <c r="D132" s="15"/>
      <c r="E132" s="15"/>
      <c r="F132" s="15" t="s">
        <v>265</v>
      </c>
      <c r="G132" s="34">
        <v>2</v>
      </c>
      <c r="H132" s="34">
        <v>9</v>
      </c>
      <c r="I132" s="15" t="s">
        <v>386</v>
      </c>
      <c r="J132" s="15" t="s">
        <v>329</v>
      </c>
      <c r="K132" s="74" t="s">
        <v>29</v>
      </c>
      <c r="L132" s="16">
        <v>10429410</v>
      </c>
      <c r="M132" s="16">
        <v>5139880</v>
      </c>
      <c r="N132" s="16">
        <v>4267337</v>
      </c>
      <c r="O132" s="16">
        <v>9137080</v>
      </c>
      <c r="P132" s="16">
        <v>6499937</v>
      </c>
      <c r="Q132" s="16">
        <v>1292330</v>
      </c>
      <c r="R132" s="16">
        <v>74920</v>
      </c>
      <c r="S132" s="16">
        <v>0</v>
      </c>
      <c r="T132" s="16">
        <v>100</v>
      </c>
      <c r="U132" s="15" t="str">
        <f t="shared" si="4"/>
        <v>Privado Nacional</v>
      </c>
      <c r="V132" s="17">
        <f t="shared" si="5"/>
        <v>0.49282557690224088</v>
      </c>
      <c r="W132" s="17">
        <f t="shared" si="6"/>
        <v>5.7972808802705195E-2</v>
      </c>
      <c r="X132" s="15" t="str">
        <f t="shared" si="7"/>
        <v>Média/Pequena</v>
      </c>
      <c r="Y132" s="121" t="str" cm="1">
        <f t="array" ref="Y132">_xlfn.IFS(ISNUMBER(W132)=FALSE,"Sem dado",W132&gt;0.075,"Excelente",W132&gt;0.04,"Bom",W132&gt;0,"Fraco",TRUE,"Prejuízo")</f>
        <v>Bom</v>
      </c>
    </row>
    <row r="133" spans="1:25" ht="15" customHeight="1" x14ac:dyDescent="0.2">
      <c r="A133" s="12" t="s">
        <v>387</v>
      </c>
      <c r="B133" s="56">
        <v>37395399</v>
      </c>
      <c r="C133" s="12"/>
      <c r="D133" s="12"/>
      <c r="E133" s="12"/>
      <c r="F133" s="12" t="s">
        <v>265</v>
      </c>
      <c r="G133" s="33">
        <v>2</v>
      </c>
      <c r="H133" s="33">
        <v>9</v>
      </c>
      <c r="I133" s="12" t="s">
        <v>388</v>
      </c>
      <c r="J133" s="12" t="s">
        <v>389</v>
      </c>
      <c r="K133" s="73" t="s">
        <v>29</v>
      </c>
      <c r="L133" s="13">
        <v>10287933</v>
      </c>
      <c r="M133" s="13">
        <v>5822341</v>
      </c>
      <c r="N133" s="13">
        <v>126018</v>
      </c>
      <c r="O133" s="13">
        <v>9212159</v>
      </c>
      <c r="P133" s="13">
        <v>8620391</v>
      </c>
      <c r="Q133" s="13">
        <v>1075774</v>
      </c>
      <c r="R133" s="13">
        <v>-63405</v>
      </c>
      <c r="S133" s="13">
        <v>0</v>
      </c>
      <c r="T133" s="13">
        <v>94</v>
      </c>
      <c r="U133" s="12" t="str">
        <f t="shared" ref="U133:U196" si="8">IFERROR(CHOOSE(G133,"Público","Privado Nacional","Privado Estrangeiro"),"n.d.")</f>
        <v>Privado Nacional</v>
      </c>
      <c r="V133" s="14">
        <f t="shared" ref="V133:V196" si="9">IF(AND(ISNUMBER(M133),ISNUMBER(L133)),IF(L133&gt;0,M133/L133,"n.d."),"NI")</f>
        <v>0.56593885282884326</v>
      </c>
      <c r="W133" s="14">
        <f t="shared" ref="W133:W196" si="10">IF(AND(ISNUMBER(R133),ISNUMBER(Q133)),IF(Q133&gt;0,R133/Q133,"n.d."),"NI")</f>
        <v>-5.8938959298142544E-2</v>
      </c>
      <c r="X133" s="12" t="str">
        <f t="shared" ref="X133:X196" si="11">IF(ISNUMBER(L133),IF(L133&gt;100000000,"Grande","Média/Pequena"),"Sem dado")</f>
        <v>Média/Pequena</v>
      </c>
      <c r="Y133" s="122" t="str" cm="1">
        <f t="array" ref="Y133">_xlfn.IFS(ISNUMBER(W133)=FALSE,"Sem dado",W133&gt;0.075,"Excelente",W133&gt;0.04,"Bom",W133&gt;0,"Fraco",TRUE,"Prejuízo")</f>
        <v>Prejuízo</v>
      </c>
    </row>
    <row r="134" spans="1:25" ht="15" customHeight="1" x14ac:dyDescent="0.2">
      <c r="A134" s="15" t="s">
        <v>390</v>
      </c>
      <c r="B134" s="60">
        <v>2682287</v>
      </c>
      <c r="C134" s="15" t="s">
        <v>56</v>
      </c>
      <c r="D134" s="15" t="s">
        <v>57</v>
      </c>
      <c r="E134" s="15" t="s">
        <v>58</v>
      </c>
      <c r="F134" s="15" t="s">
        <v>65</v>
      </c>
      <c r="G134" s="34">
        <v>2</v>
      </c>
      <c r="H134" s="34">
        <v>14</v>
      </c>
      <c r="I134" s="15" t="s">
        <v>53</v>
      </c>
      <c r="J134" s="15" t="s">
        <v>54</v>
      </c>
      <c r="K134" s="74" t="s">
        <v>29</v>
      </c>
      <c r="L134" s="16">
        <v>10058481</v>
      </c>
      <c r="M134" s="16">
        <v>8448672</v>
      </c>
      <c r="N134" s="16">
        <v>1047212</v>
      </c>
      <c r="O134" s="16">
        <v>7838397</v>
      </c>
      <c r="P134" s="16">
        <v>7333902</v>
      </c>
      <c r="Q134" s="16">
        <v>2220084</v>
      </c>
      <c r="R134" s="16">
        <v>425126</v>
      </c>
      <c r="S134" s="16">
        <v>3</v>
      </c>
      <c r="T134" s="16">
        <v>0</v>
      </c>
      <c r="U134" s="15" t="str">
        <f t="shared" si="8"/>
        <v>Privado Nacional</v>
      </c>
      <c r="V134" s="17">
        <f t="shared" si="9"/>
        <v>0.8399550588205118</v>
      </c>
      <c r="W134" s="17">
        <f t="shared" si="10"/>
        <v>0.19149095259458651</v>
      </c>
      <c r="X134" s="15" t="str">
        <f t="shared" si="11"/>
        <v>Média/Pequena</v>
      </c>
      <c r="Y134" s="121" t="str" cm="1">
        <f t="array" ref="Y134">_xlfn.IFS(ISNUMBER(W134)=FALSE,"Sem dado",W134&gt;0.075,"Excelente",W134&gt;0.04,"Bom",W134&gt;0,"Fraco",TRUE,"Prejuízo")</f>
        <v>Excelente</v>
      </c>
    </row>
    <row r="135" spans="1:25" ht="15" customHeight="1" x14ac:dyDescent="0.2">
      <c r="A135" s="12" t="s">
        <v>391</v>
      </c>
      <c r="B135" s="56">
        <v>92874270</v>
      </c>
      <c r="C135" s="12" t="s">
        <v>392</v>
      </c>
      <c r="D135" s="12"/>
      <c r="E135" s="12" t="s">
        <v>393</v>
      </c>
      <c r="F135" s="12" t="s">
        <v>26</v>
      </c>
      <c r="G135" s="33">
        <v>3</v>
      </c>
      <c r="H135" s="33">
        <v>8</v>
      </c>
      <c r="I135" s="12" t="s">
        <v>38</v>
      </c>
      <c r="J135" s="12" t="s">
        <v>39</v>
      </c>
      <c r="K135" s="73" t="s">
        <v>29</v>
      </c>
      <c r="L135" s="13">
        <v>9817920</v>
      </c>
      <c r="M135" s="13">
        <v>1491826</v>
      </c>
      <c r="N135" s="13">
        <v>4759598</v>
      </c>
      <c r="O135" s="13">
        <v>9487003</v>
      </c>
      <c r="P135" s="13">
        <v>8704047</v>
      </c>
      <c r="Q135" s="13">
        <v>330917</v>
      </c>
      <c r="R135" s="13">
        <v>-581406</v>
      </c>
      <c r="S135" s="13">
        <v>3</v>
      </c>
      <c r="T135" s="13">
        <v>0</v>
      </c>
      <c r="U135" s="12" t="str">
        <f t="shared" si="8"/>
        <v>Privado Estrangeiro</v>
      </c>
      <c r="V135" s="14">
        <f t="shared" si="9"/>
        <v>0.15194929272187999</v>
      </c>
      <c r="W135" s="14">
        <f t="shared" si="10"/>
        <v>-1.756954160710994</v>
      </c>
      <c r="X135" s="12" t="str">
        <f t="shared" si="11"/>
        <v>Média/Pequena</v>
      </c>
      <c r="Y135" s="122" t="str" cm="1">
        <f t="array" ref="Y135">_xlfn.IFS(ISNUMBER(W135)=FALSE,"Sem dado",W135&gt;0.075,"Excelente",W135&gt;0.04,"Bom",W135&gt;0,"Fraco",TRUE,"Prejuízo")</f>
        <v>Prejuízo</v>
      </c>
    </row>
    <row r="136" spans="1:25" ht="15" customHeight="1" x14ac:dyDescent="0.2">
      <c r="A136" s="15" t="s">
        <v>394</v>
      </c>
      <c r="B136" s="60">
        <v>74014747</v>
      </c>
      <c r="C136" s="15" t="s">
        <v>41</v>
      </c>
      <c r="D136" s="15" t="s">
        <v>42</v>
      </c>
      <c r="E136" s="15" t="s">
        <v>43</v>
      </c>
      <c r="F136" s="15" t="s">
        <v>98</v>
      </c>
      <c r="G136" s="34">
        <v>2</v>
      </c>
      <c r="H136" s="34">
        <v>15</v>
      </c>
      <c r="I136" s="15" t="s">
        <v>44</v>
      </c>
      <c r="J136" s="15" t="s">
        <v>39</v>
      </c>
      <c r="K136" s="74" t="s">
        <v>29</v>
      </c>
      <c r="L136" s="16">
        <v>9704670</v>
      </c>
      <c r="M136" s="16">
        <v>20275</v>
      </c>
      <c r="N136" s="16">
        <v>4092799</v>
      </c>
      <c r="O136" s="16">
        <v>5586079</v>
      </c>
      <c r="P136" s="16">
        <v>1505150</v>
      </c>
      <c r="Q136" s="16">
        <v>4118591</v>
      </c>
      <c r="R136" s="16">
        <v>246545</v>
      </c>
      <c r="S136" s="16">
        <v>2</v>
      </c>
      <c r="T136" s="16">
        <v>0</v>
      </c>
      <c r="U136" s="15" t="str">
        <f t="shared" si="8"/>
        <v>Privado Nacional</v>
      </c>
      <c r="V136" s="17">
        <f t="shared" si="9"/>
        <v>2.0892003540563461E-3</v>
      </c>
      <c r="W136" s="17">
        <f t="shared" si="10"/>
        <v>5.9861491466377703E-2</v>
      </c>
      <c r="X136" s="15" t="str">
        <f t="shared" si="11"/>
        <v>Média/Pequena</v>
      </c>
      <c r="Y136" s="121" t="str" cm="1">
        <f t="array" ref="Y136">_xlfn.IFS(ISNUMBER(W136)=FALSE,"Sem dado",W136&gt;0.075,"Excelente",W136&gt;0.04,"Bom",W136&gt;0,"Fraco",TRUE,"Prejuízo")</f>
        <v>Bom</v>
      </c>
    </row>
    <row r="137" spans="1:25" ht="15" customHeight="1" x14ac:dyDescent="0.2">
      <c r="A137" s="12" t="s">
        <v>395</v>
      </c>
      <c r="B137" s="56">
        <v>15581638</v>
      </c>
      <c r="C137" s="12" t="s">
        <v>396</v>
      </c>
      <c r="D137" s="12" t="s">
        <v>397</v>
      </c>
      <c r="E137" s="12" t="s">
        <v>397</v>
      </c>
      <c r="F137" s="12" t="s">
        <v>65</v>
      </c>
      <c r="G137" s="33">
        <v>2</v>
      </c>
      <c r="H137" s="33">
        <v>14</v>
      </c>
      <c r="I137" s="12" t="s">
        <v>73</v>
      </c>
      <c r="J137" s="12" t="s">
        <v>74</v>
      </c>
      <c r="K137" s="73" t="s">
        <v>29</v>
      </c>
      <c r="L137" s="13">
        <v>9681585</v>
      </c>
      <c r="M137" s="13">
        <v>4410744</v>
      </c>
      <c r="N137" s="13">
        <v>4265713</v>
      </c>
      <c r="O137" s="13">
        <v>8970580</v>
      </c>
      <c r="P137" s="13">
        <v>7871552</v>
      </c>
      <c r="Q137" s="13">
        <v>711005</v>
      </c>
      <c r="R137" s="13">
        <v>23910</v>
      </c>
      <c r="S137" s="13">
        <v>2</v>
      </c>
      <c r="T137" s="13">
        <v>0</v>
      </c>
      <c r="U137" s="12" t="str">
        <f t="shared" si="8"/>
        <v>Privado Nacional</v>
      </c>
      <c r="V137" s="14">
        <f t="shared" si="9"/>
        <v>0.45558077525529134</v>
      </c>
      <c r="W137" s="14">
        <f t="shared" si="10"/>
        <v>3.3628455496093557E-2</v>
      </c>
      <c r="X137" s="12" t="str">
        <f t="shared" si="11"/>
        <v>Média/Pequena</v>
      </c>
      <c r="Y137" s="122" t="str" cm="1">
        <f t="array" ref="Y137">_xlfn.IFS(ISNUMBER(W137)=FALSE,"Sem dado",W137&gt;0.075,"Excelente",W137&gt;0.04,"Bom",W137&gt;0,"Fraco",TRUE,"Prejuízo")</f>
        <v>Fraco</v>
      </c>
    </row>
    <row r="138" spans="1:25" ht="15" customHeight="1" x14ac:dyDescent="0.2">
      <c r="A138" s="15" t="s">
        <v>398</v>
      </c>
      <c r="B138" s="60">
        <v>5036532</v>
      </c>
      <c r="C138" s="15"/>
      <c r="D138" s="15"/>
      <c r="E138" s="15"/>
      <c r="F138" s="15" t="s">
        <v>199</v>
      </c>
      <c r="G138" s="34">
        <v>2</v>
      </c>
      <c r="H138" s="34">
        <v>9</v>
      </c>
      <c r="I138" s="15" t="s">
        <v>305</v>
      </c>
      <c r="J138" s="15" t="s">
        <v>229</v>
      </c>
      <c r="K138" s="74" t="s">
        <v>29</v>
      </c>
      <c r="L138" s="16">
        <v>9673655</v>
      </c>
      <c r="M138" s="16">
        <v>0</v>
      </c>
      <c r="N138" s="16">
        <v>5544270</v>
      </c>
      <c r="O138" s="16">
        <v>9170752</v>
      </c>
      <c r="P138" s="16">
        <v>12358</v>
      </c>
      <c r="Q138" s="16">
        <v>502903</v>
      </c>
      <c r="R138" s="16">
        <v>41528</v>
      </c>
      <c r="S138" s="16">
        <v>0</v>
      </c>
      <c r="T138" s="16">
        <v>0</v>
      </c>
      <c r="U138" s="15" t="str">
        <f t="shared" si="8"/>
        <v>Privado Nacional</v>
      </c>
      <c r="V138" s="17">
        <f t="shared" si="9"/>
        <v>0</v>
      </c>
      <c r="W138" s="17">
        <f t="shared" si="10"/>
        <v>8.2576560489796239E-2</v>
      </c>
      <c r="X138" s="15" t="str">
        <f t="shared" si="11"/>
        <v>Média/Pequena</v>
      </c>
      <c r="Y138" s="121" t="str" cm="1">
        <f t="array" ref="Y138">_xlfn.IFS(ISNUMBER(W138)=FALSE,"Sem dado",W138&gt;0.075,"Excelente",W138&gt;0.04,"Bom",W138&gt;0,"Fraco",TRUE,"Prejuízo")</f>
        <v>Excelente</v>
      </c>
    </row>
    <row r="139" spans="1:25" ht="15" customHeight="1" x14ac:dyDescent="0.2">
      <c r="A139" s="12" t="s">
        <v>399</v>
      </c>
      <c r="B139" s="56">
        <v>26408161</v>
      </c>
      <c r="C139" s="12"/>
      <c r="D139" s="12"/>
      <c r="E139" s="12"/>
      <c r="F139" s="12" t="s">
        <v>265</v>
      </c>
      <c r="G139" s="33">
        <v>2</v>
      </c>
      <c r="H139" s="33">
        <v>9</v>
      </c>
      <c r="I139" s="12" t="s">
        <v>400</v>
      </c>
      <c r="J139" s="12" t="s">
        <v>401</v>
      </c>
      <c r="K139" s="73" t="s">
        <v>29</v>
      </c>
      <c r="L139" s="13">
        <v>9593676</v>
      </c>
      <c r="M139" s="13">
        <v>5865696</v>
      </c>
      <c r="N139" s="13">
        <v>2635353</v>
      </c>
      <c r="O139" s="13">
        <v>8273179</v>
      </c>
      <c r="P139" s="13">
        <v>5658920</v>
      </c>
      <c r="Q139" s="13">
        <v>1320497</v>
      </c>
      <c r="R139" s="13">
        <v>-11290</v>
      </c>
      <c r="S139" s="13">
        <v>0</v>
      </c>
      <c r="T139" s="13">
        <v>63</v>
      </c>
      <c r="U139" s="12" t="str">
        <f t="shared" si="8"/>
        <v>Privado Nacional</v>
      </c>
      <c r="V139" s="14">
        <f t="shared" si="9"/>
        <v>0.61141276816102608</v>
      </c>
      <c r="W139" s="14">
        <f t="shared" si="10"/>
        <v>-8.5498111695823612E-3</v>
      </c>
      <c r="X139" s="12" t="str">
        <f t="shared" si="11"/>
        <v>Média/Pequena</v>
      </c>
      <c r="Y139" s="122" t="str" cm="1">
        <f t="array" ref="Y139">_xlfn.IFS(ISNUMBER(W139)=FALSE,"Sem dado",W139&gt;0.075,"Excelente",W139&gt;0.04,"Bom",W139&gt;0,"Fraco",TRUE,"Prejuízo")</f>
        <v>Prejuízo</v>
      </c>
    </row>
    <row r="140" spans="1:25" ht="15" customHeight="1" x14ac:dyDescent="0.2">
      <c r="A140" s="15" t="s">
        <v>402</v>
      </c>
      <c r="B140" s="60">
        <v>33416108</v>
      </c>
      <c r="C140" s="15"/>
      <c r="D140" s="15"/>
      <c r="E140" s="15"/>
      <c r="F140" s="15" t="s">
        <v>199</v>
      </c>
      <c r="G140" s="34">
        <v>2</v>
      </c>
      <c r="H140" s="34">
        <v>9</v>
      </c>
      <c r="I140" s="15" t="s">
        <v>388</v>
      </c>
      <c r="J140" s="15" t="s">
        <v>389</v>
      </c>
      <c r="K140" s="74" t="s">
        <v>29</v>
      </c>
      <c r="L140" s="16">
        <v>9398098</v>
      </c>
      <c r="M140" s="16">
        <v>84757</v>
      </c>
      <c r="N140" s="16">
        <v>5085412</v>
      </c>
      <c r="O140" s="16">
        <v>8589182</v>
      </c>
      <c r="P140" s="16">
        <v>0</v>
      </c>
      <c r="Q140" s="16">
        <v>808917</v>
      </c>
      <c r="R140" s="16">
        <v>38272</v>
      </c>
      <c r="S140" s="16">
        <v>0</v>
      </c>
      <c r="T140" s="16">
        <v>1</v>
      </c>
      <c r="U140" s="15" t="str">
        <f t="shared" si="8"/>
        <v>Privado Nacional</v>
      </c>
      <c r="V140" s="17">
        <f t="shared" si="9"/>
        <v>9.018526940238334E-3</v>
      </c>
      <c r="W140" s="17">
        <f t="shared" si="10"/>
        <v>4.7312641470014849E-2</v>
      </c>
      <c r="X140" s="15" t="str">
        <f t="shared" si="11"/>
        <v>Média/Pequena</v>
      </c>
      <c r="Y140" s="121" t="str" cm="1">
        <f t="array" ref="Y140">_xlfn.IFS(ISNUMBER(W140)=FALSE,"Sem dado",W140&gt;0.075,"Excelente",W140&gt;0.04,"Bom",W140&gt;0,"Fraco",TRUE,"Prejuízo")</f>
        <v>Bom</v>
      </c>
    </row>
    <row r="141" spans="1:25" ht="15" customHeight="1" x14ac:dyDescent="0.2">
      <c r="A141" s="12" t="s">
        <v>403</v>
      </c>
      <c r="B141" s="56">
        <v>24654881</v>
      </c>
      <c r="C141" s="12"/>
      <c r="D141" s="12"/>
      <c r="E141" s="12"/>
      <c r="F141" s="12" t="s">
        <v>265</v>
      </c>
      <c r="G141" s="33">
        <v>2</v>
      </c>
      <c r="H141" s="33">
        <v>9</v>
      </c>
      <c r="I141" s="12" t="s">
        <v>404</v>
      </c>
      <c r="J141" s="12" t="s">
        <v>401</v>
      </c>
      <c r="K141" s="73" t="s">
        <v>29</v>
      </c>
      <c r="L141" s="13">
        <v>9392669</v>
      </c>
      <c r="M141" s="13">
        <v>5390917</v>
      </c>
      <c r="N141" s="13">
        <v>2877767</v>
      </c>
      <c r="O141" s="13">
        <v>8364627</v>
      </c>
      <c r="P141" s="13">
        <v>5024687</v>
      </c>
      <c r="Q141" s="13">
        <v>1028042</v>
      </c>
      <c r="R141" s="13">
        <v>47445</v>
      </c>
      <c r="S141" s="13">
        <v>0</v>
      </c>
      <c r="T141" s="13">
        <v>60</v>
      </c>
      <c r="U141" s="12" t="str">
        <f t="shared" si="8"/>
        <v>Privado Nacional</v>
      </c>
      <c r="V141" s="14">
        <f t="shared" si="9"/>
        <v>0.57394942800603321</v>
      </c>
      <c r="W141" s="14">
        <f t="shared" si="10"/>
        <v>4.615083819532665E-2</v>
      </c>
      <c r="X141" s="12" t="str">
        <f t="shared" si="11"/>
        <v>Média/Pequena</v>
      </c>
      <c r="Y141" s="122" t="str" cm="1">
        <f t="array" ref="Y141">_xlfn.IFS(ISNUMBER(W141)=FALSE,"Sem dado",W141&gt;0.075,"Excelente",W141&gt;0.04,"Bom",W141&gt;0,"Fraco",TRUE,"Prejuízo")</f>
        <v>Bom</v>
      </c>
    </row>
    <row r="142" spans="1:25" ht="15" customHeight="1" x14ac:dyDescent="0.2">
      <c r="A142" s="15" t="s">
        <v>405</v>
      </c>
      <c r="B142" s="60">
        <v>71027866</v>
      </c>
      <c r="C142" s="15" t="s">
        <v>406</v>
      </c>
      <c r="D142" s="15"/>
      <c r="E142" s="15" t="s">
        <v>407</v>
      </c>
      <c r="F142" s="15" t="s">
        <v>26</v>
      </c>
      <c r="G142" s="34">
        <v>2</v>
      </c>
      <c r="H142" s="34">
        <v>8</v>
      </c>
      <c r="I142" s="15" t="s">
        <v>119</v>
      </c>
      <c r="J142" s="15" t="s">
        <v>120</v>
      </c>
      <c r="K142" s="74" t="s">
        <v>29</v>
      </c>
      <c r="L142" s="16">
        <v>9319011</v>
      </c>
      <c r="M142" s="16">
        <v>2346761</v>
      </c>
      <c r="N142" s="16">
        <v>2833063</v>
      </c>
      <c r="O142" s="16">
        <v>8281145</v>
      </c>
      <c r="P142" s="16">
        <v>7678118</v>
      </c>
      <c r="Q142" s="16">
        <v>1037866</v>
      </c>
      <c r="R142" s="16">
        <v>46735</v>
      </c>
      <c r="S142" s="16">
        <v>3</v>
      </c>
      <c r="T142" s="16">
        <v>0</v>
      </c>
      <c r="U142" s="15" t="str">
        <f t="shared" si="8"/>
        <v>Privado Nacional</v>
      </c>
      <c r="V142" s="17">
        <f t="shared" si="9"/>
        <v>0.25182511320139017</v>
      </c>
      <c r="W142" s="17">
        <f t="shared" si="10"/>
        <v>4.5029897886625057E-2</v>
      </c>
      <c r="X142" s="15" t="str">
        <f t="shared" si="11"/>
        <v>Média/Pequena</v>
      </c>
      <c r="Y142" s="121" t="str" cm="1">
        <f t="array" ref="Y142">_xlfn.IFS(ISNUMBER(W142)=FALSE,"Sem dado",W142&gt;0.075,"Excelente",W142&gt;0.04,"Bom",W142&gt;0,"Fraco",TRUE,"Prejuízo")</f>
        <v>Bom</v>
      </c>
    </row>
    <row r="143" spans="1:25" ht="15" customHeight="1" x14ac:dyDescent="0.2">
      <c r="A143" s="12" t="s">
        <v>408</v>
      </c>
      <c r="B143" s="56">
        <v>6881898</v>
      </c>
      <c r="C143" s="12" t="s">
        <v>35</v>
      </c>
      <c r="D143" s="12" t="s">
        <v>36</v>
      </c>
      <c r="E143" s="12" t="s">
        <v>37</v>
      </c>
      <c r="F143" s="12" t="s">
        <v>65</v>
      </c>
      <c r="G143" s="33">
        <v>2</v>
      </c>
      <c r="H143" s="33">
        <v>14</v>
      </c>
      <c r="I143" s="12" t="s">
        <v>38</v>
      </c>
      <c r="J143" s="12" t="s">
        <v>39</v>
      </c>
      <c r="K143" s="73" t="s">
        <v>29</v>
      </c>
      <c r="L143" s="13">
        <v>9136786</v>
      </c>
      <c r="M143" s="13">
        <v>7857621</v>
      </c>
      <c r="N143" s="13">
        <v>18587</v>
      </c>
      <c r="O143" s="13">
        <v>7707169</v>
      </c>
      <c r="P143" s="13">
        <v>586759</v>
      </c>
      <c r="Q143" s="13">
        <v>1429617</v>
      </c>
      <c r="R143" s="13">
        <v>212065</v>
      </c>
      <c r="S143" s="13">
        <v>2</v>
      </c>
      <c r="T143" s="13">
        <v>0</v>
      </c>
      <c r="U143" s="12" t="str">
        <f t="shared" si="8"/>
        <v>Privado Nacional</v>
      </c>
      <c r="V143" s="14">
        <f t="shared" si="9"/>
        <v>0.85999836266275687</v>
      </c>
      <c r="W143" s="14">
        <f t="shared" si="10"/>
        <v>0.14833693219932331</v>
      </c>
      <c r="X143" s="12" t="str">
        <f t="shared" si="11"/>
        <v>Média/Pequena</v>
      </c>
      <c r="Y143" s="122" t="str" cm="1">
        <f t="array" ref="Y143">_xlfn.IFS(ISNUMBER(W143)=FALSE,"Sem dado",W143&gt;0.075,"Excelente",W143&gt;0.04,"Bom",W143&gt;0,"Fraco",TRUE,"Prejuízo")</f>
        <v>Excelente</v>
      </c>
    </row>
    <row r="144" spans="1:25" ht="15" customHeight="1" x14ac:dyDescent="0.2">
      <c r="A144" s="15" t="s">
        <v>409</v>
      </c>
      <c r="B144" s="60">
        <v>60518222</v>
      </c>
      <c r="C144" s="15" t="s">
        <v>410</v>
      </c>
      <c r="D144" s="15"/>
      <c r="E144" s="15" t="s">
        <v>411</v>
      </c>
      <c r="F144" s="15" t="s">
        <v>26</v>
      </c>
      <c r="G144" s="34">
        <v>3</v>
      </c>
      <c r="H144" s="34">
        <v>8</v>
      </c>
      <c r="I144" s="15" t="s">
        <v>38</v>
      </c>
      <c r="J144" s="15" t="s">
        <v>39</v>
      </c>
      <c r="K144" s="74" t="s">
        <v>29</v>
      </c>
      <c r="L144" s="16">
        <v>9128133</v>
      </c>
      <c r="M144" s="16">
        <v>1808271</v>
      </c>
      <c r="N144" s="16">
        <v>3225298</v>
      </c>
      <c r="O144" s="16">
        <v>7153636</v>
      </c>
      <c r="P144" s="16">
        <v>6030391</v>
      </c>
      <c r="Q144" s="16">
        <v>1974496</v>
      </c>
      <c r="R144" s="16">
        <v>23588</v>
      </c>
      <c r="S144" s="16">
        <v>2</v>
      </c>
      <c r="T144" s="16">
        <v>0</v>
      </c>
      <c r="U144" s="15" t="str">
        <f t="shared" si="8"/>
        <v>Privado Estrangeiro</v>
      </c>
      <c r="V144" s="17">
        <f t="shared" si="9"/>
        <v>0.19809866924594546</v>
      </c>
      <c r="W144" s="17">
        <f t="shared" si="10"/>
        <v>1.194633972416252E-2</v>
      </c>
      <c r="X144" s="15" t="str">
        <f t="shared" si="11"/>
        <v>Média/Pequena</v>
      </c>
      <c r="Y144" s="121" t="str" cm="1">
        <f t="array" ref="Y144">_xlfn.IFS(ISNUMBER(W144)=FALSE,"Sem dado",W144&gt;0.075,"Excelente",W144&gt;0.04,"Bom",W144&gt;0,"Fraco",TRUE,"Prejuízo")</f>
        <v>Fraco</v>
      </c>
    </row>
    <row r="145" spans="1:25" ht="15" customHeight="1" x14ac:dyDescent="0.2">
      <c r="A145" s="12" t="s">
        <v>412</v>
      </c>
      <c r="B145" s="56">
        <v>4243780</v>
      </c>
      <c r="C145" s="12"/>
      <c r="D145" s="12"/>
      <c r="E145" s="12"/>
      <c r="F145" s="12" t="s">
        <v>199</v>
      </c>
      <c r="G145" s="33">
        <v>2</v>
      </c>
      <c r="H145" s="33">
        <v>9</v>
      </c>
      <c r="I145" s="12" t="s">
        <v>388</v>
      </c>
      <c r="J145" s="12" t="s">
        <v>389</v>
      </c>
      <c r="K145" s="73" t="s">
        <v>29</v>
      </c>
      <c r="L145" s="13">
        <v>8966357</v>
      </c>
      <c r="M145" s="13">
        <v>171308</v>
      </c>
      <c r="N145" s="13">
        <v>2121755</v>
      </c>
      <c r="O145" s="13">
        <v>8604194</v>
      </c>
      <c r="P145" s="13">
        <v>6119</v>
      </c>
      <c r="Q145" s="13">
        <v>362163</v>
      </c>
      <c r="R145" s="13">
        <v>28640</v>
      </c>
      <c r="S145" s="13">
        <v>0</v>
      </c>
      <c r="T145" s="13">
        <v>0</v>
      </c>
      <c r="U145" s="12" t="str">
        <f t="shared" si="8"/>
        <v>Privado Nacional</v>
      </c>
      <c r="V145" s="14">
        <f t="shared" si="9"/>
        <v>1.9105641231996449E-2</v>
      </c>
      <c r="W145" s="14">
        <f t="shared" si="10"/>
        <v>7.9080414067698793E-2</v>
      </c>
      <c r="X145" s="12" t="str">
        <f t="shared" si="11"/>
        <v>Média/Pequena</v>
      </c>
      <c r="Y145" s="122" t="str" cm="1">
        <f t="array" ref="Y145">_xlfn.IFS(ISNUMBER(W145)=FALSE,"Sem dado",W145&gt;0.075,"Excelente",W145&gt;0.04,"Bom",W145&gt;0,"Fraco",TRUE,"Prejuízo")</f>
        <v>Excelente</v>
      </c>
    </row>
    <row r="146" spans="1:25" ht="15" customHeight="1" x14ac:dyDescent="0.2">
      <c r="A146" s="15" t="s">
        <v>413</v>
      </c>
      <c r="B146" s="60">
        <v>87780268</v>
      </c>
      <c r="C146" s="15"/>
      <c r="D146" s="15"/>
      <c r="E146" s="15"/>
      <c r="F146" s="15" t="s">
        <v>265</v>
      </c>
      <c r="G146" s="34">
        <v>2</v>
      </c>
      <c r="H146" s="34">
        <v>9</v>
      </c>
      <c r="I146" s="15" t="s">
        <v>414</v>
      </c>
      <c r="J146" s="15" t="s">
        <v>74</v>
      </c>
      <c r="K146" s="74" t="s">
        <v>29</v>
      </c>
      <c r="L146" s="16">
        <v>8886240</v>
      </c>
      <c r="M146" s="16">
        <v>4355200</v>
      </c>
      <c r="N146" s="16">
        <v>3695086</v>
      </c>
      <c r="O146" s="16">
        <v>7904884</v>
      </c>
      <c r="P146" s="16">
        <v>5826637</v>
      </c>
      <c r="Q146" s="16">
        <v>981357</v>
      </c>
      <c r="R146" s="16">
        <v>72764</v>
      </c>
      <c r="S146" s="16">
        <v>0</v>
      </c>
      <c r="T146" s="16">
        <v>71</v>
      </c>
      <c r="U146" s="15" t="str">
        <f t="shared" si="8"/>
        <v>Privado Nacional</v>
      </c>
      <c r="V146" s="17">
        <f t="shared" si="9"/>
        <v>0.49010605160337778</v>
      </c>
      <c r="W146" s="17">
        <f t="shared" si="10"/>
        <v>7.4146309650820239E-2</v>
      </c>
      <c r="X146" s="15" t="str">
        <f t="shared" si="11"/>
        <v>Média/Pequena</v>
      </c>
      <c r="Y146" s="121" t="str" cm="1">
        <f t="array" ref="Y146">_xlfn.IFS(ISNUMBER(W146)=FALSE,"Sem dado",W146&gt;0.075,"Excelente",W146&gt;0.04,"Bom",W146&gt;0,"Fraco",TRUE,"Prejuízo")</f>
        <v>Bom</v>
      </c>
    </row>
    <row r="147" spans="1:25" ht="15" customHeight="1" x14ac:dyDescent="0.2">
      <c r="A147" s="12" t="s">
        <v>415</v>
      </c>
      <c r="B147" s="56">
        <v>26555235</v>
      </c>
      <c r="C147" s="12"/>
      <c r="D147" s="12"/>
      <c r="E147" s="12"/>
      <c r="F147" s="12" t="s">
        <v>265</v>
      </c>
      <c r="G147" s="33">
        <v>2</v>
      </c>
      <c r="H147" s="33">
        <v>9</v>
      </c>
      <c r="I147" s="12" t="s">
        <v>416</v>
      </c>
      <c r="J147" s="12" t="s">
        <v>329</v>
      </c>
      <c r="K147" s="73" t="s">
        <v>29</v>
      </c>
      <c r="L147" s="13">
        <v>8289955</v>
      </c>
      <c r="M147" s="13">
        <v>3047856</v>
      </c>
      <c r="N147" s="13">
        <v>4535970</v>
      </c>
      <c r="O147" s="13">
        <v>6987568</v>
      </c>
      <c r="P147" s="13">
        <v>5025327</v>
      </c>
      <c r="Q147" s="13">
        <v>1302387</v>
      </c>
      <c r="R147" s="13">
        <v>128269</v>
      </c>
      <c r="S147" s="13">
        <v>0</v>
      </c>
      <c r="T147" s="13">
        <v>23</v>
      </c>
      <c r="U147" s="12" t="str">
        <f t="shared" si="8"/>
        <v>Privado Nacional</v>
      </c>
      <c r="V147" s="14">
        <f t="shared" si="9"/>
        <v>0.36765651924527937</v>
      </c>
      <c r="W147" s="14">
        <f t="shared" si="10"/>
        <v>9.848762311048867E-2</v>
      </c>
      <c r="X147" s="12" t="str">
        <f t="shared" si="11"/>
        <v>Média/Pequena</v>
      </c>
      <c r="Y147" s="122" t="str" cm="1">
        <f t="array" ref="Y147">_xlfn.IFS(ISNUMBER(W147)=FALSE,"Sem dado",W147&gt;0.075,"Excelente",W147&gt;0.04,"Bom",W147&gt;0,"Fraco",TRUE,"Prejuízo")</f>
        <v>Excelente</v>
      </c>
    </row>
    <row r="148" spans="1:25" ht="15" customHeight="1" x14ac:dyDescent="0.2">
      <c r="A148" s="15" t="s">
        <v>417</v>
      </c>
      <c r="B148" s="60">
        <v>28517628</v>
      </c>
      <c r="C148" s="15" t="s">
        <v>418</v>
      </c>
      <c r="D148" s="15"/>
      <c r="E148" s="15" t="s">
        <v>419</v>
      </c>
      <c r="F148" s="15" t="s">
        <v>60</v>
      </c>
      <c r="G148" s="34">
        <v>3</v>
      </c>
      <c r="H148" s="34">
        <v>8</v>
      </c>
      <c r="I148" s="15" t="s">
        <v>336</v>
      </c>
      <c r="J148" s="15" t="s">
        <v>229</v>
      </c>
      <c r="K148" s="74" t="s">
        <v>29</v>
      </c>
      <c r="L148" s="16">
        <v>8264224</v>
      </c>
      <c r="M148" s="16">
        <v>7613096</v>
      </c>
      <c r="N148" s="16">
        <v>0</v>
      </c>
      <c r="O148" s="16">
        <v>5386785</v>
      </c>
      <c r="P148" s="16">
        <v>5155575</v>
      </c>
      <c r="Q148" s="16">
        <v>2877439</v>
      </c>
      <c r="R148" s="16">
        <v>34966</v>
      </c>
      <c r="S148" s="16">
        <v>2</v>
      </c>
      <c r="T148" s="16">
        <v>0</v>
      </c>
      <c r="U148" s="15" t="str">
        <f t="shared" si="8"/>
        <v>Privado Estrangeiro</v>
      </c>
      <c r="V148" s="17">
        <f t="shared" si="9"/>
        <v>0.92121123531985583</v>
      </c>
      <c r="W148" s="17">
        <f t="shared" si="10"/>
        <v>1.2151778022053639E-2</v>
      </c>
      <c r="X148" s="15" t="str">
        <f t="shared" si="11"/>
        <v>Média/Pequena</v>
      </c>
      <c r="Y148" s="121" t="str" cm="1">
        <f t="array" ref="Y148">_xlfn.IFS(ISNUMBER(W148)=FALSE,"Sem dado",W148&gt;0.075,"Excelente",W148&gt;0.04,"Bom",W148&gt;0,"Fraco",TRUE,"Prejuízo")</f>
        <v>Fraco</v>
      </c>
    </row>
    <row r="149" spans="1:25" ht="15" customHeight="1" x14ac:dyDescent="0.2">
      <c r="A149" s="12" t="s">
        <v>420</v>
      </c>
      <c r="B149" s="56">
        <v>61533584</v>
      </c>
      <c r="C149" s="12" t="s">
        <v>421</v>
      </c>
      <c r="D149" s="12"/>
      <c r="E149" s="12" t="s">
        <v>422</v>
      </c>
      <c r="F149" s="12" t="s">
        <v>26</v>
      </c>
      <c r="G149" s="33">
        <v>3</v>
      </c>
      <c r="H149" s="33">
        <v>8</v>
      </c>
      <c r="I149" s="12" t="s">
        <v>38</v>
      </c>
      <c r="J149" s="12" t="s">
        <v>39</v>
      </c>
      <c r="K149" s="73" t="s">
        <v>29</v>
      </c>
      <c r="L149" s="13">
        <v>8109928</v>
      </c>
      <c r="M149" s="13">
        <v>124566</v>
      </c>
      <c r="N149" s="13">
        <v>1208503</v>
      </c>
      <c r="O149" s="13">
        <v>6356540</v>
      </c>
      <c r="P149" s="13">
        <v>3232439</v>
      </c>
      <c r="Q149" s="13">
        <v>1753388</v>
      </c>
      <c r="R149" s="13">
        <v>59340</v>
      </c>
      <c r="S149" s="13">
        <v>2</v>
      </c>
      <c r="T149" s="13">
        <v>0</v>
      </c>
      <c r="U149" s="12" t="str">
        <f t="shared" si="8"/>
        <v>Privado Estrangeiro</v>
      </c>
      <c r="V149" s="14">
        <f t="shared" si="9"/>
        <v>1.5359692465827071E-2</v>
      </c>
      <c r="W149" s="14">
        <f t="shared" si="10"/>
        <v>3.3843051281290851E-2</v>
      </c>
      <c r="X149" s="12" t="str">
        <f t="shared" si="11"/>
        <v>Média/Pequena</v>
      </c>
      <c r="Y149" s="122" t="str" cm="1">
        <f t="array" ref="Y149">_xlfn.IFS(ISNUMBER(W149)=FALSE,"Sem dado",W149&gt;0.075,"Excelente",W149&gt;0.04,"Bom",W149&gt;0,"Fraco",TRUE,"Prejuízo")</f>
        <v>Fraco</v>
      </c>
    </row>
    <row r="150" spans="1:25" ht="15" customHeight="1" x14ac:dyDescent="0.2">
      <c r="A150" s="15" t="s">
        <v>423</v>
      </c>
      <c r="B150" s="60">
        <v>31895683</v>
      </c>
      <c r="C150" s="15" t="s">
        <v>424</v>
      </c>
      <c r="D150" s="15" t="s">
        <v>425</v>
      </c>
      <c r="E150" s="15" t="s">
        <v>426</v>
      </c>
      <c r="F150" s="15" t="s">
        <v>26</v>
      </c>
      <c r="G150" s="34">
        <v>2</v>
      </c>
      <c r="H150" s="34">
        <v>8</v>
      </c>
      <c r="I150" s="15" t="s">
        <v>38</v>
      </c>
      <c r="J150" s="15" t="s">
        <v>39</v>
      </c>
      <c r="K150" s="74" t="s">
        <v>29</v>
      </c>
      <c r="L150" s="16">
        <v>8063936</v>
      </c>
      <c r="M150" s="16">
        <v>5541831</v>
      </c>
      <c r="N150" s="16">
        <v>1074834</v>
      </c>
      <c r="O150" s="16">
        <v>7312160</v>
      </c>
      <c r="P150" s="16">
        <v>6216121</v>
      </c>
      <c r="Q150" s="16">
        <v>751776</v>
      </c>
      <c r="R150" s="16">
        <v>44746</v>
      </c>
      <c r="S150" s="16">
        <v>11</v>
      </c>
      <c r="T150" s="16">
        <v>0</v>
      </c>
      <c r="U150" s="15" t="str">
        <f t="shared" si="8"/>
        <v>Privado Nacional</v>
      </c>
      <c r="V150" s="17">
        <f t="shared" si="9"/>
        <v>0.68723648104350032</v>
      </c>
      <c r="W150" s="17">
        <f t="shared" si="10"/>
        <v>5.9520389052058059E-2</v>
      </c>
      <c r="X150" s="15" t="str">
        <f t="shared" si="11"/>
        <v>Média/Pequena</v>
      </c>
      <c r="Y150" s="121" t="str" cm="1">
        <f t="array" ref="Y150">_xlfn.IFS(ISNUMBER(W150)=FALSE,"Sem dado",W150&gt;0.075,"Excelente",W150&gt;0.04,"Bom",W150&gt;0,"Fraco",TRUE,"Prejuízo")</f>
        <v>Bom</v>
      </c>
    </row>
    <row r="151" spans="1:25" ht="15" customHeight="1" x14ac:dyDescent="0.2">
      <c r="A151" s="12" t="s">
        <v>427</v>
      </c>
      <c r="B151" s="56">
        <v>81607046</v>
      </c>
      <c r="C151" s="12"/>
      <c r="D151" s="12"/>
      <c r="E151" s="12"/>
      <c r="F151" s="12" t="s">
        <v>265</v>
      </c>
      <c r="G151" s="33">
        <v>2</v>
      </c>
      <c r="H151" s="33">
        <v>9</v>
      </c>
      <c r="I151" s="12" t="s">
        <v>428</v>
      </c>
      <c r="J151" s="12" t="s">
        <v>217</v>
      </c>
      <c r="K151" s="73" t="s">
        <v>29</v>
      </c>
      <c r="L151" s="13">
        <v>8012202</v>
      </c>
      <c r="M151" s="13">
        <v>4669445</v>
      </c>
      <c r="N151" s="13">
        <v>102063</v>
      </c>
      <c r="O151" s="13">
        <v>7136735</v>
      </c>
      <c r="P151" s="13">
        <v>5737237</v>
      </c>
      <c r="Q151" s="13">
        <v>875466</v>
      </c>
      <c r="R151" s="13">
        <v>90156</v>
      </c>
      <c r="S151" s="13">
        <v>0</v>
      </c>
      <c r="T151" s="13">
        <v>67</v>
      </c>
      <c r="U151" s="12" t="str">
        <f t="shared" si="8"/>
        <v>Privado Nacional</v>
      </c>
      <c r="V151" s="14">
        <f t="shared" si="9"/>
        <v>0.58279172192613216</v>
      </c>
      <c r="W151" s="14">
        <f t="shared" si="10"/>
        <v>0.10298058405466345</v>
      </c>
      <c r="X151" s="12" t="str">
        <f t="shared" si="11"/>
        <v>Média/Pequena</v>
      </c>
      <c r="Y151" s="122" t="str" cm="1">
        <f t="array" ref="Y151">_xlfn.IFS(ISNUMBER(W151)=FALSE,"Sem dado",W151&gt;0.075,"Excelente",W151&gt;0.04,"Bom",W151&gt;0,"Fraco",TRUE,"Prejuízo")</f>
        <v>Excelente</v>
      </c>
    </row>
    <row r="152" spans="1:25" ht="15" customHeight="1" x14ac:dyDescent="0.2">
      <c r="A152" s="15" t="s">
        <v>429</v>
      </c>
      <c r="B152" s="60">
        <v>30172491</v>
      </c>
      <c r="C152" s="15" t="s">
        <v>46</v>
      </c>
      <c r="D152" s="15" t="s">
        <v>47</v>
      </c>
      <c r="E152" s="15" t="s">
        <v>48</v>
      </c>
      <c r="F152" s="15" t="s">
        <v>60</v>
      </c>
      <c r="G152" s="34">
        <v>3</v>
      </c>
      <c r="H152" s="34">
        <v>8</v>
      </c>
      <c r="I152" s="15" t="s">
        <v>38</v>
      </c>
      <c r="J152" s="15" t="s">
        <v>39</v>
      </c>
      <c r="K152" s="74" t="s">
        <v>29</v>
      </c>
      <c r="L152" s="16">
        <v>7931312</v>
      </c>
      <c r="M152" s="16">
        <v>5280962</v>
      </c>
      <c r="N152" s="16">
        <v>2185139</v>
      </c>
      <c r="O152" s="16">
        <v>7046260</v>
      </c>
      <c r="P152" s="16">
        <v>6955519</v>
      </c>
      <c r="Q152" s="16">
        <v>885052</v>
      </c>
      <c r="R152" s="16">
        <v>97635</v>
      </c>
      <c r="S152" s="16">
        <v>2</v>
      </c>
      <c r="T152" s="16">
        <v>0</v>
      </c>
      <c r="U152" s="15" t="str">
        <f t="shared" si="8"/>
        <v>Privado Estrangeiro</v>
      </c>
      <c r="V152" s="17">
        <f t="shared" si="9"/>
        <v>0.66583712757737934</v>
      </c>
      <c r="W152" s="17">
        <f t="shared" si="10"/>
        <v>0.11031555208055571</v>
      </c>
      <c r="X152" s="15" t="str">
        <f t="shared" si="11"/>
        <v>Média/Pequena</v>
      </c>
      <c r="Y152" s="121" t="str" cm="1">
        <f t="array" ref="Y152">_xlfn.IFS(ISNUMBER(W152)=FALSE,"Sem dado",W152&gt;0.075,"Excelente",W152&gt;0.04,"Bom",W152&gt;0,"Fraco",TRUE,"Prejuízo")</f>
        <v>Excelente</v>
      </c>
    </row>
    <row r="153" spans="1:25" ht="15" customHeight="1" x14ac:dyDescent="0.2">
      <c r="A153" s="12" t="s">
        <v>430</v>
      </c>
      <c r="B153" s="56">
        <v>3632872</v>
      </c>
      <c r="C153" s="12"/>
      <c r="D153" s="12"/>
      <c r="E153" s="12"/>
      <c r="F153" s="12" t="s">
        <v>265</v>
      </c>
      <c r="G153" s="33">
        <v>2</v>
      </c>
      <c r="H153" s="33">
        <v>9</v>
      </c>
      <c r="I153" s="12" t="s">
        <v>431</v>
      </c>
      <c r="J153" s="12" t="s">
        <v>432</v>
      </c>
      <c r="K153" s="73" t="s">
        <v>29</v>
      </c>
      <c r="L153" s="13">
        <v>7797398</v>
      </c>
      <c r="M153" s="13">
        <v>4894374</v>
      </c>
      <c r="N153" s="13">
        <v>128024</v>
      </c>
      <c r="O153" s="13">
        <v>6463112</v>
      </c>
      <c r="P153" s="13">
        <v>5469313</v>
      </c>
      <c r="Q153" s="13">
        <v>1334286</v>
      </c>
      <c r="R153" s="13">
        <v>102132</v>
      </c>
      <c r="S153" s="13">
        <v>0</v>
      </c>
      <c r="T153" s="13">
        <v>47</v>
      </c>
      <c r="U153" s="12" t="str">
        <f t="shared" si="8"/>
        <v>Privado Nacional</v>
      </c>
      <c r="V153" s="14">
        <f t="shared" si="9"/>
        <v>0.62769323818022371</v>
      </c>
      <c r="W153" s="14">
        <f t="shared" si="10"/>
        <v>7.6544309091154367E-2</v>
      </c>
      <c r="X153" s="12" t="str">
        <f t="shared" si="11"/>
        <v>Média/Pequena</v>
      </c>
      <c r="Y153" s="122" t="str" cm="1">
        <f t="array" ref="Y153">_xlfn.IFS(ISNUMBER(W153)=FALSE,"Sem dado",W153&gt;0.075,"Excelente",W153&gt;0.04,"Bom",W153&gt;0,"Fraco",TRUE,"Prejuízo")</f>
        <v>Excelente</v>
      </c>
    </row>
    <row r="154" spans="1:25" ht="15" customHeight="1" x14ac:dyDescent="0.2">
      <c r="A154" s="15" t="s">
        <v>433</v>
      </c>
      <c r="B154" s="60">
        <v>815319</v>
      </c>
      <c r="C154" s="15"/>
      <c r="D154" s="15"/>
      <c r="E154" s="15"/>
      <c r="F154" s="15" t="s">
        <v>265</v>
      </c>
      <c r="G154" s="34">
        <v>2</v>
      </c>
      <c r="H154" s="34">
        <v>9</v>
      </c>
      <c r="I154" s="15" t="s">
        <v>434</v>
      </c>
      <c r="J154" s="15" t="s">
        <v>183</v>
      </c>
      <c r="K154" s="74" t="s">
        <v>29</v>
      </c>
      <c r="L154" s="16">
        <v>7709142</v>
      </c>
      <c r="M154" s="16">
        <v>4734025</v>
      </c>
      <c r="N154" s="16">
        <v>679880</v>
      </c>
      <c r="O154" s="16">
        <v>6376913</v>
      </c>
      <c r="P154" s="16">
        <v>5798229</v>
      </c>
      <c r="Q154" s="16">
        <v>1332229</v>
      </c>
      <c r="R154" s="16">
        <v>160941</v>
      </c>
      <c r="S154" s="16">
        <v>0</v>
      </c>
      <c r="T154" s="16">
        <v>43</v>
      </c>
      <c r="U154" s="15" t="str">
        <f t="shared" si="8"/>
        <v>Privado Nacional</v>
      </c>
      <c r="V154" s="17">
        <f t="shared" si="9"/>
        <v>0.6140793618797008</v>
      </c>
      <c r="W154" s="17">
        <f t="shared" si="10"/>
        <v>0.12080580740998732</v>
      </c>
      <c r="X154" s="15" t="str">
        <f t="shared" si="11"/>
        <v>Média/Pequena</v>
      </c>
      <c r="Y154" s="121" t="str" cm="1">
        <f t="array" ref="Y154">_xlfn.IFS(ISNUMBER(W154)=FALSE,"Sem dado",W154&gt;0.075,"Excelente",W154&gt;0.04,"Bom",W154&gt;0,"Fraco",TRUE,"Prejuízo")</f>
        <v>Excelente</v>
      </c>
    </row>
    <row r="155" spans="1:25" ht="15" customHeight="1" x14ac:dyDescent="0.2">
      <c r="A155" s="12" t="s">
        <v>435</v>
      </c>
      <c r="B155" s="56">
        <v>10398952</v>
      </c>
      <c r="C155" s="12"/>
      <c r="D155" s="12"/>
      <c r="E155" s="12"/>
      <c r="F155" s="12" t="s">
        <v>199</v>
      </c>
      <c r="G155" s="33">
        <v>2</v>
      </c>
      <c r="H155" s="33">
        <v>9</v>
      </c>
      <c r="I155" s="12" t="s">
        <v>278</v>
      </c>
      <c r="J155" s="12" t="s">
        <v>229</v>
      </c>
      <c r="K155" s="73" t="s">
        <v>29</v>
      </c>
      <c r="L155" s="13">
        <v>7667718</v>
      </c>
      <c r="M155" s="13">
        <v>0</v>
      </c>
      <c r="N155" s="13">
        <v>2296079</v>
      </c>
      <c r="O155" s="13">
        <v>7451784</v>
      </c>
      <c r="P155" s="13">
        <v>1109082</v>
      </c>
      <c r="Q155" s="13">
        <v>215934</v>
      </c>
      <c r="R155" s="13">
        <v>18575</v>
      </c>
      <c r="S155" s="13">
        <v>0</v>
      </c>
      <c r="T155" s="13">
        <v>0</v>
      </c>
      <c r="U155" s="12" t="str">
        <f t="shared" si="8"/>
        <v>Privado Nacional</v>
      </c>
      <c r="V155" s="14">
        <f t="shared" si="9"/>
        <v>0</v>
      </c>
      <c r="W155" s="14">
        <f t="shared" si="10"/>
        <v>8.6021654764881855E-2</v>
      </c>
      <c r="X155" s="12" t="str">
        <f t="shared" si="11"/>
        <v>Média/Pequena</v>
      </c>
      <c r="Y155" s="122" t="str" cm="1">
        <f t="array" ref="Y155">_xlfn.IFS(ISNUMBER(W155)=FALSE,"Sem dado",W155&gt;0.075,"Excelente",W155&gt;0.04,"Bom",W155&gt;0,"Fraco",TRUE,"Prejuízo")</f>
        <v>Excelente</v>
      </c>
    </row>
    <row r="156" spans="1:25" ht="15" customHeight="1" x14ac:dyDescent="0.2">
      <c r="A156" s="15" t="s">
        <v>436</v>
      </c>
      <c r="B156" s="60">
        <v>11285104</v>
      </c>
      <c r="C156" s="15" t="s">
        <v>437</v>
      </c>
      <c r="D156" s="15" t="s">
        <v>438</v>
      </c>
      <c r="E156" s="15" t="s">
        <v>439</v>
      </c>
      <c r="F156" s="15" t="s">
        <v>65</v>
      </c>
      <c r="G156" s="34">
        <v>2</v>
      </c>
      <c r="H156" s="34">
        <v>14</v>
      </c>
      <c r="I156" s="15" t="s">
        <v>38</v>
      </c>
      <c r="J156" s="15" t="s">
        <v>39</v>
      </c>
      <c r="K156" s="74" t="s">
        <v>29</v>
      </c>
      <c r="L156" s="16">
        <v>7627581</v>
      </c>
      <c r="M156" s="16">
        <v>4337620</v>
      </c>
      <c r="N156" s="16">
        <v>2352219</v>
      </c>
      <c r="O156" s="16">
        <v>6759606</v>
      </c>
      <c r="P156" s="16">
        <v>5860092</v>
      </c>
      <c r="Q156" s="16">
        <v>867975</v>
      </c>
      <c r="R156" s="16">
        <v>-20980</v>
      </c>
      <c r="S156" s="16">
        <v>2</v>
      </c>
      <c r="T156" s="16">
        <v>0</v>
      </c>
      <c r="U156" s="15" t="str">
        <f t="shared" si="8"/>
        <v>Privado Nacional</v>
      </c>
      <c r="V156" s="17">
        <f t="shared" si="9"/>
        <v>0.56867570465656148</v>
      </c>
      <c r="W156" s="17">
        <f t="shared" si="10"/>
        <v>-2.4171203087646535E-2</v>
      </c>
      <c r="X156" s="15" t="str">
        <f t="shared" si="11"/>
        <v>Média/Pequena</v>
      </c>
      <c r="Y156" s="121" t="str" cm="1">
        <f t="array" ref="Y156">_xlfn.IFS(ISNUMBER(W156)=FALSE,"Sem dado",W156&gt;0.075,"Excelente",W156&gt;0.04,"Bom",W156&gt;0,"Fraco",TRUE,"Prejuízo")</f>
        <v>Prejuízo</v>
      </c>
    </row>
    <row r="157" spans="1:25" ht="15" customHeight="1" x14ac:dyDescent="0.2">
      <c r="A157" s="12" t="s">
        <v>440</v>
      </c>
      <c r="B157" s="56">
        <v>60779196</v>
      </c>
      <c r="C157" s="12" t="s">
        <v>441</v>
      </c>
      <c r="D157" s="12" t="s">
        <v>442</v>
      </c>
      <c r="E157" s="12" t="s">
        <v>443</v>
      </c>
      <c r="F157" s="12" t="s">
        <v>65</v>
      </c>
      <c r="G157" s="33">
        <v>2</v>
      </c>
      <c r="H157" s="33">
        <v>14</v>
      </c>
      <c r="I157" s="12" t="s">
        <v>38</v>
      </c>
      <c r="J157" s="12" t="s">
        <v>39</v>
      </c>
      <c r="K157" s="73" t="s">
        <v>29</v>
      </c>
      <c r="L157" s="13">
        <v>7603079</v>
      </c>
      <c r="M157" s="13">
        <v>2665028</v>
      </c>
      <c r="N157" s="13">
        <v>1462521</v>
      </c>
      <c r="O157" s="13">
        <v>363229</v>
      </c>
      <c r="P157" s="13">
        <v>6384</v>
      </c>
      <c r="Q157" s="13">
        <v>7239850</v>
      </c>
      <c r="R157" s="13">
        <v>353723</v>
      </c>
      <c r="S157" s="13">
        <v>2</v>
      </c>
      <c r="T157" s="13">
        <v>0</v>
      </c>
      <c r="U157" s="12" t="str">
        <f t="shared" si="8"/>
        <v>Privado Nacional</v>
      </c>
      <c r="V157" s="14">
        <f t="shared" si="9"/>
        <v>0.35051957239955023</v>
      </c>
      <c r="W157" s="14">
        <f t="shared" si="10"/>
        <v>4.8857780202628508E-2</v>
      </c>
      <c r="X157" s="12" t="str">
        <f t="shared" si="11"/>
        <v>Média/Pequena</v>
      </c>
      <c r="Y157" s="122" t="str" cm="1">
        <f t="array" ref="Y157">_xlfn.IFS(ISNUMBER(W157)=FALSE,"Sem dado",W157&gt;0.075,"Excelente",W157&gt;0.04,"Bom",W157&gt;0,"Fraco",TRUE,"Prejuízo")</f>
        <v>Bom</v>
      </c>
    </row>
    <row r="158" spans="1:25" ht="15" customHeight="1" x14ac:dyDescent="0.2">
      <c r="A158" s="15" t="s">
        <v>444</v>
      </c>
      <c r="B158" s="60">
        <v>88038260</v>
      </c>
      <c r="C158" s="15"/>
      <c r="D158" s="15"/>
      <c r="E158" s="15"/>
      <c r="F158" s="15" t="s">
        <v>265</v>
      </c>
      <c r="G158" s="34">
        <v>2</v>
      </c>
      <c r="H158" s="34">
        <v>9</v>
      </c>
      <c r="I158" s="15" t="s">
        <v>445</v>
      </c>
      <c r="J158" s="15" t="s">
        <v>74</v>
      </c>
      <c r="K158" s="74" t="s">
        <v>29</v>
      </c>
      <c r="L158" s="16">
        <v>7597702</v>
      </c>
      <c r="M158" s="16">
        <v>5157460</v>
      </c>
      <c r="N158" s="16">
        <v>1957449</v>
      </c>
      <c r="O158" s="16">
        <v>6198618</v>
      </c>
      <c r="P158" s="16">
        <v>2722048</v>
      </c>
      <c r="Q158" s="16">
        <v>1399084</v>
      </c>
      <c r="R158" s="16">
        <v>64128</v>
      </c>
      <c r="S158" s="16">
        <v>0</v>
      </c>
      <c r="T158" s="16">
        <v>41</v>
      </c>
      <c r="U158" s="15" t="str">
        <f t="shared" si="8"/>
        <v>Privado Nacional</v>
      </c>
      <c r="V158" s="17">
        <f t="shared" si="9"/>
        <v>0.67881841114589647</v>
      </c>
      <c r="W158" s="17">
        <f t="shared" si="10"/>
        <v>4.5835703932001225E-2</v>
      </c>
      <c r="X158" s="15" t="str">
        <f t="shared" si="11"/>
        <v>Média/Pequena</v>
      </c>
      <c r="Y158" s="121" t="str" cm="1">
        <f t="array" ref="Y158">_xlfn.IFS(ISNUMBER(W158)=FALSE,"Sem dado",W158&gt;0.075,"Excelente",W158&gt;0.04,"Bom",W158&gt;0,"Fraco",TRUE,"Prejuízo")</f>
        <v>Bom</v>
      </c>
    </row>
    <row r="159" spans="1:25" ht="15" customHeight="1" x14ac:dyDescent="0.2">
      <c r="A159" s="12" t="s">
        <v>446</v>
      </c>
      <c r="B159" s="56">
        <v>61194353</v>
      </c>
      <c r="C159" s="12" t="s">
        <v>35</v>
      </c>
      <c r="D159" s="12" t="s">
        <v>36</v>
      </c>
      <c r="E159" s="12" t="s">
        <v>37</v>
      </c>
      <c r="F159" s="12" t="s">
        <v>98</v>
      </c>
      <c r="G159" s="33">
        <v>2</v>
      </c>
      <c r="H159" s="33">
        <v>15</v>
      </c>
      <c r="I159" s="12" t="s">
        <v>38</v>
      </c>
      <c r="J159" s="12" t="s">
        <v>39</v>
      </c>
      <c r="K159" s="73" t="s">
        <v>29</v>
      </c>
      <c r="L159" s="13">
        <v>7589747</v>
      </c>
      <c r="M159" s="13">
        <v>0</v>
      </c>
      <c r="N159" s="13">
        <v>814489</v>
      </c>
      <c r="O159" s="13">
        <v>4115185</v>
      </c>
      <c r="P159" s="13">
        <v>263379</v>
      </c>
      <c r="Q159" s="13">
        <v>3474562</v>
      </c>
      <c r="R159" s="13">
        <v>323909</v>
      </c>
      <c r="S159" s="13">
        <v>2</v>
      </c>
      <c r="T159" s="13">
        <v>0</v>
      </c>
      <c r="U159" s="12" t="str">
        <f t="shared" si="8"/>
        <v>Privado Nacional</v>
      </c>
      <c r="V159" s="14">
        <f t="shared" si="9"/>
        <v>0</v>
      </c>
      <c r="W159" s="14">
        <f t="shared" si="10"/>
        <v>9.3222973140211635E-2</v>
      </c>
      <c r="X159" s="12" t="str">
        <f t="shared" si="11"/>
        <v>Média/Pequena</v>
      </c>
      <c r="Y159" s="122" t="str" cm="1">
        <f t="array" ref="Y159">_xlfn.IFS(ISNUMBER(W159)=FALSE,"Sem dado",W159&gt;0.075,"Excelente",W159&gt;0.04,"Bom",W159&gt;0,"Fraco",TRUE,"Prejuízo")</f>
        <v>Excelente</v>
      </c>
    </row>
    <row r="160" spans="1:25" ht="15" customHeight="1" x14ac:dyDescent="0.2">
      <c r="A160" s="15" t="s">
        <v>447</v>
      </c>
      <c r="B160" s="60">
        <v>92228410</v>
      </c>
      <c r="C160" s="15" t="s">
        <v>448</v>
      </c>
      <c r="D160" s="15" t="s">
        <v>449</v>
      </c>
      <c r="E160" s="15" t="s">
        <v>450</v>
      </c>
      <c r="F160" s="15" t="s">
        <v>65</v>
      </c>
      <c r="G160" s="34">
        <v>2</v>
      </c>
      <c r="H160" s="34">
        <v>14</v>
      </c>
      <c r="I160" s="15" t="s">
        <v>38</v>
      </c>
      <c r="J160" s="15" t="s">
        <v>39</v>
      </c>
      <c r="K160" s="74" t="s">
        <v>29</v>
      </c>
      <c r="L160" s="16">
        <v>7484495</v>
      </c>
      <c r="M160" s="16">
        <v>4439278</v>
      </c>
      <c r="N160" s="16">
        <v>321356</v>
      </c>
      <c r="O160" s="16">
        <v>6562893</v>
      </c>
      <c r="P160" s="16">
        <v>6259932</v>
      </c>
      <c r="Q160" s="16">
        <v>921601</v>
      </c>
      <c r="R160" s="16">
        <v>3159</v>
      </c>
      <c r="S160" s="16">
        <v>2</v>
      </c>
      <c r="T160" s="16">
        <v>0</v>
      </c>
      <c r="U160" s="15" t="str">
        <f t="shared" si="8"/>
        <v>Privado Nacional</v>
      </c>
      <c r="V160" s="17">
        <f t="shared" si="9"/>
        <v>0.59312993060988084</v>
      </c>
      <c r="W160" s="17">
        <f t="shared" si="10"/>
        <v>3.4277306556742019E-3</v>
      </c>
      <c r="X160" s="15" t="str">
        <f t="shared" si="11"/>
        <v>Média/Pequena</v>
      </c>
      <c r="Y160" s="121" t="str" cm="1">
        <f t="array" ref="Y160">_xlfn.IFS(ISNUMBER(W160)=FALSE,"Sem dado",W160&gt;0.075,"Excelente",W160&gt;0.04,"Bom",W160&gt;0,"Fraco",TRUE,"Prejuízo")</f>
        <v>Fraco</v>
      </c>
    </row>
    <row r="161" spans="1:25" ht="15" customHeight="1" x14ac:dyDescent="0.2">
      <c r="A161" s="12" t="s">
        <v>451</v>
      </c>
      <c r="B161" s="56">
        <v>3459850</v>
      </c>
      <c r="C161" s="12"/>
      <c r="D161" s="12"/>
      <c r="E161" s="12"/>
      <c r="F161" s="12" t="s">
        <v>265</v>
      </c>
      <c r="G161" s="33">
        <v>2</v>
      </c>
      <c r="H161" s="33">
        <v>9</v>
      </c>
      <c r="I161" s="12" t="s">
        <v>305</v>
      </c>
      <c r="J161" s="12" t="s">
        <v>229</v>
      </c>
      <c r="K161" s="73" t="s">
        <v>29</v>
      </c>
      <c r="L161" s="13">
        <v>7450455</v>
      </c>
      <c r="M161" s="13">
        <v>3941264</v>
      </c>
      <c r="N161" s="13">
        <v>95370</v>
      </c>
      <c r="O161" s="13">
        <v>6614889</v>
      </c>
      <c r="P161" s="13">
        <v>5712286</v>
      </c>
      <c r="Q161" s="13">
        <v>835565</v>
      </c>
      <c r="R161" s="13">
        <v>73225</v>
      </c>
      <c r="S161" s="13">
        <v>0</v>
      </c>
      <c r="T161" s="13">
        <v>91</v>
      </c>
      <c r="U161" s="12" t="str">
        <f t="shared" si="8"/>
        <v>Privado Nacional</v>
      </c>
      <c r="V161" s="14">
        <f t="shared" si="9"/>
        <v>0.52899641699735112</v>
      </c>
      <c r="W161" s="14">
        <f t="shared" si="10"/>
        <v>8.7635312632769441E-2</v>
      </c>
      <c r="X161" s="12" t="str">
        <f t="shared" si="11"/>
        <v>Média/Pequena</v>
      </c>
      <c r="Y161" s="122" t="str" cm="1">
        <f t="array" ref="Y161">_xlfn.IFS(ISNUMBER(W161)=FALSE,"Sem dado",W161&gt;0.075,"Excelente",W161&gt;0.04,"Bom",W161&gt;0,"Fraco",TRUE,"Prejuízo")</f>
        <v>Excelente</v>
      </c>
    </row>
    <row r="162" spans="1:25" ht="15" customHeight="1" x14ac:dyDescent="0.2">
      <c r="A162" s="15" t="s">
        <v>452</v>
      </c>
      <c r="B162" s="60">
        <v>21198087</v>
      </c>
      <c r="C162" s="15"/>
      <c r="D162" s="15"/>
      <c r="E162" s="15"/>
      <c r="F162" s="15" t="s">
        <v>199</v>
      </c>
      <c r="G162" s="34">
        <v>2</v>
      </c>
      <c r="H162" s="34">
        <v>9</v>
      </c>
      <c r="I162" s="15" t="s">
        <v>453</v>
      </c>
      <c r="J162" s="15" t="s">
        <v>74</v>
      </c>
      <c r="K162" s="74" t="s">
        <v>29</v>
      </c>
      <c r="L162" s="16">
        <v>7344967</v>
      </c>
      <c r="M162" s="16">
        <v>70447</v>
      </c>
      <c r="N162" s="16">
        <v>1442519</v>
      </c>
      <c r="O162" s="16">
        <v>7030518</v>
      </c>
      <c r="P162" s="16">
        <v>3969962</v>
      </c>
      <c r="Q162" s="16">
        <v>314449</v>
      </c>
      <c r="R162" s="16">
        <v>9645</v>
      </c>
      <c r="S162" s="16">
        <v>0</v>
      </c>
      <c r="T162" s="16">
        <v>0</v>
      </c>
      <c r="U162" s="15" t="str">
        <f t="shared" si="8"/>
        <v>Privado Nacional</v>
      </c>
      <c r="V162" s="17">
        <f t="shared" si="9"/>
        <v>9.5911935342936194E-3</v>
      </c>
      <c r="W162" s="17">
        <f t="shared" si="10"/>
        <v>3.0672700501512169E-2</v>
      </c>
      <c r="X162" s="15" t="str">
        <f t="shared" si="11"/>
        <v>Média/Pequena</v>
      </c>
      <c r="Y162" s="121" t="str" cm="1">
        <f t="array" ref="Y162">_xlfn.IFS(ISNUMBER(W162)=FALSE,"Sem dado",W162&gt;0.075,"Excelente",W162&gt;0.04,"Bom",W162&gt;0,"Fraco",TRUE,"Prejuízo")</f>
        <v>Fraco</v>
      </c>
    </row>
    <row r="163" spans="1:25" ht="15" customHeight="1" x14ac:dyDescent="0.2">
      <c r="A163" s="12" t="s">
        <v>454</v>
      </c>
      <c r="B163" s="56">
        <v>10866788</v>
      </c>
      <c r="C163" s="12" t="s">
        <v>46</v>
      </c>
      <c r="D163" s="12" t="s">
        <v>47</v>
      </c>
      <c r="E163" s="12" t="s">
        <v>48</v>
      </c>
      <c r="F163" s="12" t="s">
        <v>26</v>
      </c>
      <c r="G163" s="33">
        <v>3</v>
      </c>
      <c r="H163" s="33">
        <v>8</v>
      </c>
      <c r="I163" s="12" t="s">
        <v>38</v>
      </c>
      <c r="J163" s="12" t="s">
        <v>39</v>
      </c>
      <c r="K163" s="73" t="s">
        <v>29</v>
      </c>
      <c r="L163" s="13">
        <v>7244739</v>
      </c>
      <c r="M163" s="13">
        <v>0</v>
      </c>
      <c r="N163" s="13">
        <v>5949901</v>
      </c>
      <c r="O163" s="13">
        <v>1153915</v>
      </c>
      <c r="P163" s="13">
        <v>839432</v>
      </c>
      <c r="Q163" s="13">
        <v>6090824</v>
      </c>
      <c r="R163" s="13">
        <v>251848</v>
      </c>
      <c r="S163" s="13">
        <v>2</v>
      </c>
      <c r="T163" s="13">
        <v>0</v>
      </c>
      <c r="U163" s="12" t="str">
        <f t="shared" si="8"/>
        <v>Privado Estrangeiro</v>
      </c>
      <c r="V163" s="14">
        <f t="shared" si="9"/>
        <v>0</v>
      </c>
      <c r="W163" s="14">
        <f t="shared" si="10"/>
        <v>4.1348756752780907E-2</v>
      </c>
      <c r="X163" s="12" t="str">
        <f t="shared" si="11"/>
        <v>Média/Pequena</v>
      </c>
      <c r="Y163" s="122" t="str" cm="1">
        <f t="array" ref="Y163">_xlfn.IFS(ISNUMBER(W163)=FALSE,"Sem dado",W163&gt;0.075,"Excelente",W163&gt;0.04,"Bom",W163&gt;0,"Fraco",TRUE,"Prejuízo")</f>
        <v>Bom</v>
      </c>
    </row>
    <row r="164" spans="1:25" ht="15" customHeight="1" x14ac:dyDescent="0.2">
      <c r="A164" s="15" t="s">
        <v>455</v>
      </c>
      <c r="B164" s="60">
        <v>33868597</v>
      </c>
      <c r="C164" s="15" t="s">
        <v>90</v>
      </c>
      <c r="D164" s="15" t="s">
        <v>91</v>
      </c>
      <c r="E164" s="15" t="s">
        <v>92</v>
      </c>
      <c r="F164" s="15" t="s">
        <v>98</v>
      </c>
      <c r="G164" s="34">
        <v>3</v>
      </c>
      <c r="H164" s="34">
        <v>16</v>
      </c>
      <c r="I164" s="15" t="s">
        <v>38</v>
      </c>
      <c r="J164" s="15" t="s">
        <v>39</v>
      </c>
      <c r="K164" s="74" t="s">
        <v>29</v>
      </c>
      <c r="L164" s="16">
        <v>7217748</v>
      </c>
      <c r="M164" s="16">
        <v>0</v>
      </c>
      <c r="N164" s="16">
        <v>173617</v>
      </c>
      <c r="O164" s="16">
        <v>6957037</v>
      </c>
      <c r="P164" s="16">
        <v>5707320</v>
      </c>
      <c r="Q164" s="16">
        <v>260712</v>
      </c>
      <c r="R164" s="16">
        <v>165034</v>
      </c>
      <c r="S164" s="16">
        <v>2</v>
      </c>
      <c r="T164" s="16">
        <v>0</v>
      </c>
      <c r="U164" s="15" t="str">
        <f t="shared" si="8"/>
        <v>Privado Estrangeiro</v>
      </c>
      <c r="V164" s="17">
        <f t="shared" si="9"/>
        <v>0</v>
      </c>
      <c r="W164" s="17">
        <f t="shared" si="10"/>
        <v>0.63301267298781794</v>
      </c>
      <c r="X164" s="15" t="str">
        <f t="shared" si="11"/>
        <v>Média/Pequena</v>
      </c>
      <c r="Y164" s="121" t="str" cm="1">
        <f t="array" ref="Y164">_xlfn.IFS(ISNUMBER(W164)=FALSE,"Sem dado",W164&gt;0.075,"Excelente",W164&gt;0.04,"Bom",W164&gt;0,"Fraco",TRUE,"Prejuízo")</f>
        <v>Excelente</v>
      </c>
    </row>
    <row r="165" spans="1:25" ht="15" customHeight="1" x14ac:dyDescent="0.2">
      <c r="A165" s="12" t="s">
        <v>456</v>
      </c>
      <c r="B165" s="56">
        <v>3502131</v>
      </c>
      <c r="C165" s="12"/>
      <c r="D165" s="12"/>
      <c r="E165" s="12"/>
      <c r="F165" s="12" t="s">
        <v>199</v>
      </c>
      <c r="G165" s="33">
        <v>2</v>
      </c>
      <c r="H165" s="33">
        <v>9</v>
      </c>
      <c r="I165" s="12" t="s">
        <v>457</v>
      </c>
      <c r="J165" s="12" t="s">
        <v>432</v>
      </c>
      <c r="K165" s="73" t="s">
        <v>29</v>
      </c>
      <c r="L165" s="13">
        <v>7156587</v>
      </c>
      <c r="M165" s="13">
        <v>0</v>
      </c>
      <c r="N165" s="13">
        <v>1530024</v>
      </c>
      <c r="O165" s="13">
        <v>6765041</v>
      </c>
      <c r="P165" s="13">
        <v>19788</v>
      </c>
      <c r="Q165" s="13">
        <v>391545</v>
      </c>
      <c r="R165" s="13">
        <v>31485</v>
      </c>
      <c r="S165" s="13">
        <v>0</v>
      </c>
      <c r="T165" s="13">
        <v>0</v>
      </c>
      <c r="U165" s="12" t="str">
        <f t="shared" si="8"/>
        <v>Privado Nacional</v>
      </c>
      <c r="V165" s="14">
        <f t="shared" si="9"/>
        <v>0</v>
      </c>
      <c r="W165" s="14">
        <f t="shared" si="10"/>
        <v>8.0412213155575993E-2</v>
      </c>
      <c r="X165" s="12" t="str">
        <f t="shared" si="11"/>
        <v>Média/Pequena</v>
      </c>
      <c r="Y165" s="122" t="str" cm="1">
        <f t="array" ref="Y165">_xlfn.IFS(ISNUMBER(W165)=FALSE,"Sem dado",W165&gt;0.075,"Excelente",W165&gt;0.04,"Bom",W165&gt;0,"Fraco",TRUE,"Prejuízo")</f>
        <v>Excelente</v>
      </c>
    </row>
    <row r="166" spans="1:25" ht="15" customHeight="1" x14ac:dyDescent="0.2">
      <c r="A166" s="15" t="s">
        <v>458</v>
      </c>
      <c r="B166" s="60">
        <v>4962772</v>
      </c>
      <c r="C166" s="15" t="s">
        <v>459</v>
      </c>
      <c r="D166" s="15"/>
      <c r="E166" s="15" t="s">
        <v>460</v>
      </c>
      <c r="F166" s="15" t="s">
        <v>84</v>
      </c>
      <c r="G166" s="34">
        <v>3</v>
      </c>
      <c r="H166" s="34">
        <v>41</v>
      </c>
      <c r="I166" s="15" t="s">
        <v>38</v>
      </c>
      <c r="J166" s="15" t="s">
        <v>39</v>
      </c>
      <c r="K166" s="74" t="s">
        <v>29</v>
      </c>
      <c r="L166" s="16">
        <v>7128230</v>
      </c>
      <c r="M166" s="16">
        <v>0</v>
      </c>
      <c r="N166" s="16">
        <v>57602</v>
      </c>
      <c r="O166" s="16">
        <v>5428185</v>
      </c>
      <c r="P166" s="16">
        <v>1436051</v>
      </c>
      <c r="Q166" s="16">
        <v>1700046</v>
      </c>
      <c r="R166" s="16">
        <v>7241</v>
      </c>
      <c r="S166" s="16">
        <v>1</v>
      </c>
      <c r="T166" s="16">
        <v>0</v>
      </c>
      <c r="U166" s="15" t="str">
        <f t="shared" si="8"/>
        <v>Privado Estrangeiro</v>
      </c>
      <c r="V166" s="17">
        <f t="shared" si="9"/>
        <v>0</v>
      </c>
      <c r="W166" s="17">
        <f t="shared" si="10"/>
        <v>4.2592965131531737E-3</v>
      </c>
      <c r="X166" s="15" t="str">
        <f t="shared" si="11"/>
        <v>Média/Pequena</v>
      </c>
      <c r="Y166" s="121" t="str" cm="1">
        <f t="array" ref="Y166">_xlfn.IFS(ISNUMBER(W166)=FALSE,"Sem dado",W166&gt;0.075,"Excelente",W166&gt;0.04,"Bom",W166&gt;0,"Fraco",TRUE,"Prejuízo")</f>
        <v>Fraco</v>
      </c>
    </row>
    <row r="167" spans="1:25" ht="15" customHeight="1" x14ac:dyDescent="0.2">
      <c r="A167" s="12" t="s">
        <v>461</v>
      </c>
      <c r="B167" s="56">
        <v>89126130</v>
      </c>
      <c r="C167" s="12"/>
      <c r="D167" s="12"/>
      <c r="E167" s="12"/>
      <c r="F167" s="12" t="s">
        <v>265</v>
      </c>
      <c r="G167" s="33">
        <v>2</v>
      </c>
      <c r="H167" s="33">
        <v>9</v>
      </c>
      <c r="I167" s="12" t="s">
        <v>462</v>
      </c>
      <c r="J167" s="12" t="s">
        <v>74</v>
      </c>
      <c r="K167" s="73" t="s">
        <v>29</v>
      </c>
      <c r="L167" s="13">
        <v>7090260</v>
      </c>
      <c r="M167" s="13">
        <v>1795225</v>
      </c>
      <c r="N167" s="13">
        <v>4733686</v>
      </c>
      <c r="O167" s="13">
        <v>5601399</v>
      </c>
      <c r="P167" s="13">
        <v>4982889</v>
      </c>
      <c r="Q167" s="13">
        <v>1488860</v>
      </c>
      <c r="R167" s="13">
        <v>137717</v>
      </c>
      <c r="S167" s="13">
        <v>0</v>
      </c>
      <c r="T167" s="13">
        <v>21</v>
      </c>
      <c r="U167" s="12" t="str">
        <f t="shared" si="8"/>
        <v>Privado Nacional</v>
      </c>
      <c r="V167" s="14">
        <f t="shared" si="9"/>
        <v>0.25319593357648379</v>
      </c>
      <c r="W167" s="14">
        <f t="shared" si="10"/>
        <v>9.2498287280200958E-2</v>
      </c>
      <c r="X167" s="12" t="str">
        <f t="shared" si="11"/>
        <v>Média/Pequena</v>
      </c>
      <c r="Y167" s="122" t="str" cm="1">
        <f t="array" ref="Y167">_xlfn.IFS(ISNUMBER(W167)=FALSE,"Sem dado",W167&gt;0.075,"Excelente",W167&gt;0.04,"Bom",W167&gt;0,"Fraco",TRUE,"Prejuízo")</f>
        <v>Excelente</v>
      </c>
    </row>
    <row r="168" spans="1:25" ht="15" customHeight="1" x14ac:dyDescent="0.2">
      <c r="A168" s="15" t="s">
        <v>463</v>
      </c>
      <c r="B168" s="60">
        <v>34111187</v>
      </c>
      <c r="C168" s="15" t="s">
        <v>464</v>
      </c>
      <c r="D168" s="15" t="s">
        <v>465</v>
      </c>
      <c r="E168" s="15" t="s">
        <v>466</v>
      </c>
      <c r="F168" s="15" t="s">
        <v>60</v>
      </c>
      <c r="G168" s="34">
        <v>3</v>
      </c>
      <c r="H168" s="34">
        <v>13</v>
      </c>
      <c r="I168" s="15" t="s">
        <v>38</v>
      </c>
      <c r="J168" s="15" t="s">
        <v>39</v>
      </c>
      <c r="K168" s="74" t="s">
        <v>29</v>
      </c>
      <c r="L168" s="16">
        <v>6955488</v>
      </c>
      <c r="M168" s="16">
        <v>206228</v>
      </c>
      <c r="N168" s="16">
        <v>5715858</v>
      </c>
      <c r="O168" s="16">
        <v>6438446</v>
      </c>
      <c r="P168" s="16">
        <v>6301417</v>
      </c>
      <c r="Q168" s="16">
        <v>517042</v>
      </c>
      <c r="R168" s="16">
        <v>-20340</v>
      </c>
      <c r="S168" s="16">
        <v>2</v>
      </c>
      <c r="T168" s="16">
        <v>0</v>
      </c>
      <c r="U168" s="15" t="str">
        <f t="shared" si="8"/>
        <v>Privado Estrangeiro</v>
      </c>
      <c r="V168" s="17">
        <f t="shared" si="9"/>
        <v>2.9649680942588068E-2</v>
      </c>
      <c r="W168" s="17">
        <f t="shared" si="10"/>
        <v>-3.9339163936392016E-2</v>
      </c>
      <c r="X168" s="15" t="str">
        <f t="shared" si="11"/>
        <v>Média/Pequena</v>
      </c>
      <c r="Y168" s="121" t="str" cm="1">
        <f t="array" ref="Y168">_xlfn.IFS(ISNUMBER(W168)=FALSE,"Sem dado",W168&gt;0.075,"Excelente",W168&gt;0.04,"Bom",W168&gt;0,"Fraco",TRUE,"Prejuízo")</f>
        <v>Prejuízo</v>
      </c>
    </row>
    <row r="169" spans="1:25" ht="15" customHeight="1" x14ac:dyDescent="0.2">
      <c r="A169" s="12" t="s">
        <v>467</v>
      </c>
      <c r="B169" s="56">
        <v>87795639</v>
      </c>
      <c r="C169" s="12"/>
      <c r="D169" s="12"/>
      <c r="E169" s="12"/>
      <c r="F169" s="12" t="s">
        <v>265</v>
      </c>
      <c r="G169" s="33">
        <v>2</v>
      </c>
      <c r="H169" s="33">
        <v>9</v>
      </c>
      <c r="I169" s="12" t="s">
        <v>468</v>
      </c>
      <c r="J169" s="12" t="s">
        <v>74</v>
      </c>
      <c r="K169" s="73" t="s">
        <v>29</v>
      </c>
      <c r="L169" s="13">
        <v>6738109</v>
      </c>
      <c r="M169" s="13">
        <v>3381902</v>
      </c>
      <c r="N169" s="13">
        <v>2653159</v>
      </c>
      <c r="O169" s="13">
        <v>6036798</v>
      </c>
      <c r="P169" s="13">
        <v>4330744</v>
      </c>
      <c r="Q169" s="13">
        <v>701311</v>
      </c>
      <c r="R169" s="13">
        <v>63169</v>
      </c>
      <c r="S169" s="13">
        <v>0</v>
      </c>
      <c r="T169" s="13">
        <v>64</v>
      </c>
      <c r="U169" s="12" t="str">
        <f t="shared" si="8"/>
        <v>Privado Nacional</v>
      </c>
      <c r="V169" s="14">
        <f t="shared" si="9"/>
        <v>0.50190669221884066</v>
      </c>
      <c r="W169" s="14">
        <f t="shared" si="10"/>
        <v>9.0072735205921475E-2</v>
      </c>
      <c r="X169" s="12" t="str">
        <f t="shared" si="11"/>
        <v>Média/Pequena</v>
      </c>
      <c r="Y169" s="122" t="str" cm="1">
        <f t="array" ref="Y169">_xlfn.IFS(ISNUMBER(W169)=FALSE,"Sem dado",W169&gt;0.075,"Excelente",W169&gt;0.04,"Bom",W169&gt;0,"Fraco",TRUE,"Prejuízo")</f>
        <v>Excelente</v>
      </c>
    </row>
    <row r="170" spans="1:25" ht="15" customHeight="1" x14ac:dyDescent="0.2">
      <c r="A170" s="15" t="s">
        <v>469</v>
      </c>
      <c r="B170" s="60">
        <v>52067630</v>
      </c>
      <c r="C170" s="15" t="s">
        <v>470</v>
      </c>
      <c r="D170" s="15"/>
      <c r="E170" s="15" t="s">
        <v>471</v>
      </c>
      <c r="F170" s="15" t="s">
        <v>60</v>
      </c>
      <c r="G170" s="34">
        <v>3</v>
      </c>
      <c r="H170" s="34">
        <v>8</v>
      </c>
      <c r="I170" s="15" t="s">
        <v>38</v>
      </c>
      <c r="J170" s="15" t="s">
        <v>39</v>
      </c>
      <c r="K170" s="74" t="s">
        <v>29</v>
      </c>
      <c r="L170" s="16">
        <v>6728365</v>
      </c>
      <c r="M170" s="16">
        <v>5045598</v>
      </c>
      <c r="N170" s="16">
        <v>300929</v>
      </c>
      <c r="O170" s="16">
        <v>5269499</v>
      </c>
      <c r="P170" s="16">
        <v>5249290</v>
      </c>
      <c r="Q170" s="16">
        <v>1458866</v>
      </c>
      <c r="R170" s="16">
        <v>27428</v>
      </c>
      <c r="S170" s="16">
        <v>2</v>
      </c>
      <c r="T170" s="16">
        <v>0</v>
      </c>
      <c r="U170" s="15" t="str">
        <f t="shared" si="8"/>
        <v>Privado Estrangeiro</v>
      </c>
      <c r="V170" s="17">
        <f t="shared" si="9"/>
        <v>0.74989956698246896</v>
      </c>
      <c r="W170" s="17">
        <f t="shared" si="10"/>
        <v>1.8800904263996832E-2</v>
      </c>
      <c r="X170" s="15" t="str">
        <f t="shared" si="11"/>
        <v>Média/Pequena</v>
      </c>
      <c r="Y170" s="121" t="str" cm="1">
        <f t="array" ref="Y170">_xlfn.IFS(ISNUMBER(W170)=FALSE,"Sem dado",W170&gt;0.075,"Excelente",W170&gt;0.04,"Bom",W170&gt;0,"Fraco",TRUE,"Prejuízo")</f>
        <v>Fraco</v>
      </c>
    </row>
    <row r="171" spans="1:25" ht="15" customHeight="1" x14ac:dyDescent="0.2">
      <c r="A171" s="12" t="s">
        <v>472</v>
      </c>
      <c r="B171" s="56">
        <v>37442605</v>
      </c>
      <c r="C171" s="12"/>
      <c r="D171" s="12"/>
      <c r="E171" s="12"/>
      <c r="F171" s="12" t="s">
        <v>265</v>
      </c>
      <c r="G171" s="33">
        <v>2</v>
      </c>
      <c r="H171" s="33">
        <v>9</v>
      </c>
      <c r="I171" s="12" t="s">
        <v>473</v>
      </c>
      <c r="J171" s="12" t="s">
        <v>329</v>
      </c>
      <c r="K171" s="73" t="s">
        <v>29</v>
      </c>
      <c r="L171" s="13">
        <v>6709540</v>
      </c>
      <c r="M171" s="13">
        <v>3134146</v>
      </c>
      <c r="N171" s="13">
        <v>2625446</v>
      </c>
      <c r="O171" s="13">
        <v>5797217</v>
      </c>
      <c r="P171" s="13">
        <v>4132297</v>
      </c>
      <c r="Q171" s="13">
        <v>912323</v>
      </c>
      <c r="R171" s="13">
        <v>27824</v>
      </c>
      <c r="S171" s="13">
        <v>0</v>
      </c>
      <c r="T171" s="13">
        <v>52</v>
      </c>
      <c r="U171" s="12" t="str">
        <f t="shared" si="8"/>
        <v>Privado Nacional</v>
      </c>
      <c r="V171" s="14">
        <f t="shared" si="9"/>
        <v>0.46711786501011993</v>
      </c>
      <c r="W171" s="14">
        <f t="shared" si="10"/>
        <v>3.0497970565249367E-2</v>
      </c>
      <c r="X171" s="12" t="str">
        <f t="shared" si="11"/>
        <v>Média/Pequena</v>
      </c>
      <c r="Y171" s="122" t="str" cm="1">
        <f t="array" ref="Y171">_xlfn.IFS(ISNUMBER(W171)=FALSE,"Sem dado",W171&gt;0.075,"Excelente",W171&gt;0.04,"Bom",W171&gt;0,"Fraco",TRUE,"Prejuízo")</f>
        <v>Fraco</v>
      </c>
    </row>
    <row r="172" spans="1:25" ht="15" customHeight="1" x14ac:dyDescent="0.2">
      <c r="A172" s="15" t="s">
        <v>474</v>
      </c>
      <c r="B172" s="60">
        <v>3320525</v>
      </c>
      <c r="C172" s="15"/>
      <c r="D172" s="15"/>
      <c r="E172" s="15"/>
      <c r="F172" s="15" t="s">
        <v>265</v>
      </c>
      <c r="G172" s="34">
        <v>2</v>
      </c>
      <c r="H172" s="34">
        <v>9</v>
      </c>
      <c r="I172" s="15" t="s">
        <v>475</v>
      </c>
      <c r="J172" s="15" t="s">
        <v>120</v>
      </c>
      <c r="K172" s="74" t="s">
        <v>29</v>
      </c>
      <c r="L172" s="16">
        <v>6440975</v>
      </c>
      <c r="M172" s="16">
        <v>4276888</v>
      </c>
      <c r="N172" s="16">
        <v>101468</v>
      </c>
      <c r="O172" s="16">
        <v>5742632</v>
      </c>
      <c r="P172" s="16">
        <v>4257310</v>
      </c>
      <c r="Q172" s="16">
        <v>698343</v>
      </c>
      <c r="R172" s="16">
        <v>-58960</v>
      </c>
      <c r="S172" s="16">
        <v>0</v>
      </c>
      <c r="T172" s="16">
        <v>37</v>
      </c>
      <c r="U172" s="15" t="str">
        <f t="shared" si="8"/>
        <v>Privado Nacional</v>
      </c>
      <c r="V172" s="17">
        <f t="shared" si="9"/>
        <v>0.66401251363341729</v>
      </c>
      <c r="W172" s="17">
        <f t="shared" si="10"/>
        <v>-8.4428425573106619E-2</v>
      </c>
      <c r="X172" s="15" t="str">
        <f t="shared" si="11"/>
        <v>Média/Pequena</v>
      </c>
      <c r="Y172" s="121" t="str" cm="1">
        <f t="array" ref="Y172">_xlfn.IFS(ISNUMBER(W172)=FALSE,"Sem dado",W172&gt;0.075,"Excelente",W172&gt;0.04,"Bom",W172&gt;0,"Fraco",TRUE,"Prejuízo")</f>
        <v>Prejuízo</v>
      </c>
    </row>
    <row r="173" spans="1:25" ht="15" customHeight="1" x14ac:dyDescent="0.2">
      <c r="A173" s="12" t="s">
        <v>476</v>
      </c>
      <c r="B173" s="56">
        <v>79052122</v>
      </c>
      <c r="C173" s="12"/>
      <c r="D173" s="12"/>
      <c r="E173" s="12"/>
      <c r="F173" s="12" t="s">
        <v>265</v>
      </c>
      <c r="G173" s="33">
        <v>2</v>
      </c>
      <c r="H173" s="33">
        <v>9</v>
      </c>
      <c r="I173" s="12" t="s">
        <v>477</v>
      </c>
      <c r="J173" s="12" t="s">
        <v>229</v>
      </c>
      <c r="K173" s="73" t="s">
        <v>29</v>
      </c>
      <c r="L173" s="13">
        <v>6153198</v>
      </c>
      <c r="M173" s="13">
        <v>4146753</v>
      </c>
      <c r="N173" s="13">
        <v>1513457</v>
      </c>
      <c r="O173" s="13">
        <v>5607802</v>
      </c>
      <c r="P173" s="13">
        <v>3684186</v>
      </c>
      <c r="Q173" s="13">
        <v>545396</v>
      </c>
      <c r="R173" s="13">
        <v>6265</v>
      </c>
      <c r="S173" s="13">
        <v>0</v>
      </c>
      <c r="T173" s="13">
        <v>38</v>
      </c>
      <c r="U173" s="12" t="str">
        <f t="shared" si="8"/>
        <v>Privado Nacional</v>
      </c>
      <c r="V173" s="14">
        <f t="shared" si="9"/>
        <v>0.67391834294947117</v>
      </c>
      <c r="W173" s="14">
        <f t="shared" si="10"/>
        <v>1.1487066278447221E-2</v>
      </c>
      <c r="X173" s="12" t="str">
        <f t="shared" si="11"/>
        <v>Média/Pequena</v>
      </c>
      <c r="Y173" s="122" t="str" cm="1">
        <f t="array" ref="Y173">_xlfn.IFS(ISNUMBER(W173)=FALSE,"Sem dado",W173&gt;0.075,"Excelente",W173&gt;0.04,"Bom",W173&gt;0,"Fraco",TRUE,"Prejuízo")</f>
        <v>Fraco</v>
      </c>
    </row>
    <row r="174" spans="1:25" ht="15" customHeight="1" x14ac:dyDescent="0.2">
      <c r="A174" s="15" t="s">
        <v>478</v>
      </c>
      <c r="B174" s="60">
        <v>32467086</v>
      </c>
      <c r="C174" s="15"/>
      <c r="D174" s="15"/>
      <c r="E174" s="15"/>
      <c r="F174" s="15" t="s">
        <v>265</v>
      </c>
      <c r="G174" s="34">
        <v>2</v>
      </c>
      <c r="H174" s="34">
        <v>9</v>
      </c>
      <c r="I174" s="15" t="s">
        <v>479</v>
      </c>
      <c r="J174" s="15" t="s">
        <v>183</v>
      </c>
      <c r="K174" s="74" t="s">
        <v>29</v>
      </c>
      <c r="L174" s="16">
        <v>6150462</v>
      </c>
      <c r="M174" s="16">
        <v>2426734</v>
      </c>
      <c r="N174" s="16">
        <v>580660</v>
      </c>
      <c r="O174" s="16">
        <v>5062692</v>
      </c>
      <c r="P174" s="16">
        <v>4713804</v>
      </c>
      <c r="Q174" s="16">
        <v>1087770</v>
      </c>
      <c r="R174" s="16">
        <v>126692</v>
      </c>
      <c r="S174" s="16">
        <v>0</v>
      </c>
      <c r="T174" s="16">
        <v>42</v>
      </c>
      <c r="U174" s="15" t="str">
        <f t="shared" si="8"/>
        <v>Privado Nacional</v>
      </c>
      <c r="V174" s="17">
        <f t="shared" si="9"/>
        <v>0.39456125409765963</v>
      </c>
      <c r="W174" s="17">
        <f t="shared" si="10"/>
        <v>0.11646947424547469</v>
      </c>
      <c r="X174" s="15" t="str">
        <f t="shared" si="11"/>
        <v>Média/Pequena</v>
      </c>
      <c r="Y174" s="121" t="str" cm="1">
        <f t="array" ref="Y174">_xlfn.IFS(ISNUMBER(W174)=FALSE,"Sem dado",W174&gt;0.075,"Excelente",W174&gt;0.04,"Bom",W174&gt;0,"Fraco",TRUE,"Prejuízo")</f>
        <v>Excelente</v>
      </c>
    </row>
    <row r="175" spans="1:25" ht="15" customHeight="1" x14ac:dyDescent="0.2">
      <c r="A175" s="12" t="s">
        <v>480</v>
      </c>
      <c r="B175" s="56">
        <v>27351731</v>
      </c>
      <c r="C175" s="12" t="s">
        <v>481</v>
      </c>
      <c r="D175" s="12"/>
      <c r="E175" s="12" t="s">
        <v>482</v>
      </c>
      <c r="F175" s="12" t="s">
        <v>65</v>
      </c>
      <c r="G175" s="33">
        <v>3</v>
      </c>
      <c r="H175" s="33">
        <v>14</v>
      </c>
      <c r="I175" s="12" t="s">
        <v>73</v>
      </c>
      <c r="J175" s="12" t="s">
        <v>74</v>
      </c>
      <c r="K175" s="73" t="s">
        <v>29</v>
      </c>
      <c r="L175" s="13">
        <v>6127059</v>
      </c>
      <c r="M175" s="13">
        <v>5052520</v>
      </c>
      <c r="N175" s="13">
        <v>358837</v>
      </c>
      <c r="O175" s="13">
        <v>5114215</v>
      </c>
      <c r="P175" s="13">
        <v>1401791</v>
      </c>
      <c r="Q175" s="13">
        <v>1012844</v>
      </c>
      <c r="R175" s="13">
        <v>87801</v>
      </c>
      <c r="S175" s="13">
        <v>2</v>
      </c>
      <c r="T175" s="13">
        <v>0</v>
      </c>
      <c r="U175" s="12" t="str">
        <f t="shared" si="8"/>
        <v>Privado Estrangeiro</v>
      </c>
      <c r="V175" s="14">
        <f t="shared" si="9"/>
        <v>0.82462401618786441</v>
      </c>
      <c r="W175" s="14">
        <f t="shared" si="10"/>
        <v>8.6687584662593645E-2</v>
      </c>
      <c r="X175" s="12" t="str">
        <f t="shared" si="11"/>
        <v>Média/Pequena</v>
      </c>
      <c r="Y175" s="122" t="str" cm="1">
        <f t="array" ref="Y175">_xlfn.IFS(ISNUMBER(W175)=FALSE,"Sem dado",W175&gt;0.075,"Excelente",W175&gt;0.04,"Bom",W175&gt;0,"Fraco",TRUE,"Prejuízo")</f>
        <v>Excelente</v>
      </c>
    </row>
    <row r="176" spans="1:25" ht="15" customHeight="1" x14ac:dyDescent="0.2">
      <c r="A176" s="15" t="s">
        <v>483</v>
      </c>
      <c r="B176" s="60">
        <v>87733770</v>
      </c>
      <c r="C176" s="15"/>
      <c r="D176" s="15"/>
      <c r="E176" s="15"/>
      <c r="F176" s="15" t="s">
        <v>265</v>
      </c>
      <c r="G176" s="34">
        <v>2</v>
      </c>
      <c r="H176" s="34">
        <v>9</v>
      </c>
      <c r="I176" s="15" t="s">
        <v>484</v>
      </c>
      <c r="J176" s="15" t="s">
        <v>74</v>
      </c>
      <c r="K176" s="74" t="s">
        <v>29</v>
      </c>
      <c r="L176" s="16">
        <v>6025512</v>
      </c>
      <c r="M176" s="16">
        <v>3904119</v>
      </c>
      <c r="N176" s="16">
        <v>1766625</v>
      </c>
      <c r="O176" s="16">
        <v>5245617</v>
      </c>
      <c r="P176" s="16">
        <v>3895892</v>
      </c>
      <c r="Q176" s="16">
        <v>779896</v>
      </c>
      <c r="R176" s="16">
        <v>43690</v>
      </c>
      <c r="S176" s="16">
        <v>0</v>
      </c>
      <c r="T176" s="16">
        <v>65</v>
      </c>
      <c r="U176" s="15" t="str">
        <f t="shared" si="8"/>
        <v>Privado Nacional</v>
      </c>
      <c r="V176" s="17">
        <f t="shared" si="9"/>
        <v>0.64793149528206073</v>
      </c>
      <c r="W176" s="17">
        <f t="shared" si="10"/>
        <v>5.6020289884805154E-2</v>
      </c>
      <c r="X176" s="15" t="str">
        <f t="shared" si="11"/>
        <v>Média/Pequena</v>
      </c>
      <c r="Y176" s="121" t="str" cm="1">
        <f t="array" ref="Y176">_xlfn.IFS(ISNUMBER(W176)=FALSE,"Sem dado",W176&gt;0.075,"Excelente",W176&gt;0.04,"Bom",W176&gt;0,"Fraco",TRUE,"Prejuízo")</f>
        <v>Bom</v>
      </c>
    </row>
    <row r="177" spans="1:25" ht="15" customHeight="1" x14ac:dyDescent="0.2">
      <c r="A177" s="12" t="s">
        <v>485</v>
      </c>
      <c r="B177" s="56">
        <v>2015588</v>
      </c>
      <c r="C177" s="12"/>
      <c r="D177" s="12"/>
      <c r="E177" s="12"/>
      <c r="F177" s="12" t="s">
        <v>265</v>
      </c>
      <c r="G177" s="33">
        <v>2</v>
      </c>
      <c r="H177" s="33">
        <v>9</v>
      </c>
      <c r="I177" s="12" t="s">
        <v>486</v>
      </c>
      <c r="J177" s="12" t="s">
        <v>432</v>
      </c>
      <c r="K177" s="73" t="s">
        <v>29</v>
      </c>
      <c r="L177" s="13">
        <v>5947631</v>
      </c>
      <c r="M177" s="13">
        <v>2715140</v>
      </c>
      <c r="N177" s="13">
        <v>122142</v>
      </c>
      <c r="O177" s="13">
        <v>5082570</v>
      </c>
      <c r="P177" s="13">
        <v>4215916</v>
      </c>
      <c r="Q177" s="13">
        <v>865061</v>
      </c>
      <c r="R177" s="13">
        <v>84355</v>
      </c>
      <c r="S177" s="13">
        <v>0</v>
      </c>
      <c r="T177" s="13">
        <v>48</v>
      </c>
      <c r="U177" s="12" t="str">
        <f t="shared" si="8"/>
        <v>Privado Nacional</v>
      </c>
      <c r="V177" s="14">
        <f t="shared" si="9"/>
        <v>0.45650780957998233</v>
      </c>
      <c r="W177" s="14">
        <f t="shared" si="10"/>
        <v>9.7513354549563558E-2</v>
      </c>
      <c r="X177" s="12" t="str">
        <f t="shared" si="11"/>
        <v>Média/Pequena</v>
      </c>
      <c r="Y177" s="122" t="str" cm="1">
        <f t="array" ref="Y177">_xlfn.IFS(ISNUMBER(W177)=FALSE,"Sem dado",W177&gt;0.075,"Excelente",W177&gt;0.04,"Bom",W177&gt;0,"Fraco",TRUE,"Prejuízo")</f>
        <v>Excelente</v>
      </c>
    </row>
    <row r="178" spans="1:25" ht="15" customHeight="1" x14ac:dyDescent="0.2">
      <c r="A178" s="15" t="s">
        <v>487</v>
      </c>
      <c r="B178" s="60">
        <v>9464032</v>
      </c>
      <c r="C178" s="15" t="s">
        <v>488</v>
      </c>
      <c r="D178" s="15"/>
      <c r="E178" s="15" t="s">
        <v>489</v>
      </c>
      <c r="F178" s="15" t="s">
        <v>65</v>
      </c>
      <c r="G178" s="34">
        <v>2</v>
      </c>
      <c r="H178" s="34">
        <v>14</v>
      </c>
      <c r="I178" s="15" t="s">
        <v>38</v>
      </c>
      <c r="J178" s="15" t="s">
        <v>39</v>
      </c>
      <c r="K178" s="74" t="s">
        <v>29</v>
      </c>
      <c r="L178" s="16">
        <v>5910371</v>
      </c>
      <c r="M178" s="16">
        <v>4911404</v>
      </c>
      <c r="N178" s="16">
        <v>142443</v>
      </c>
      <c r="O178" s="16">
        <v>4604461</v>
      </c>
      <c r="P178" s="16">
        <v>955770</v>
      </c>
      <c r="Q178" s="16">
        <v>1305911</v>
      </c>
      <c r="R178" s="16">
        <v>53482</v>
      </c>
      <c r="S178" s="16">
        <v>2</v>
      </c>
      <c r="T178" s="16">
        <v>0</v>
      </c>
      <c r="U178" s="15" t="str">
        <f t="shared" si="8"/>
        <v>Privado Nacional</v>
      </c>
      <c r="V178" s="17">
        <f t="shared" si="9"/>
        <v>0.83098066094328094</v>
      </c>
      <c r="W178" s="17">
        <f t="shared" si="10"/>
        <v>4.0953786284057644E-2</v>
      </c>
      <c r="X178" s="15" t="str">
        <f t="shared" si="11"/>
        <v>Média/Pequena</v>
      </c>
      <c r="Y178" s="121" t="str" cm="1">
        <f t="array" ref="Y178">_xlfn.IFS(ISNUMBER(W178)=FALSE,"Sem dado",W178&gt;0.075,"Excelente",W178&gt;0.04,"Bom",W178&gt;0,"Fraco",TRUE,"Prejuízo")</f>
        <v>Bom</v>
      </c>
    </row>
    <row r="179" spans="1:25" ht="15" customHeight="1" x14ac:dyDescent="0.2">
      <c r="A179" s="12" t="s">
        <v>490</v>
      </c>
      <c r="B179" s="56">
        <v>2658435</v>
      </c>
      <c r="C179" s="12" t="s">
        <v>491</v>
      </c>
      <c r="D179" s="12"/>
      <c r="E179" s="12" t="s">
        <v>492</v>
      </c>
      <c r="F179" s="12" t="s">
        <v>60</v>
      </c>
      <c r="G179" s="33">
        <v>3</v>
      </c>
      <c r="H179" s="33">
        <v>8</v>
      </c>
      <c r="I179" s="12" t="s">
        <v>38</v>
      </c>
      <c r="J179" s="12" t="s">
        <v>39</v>
      </c>
      <c r="K179" s="73" t="s">
        <v>29</v>
      </c>
      <c r="L179" s="13">
        <v>5908741</v>
      </c>
      <c r="M179" s="13">
        <v>5699352</v>
      </c>
      <c r="N179" s="13">
        <v>0</v>
      </c>
      <c r="O179" s="13">
        <v>4565835</v>
      </c>
      <c r="P179" s="13">
        <v>4284526</v>
      </c>
      <c r="Q179" s="13">
        <v>1342907</v>
      </c>
      <c r="R179" s="13">
        <v>21772</v>
      </c>
      <c r="S179" s="13">
        <v>2</v>
      </c>
      <c r="T179" s="13">
        <v>0</v>
      </c>
      <c r="U179" s="12" t="str">
        <f t="shared" si="8"/>
        <v>Privado Estrangeiro</v>
      </c>
      <c r="V179" s="14">
        <f t="shared" si="9"/>
        <v>0.96456284003648152</v>
      </c>
      <c r="W179" s="14">
        <f t="shared" si="10"/>
        <v>1.6212589553855926E-2</v>
      </c>
      <c r="X179" s="12" t="str">
        <f t="shared" si="11"/>
        <v>Média/Pequena</v>
      </c>
      <c r="Y179" s="122" t="str" cm="1">
        <f t="array" ref="Y179">_xlfn.IFS(ISNUMBER(W179)=FALSE,"Sem dado",W179&gt;0.075,"Excelente",W179&gt;0.04,"Bom",W179&gt;0,"Fraco",TRUE,"Prejuízo")</f>
        <v>Fraco</v>
      </c>
    </row>
    <row r="180" spans="1:25" ht="15" customHeight="1" x14ac:dyDescent="0.2">
      <c r="A180" s="15" t="s">
        <v>493</v>
      </c>
      <c r="B180" s="60">
        <v>78834975</v>
      </c>
      <c r="C180" s="15"/>
      <c r="D180" s="15"/>
      <c r="E180" s="15"/>
      <c r="F180" s="15" t="s">
        <v>265</v>
      </c>
      <c r="G180" s="34">
        <v>2</v>
      </c>
      <c r="H180" s="34">
        <v>9</v>
      </c>
      <c r="I180" s="15" t="s">
        <v>494</v>
      </c>
      <c r="J180" s="15" t="s">
        <v>217</v>
      </c>
      <c r="K180" s="74" t="s">
        <v>29</v>
      </c>
      <c r="L180" s="16">
        <v>5864997</v>
      </c>
      <c r="M180" s="16">
        <v>3484517</v>
      </c>
      <c r="N180" s="16">
        <v>93410</v>
      </c>
      <c r="O180" s="16">
        <v>5176305</v>
      </c>
      <c r="P180" s="16">
        <v>4200019</v>
      </c>
      <c r="Q180" s="16">
        <v>688692</v>
      </c>
      <c r="R180" s="16">
        <v>96744</v>
      </c>
      <c r="S180" s="16">
        <v>0</v>
      </c>
      <c r="T180" s="16">
        <v>43</v>
      </c>
      <c r="U180" s="15" t="str">
        <f t="shared" si="8"/>
        <v>Privado Nacional</v>
      </c>
      <c r="V180" s="17">
        <f t="shared" si="9"/>
        <v>0.59412084950768096</v>
      </c>
      <c r="W180" s="17">
        <f t="shared" si="10"/>
        <v>0.14047498736735725</v>
      </c>
      <c r="X180" s="15" t="str">
        <f t="shared" si="11"/>
        <v>Média/Pequena</v>
      </c>
      <c r="Y180" s="121" t="str" cm="1">
        <f t="array" ref="Y180">_xlfn.IFS(ISNUMBER(W180)=FALSE,"Sem dado",W180&gt;0.075,"Excelente",W180&gt;0.04,"Bom",W180&gt;0,"Fraco",TRUE,"Prejuízo")</f>
        <v>Excelente</v>
      </c>
    </row>
    <row r="181" spans="1:25" ht="15" customHeight="1" x14ac:dyDescent="0.2">
      <c r="A181" s="12" t="s">
        <v>495</v>
      </c>
      <c r="B181" s="56">
        <v>92934215</v>
      </c>
      <c r="C181" s="12" t="s">
        <v>86</v>
      </c>
      <c r="D181" s="12"/>
      <c r="E181" s="12" t="s">
        <v>88</v>
      </c>
      <c r="F181" s="12" t="s">
        <v>84</v>
      </c>
      <c r="G181" s="33">
        <v>1</v>
      </c>
      <c r="H181" s="33">
        <v>41</v>
      </c>
      <c r="I181" s="12" t="s">
        <v>73</v>
      </c>
      <c r="J181" s="12" t="s">
        <v>74</v>
      </c>
      <c r="K181" s="73" t="s">
        <v>29</v>
      </c>
      <c r="L181" s="13">
        <v>5840339</v>
      </c>
      <c r="M181" s="13">
        <v>13422</v>
      </c>
      <c r="N181" s="13">
        <v>2078296</v>
      </c>
      <c r="O181" s="13">
        <v>2843018</v>
      </c>
      <c r="P181" s="13">
        <v>446078</v>
      </c>
      <c r="Q181" s="13">
        <v>2997321</v>
      </c>
      <c r="R181" s="13">
        <v>234895</v>
      </c>
      <c r="S181" s="13">
        <v>1</v>
      </c>
      <c r="T181" s="13">
        <v>0</v>
      </c>
      <c r="U181" s="12" t="str">
        <f t="shared" si="8"/>
        <v>Público</v>
      </c>
      <c r="V181" s="14">
        <f t="shared" si="9"/>
        <v>2.2981542680998485E-3</v>
      </c>
      <c r="W181" s="14">
        <f t="shared" si="10"/>
        <v>7.8368316239735419E-2</v>
      </c>
      <c r="X181" s="12" t="str">
        <f t="shared" si="11"/>
        <v>Média/Pequena</v>
      </c>
      <c r="Y181" s="122" t="str" cm="1">
        <f t="array" ref="Y181">_xlfn.IFS(ISNUMBER(W181)=FALSE,"Sem dado",W181&gt;0.075,"Excelente",W181&gt;0.04,"Bom",W181&gt;0,"Fraco",TRUE,"Prejuízo")</f>
        <v>Excelente</v>
      </c>
    </row>
    <row r="182" spans="1:25" ht="15" customHeight="1" x14ac:dyDescent="0.2">
      <c r="A182" s="15" t="s">
        <v>496</v>
      </c>
      <c r="B182" s="60">
        <v>7202627</v>
      </c>
      <c r="C182" s="15"/>
      <c r="D182" s="15"/>
      <c r="E182" s="15"/>
      <c r="F182" s="15" t="s">
        <v>199</v>
      </c>
      <c r="G182" s="34">
        <v>2</v>
      </c>
      <c r="H182" s="34">
        <v>9</v>
      </c>
      <c r="I182" s="15" t="s">
        <v>369</v>
      </c>
      <c r="J182" s="15" t="s">
        <v>217</v>
      </c>
      <c r="K182" s="74" t="s">
        <v>29</v>
      </c>
      <c r="L182" s="16">
        <v>5757818</v>
      </c>
      <c r="M182" s="16">
        <v>117078</v>
      </c>
      <c r="N182" s="16">
        <v>1739421</v>
      </c>
      <c r="O182" s="16">
        <v>5373679</v>
      </c>
      <c r="P182" s="16">
        <v>2897611</v>
      </c>
      <c r="Q182" s="16">
        <v>384138</v>
      </c>
      <c r="R182" s="16">
        <v>6703</v>
      </c>
      <c r="S182" s="16">
        <v>0</v>
      </c>
      <c r="T182" s="16">
        <v>0</v>
      </c>
      <c r="U182" s="15" t="str">
        <f t="shared" si="8"/>
        <v>Privado Nacional</v>
      </c>
      <c r="V182" s="17">
        <f t="shared" si="9"/>
        <v>2.0333744484455744E-2</v>
      </c>
      <c r="W182" s="17">
        <f t="shared" si="10"/>
        <v>1.7449458267601747E-2</v>
      </c>
      <c r="X182" s="15" t="str">
        <f t="shared" si="11"/>
        <v>Média/Pequena</v>
      </c>
      <c r="Y182" s="121" t="str" cm="1">
        <f t="array" ref="Y182">_xlfn.IFS(ISNUMBER(W182)=FALSE,"Sem dado",W182&gt;0.075,"Excelente",W182&gt;0.04,"Bom",W182&gt;0,"Fraco",TRUE,"Prejuízo")</f>
        <v>Fraco</v>
      </c>
    </row>
    <row r="183" spans="1:25" ht="15" customHeight="1" x14ac:dyDescent="0.2">
      <c r="A183" s="12" t="s">
        <v>497</v>
      </c>
      <c r="B183" s="56">
        <v>10348181</v>
      </c>
      <c r="C183" s="12"/>
      <c r="D183" s="12"/>
      <c r="E183" s="12"/>
      <c r="F183" s="12" t="s">
        <v>265</v>
      </c>
      <c r="G183" s="33">
        <v>2</v>
      </c>
      <c r="H183" s="33">
        <v>9</v>
      </c>
      <c r="I183" s="12" t="s">
        <v>498</v>
      </c>
      <c r="J183" s="12" t="s">
        <v>217</v>
      </c>
      <c r="K183" s="73" t="s">
        <v>29</v>
      </c>
      <c r="L183" s="13">
        <v>5719662</v>
      </c>
      <c r="M183" s="13">
        <v>3339910</v>
      </c>
      <c r="N183" s="13">
        <v>1938620</v>
      </c>
      <c r="O183" s="13">
        <v>4949213</v>
      </c>
      <c r="P183" s="13">
        <v>4208550</v>
      </c>
      <c r="Q183" s="13">
        <v>770449</v>
      </c>
      <c r="R183" s="13">
        <v>97940</v>
      </c>
      <c r="S183" s="13">
        <v>0</v>
      </c>
      <c r="T183" s="13">
        <v>42</v>
      </c>
      <c r="U183" s="12" t="str">
        <f t="shared" si="8"/>
        <v>Privado Nacional</v>
      </c>
      <c r="V183" s="14">
        <f t="shared" si="9"/>
        <v>0.5839348548917751</v>
      </c>
      <c r="W183" s="14">
        <f t="shared" si="10"/>
        <v>0.12712067898069826</v>
      </c>
      <c r="X183" s="12" t="str">
        <f t="shared" si="11"/>
        <v>Média/Pequena</v>
      </c>
      <c r="Y183" s="122" t="str" cm="1">
        <f t="array" ref="Y183">_xlfn.IFS(ISNUMBER(W183)=FALSE,"Sem dado",W183&gt;0.075,"Excelente",W183&gt;0.04,"Bom",W183&gt;0,"Fraco",TRUE,"Prejuízo")</f>
        <v>Excelente</v>
      </c>
    </row>
    <row r="184" spans="1:25" ht="15" customHeight="1" x14ac:dyDescent="0.2">
      <c r="A184" s="15" t="s">
        <v>499</v>
      </c>
      <c r="B184" s="60">
        <v>20855875</v>
      </c>
      <c r="C184" s="15" t="s">
        <v>437</v>
      </c>
      <c r="D184" s="15"/>
      <c r="E184" s="15" t="s">
        <v>439</v>
      </c>
      <c r="F184" s="15" t="s">
        <v>84</v>
      </c>
      <c r="G184" s="34">
        <v>2</v>
      </c>
      <c r="H184" s="34">
        <v>41</v>
      </c>
      <c r="I184" s="15" t="s">
        <v>38</v>
      </c>
      <c r="J184" s="15" t="s">
        <v>39</v>
      </c>
      <c r="K184" s="74" t="s">
        <v>29</v>
      </c>
      <c r="L184" s="16">
        <v>5693593</v>
      </c>
      <c r="M184" s="16">
        <v>2749466</v>
      </c>
      <c r="N184" s="16">
        <v>285902</v>
      </c>
      <c r="O184" s="16">
        <v>5209013</v>
      </c>
      <c r="P184" s="16">
        <v>1424737</v>
      </c>
      <c r="Q184" s="16">
        <v>484580</v>
      </c>
      <c r="R184" s="16">
        <v>62997</v>
      </c>
      <c r="S184" s="16">
        <v>1</v>
      </c>
      <c r="T184" s="16">
        <v>0</v>
      </c>
      <c r="U184" s="15" t="str">
        <f t="shared" si="8"/>
        <v>Privado Nacional</v>
      </c>
      <c r="V184" s="17">
        <f t="shared" si="9"/>
        <v>0.4829052585950559</v>
      </c>
      <c r="W184" s="17">
        <f t="shared" si="10"/>
        <v>0.13000330182838746</v>
      </c>
      <c r="X184" s="15" t="str">
        <f t="shared" si="11"/>
        <v>Média/Pequena</v>
      </c>
      <c r="Y184" s="121" t="str" cm="1">
        <f t="array" ref="Y184">_xlfn.IFS(ISNUMBER(W184)=FALSE,"Sem dado",W184&gt;0.075,"Excelente",W184&gt;0.04,"Bom",W184&gt;0,"Fraco",TRUE,"Prejuízo")</f>
        <v>Excelente</v>
      </c>
    </row>
    <row r="185" spans="1:25" ht="15" customHeight="1" x14ac:dyDescent="0.2">
      <c r="A185" s="12" t="s">
        <v>500</v>
      </c>
      <c r="B185" s="56">
        <v>24933830</v>
      </c>
      <c r="C185" s="12" t="s">
        <v>23</v>
      </c>
      <c r="D185" s="12" t="s">
        <v>24</v>
      </c>
      <c r="E185" s="12" t="s">
        <v>25</v>
      </c>
      <c r="F185" s="12" t="s">
        <v>60</v>
      </c>
      <c r="G185" s="33">
        <v>1</v>
      </c>
      <c r="H185" s="33">
        <v>13</v>
      </c>
      <c r="I185" s="12" t="s">
        <v>27</v>
      </c>
      <c r="J185" s="12" t="s">
        <v>28</v>
      </c>
      <c r="K185" s="73" t="s">
        <v>29</v>
      </c>
      <c r="L185" s="13">
        <v>5676680</v>
      </c>
      <c r="M185" s="13">
        <v>0</v>
      </c>
      <c r="N185" s="13">
        <v>3106732</v>
      </c>
      <c r="O185" s="13">
        <v>4904552</v>
      </c>
      <c r="P185" s="13">
        <v>4083444</v>
      </c>
      <c r="Q185" s="13">
        <v>772128</v>
      </c>
      <c r="R185" s="13">
        <v>190029</v>
      </c>
      <c r="S185" s="13">
        <v>2</v>
      </c>
      <c r="T185" s="13">
        <v>0</v>
      </c>
      <c r="U185" s="12" t="str">
        <f t="shared" si="8"/>
        <v>Público</v>
      </c>
      <c r="V185" s="14">
        <f t="shared" si="9"/>
        <v>0</v>
      </c>
      <c r="W185" s="14">
        <f t="shared" si="10"/>
        <v>0.24611074847693645</v>
      </c>
      <c r="X185" s="12" t="str">
        <f t="shared" si="11"/>
        <v>Média/Pequena</v>
      </c>
      <c r="Y185" s="122" t="str" cm="1">
        <f t="array" ref="Y185">_xlfn.IFS(ISNUMBER(W185)=FALSE,"Sem dado",W185&gt;0.075,"Excelente",W185&gt;0.04,"Bom",W185&gt;0,"Fraco",TRUE,"Prejuízo")</f>
        <v>Excelente</v>
      </c>
    </row>
    <row r="186" spans="1:25" ht="15" customHeight="1" x14ac:dyDescent="0.2">
      <c r="A186" s="15" t="s">
        <v>501</v>
      </c>
      <c r="B186" s="60">
        <v>62287735</v>
      </c>
      <c r="C186" s="15" t="s">
        <v>502</v>
      </c>
      <c r="D186" s="15" t="s">
        <v>503</v>
      </c>
      <c r="E186" s="15" t="s">
        <v>504</v>
      </c>
      <c r="F186" s="15" t="s">
        <v>98</v>
      </c>
      <c r="G186" s="34">
        <v>2</v>
      </c>
      <c r="H186" s="34">
        <v>16</v>
      </c>
      <c r="I186" s="15" t="s">
        <v>73</v>
      </c>
      <c r="J186" s="15" t="s">
        <v>74</v>
      </c>
      <c r="K186" s="74" t="s">
        <v>29</v>
      </c>
      <c r="L186" s="16">
        <v>5672568</v>
      </c>
      <c r="M186" s="16">
        <v>0</v>
      </c>
      <c r="N186" s="16">
        <v>74202</v>
      </c>
      <c r="O186" s="16">
        <v>5621912</v>
      </c>
      <c r="P186" s="16">
        <v>5571532</v>
      </c>
      <c r="Q186" s="16">
        <v>50656</v>
      </c>
      <c r="R186" s="16">
        <v>-11857</v>
      </c>
      <c r="S186" s="16">
        <v>2</v>
      </c>
      <c r="T186" s="16">
        <v>0</v>
      </c>
      <c r="U186" s="15" t="str">
        <f t="shared" si="8"/>
        <v>Privado Nacional</v>
      </c>
      <c r="V186" s="17">
        <f t="shared" si="9"/>
        <v>0</v>
      </c>
      <c r="W186" s="17">
        <f t="shared" si="10"/>
        <v>-0.23406901452937459</v>
      </c>
      <c r="X186" s="15" t="str">
        <f t="shared" si="11"/>
        <v>Média/Pequena</v>
      </c>
      <c r="Y186" s="121" t="str" cm="1">
        <f t="array" ref="Y186">_xlfn.IFS(ISNUMBER(W186)=FALSE,"Sem dado",W186&gt;0.075,"Excelente",W186&gt;0.04,"Bom",W186&gt;0,"Fraco",TRUE,"Prejuízo")</f>
        <v>Prejuízo</v>
      </c>
    </row>
    <row r="187" spans="1:25" ht="15" customHeight="1" x14ac:dyDescent="0.2">
      <c r="A187" s="12" t="s">
        <v>505</v>
      </c>
      <c r="B187" s="56">
        <v>38372267</v>
      </c>
      <c r="C187" s="12" t="s">
        <v>506</v>
      </c>
      <c r="D187" s="12"/>
      <c r="E187" s="12" t="s">
        <v>507</v>
      </c>
      <c r="F187" s="12" t="s">
        <v>84</v>
      </c>
      <c r="G187" s="33">
        <v>3</v>
      </c>
      <c r="H187" s="33">
        <v>41</v>
      </c>
      <c r="I187" s="12" t="s">
        <v>38</v>
      </c>
      <c r="J187" s="12" t="s">
        <v>39</v>
      </c>
      <c r="K187" s="73" t="s">
        <v>29</v>
      </c>
      <c r="L187" s="13">
        <v>5605239</v>
      </c>
      <c r="M187" s="13">
        <v>0</v>
      </c>
      <c r="N187" s="13">
        <v>1702943</v>
      </c>
      <c r="O187" s="13">
        <v>5191285</v>
      </c>
      <c r="P187" s="13">
        <v>1527129</v>
      </c>
      <c r="Q187" s="13">
        <v>413953</v>
      </c>
      <c r="R187" s="13">
        <v>183581</v>
      </c>
      <c r="S187" s="13">
        <v>1</v>
      </c>
      <c r="T187" s="13">
        <v>0</v>
      </c>
      <c r="U187" s="12" t="str">
        <f t="shared" si="8"/>
        <v>Privado Estrangeiro</v>
      </c>
      <c r="V187" s="14">
        <f t="shared" si="9"/>
        <v>0</v>
      </c>
      <c r="W187" s="14">
        <f t="shared" si="10"/>
        <v>0.44348271422117969</v>
      </c>
      <c r="X187" s="12" t="str">
        <f t="shared" si="11"/>
        <v>Média/Pequena</v>
      </c>
      <c r="Y187" s="122" t="str" cm="1">
        <f t="array" ref="Y187">_xlfn.IFS(ISNUMBER(W187)=FALSE,"Sem dado",W187&gt;0.075,"Excelente",W187&gt;0.04,"Bom",W187&gt;0,"Fraco",TRUE,"Prejuízo")</f>
        <v>Excelente</v>
      </c>
    </row>
    <row r="188" spans="1:25" ht="15" customHeight="1" x14ac:dyDescent="0.2">
      <c r="A188" s="15" t="s">
        <v>508</v>
      </c>
      <c r="B188" s="60">
        <v>19468242</v>
      </c>
      <c r="C188" s="15" t="s">
        <v>509</v>
      </c>
      <c r="D188" s="15"/>
      <c r="E188" s="15" t="s">
        <v>510</v>
      </c>
      <c r="F188" s="15" t="s">
        <v>84</v>
      </c>
      <c r="G188" s="34">
        <v>2</v>
      </c>
      <c r="H188" s="34">
        <v>41</v>
      </c>
      <c r="I188" s="15" t="s">
        <v>44</v>
      </c>
      <c r="J188" s="15" t="s">
        <v>39</v>
      </c>
      <c r="K188" s="74" t="s">
        <v>29</v>
      </c>
      <c r="L188" s="16">
        <v>5601767</v>
      </c>
      <c r="M188" s="16">
        <v>0</v>
      </c>
      <c r="N188" s="16">
        <v>83223</v>
      </c>
      <c r="O188" s="16">
        <v>5150710</v>
      </c>
      <c r="P188" s="16">
        <v>2793620</v>
      </c>
      <c r="Q188" s="16">
        <v>451057</v>
      </c>
      <c r="R188" s="16">
        <v>157740</v>
      </c>
      <c r="S188" s="16">
        <v>1</v>
      </c>
      <c r="T188" s="16">
        <v>0</v>
      </c>
      <c r="U188" s="15" t="str">
        <f t="shared" si="8"/>
        <v>Privado Nacional</v>
      </c>
      <c r="V188" s="17">
        <f t="shared" si="9"/>
        <v>0</v>
      </c>
      <c r="W188" s="17">
        <f t="shared" si="10"/>
        <v>0.34971189893960186</v>
      </c>
      <c r="X188" s="15" t="str">
        <f t="shared" si="11"/>
        <v>Média/Pequena</v>
      </c>
      <c r="Y188" s="121" t="str" cm="1">
        <f t="array" ref="Y188">_xlfn.IFS(ISNUMBER(W188)=FALSE,"Sem dado",W188&gt;0.075,"Excelente",W188&gt;0.04,"Bom",W188&gt;0,"Fraco",TRUE,"Prejuízo")</f>
        <v>Excelente</v>
      </c>
    </row>
    <row r="189" spans="1:25" ht="15" customHeight="1" x14ac:dyDescent="0.2">
      <c r="A189" s="12" t="s">
        <v>511</v>
      </c>
      <c r="B189" s="56">
        <v>87853206</v>
      </c>
      <c r="C189" s="12"/>
      <c r="D189" s="12"/>
      <c r="E189" s="12"/>
      <c r="F189" s="12" t="s">
        <v>265</v>
      </c>
      <c r="G189" s="33">
        <v>2</v>
      </c>
      <c r="H189" s="33">
        <v>9</v>
      </c>
      <c r="I189" s="12" t="s">
        <v>512</v>
      </c>
      <c r="J189" s="12" t="s">
        <v>74</v>
      </c>
      <c r="K189" s="73" t="s">
        <v>29</v>
      </c>
      <c r="L189" s="13">
        <v>5518860</v>
      </c>
      <c r="M189" s="13">
        <v>3014084</v>
      </c>
      <c r="N189" s="13">
        <v>1999359</v>
      </c>
      <c r="O189" s="13">
        <v>4797328</v>
      </c>
      <c r="P189" s="13">
        <v>3759992</v>
      </c>
      <c r="Q189" s="13">
        <v>721533</v>
      </c>
      <c r="R189" s="13">
        <v>63192</v>
      </c>
      <c r="S189" s="13">
        <v>0</v>
      </c>
      <c r="T189" s="13">
        <v>37</v>
      </c>
      <c r="U189" s="12" t="str">
        <f t="shared" si="8"/>
        <v>Privado Nacional</v>
      </c>
      <c r="V189" s="14">
        <f t="shared" si="9"/>
        <v>0.54614250044393231</v>
      </c>
      <c r="W189" s="14">
        <f t="shared" si="10"/>
        <v>8.7580193837288101E-2</v>
      </c>
      <c r="X189" s="12" t="str">
        <f t="shared" si="11"/>
        <v>Média/Pequena</v>
      </c>
      <c r="Y189" s="122" t="str" cm="1">
        <f t="array" ref="Y189">_xlfn.IFS(ISNUMBER(W189)=FALSE,"Sem dado",W189&gt;0.075,"Excelente",W189&gt;0.04,"Bom",W189&gt;0,"Fraco",TRUE,"Prejuízo")</f>
        <v>Excelente</v>
      </c>
    </row>
    <row r="190" spans="1:25" ht="15" customHeight="1" x14ac:dyDescent="0.2">
      <c r="A190" s="15" t="s">
        <v>513</v>
      </c>
      <c r="B190" s="60">
        <v>90497256</v>
      </c>
      <c r="C190" s="15"/>
      <c r="D190" s="15"/>
      <c r="E190" s="15"/>
      <c r="F190" s="15" t="s">
        <v>265</v>
      </c>
      <c r="G190" s="34">
        <v>2</v>
      </c>
      <c r="H190" s="34">
        <v>9</v>
      </c>
      <c r="I190" s="15" t="s">
        <v>514</v>
      </c>
      <c r="J190" s="15" t="s">
        <v>74</v>
      </c>
      <c r="K190" s="74" t="s">
        <v>29</v>
      </c>
      <c r="L190" s="16">
        <v>5480854</v>
      </c>
      <c r="M190" s="16">
        <v>2414154</v>
      </c>
      <c r="N190" s="16">
        <v>2362178</v>
      </c>
      <c r="O190" s="16">
        <v>4749686</v>
      </c>
      <c r="P190" s="16">
        <v>3640564</v>
      </c>
      <c r="Q190" s="16">
        <v>731168</v>
      </c>
      <c r="R190" s="16">
        <v>67567</v>
      </c>
      <c r="S190" s="16">
        <v>0</v>
      </c>
      <c r="T190" s="16">
        <v>42</v>
      </c>
      <c r="U190" s="15" t="str">
        <f t="shared" si="8"/>
        <v>Privado Nacional</v>
      </c>
      <c r="V190" s="17">
        <f t="shared" si="9"/>
        <v>0.44047040844364765</v>
      </c>
      <c r="W190" s="17">
        <f t="shared" si="10"/>
        <v>9.2409678760558445E-2</v>
      </c>
      <c r="X190" s="15" t="str">
        <f t="shared" si="11"/>
        <v>Média/Pequena</v>
      </c>
      <c r="Y190" s="121" t="str" cm="1">
        <f t="array" ref="Y190">_xlfn.IFS(ISNUMBER(W190)=FALSE,"Sem dado",W190&gt;0.075,"Excelente",W190&gt;0.04,"Bom",W190&gt;0,"Fraco",TRUE,"Prejuízo")</f>
        <v>Excelente</v>
      </c>
    </row>
    <row r="191" spans="1:25" ht="15" customHeight="1" x14ac:dyDescent="0.2">
      <c r="A191" s="12" t="s">
        <v>515</v>
      </c>
      <c r="B191" s="56">
        <v>43180355</v>
      </c>
      <c r="C191" s="12" t="s">
        <v>516</v>
      </c>
      <c r="D191" s="12"/>
      <c r="E191" s="12" t="s">
        <v>517</v>
      </c>
      <c r="F191" s="12" t="s">
        <v>65</v>
      </c>
      <c r="G191" s="33">
        <v>2</v>
      </c>
      <c r="H191" s="33">
        <v>14</v>
      </c>
      <c r="I191" s="12" t="s">
        <v>38</v>
      </c>
      <c r="J191" s="12" t="s">
        <v>39</v>
      </c>
      <c r="K191" s="73" t="s">
        <v>29</v>
      </c>
      <c r="L191" s="13">
        <v>5396429</v>
      </c>
      <c r="M191" s="13">
        <v>3146654</v>
      </c>
      <c r="N191" s="13">
        <v>380061</v>
      </c>
      <c r="O191" s="13">
        <v>4330973</v>
      </c>
      <c r="P191" s="13">
        <v>2403206</v>
      </c>
      <c r="Q191" s="13">
        <v>1065456</v>
      </c>
      <c r="R191" s="13">
        <v>5623</v>
      </c>
      <c r="S191" s="13">
        <v>2</v>
      </c>
      <c r="T191" s="13">
        <v>0</v>
      </c>
      <c r="U191" s="12" t="str">
        <f t="shared" si="8"/>
        <v>Privado Nacional</v>
      </c>
      <c r="V191" s="14">
        <f t="shared" si="9"/>
        <v>0.58309930511454888</v>
      </c>
      <c r="W191" s="14">
        <f t="shared" si="10"/>
        <v>5.2775525221125975E-3</v>
      </c>
      <c r="X191" s="12" t="str">
        <f t="shared" si="11"/>
        <v>Média/Pequena</v>
      </c>
      <c r="Y191" s="122" t="str" cm="1">
        <f t="array" ref="Y191">_xlfn.IFS(ISNUMBER(W191)=FALSE,"Sem dado",W191&gt;0.075,"Excelente",W191&gt;0.04,"Bom",W191&gt;0,"Fraco",TRUE,"Prejuízo")</f>
        <v>Fraco</v>
      </c>
    </row>
    <row r="192" spans="1:25" ht="15" customHeight="1" x14ac:dyDescent="0.2">
      <c r="A192" s="15" t="s">
        <v>518</v>
      </c>
      <c r="B192" s="60">
        <v>45246410</v>
      </c>
      <c r="C192" s="15" t="s">
        <v>519</v>
      </c>
      <c r="D192" s="15" t="s">
        <v>520</v>
      </c>
      <c r="E192" s="15" t="s">
        <v>521</v>
      </c>
      <c r="F192" s="15" t="s">
        <v>26</v>
      </c>
      <c r="G192" s="34">
        <v>2</v>
      </c>
      <c r="H192" s="34">
        <v>8</v>
      </c>
      <c r="I192" s="15" t="s">
        <v>53</v>
      </c>
      <c r="J192" s="15" t="s">
        <v>54</v>
      </c>
      <c r="K192" s="74" t="s">
        <v>29</v>
      </c>
      <c r="L192" s="16">
        <v>5356726</v>
      </c>
      <c r="M192" s="16">
        <v>349134</v>
      </c>
      <c r="N192" s="16">
        <v>2708563</v>
      </c>
      <c r="O192" s="16">
        <v>5216863</v>
      </c>
      <c r="P192" s="16">
        <v>4170953</v>
      </c>
      <c r="Q192" s="16">
        <v>139863</v>
      </c>
      <c r="R192" s="16">
        <v>-72542</v>
      </c>
      <c r="S192" s="16">
        <v>3</v>
      </c>
      <c r="T192" s="16">
        <v>0</v>
      </c>
      <c r="U192" s="15" t="str">
        <f t="shared" si="8"/>
        <v>Privado Nacional</v>
      </c>
      <c r="V192" s="17">
        <f t="shared" si="9"/>
        <v>6.5176751620299414E-2</v>
      </c>
      <c r="W192" s="17">
        <f t="shared" si="10"/>
        <v>-0.51866469330702192</v>
      </c>
      <c r="X192" s="15" t="str">
        <f t="shared" si="11"/>
        <v>Média/Pequena</v>
      </c>
      <c r="Y192" s="121" t="str" cm="1">
        <f t="array" ref="Y192">_xlfn.IFS(ISNUMBER(W192)=FALSE,"Sem dado",W192&gt;0.075,"Excelente",W192&gt;0.04,"Bom",W192&gt;0,"Fraco",TRUE,"Prejuízo")</f>
        <v>Prejuízo</v>
      </c>
    </row>
    <row r="193" spans="1:25" ht="15" customHeight="1" x14ac:dyDescent="0.2">
      <c r="A193" s="12" t="s">
        <v>522</v>
      </c>
      <c r="B193" s="56">
        <v>31546476</v>
      </c>
      <c r="C193" s="12" t="s">
        <v>23</v>
      </c>
      <c r="D193" s="12" t="s">
        <v>24</v>
      </c>
      <c r="E193" s="12" t="s">
        <v>25</v>
      </c>
      <c r="F193" s="12" t="s">
        <v>65</v>
      </c>
      <c r="G193" s="33">
        <v>1</v>
      </c>
      <c r="H193" s="33">
        <v>19</v>
      </c>
      <c r="I193" s="12" t="s">
        <v>27</v>
      </c>
      <c r="J193" s="12" t="s">
        <v>28</v>
      </c>
      <c r="K193" s="73" t="s">
        <v>29</v>
      </c>
      <c r="L193" s="13">
        <v>5350132</v>
      </c>
      <c r="M193" s="13">
        <v>787494</v>
      </c>
      <c r="N193" s="13">
        <v>0</v>
      </c>
      <c r="O193" s="13">
        <v>496361</v>
      </c>
      <c r="P193" s="13">
        <v>0</v>
      </c>
      <c r="Q193" s="13">
        <v>4853771</v>
      </c>
      <c r="R193" s="13">
        <v>195459</v>
      </c>
      <c r="S193" s="13">
        <v>2</v>
      </c>
      <c r="T193" s="13">
        <v>0</v>
      </c>
      <c r="U193" s="12" t="str">
        <f t="shared" si="8"/>
        <v>Público</v>
      </c>
      <c r="V193" s="14">
        <f t="shared" si="9"/>
        <v>0.14719150854595736</v>
      </c>
      <c r="W193" s="14">
        <f t="shared" si="10"/>
        <v>4.0269514157136789E-2</v>
      </c>
      <c r="X193" s="12" t="str">
        <f t="shared" si="11"/>
        <v>Média/Pequena</v>
      </c>
      <c r="Y193" s="122" t="str" cm="1">
        <f t="array" ref="Y193">_xlfn.IFS(ISNUMBER(W193)=FALSE,"Sem dado",W193&gt;0.075,"Excelente",W193&gt;0.04,"Bom",W193&gt;0,"Fraco",TRUE,"Prejuízo")</f>
        <v>Bom</v>
      </c>
    </row>
    <row r="194" spans="1:25" ht="15" customHeight="1" x14ac:dyDescent="0.2">
      <c r="A194" s="15" t="s">
        <v>523</v>
      </c>
      <c r="B194" s="60">
        <v>24795049</v>
      </c>
      <c r="C194" s="15"/>
      <c r="D194" s="15"/>
      <c r="E194" s="15"/>
      <c r="F194" s="15" t="s">
        <v>265</v>
      </c>
      <c r="G194" s="34">
        <v>2</v>
      </c>
      <c r="H194" s="34">
        <v>9</v>
      </c>
      <c r="I194" s="15" t="s">
        <v>524</v>
      </c>
      <c r="J194" s="15" t="s">
        <v>389</v>
      </c>
      <c r="K194" s="74" t="s">
        <v>29</v>
      </c>
      <c r="L194" s="16">
        <v>5255197</v>
      </c>
      <c r="M194" s="16">
        <v>2414287</v>
      </c>
      <c r="N194" s="16">
        <v>268857</v>
      </c>
      <c r="O194" s="16">
        <v>3712056</v>
      </c>
      <c r="P194" s="16">
        <v>3478935</v>
      </c>
      <c r="Q194" s="16">
        <v>1543140</v>
      </c>
      <c r="R194" s="16">
        <v>55905</v>
      </c>
      <c r="S194" s="16">
        <v>0</v>
      </c>
      <c r="T194" s="16">
        <v>34</v>
      </c>
      <c r="U194" s="15" t="str">
        <f t="shared" si="8"/>
        <v>Privado Nacional</v>
      </c>
      <c r="V194" s="17">
        <f t="shared" si="9"/>
        <v>0.45940941890475279</v>
      </c>
      <c r="W194" s="17">
        <f t="shared" si="10"/>
        <v>3.622808040748085E-2</v>
      </c>
      <c r="X194" s="15" t="str">
        <f t="shared" si="11"/>
        <v>Média/Pequena</v>
      </c>
      <c r="Y194" s="121" t="str" cm="1">
        <f t="array" ref="Y194">_xlfn.IFS(ISNUMBER(W194)=FALSE,"Sem dado",W194&gt;0.075,"Excelente",W194&gt;0.04,"Bom",W194&gt;0,"Fraco",TRUE,"Prejuízo")</f>
        <v>Fraco</v>
      </c>
    </row>
    <row r="195" spans="1:25" ht="15" customHeight="1" x14ac:dyDescent="0.2">
      <c r="A195" s="12" t="s">
        <v>525</v>
      </c>
      <c r="B195" s="56">
        <v>92555150</v>
      </c>
      <c r="C195" s="12"/>
      <c r="D195" s="12"/>
      <c r="E195" s="12"/>
      <c r="F195" s="12" t="s">
        <v>265</v>
      </c>
      <c r="G195" s="33">
        <v>2</v>
      </c>
      <c r="H195" s="33">
        <v>9</v>
      </c>
      <c r="I195" s="12" t="s">
        <v>526</v>
      </c>
      <c r="J195" s="12" t="s">
        <v>74</v>
      </c>
      <c r="K195" s="73" t="s">
        <v>29</v>
      </c>
      <c r="L195" s="13">
        <v>5237017</v>
      </c>
      <c r="M195" s="13">
        <v>3269865</v>
      </c>
      <c r="N195" s="13">
        <v>1690494</v>
      </c>
      <c r="O195" s="13">
        <v>4578165</v>
      </c>
      <c r="P195" s="13">
        <v>2875361</v>
      </c>
      <c r="Q195" s="13">
        <v>658852</v>
      </c>
      <c r="R195" s="13">
        <v>51433</v>
      </c>
      <c r="S195" s="13">
        <v>0</v>
      </c>
      <c r="T195" s="13">
        <v>43</v>
      </c>
      <c r="U195" s="12" t="str">
        <f t="shared" si="8"/>
        <v>Privado Nacional</v>
      </c>
      <c r="V195" s="14">
        <f t="shared" si="9"/>
        <v>0.62437547939981863</v>
      </c>
      <c r="W195" s="14">
        <f t="shared" si="10"/>
        <v>7.8064572923812942E-2</v>
      </c>
      <c r="X195" s="12" t="str">
        <f t="shared" si="11"/>
        <v>Média/Pequena</v>
      </c>
      <c r="Y195" s="122" t="str" cm="1">
        <f t="array" ref="Y195">_xlfn.IFS(ISNUMBER(W195)=FALSE,"Sem dado",W195&gt;0.075,"Excelente",W195&gt;0.04,"Bom",W195&gt;0,"Fraco",TRUE,"Prejuízo")</f>
        <v>Excelente</v>
      </c>
    </row>
    <row r="196" spans="1:25" ht="15" customHeight="1" x14ac:dyDescent="0.2">
      <c r="A196" s="15" t="s">
        <v>527</v>
      </c>
      <c r="B196" s="60">
        <v>2843443</v>
      </c>
      <c r="C196" s="15"/>
      <c r="D196" s="15"/>
      <c r="E196" s="15"/>
      <c r="F196" s="15" t="s">
        <v>265</v>
      </c>
      <c r="G196" s="34">
        <v>2</v>
      </c>
      <c r="H196" s="34">
        <v>9</v>
      </c>
      <c r="I196" s="15" t="s">
        <v>528</v>
      </c>
      <c r="J196" s="15" t="s">
        <v>217</v>
      </c>
      <c r="K196" s="74" t="s">
        <v>29</v>
      </c>
      <c r="L196" s="16">
        <v>5226965</v>
      </c>
      <c r="M196" s="16">
        <v>2502039</v>
      </c>
      <c r="N196" s="16">
        <v>2315549</v>
      </c>
      <c r="O196" s="16">
        <v>4486752</v>
      </c>
      <c r="P196" s="16">
        <v>3966163</v>
      </c>
      <c r="Q196" s="16">
        <v>740213</v>
      </c>
      <c r="R196" s="16">
        <v>80060</v>
      </c>
      <c r="S196" s="16">
        <v>0</v>
      </c>
      <c r="T196" s="16">
        <v>42</v>
      </c>
      <c r="U196" s="15" t="str">
        <f t="shared" si="8"/>
        <v>Privado Nacional</v>
      </c>
      <c r="V196" s="17">
        <f t="shared" si="9"/>
        <v>0.47867911876203495</v>
      </c>
      <c r="W196" s="17">
        <f t="shared" si="10"/>
        <v>0.10815805720785773</v>
      </c>
      <c r="X196" s="15" t="str">
        <f t="shared" si="11"/>
        <v>Média/Pequena</v>
      </c>
      <c r="Y196" s="121" t="str" cm="1">
        <f t="array" ref="Y196">_xlfn.IFS(ISNUMBER(W196)=FALSE,"Sem dado",W196&gt;0.075,"Excelente",W196&gt;0.04,"Bom",W196&gt;0,"Fraco",TRUE,"Prejuízo")</f>
        <v>Excelente</v>
      </c>
    </row>
    <row r="197" spans="1:25" ht="15" customHeight="1" x14ac:dyDescent="0.2">
      <c r="A197" s="12" t="s">
        <v>529</v>
      </c>
      <c r="B197" s="56">
        <v>62169875</v>
      </c>
      <c r="C197" s="12" t="s">
        <v>62</v>
      </c>
      <c r="D197" s="12" t="s">
        <v>63</v>
      </c>
      <c r="E197" s="12" t="s">
        <v>64</v>
      </c>
      <c r="F197" s="12" t="s">
        <v>98</v>
      </c>
      <c r="G197" s="33">
        <v>3</v>
      </c>
      <c r="H197" s="33">
        <v>15</v>
      </c>
      <c r="I197" s="12" t="s">
        <v>38</v>
      </c>
      <c r="J197" s="12" t="s">
        <v>39</v>
      </c>
      <c r="K197" s="73" t="s">
        <v>29</v>
      </c>
      <c r="L197" s="13">
        <v>5198065</v>
      </c>
      <c r="M197" s="13">
        <v>0</v>
      </c>
      <c r="N197" s="13">
        <v>3481090</v>
      </c>
      <c r="O197" s="13">
        <v>375553</v>
      </c>
      <c r="P197" s="13">
        <v>123609</v>
      </c>
      <c r="Q197" s="13">
        <v>4822512</v>
      </c>
      <c r="R197" s="13">
        <v>100384</v>
      </c>
      <c r="S197" s="13">
        <v>2</v>
      </c>
      <c r="T197" s="13">
        <v>0</v>
      </c>
      <c r="U197" s="12" t="str">
        <f t="shared" ref="U197:U260" si="12">IFERROR(CHOOSE(G197,"Público","Privado Nacional","Privado Estrangeiro"),"n.d.")</f>
        <v>Privado Estrangeiro</v>
      </c>
      <c r="V197" s="14">
        <f t="shared" ref="V197:V260" si="13">IF(AND(ISNUMBER(M197),ISNUMBER(L197)),IF(L197&gt;0,M197/L197,"n.d."),"NI")</f>
        <v>0</v>
      </c>
      <c r="W197" s="14">
        <f t="shared" ref="W197:W260" si="14">IF(AND(ISNUMBER(R197),ISNUMBER(Q197)),IF(Q197&gt;0,R197/Q197,"n.d."),"NI")</f>
        <v>2.0815707664387357E-2</v>
      </c>
      <c r="X197" s="12" t="str">
        <f t="shared" ref="X197:X260" si="15">IF(ISNUMBER(L197),IF(L197&gt;100000000,"Grande","Média/Pequena"),"Sem dado")</f>
        <v>Média/Pequena</v>
      </c>
      <c r="Y197" s="122" t="str" cm="1">
        <f t="array" ref="Y197">_xlfn.IFS(ISNUMBER(W197)=FALSE,"Sem dado",W197&gt;0.075,"Excelente",W197&gt;0.04,"Bom",W197&gt;0,"Fraco",TRUE,"Prejuízo")</f>
        <v>Fraco</v>
      </c>
    </row>
    <row r="198" spans="1:25" ht="15" customHeight="1" x14ac:dyDescent="0.2">
      <c r="A198" s="15" t="s">
        <v>530</v>
      </c>
      <c r="B198" s="60">
        <v>82527557</v>
      </c>
      <c r="C198" s="15"/>
      <c r="D198" s="15"/>
      <c r="E198" s="15"/>
      <c r="F198" s="15" t="s">
        <v>265</v>
      </c>
      <c r="G198" s="34">
        <v>2</v>
      </c>
      <c r="H198" s="34">
        <v>9</v>
      </c>
      <c r="I198" s="15" t="s">
        <v>531</v>
      </c>
      <c r="J198" s="15" t="s">
        <v>229</v>
      </c>
      <c r="K198" s="74" t="s">
        <v>29</v>
      </c>
      <c r="L198" s="16">
        <v>5120654</v>
      </c>
      <c r="M198" s="16">
        <v>3007322</v>
      </c>
      <c r="N198" s="16">
        <v>1781578</v>
      </c>
      <c r="O198" s="16">
        <v>4552206</v>
      </c>
      <c r="P198" s="16">
        <v>3233206</v>
      </c>
      <c r="Q198" s="16">
        <v>568449</v>
      </c>
      <c r="R198" s="16">
        <v>14813</v>
      </c>
      <c r="S198" s="16">
        <v>0</v>
      </c>
      <c r="T198" s="16">
        <v>48</v>
      </c>
      <c r="U198" s="15" t="str">
        <f t="shared" si="12"/>
        <v>Privado Nacional</v>
      </c>
      <c r="V198" s="17">
        <f t="shared" si="13"/>
        <v>0.58729256067681979</v>
      </c>
      <c r="W198" s="17">
        <f t="shared" si="14"/>
        <v>2.6058626191619652E-2</v>
      </c>
      <c r="X198" s="15" t="str">
        <f t="shared" si="15"/>
        <v>Média/Pequena</v>
      </c>
      <c r="Y198" s="121" t="str" cm="1">
        <f t="array" ref="Y198">_xlfn.IFS(ISNUMBER(W198)=FALSE,"Sem dado",W198&gt;0.075,"Excelente",W198&gt;0.04,"Bom",W198&gt;0,"Fraco",TRUE,"Prejuízo")</f>
        <v>Fraco</v>
      </c>
    </row>
    <row r="199" spans="1:25" ht="15" customHeight="1" x14ac:dyDescent="0.2">
      <c r="A199" s="12" t="s">
        <v>532</v>
      </c>
      <c r="B199" s="56">
        <v>95594941</v>
      </c>
      <c r="C199" s="12"/>
      <c r="D199" s="12"/>
      <c r="E199" s="12"/>
      <c r="F199" s="12" t="s">
        <v>265</v>
      </c>
      <c r="G199" s="33">
        <v>2</v>
      </c>
      <c r="H199" s="33">
        <v>9</v>
      </c>
      <c r="I199" s="12" t="s">
        <v>533</v>
      </c>
      <c r="J199" s="12" t="s">
        <v>74</v>
      </c>
      <c r="K199" s="73" t="s">
        <v>29</v>
      </c>
      <c r="L199" s="13">
        <v>5080095</v>
      </c>
      <c r="M199" s="13">
        <v>2825843</v>
      </c>
      <c r="N199" s="13">
        <v>1742638</v>
      </c>
      <c r="O199" s="13">
        <v>4400213</v>
      </c>
      <c r="P199" s="13">
        <v>3127441</v>
      </c>
      <c r="Q199" s="13">
        <v>679882</v>
      </c>
      <c r="R199" s="13">
        <v>39849</v>
      </c>
      <c r="S199" s="13">
        <v>0</v>
      </c>
      <c r="T199" s="13">
        <v>52</v>
      </c>
      <c r="U199" s="12" t="str">
        <f t="shared" si="12"/>
        <v>Privado Nacional</v>
      </c>
      <c r="V199" s="14">
        <f t="shared" si="13"/>
        <v>0.55625790462579927</v>
      </c>
      <c r="W199" s="14">
        <f t="shared" si="14"/>
        <v>5.8611641431895532E-2</v>
      </c>
      <c r="X199" s="12" t="str">
        <f t="shared" si="15"/>
        <v>Média/Pequena</v>
      </c>
      <c r="Y199" s="122" t="str" cm="1">
        <f t="array" ref="Y199">_xlfn.IFS(ISNUMBER(W199)=FALSE,"Sem dado",W199&gt;0.075,"Excelente",W199&gt;0.04,"Bom",W199&gt;0,"Fraco",TRUE,"Prejuízo")</f>
        <v>Bom</v>
      </c>
    </row>
    <row r="200" spans="1:25" ht="15" customHeight="1" x14ac:dyDescent="0.2">
      <c r="A200" s="15" t="s">
        <v>534</v>
      </c>
      <c r="B200" s="60">
        <v>91159764</v>
      </c>
      <c r="C200" s="15"/>
      <c r="D200" s="15"/>
      <c r="E200" s="15"/>
      <c r="F200" s="15" t="s">
        <v>265</v>
      </c>
      <c r="G200" s="34">
        <v>2</v>
      </c>
      <c r="H200" s="34">
        <v>9</v>
      </c>
      <c r="I200" s="15" t="s">
        <v>535</v>
      </c>
      <c r="J200" s="15" t="s">
        <v>74</v>
      </c>
      <c r="K200" s="74" t="s">
        <v>29</v>
      </c>
      <c r="L200" s="16">
        <v>5006767</v>
      </c>
      <c r="M200" s="16">
        <v>2253045</v>
      </c>
      <c r="N200" s="16">
        <v>1985392</v>
      </c>
      <c r="O200" s="16">
        <v>4281566</v>
      </c>
      <c r="P200" s="16">
        <v>3569795</v>
      </c>
      <c r="Q200" s="16">
        <v>725201</v>
      </c>
      <c r="R200" s="16">
        <v>91288</v>
      </c>
      <c r="S200" s="16">
        <v>0</v>
      </c>
      <c r="T200" s="16">
        <v>42</v>
      </c>
      <c r="U200" s="15" t="str">
        <f t="shared" si="12"/>
        <v>Privado Nacional</v>
      </c>
      <c r="V200" s="17">
        <f t="shared" si="13"/>
        <v>0.44999997004054715</v>
      </c>
      <c r="W200" s="17">
        <f t="shared" si="14"/>
        <v>0.12587958372920061</v>
      </c>
      <c r="X200" s="15" t="str">
        <f t="shared" si="15"/>
        <v>Média/Pequena</v>
      </c>
      <c r="Y200" s="121" t="str" cm="1">
        <f t="array" ref="Y200">_xlfn.IFS(ISNUMBER(W200)=FALSE,"Sem dado",W200&gt;0.075,"Excelente",W200&gt;0.04,"Bom",W200&gt;0,"Fraco",TRUE,"Prejuízo")</f>
        <v>Excelente</v>
      </c>
    </row>
    <row r="201" spans="1:25" ht="15" customHeight="1" x14ac:dyDescent="0.2">
      <c r="A201" s="12" t="s">
        <v>536</v>
      </c>
      <c r="B201" s="56">
        <v>31804966</v>
      </c>
      <c r="C201" s="12"/>
      <c r="D201" s="12"/>
      <c r="E201" s="12"/>
      <c r="F201" s="12" t="s">
        <v>265</v>
      </c>
      <c r="G201" s="33">
        <v>2</v>
      </c>
      <c r="H201" s="33">
        <v>9</v>
      </c>
      <c r="I201" s="12" t="s">
        <v>537</v>
      </c>
      <c r="J201" s="12" t="s">
        <v>183</v>
      </c>
      <c r="K201" s="73" t="s">
        <v>29</v>
      </c>
      <c r="L201" s="13">
        <v>5001705</v>
      </c>
      <c r="M201" s="13">
        <v>2465775</v>
      </c>
      <c r="N201" s="13">
        <v>417999</v>
      </c>
      <c r="O201" s="13">
        <v>4294849</v>
      </c>
      <c r="P201" s="13">
        <v>3809418</v>
      </c>
      <c r="Q201" s="13">
        <v>706857</v>
      </c>
      <c r="R201" s="13">
        <v>89771</v>
      </c>
      <c r="S201" s="13">
        <v>0</v>
      </c>
      <c r="T201" s="13">
        <v>26</v>
      </c>
      <c r="U201" s="12" t="str">
        <f t="shared" si="12"/>
        <v>Privado Nacional</v>
      </c>
      <c r="V201" s="14">
        <f t="shared" si="13"/>
        <v>0.49298689147000874</v>
      </c>
      <c r="W201" s="14">
        <f t="shared" si="14"/>
        <v>0.12700022776884151</v>
      </c>
      <c r="X201" s="12" t="str">
        <f t="shared" si="15"/>
        <v>Média/Pequena</v>
      </c>
      <c r="Y201" s="122" t="str" cm="1">
        <f t="array" ref="Y201">_xlfn.IFS(ISNUMBER(W201)=FALSE,"Sem dado",W201&gt;0.075,"Excelente",W201&gt;0.04,"Bom",W201&gt;0,"Fraco",TRUE,"Prejuízo")</f>
        <v>Excelente</v>
      </c>
    </row>
    <row r="202" spans="1:25" ht="15" customHeight="1" x14ac:dyDescent="0.2">
      <c r="A202" s="15" t="s">
        <v>538</v>
      </c>
      <c r="B202" s="60">
        <v>79457883</v>
      </c>
      <c r="C202" s="15"/>
      <c r="D202" s="15"/>
      <c r="E202" s="15"/>
      <c r="F202" s="15" t="s">
        <v>265</v>
      </c>
      <c r="G202" s="34">
        <v>2</v>
      </c>
      <c r="H202" s="34">
        <v>9</v>
      </c>
      <c r="I202" s="15" t="s">
        <v>539</v>
      </c>
      <c r="J202" s="15" t="s">
        <v>229</v>
      </c>
      <c r="K202" s="74" t="s">
        <v>29</v>
      </c>
      <c r="L202" s="16">
        <v>5001481</v>
      </c>
      <c r="M202" s="16">
        <v>2405513</v>
      </c>
      <c r="N202" s="16">
        <v>2274203</v>
      </c>
      <c r="O202" s="16">
        <v>4513039</v>
      </c>
      <c r="P202" s="16">
        <v>3579169</v>
      </c>
      <c r="Q202" s="16">
        <v>488442</v>
      </c>
      <c r="R202" s="16">
        <v>56092</v>
      </c>
      <c r="S202" s="16">
        <v>0</v>
      </c>
      <c r="T202" s="16">
        <v>43</v>
      </c>
      <c r="U202" s="15" t="str">
        <f t="shared" si="12"/>
        <v>Privado Nacional</v>
      </c>
      <c r="V202" s="17">
        <f t="shared" si="13"/>
        <v>0.48096013960664852</v>
      </c>
      <c r="W202" s="17">
        <f t="shared" si="14"/>
        <v>0.11483860929240319</v>
      </c>
      <c r="X202" s="15" t="str">
        <f t="shared" si="15"/>
        <v>Média/Pequena</v>
      </c>
      <c r="Y202" s="121" t="str" cm="1">
        <f t="array" ref="Y202">_xlfn.IFS(ISNUMBER(W202)=FALSE,"Sem dado",W202&gt;0.075,"Excelente",W202&gt;0.04,"Bom",W202&gt;0,"Fraco",TRUE,"Prejuízo")</f>
        <v>Excelente</v>
      </c>
    </row>
    <row r="203" spans="1:25" ht="15" customHeight="1" x14ac:dyDescent="0.2">
      <c r="A203" s="12" t="s">
        <v>540</v>
      </c>
      <c r="B203" s="56">
        <v>17167412</v>
      </c>
      <c r="C203" s="12" t="s">
        <v>67</v>
      </c>
      <c r="D203" s="12" t="s">
        <v>68</v>
      </c>
      <c r="E203" s="12" t="s">
        <v>69</v>
      </c>
      <c r="F203" s="12" t="s">
        <v>65</v>
      </c>
      <c r="G203" s="33">
        <v>2</v>
      </c>
      <c r="H203" s="33">
        <v>14</v>
      </c>
      <c r="I203" s="12" t="s">
        <v>38</v>
      </c>
      <c r="J203" s="12" t="s">
        <v>39</v>
      </c>
      <c r="K203" s="73" t="s">
        <v>29</v>
      </c>
      <c r="L203" s="13">
        <v>4992073</v>
      </c>
      <c r="M203" s="13">
        <v>3049427</v>
      </c>
      <c r="N203" s="13">
        <v>226815</v>
      </c>
      <c r="O203" s="13">
        <v>3932814</v>
      </c>
      <c r="P203" s="13">
        <v>3759223</v>
      </c>
      <c r="Q203" s="13">
        <v>1059259</v>
      </c>
      <c r="R203" s="13">
        <v>69516</v>
      </c>
      <c r="S203" s="13">
        <v>21</v>
      </c>
      <c r="T203" s="13">
        <v>0</v>
      </c>
      <c r="U203" s="12" t="str">
        <f t="shared" si="12"/>
        <v>Privado Nacional</v>
      </c>
      <c r="V203" s="14">
        <f t="shared" si="13"/>
        <v>0.61085384769012796</v>
      </c>
      <c r="W203" s="14">
        <f t="shared" si="14"/>
        <v>6.5627009069547673E-2</v>
      </c>
      <c r="X203" s="12" t="str">
        <f t="shared" si="15"/>
        <v>Média/Pequena</v>
      </c>
      <c r="Y203" s="122" t="str" cm="1">
        <f t="array" ref="Y203">_xlfn.IFS(ISNUMBER(W203)=FALSE,"Sem dado",W203&gt;0.075,"Excelente",W203&gt;0.04,"Bom",W203&gt;0,"Fraco",TRUE,"Prejuízo")</f>
        <v>Bom</v>
      </c>
    </row>
    <row r="204" spans="1:25" ht="15" customHeight="1" x14ac:dyDescent="0.2">
      <c r="A204" s="15" t="s">
        <v>541</v>
      </c>
      <c r="B204" s="60">
        <v>32588139</v>
      </c>
      <c r="C204" s="15" t="s">
        <v>109</v>
      </c>
      <c r="D204" s="15" t="s">
        <v>110</v>
      </c>
      <c r="E204" s="15" t="s">
        <v>111</v>
      </c>
      <c r="F204" s="15" t="s">
        <v>98</v>
      </c>
      <c r="G204" s="34">
        <v>3</v>
      </c>
      <c r="H204" s="34">
        <v>15</v>
      </c>
      <c r="I204" s="15" t="s">
        <v>38</v>
      </c>
      <c r="J204" s="15" t="s">
        <v>39</v>
      </c>
      <c r="K204" s="74" t="s">
        <v>29</v>
      </c>
      <c r="L204" s="16">
        <v>4955661</v>
      </c>
      <c r="M204" s="16">
        <v>0</v>
      </c>
      <c r="N204" s="16">
        <v>31096</v>
      </c>
      <c r="O204" s="16">
        <v>2676022</v>
      </c>
      <c r="P204" s="16">
        <v>1903715</v>
      </c>
      <c r="Q204" s="16">
        <v>2279639</v>
      </c>
      <c r="R204" s="16">
        <v>189881</v>
      </c>
      <c r="S204" s="16">
        <v>2</v>
      </c>
      <c r="T204" s="16">
        <v>0</v>
      </c>
      <c r="U204" s="15" t="str">
        <f t="shared" si="12"/>
        <v>Privado Estrangeiro</v>
      </c>
      <c r="V204" s="17">
        <f t="shared" si="13"/>
        <v>0</v>
      </c>
      <c r="W204" s="17">
        <f t="shared" si="14"/>
        <v>8.3294328619575295E-2</v>
      </c>
      <c r="X204" s="15" t="str">
        <f t="shared" si="15"/>
        <v>Média/Pequena</v>
      </c>
      <c r="Y204" s="121" t="str" cm="1">
        <f t="array" ref="Y204">_xlfn.IFS(ISNUMBER(W204)=FALSE,"Sem dado",W204&gt;0.075,"Excelente",W204&gt;0.04,"Bom",W204&gt;0,"Fraco",TRUE,"Prejuízo")</f>
        <v>Excelente</v>
      </c>
    </row>
    <row r="205" spans="1:25" ht="15" customHeight="1" x14ac:dyDescent="0.2">
      <c r="A205" s="12" t="s">
        <v>542</v>
      </c>
      <c r="B205" s="56">
        <v>3566655</v>
      </c>
      <c r="C205" s="12"/>
      <c r="D205" s="12"/>
      <c r="E205" s="12"/>
      <c r="F205" s="12" t="s">
        <v>265</v>
      </c>
      <c r="G205" s="33">
        <v>2</v>
      </c>
      <c r="H205" s="33">
        <v>9</v>
      </c>
      <c r="I205" s="12" t="s">
        <v>543</v>
      </c>
      <c r="J205" s="12" t="s">
        <v>401</v>
      </c>
      <c r="K205" s="73" t="s">
        <v>29</v>
      </c>
      <c r="L205" s="13">
        <v>4955393</v>
      </c>
      <c r="M205" s="13">
        <v>2543544</v>
      </c>
      <c r="N205" s="13">
        <v>1776853</v>
      </c>
      <c r="O205" s="13">
        <v>4170475</v>
      </c>
      <c r="P205" s="13">
        <v>2524489</v>
      </c>
      <c r="Q205" s="13">
        <v>784918</v>
      </c>
      <c r="R205" s="13">
        <v>17861</v>
      </c>
      <c r="S205" s="13">
        <v>0</v>
      </c>
      <c r="T205" s="13">
        <v>37</v>
      </c>
      <c r="U205" s="12" t="str">
        <f t="shared" si="12"/>
        <v>Privado Nacional</v>
      </c>
      <c r="V205" s="14">
        <f t="shared" si="13"/>
        <v>0.51328804799135008</v>
      </c>
      <c r="W205" s="14">
        <f t="shared" si="14"/>
        <v>2.2755243222858948E-2</v>
      </c>
      <c r="X205" s="12" t="str">
        <f t="shared" si="15"/>
        <v>Média/Pequena</v>
      </c>
      <c r="Y205" s="122" t="str" cm="1">
        <f t="array" ref="Y205">_xlfn.IFS(ISNUMBER(W205)=FALSE,"Sem dado",W205&gt;0.075,"Excelente",W205&gt;0.04,"Bom",W205&gt;0,"Fraco",TRUE,"Prejuízo")</f>
        <v>Fraco</v>
      </c>
    </row>
    <row r="206" spans="1:25" ht="15" customHeight="1" x14ac:dyDescent="0.2">
      <c r="A206" s="15" t="s">
        <v>544</v>
      </c>
      <c r="B206" s="60">
        <v>2282709</v>
      </c>
      <c r="C206" s="15"/>
      <c r="D206" s="15"/>
      <c r="E206" s="15"/>
      <c r="F206" s="15" t="s">
        <v>265</v>
      </c>
      <c r="G206" s="34">
        <v>2</v>
      </c>
      <c r="H206" s="34">
        <v>9</v>
      </c>
      <c r="I206" s="15" t="s">
        <v>545</v>
      </c>
      <c r="J206" s="15" t="s">
        <v>389</v>
      </c>
      <c r="K206" s="74" t="s">
        <v>29</v>
      </c>
      <c r="L206" s="16">
        <v>4900497</v>
      </c>
      <c r="M206" s="16">
        <v>2806982</v>
      </c>
      <c r="N206" s="16">
        <v>64904</v>
      </c>
      <c r="O206" s="16">
        <v>4355306</v>
      </c>
      <c r="P206" s="16">
        <v>4069063</v>
      </c>
      <c r="Q206" s="16">
        <v>545191</v>
      </c>
      <c r="R206" s="16">
        <v>40727</v>
      </c>
      <c r="S206" s="16">
        <v>0</v>
      </c>
      <c r="T206" s="16">
        <v>61</v>
      </c>
      <c r="U206" s="15" t="str">
        <f t="shared" si="12"/>
        <v>Privado Nacional</v>
      </c>
      <c r="V206" s="17">
        <f t="shared" si="13"/>
        <v>0.57279537157149574</v>
      </c>
      <c r="W206" s="17">
        <f t="shared" si="14"/>
        <v>7.4702260308772528E-2</v>
      </c>
      <c r="X206" s="15" t="str">
        <f t="shared" si="15"/>
        <v>Média/Pequena</v>
      </c>
      <c r="Y206" s="121" t="str" cm="1">
        <f t="array" ref="Y206">_xlfn.IFS(ISNUMBER(W206)=FALSE,"Sem dado",W206&gt;0.075,"Excelente",W206&gt;0.04,"Bom",W206&gt;0,"Fraco",TRUE,"Prejuízo")</f>
        <v>Bom</v>
      </c>
    </row>
    <row r="207" spans="1:25" ht="15" customHeight="1" x14ac:dyDescent="0.2">
      <c r="A207" s="12" t="s">
        <v>546</v>
      </c>
      <c r="B207" s="56">
        <v>74828799</v>
      </c>
      <c r="C207" s="12" t="s">
        <v>547</v>
      </c>
      <c r="D207" s="12"/>
      <c r="E207" s="12" t="s">
        <v>548</v>
      </c>
      <c r="F207" s="12" t="s">
        <v>26</v>
      </c>
      <c r="G207" s="33">
        <v>3</v>
      </c>
      <c r="H207" s="33">
        <v>8</v>
      </c>
      <c r="I207" s="12" t="s">
        <v>73</v>
      </c>
      <c r="J207" s="12" t="s">
        <v>74</v>
      </c>
      <c r="K207" s="73" t="s">
        <v>29</v>
      </c>
      <c r="L207" s="13">
        <v>4867454</v>
      </c>
      <c r="M207" s="13">
        <v>4058265</v>
      </c>
      <c r="N207" s="13">
        <v>133330</v>
      </c>
      <c r="O207" s="13">
        <v>4580926</v>
      </c>
      <c r="P207" s="13">
        <v>4427000</v>
      </c>
      <c r="Q207" s="13">
        <v>286528</v>
      </c>
      <c r="R207" s="13">
        <v>-15088</v>
      </c>
      <c r="S207" s="13">
        <v>2</v>
      </c>
      <c r="T207" s="13">
        <v>0</v>
      </c>
      <c r="U207" s="12" t="str">
        <f t="shared" si="12"/>
        <v>Privado Estrangeiro</v>
      </c>
      <c r="V207" s="14">
        <f t="shared" si="13"/>
        <v>0.83375518289438377</v>
      </c>
      <c r="W207" s="14">
        <f t="shared" si="14"/>
        <v>-5.2658029930757203E-2</v>
      </c>
      <c r="X207" s="12" t="str">
        <f t="shared" si="15"/>
        <v>Média/Pequena</v>
      </c>
      <c r="Y207" s="122" t="str" cm="1">
        <f t="array" ref="Y207">_xlfn.IFS(ISNUMBER(W207)=FALSE,"Sem dado",W207&gt;0.075,"Excelente",W207&gt;0.04,"Bom",W207&gt;0,"Fraco",TRUE,"Prejuízo")</f>
        <v>Prejuízo</v>
      </c>
    </row>
    <row r="208" spans="1:25" ht="15" customHeight="1" x14ac:dyDescent="0.2">
      <c r="A208" s="15" t="s">
        <v>549</v>
      </c>
      <c r="B208" s="60">
        <v>92796564</v>
      </c>
      <c r="C208" s="15"/>
      <c r="D208" s="15"/>
      <c r="E208" s="15"/>
      <c r="F208" s="15" t="s">
        <v>265</v>
      </c>
      <c r="G208" s="34">
        <v>2</v>
      </c>
      <c r="H208" s="34">
        <v>9</v>
      </c>
      <c r="I208" s="15" t="s">
        <v>73</v>
      </c>
      <c r="J208" s="15" t="s">
        <v>74</v>
      </c>
      <c r="K208" s="74" t="s">
        <v>29</v>
      </c>
      <c r="L208" s="16">
        <v>4823195</v>
      </c>
      <c r="M208" s="16">
        <v>2063713</v>
      </c>
      <c r="N208" s="16">
        <v>2358709</v>
      </c>
      <c r="O208" s="16">
        <v>4361957</v>
      </c>
      <c r="P208" s="16">
        <v>3701135</v>
      </c>
      <c r="Q208" s="16">
        <v>461238</v>
      </c>
      <c r="R208" s="16">
        <v>35402</v>
      </c>
      <c r="S208" s="16">
        <v>0</v>
      </c>
      <c r="T208" s="16">
        <v>32</v>
      </c>
      <c r="U208" s="15" t="str">
        <f t="shared" si="12"/>
        <v>Privado Nacional</v>
      </c>
      <c r="V208" s="17">
        <f t="shared" si="13"/>
        <v>0.42787260311888697</v>
      </c>
      <c r="W208" s="17">
        <f t="shared" si="14"/>
        <v>7.6754300382882584E-2</v>
      </c>
      <c r="X208" s="15" t="str">
        <f t="shared" si="15"/>
        <v>Média/Pequena</v>
      </c>
      <c r="Y208" s="121" t="str" cm="1">
        <f t="array" ref="Y208">_xlfn.IFS(ISNUMBER(W208)=FALSE,"Sem dado",W208&gt;0.075,"Excelente",W208&gt;0.04,"Bom",W208&gt;0,"Fraco",TRUE,"Prejuízo")</f>
        <v>Excelente</v>
      </c>
    </row>
    <row r="209" spans="1:25" ht="15" customHeight="1" x14ac:dyDescent="0.2">
      <c r="A209" s="12" t="s">
        <v>550</v>
      </c>
      <c r="B209" s="56">
        <v>33021064</v>
      </c>
      <c r="C209" s="12"/>
      <c r="D209" s="12"/>
      <c r="E209" s="12"/>
      <c r="F209" s="12" t="s">
        <v>265</v>
      </c>
      <c r="G209" s="33">
        <v>2</v>
      </c>
      <c r="H209" s="33">
        <v>9</v>
      </c>
      <c r="I209" s="12" t="s">
        <v>551</v>
      </c>
      <c r="J209" s="12" t="s">
        <v>329</v>
      </c>
      <c r="K209" s="73" t="s">
        <v>29</v>
      </c>
      <c r="L209" s="13">
        <v>4809081</v>
      </c>
      <c r="M209" s="13">
        <v>3029511</v>
      </c>
      <c r="N209" s="13">
        <v>860496</v>
      </c>
      <c r="O209" s="13">
        <v>4250410</v>
      </c>
      <c r="P209" s="13">
        <v>2599551</v>
      </c>
      <c r="Q209" s="13">
        <v>558671</v>
      </c>
      <c r="R209" s="13">
        <v>-94630</v>
      </c>
      <c r="S209" s="13">
        <v>0</v>
      </c>
      <c r="T209" s="13">
        <v>33</v>
      </c>
      <c r="U209" s="12" t="str">
        <f t="shared" si="12"/>
        <v>Privado Nacional</v>
      </c>
      <c r="V209" s="14">
        <f t="shared" si="13"/>
        <v>0.62995632637503918</v>
      </c>
      <c r="W209" s="14">
        <f t="shared" si="14"/>
        <v>-0.16938412768874705</v>
      </c>
      <c r="X209" s="12" t="str">
        <f t="shared" si="15"/>
        <v>Média/Pequena</v>
      </c>
      <c r="Y209" s="122" t="str" cm="1">
        <f t="array" ref="Y209">_xlfn.IFS(ISNUMBER(W209)=FALSE,"Sem dado",W209&gt;0.075,"Excelente",W209&gt;0.04,"Bom",W209&gt;0,"Fraco",TRUE,"Prejuízo")</f>
        <v>Prejuízo</v>
      </c>
    </row>
    <row r="210" spans="1:25" ht="15" customHeight="1" x14ac:dyDescent="0.2">
      <c r="A210" s="15" t="s">
        <v>552</v>
      </c>
      <c r="B210" s="60">
        <v>81723108</v>
      </c>
      <c r="C210" s="15"/>
      <c r="D210" s="15"/>
      <c r="E210" s="15"/>
      <c r="F210" s="15" t="s">
        <v>265</v>
      </c>
      <c r="G210" s="34">
        <v>2</v>
      </c>
      <c r="H210" s="34">
        <v>9</v>
      </c>
      <c r="I210" s="15" t="s">
        <v>553</v>
      </c>
      <c r="J210" s="15" t="s">
        <v>229</v>
      </c>
      <c r="K210" s="74" t="s">
        <v>29</v>
      </c>
      <c r="L210" s="16">
        <v>4761886</v>
      </c>
      <c r="M210" s="16">
        <v>2112846</v>
      </c>
      <c r="N210" s="16">
        <v>272749</v>
      </c>
      <c r="O210" s="16">
        <v>2941561</v>
      </c>
      <c r="P210" s="16">
        <v>2702820</v>
      </c>
      <c r="Q210" s="16">
        <v>1820326</v>
      </c>
      <c r="R210" s="16">
        <v>150861</v>
      </c>
      <c r="S210" s="16">
        <v>0</v>
      </c>
      <c r="T210" s="16">
        <v>53</v>
      </c>
      <c r="U210" s="15" t="str">
        <f t="shared" si="12"/>
        <v>Privado Nacional</v>
      </c>
      <c r="V210" s="17">
        <f t="shared" si="13"/>
        <v>0.44369940817566822</v>
      </c>
      <c r="W210" s="17">
        <f t="shared" si="14"/>
        <v>8.2875814551898949E-2</v>
      </c>
      <c r="X210" s="15" t="str">
        <f t="shared" si="15"/>
        <v>Média/Pequena</v>
      </c>
      <c r="Y210" s="121" t="str" cm="1">
        <f t="array" ref="Y210">_xlfn.IFS(ISNUMBER(W210)=FALSE,"Sem dado",W210&gt;0.075,"Excelente",W210&gt;0.04,"Bom",W210&gt;0,"Fraco",TRUE,"Prejuízo")</f>
        <v>Excelente</v>
      </c>
    </row>
    <row r="211" spans="1:25" ht="15" customHeight="1" x14ac:dyDescent="0.2">
      <c r="A211" s="12" t="s">
        <v>554</v>
      </c>
      <c r="B211" s="56">
        <v>89468565</v>
      </c>
      <c r="C211" s="12"/>
      <c r="D211" s="12"/>
      <c r="E211" s="12"/>
      <c r="F211" s="12" t="s">
        <v>265</v>
      </c>
      <c r="G211" s="33">
        <v>2</v>
      </c>
      <c r="H211" s="33">
        <v>9</v>
      </c>
      <c r="I211" s="12" t="s">
        <v>555</v>
      </c>
      <c r="J211" s="12" t="s">
        <v>74</v>
      </c>
      <c r="K211" s="73" t="s">
        <v>29</v>
      </c>
      <c r="L211" s="13">
        <v>4743625</v>
      </c>
      <c r="M211" s="13">
        <v>2649065</v>
      </c>
      <c r="N211" s="13">
        <v>1563458</v>
      </c>
      <c r="O211" s="13">
        <v>4294414</v>
      </c>
      <c r="P211" s="13">
        <v>3216918</v>
      </c>
      <c r="Q211" s="13">
        <v>449211</v>
      </c>
      <c r="R211" s="13">
        <v>-21007</v>
      </c>
      <c r="S211" s="13">
        <v>0</v>
      </c>
      <c r="T211" s="13">
        <v>44</v>
      </c>
      <c r="U211" s="12" t="str">
        <f t="shared" si="12"/>
        <v>Privado Nacional</v>
      </c>
      <c r="V211" s="14">
        <f t="shared" si="13"/>
        <v>0.55844738991804788</v>
      </c>
      <c r="W211" s="14">
        <f t="shared" si="14"/>
        <v>-4.6764215480030541E-2</v>
      </c>
      <c r="X211" s="12" t="str">
        <f t="shared" si="15"/>
        <v>Média/Pequena</v>
      </c>
      <c r="Y211" s="122" t="str" cm="1">
        <f t="array" ref="Y211">_xlfn.IFS(ISNUMBER(W211)=FALSE,"Sem dado",W211&gt;0.075,"Excelente",W211&gt;0.04,"Bom",W211&gt;0,"Fraco",TRUE,"Prejuízo")</f>
        <v>Prejuízo</v>
      </c>
    </row>
    <row r="212" spans="1:25" ht="15" customHeight="1" x14ac:dyDescent="0.2">
      <c r="A212" s="15" t="s">
        <v>556</v>
      </c>
      <c r="B212" s="60">
        <v>62063177</v>
      </c>
      <c r="C212" s="15" t="s">
        <v>67</v>
      </c>
      <c r="D212" s="15" t="s">
        <v>68</v>
      </c>
      <c r="E212" s="15" t="s">
        <v>69</v>
      </c>
      <c r="F212" s="15" t="s">
        <v>65</v>
      </c>
      <c r="G212" s="34">
        <v>2</v>
      </c>
      <c r="H212" s="34">
        <v>19</v>
      </c>
      <c r="I212" s="15" t="s">
        <v>38</v>
      </c>
      <c r="J212" s="15" t="s">
        <v>39</v>
      </c>
      <c r="K212" s="74" t="s">
        <v>29</v>
      </c>
      <c r="L212" s="16">
        <v>4735678</v>
      </c>
      <c r="M212" s="16">
        <v>2893446</v>
      </c>
      <c r="N212" s="16">
        <v>1709398</v>
      </c>
      <c r="O212" s="16">
        <v>3481172</v>
      </c>
      <c r="P212" s="16">
        <v>2981369</v>
      </c>
      <c r="Q212" s="16">
        <v>1254506</v>
      </c>
      <c r="R212" s="16">
        <v>70261</v>
      </c>
      <c r="S212" s="16">
        <v>2</v>
      </c>
      <c r="T212" s="16">
        <v>0</v>
      </c>
      <c r="U212" s="15" t="str">
        <f t="shared" si="12"/>
        <v>Privado Nacional</v>
      </c>
      <c r="V212" s="17">
        <f t="shared" si="13"/>
        <v>0.61098875388064811</v>
      </c>
      <c r="W212" s="17">
        <f t="shared" si="14"/>
        <v>5.600690630415478E-2</v>
      </c>
      <c r="X212" s="15" t="str">
        <f t="shared" si="15"/>
        <v>Média/Pequena</v>
      </c>
      <c r="Y212" s="121" t="str" cm="1">
        <f t="array" ref="Y212">_xlfn.IFS(ISNUMBER(W212)=FALSE,"Sem dado",W212&gt;0.075,"Excelente",W212&gt;0.04,"Bom",W212&gt;0,"Fraco",TRUE,"Prejuízo")</f>
        <v>Bom</v>
      </c>
    </row>
    <row r="213" spans="1:25" ht="15" customHeight="1" x14ac:dyDescent="0.2">
      <c r="A213" s="12" t="s">
        <v>557</v>
      </c>
      <c r="B213" s="56">
        <v>82065285</v>
      </c>
      <c r="C213" s="12"/>
      <c r="D213" s="12"/>
      <c r="E213" s="12"/>
      <c r="F213" s="12" t="s">
        <v>265</v>
      </c>
      <c r="G213" s="33">
        <v>2</v>
      </c>
      <c r="H213" s="33">
        <v>9</v>
      </c>
      <c r="I213" s="12" t="s">
        <v>558</v>
      </c>
      <c r="J213" s="12" t="s">
        <v>229</v>
      </c>
      <c r="K213" s="73" t="s">
        <v>29</v>
      </c>
      <c r="L213" s="13">
        <v>4711067</v>
      </c>
      <c r="M213" s="13">
        <v>2604416</v>
      </c>
      <c r="N213" s="13">
        <v>1757371</v>
      </c>
      <c r="O213" s="13">
        <v>4251167</v>
      </c>
      <c r="P213" s="13">
        <v>3104437</v>
      </c>
      <c r="Q213" s="13">
        <v>459900</v>
      </c>
      <c r="R213" s="13">
        <v>31316</v>
      </c>
      <c r="S213" s="13">
        <v>0</v>
      </c>
      <c r="T213" s="13">
        <v>48</v>
      </c>
      <c r="U213" s="12" t="str">
        <f t="shared" si="12"/>
        <v>Privado Nacional</v>
      </c>
      <c r="V213" s="14">
        <f t="shared" si="13"/>
        <v>0.55282932719912492</v>
      </c>
      <c r="W213" s="14">
        <f t="shared" si="14"/>
        <v>6.8093063709502064E-2</v>
      </c>
      <c r="X213" s="12" t="str">
        <f t="shared" si="15"/>
        <v>Média/Pequena</v>
      </c>
      <c r="Y213" s="122" t="str" cm="1">
        <f t="array" ref="Y213">_xlfn.IFS(ISNUMBER(W213)=FALSE,"Sem dado",W213&gt;0.075,"Excelente",W213&gt;0.04,"Bom",W213&gt;0,"Fraco",TRUE,"Prejuízo")</f>
        <v>Bom</v>
      </c>
    </row>
    <row r="214" spans="1:25" ht="15" customHeight="1" x14ac:dyDescent="0.2">
      <c r="A214" s="15" t="s">
        <v>559</v>
      </c>
      <c r="B214" s="60">
        <v>89990501</v>
      </c>
      <c r="C214" s="15"/>
      <c r="D214" s="15"/>
      <c r="E214" s="15"/>
      <c r="F214" s="15" t="s">
        <v>265</v>
      </c>
      <c r="G214" s="34">
        <v>2</v>
      </c>
      <c r="H214" s="34">
        <v>9</v>
      </c>
      <c r="I214" s="15" t="s">
        <v>560</v>
      </c>
      <c r="J214" s="15" t="s">
        <v>74</v>
      </c>
      <c r="K214" s="74" t="s">
        <v>29</v>
      </c>
      <c r="L214" s="16">
        <v>4708756</v>
      </c>
      <c r="M214" s="16">
        <v>2442816</v>
      </c>
      <c r="N214" s="16">
        <v>1900759</v>
      </c>
      <c r="O214" s="16">
        <v>3974929</v>
      </c>
      <c r="P214" s="16">
        <v>2831124</v>
      </c>
      <c r="Q214" s="16">
        <v>733827</v>
      </c>
      <c r="R214" s="16">
        <v>43745</v>
      </c>
      <c r="S214" s="16">
        <v>0</v>
      </c>
      <c r="T214" s="16">
        <v>43</v>
      </c>
      <c r="U214" s="15" t="str">
        <f t="shared" si="12"/>
        <v>Privado Nacional</v>
      </c>
      <c r="V214" s="17">
        <f t="shared" si="13"/>
        <v>0.51878160601228862</v>
      </c>
      <c r="W214" s="17">
        <f t="shared" si="14"/>
        <v>5.9612142916518472E-2</v>
      </c>
      <c r="X214" s="15" t="str">
        <f t="shared" si="15"/>
        <v>Média/Pequena</v>
      </c>
      <c r="Y214" s="121" t="str" cm="1">
        <f t="array" ref="Y214">_xlfn.IFS(ISNUMBER(W214)=FALSE,"Sem dado",W214&gt;0.075,"Excelente",W214&gt;0.04,"Bom",W214&gt;0,"Fraco",TRUE,"Prejuízo")</f>
        <v>Bom</v>
      </c>
    </row>
    <row r="215" spans="1:25" ht="15" customHeight="1" x14ac:dyDescent="0.2">
      <c r="A215" s="12" t="s">
        <v>561</v>
      </c>
      <c r="B215" s="56">
        <v>17351180</v>
      </c>
      <c r="C215" s="12" t="s">
        <v>562</v>
      </c>
      <c r="D215" s="12"/>
      <c r="E215" s="12" t="s">
        <v>563</v>
      </c>
      <c r="F215" s="12" t="s">
        <v>26</v>
      </c>
      <c r="G215" s="33">
        <v>2</v>
      </c>
      <c r="H215" s="33">
        <v>8</v>
      </c>
      <c r="I215" s="12" t="s">
        <v>564</v>
      </c>
      <c r="J215" s="12" t="s">
        <v>120</v>
      </c>
      <c r="K215" s="73" t="s">
        <v>29</v>
      </c>
      <c r="L215" s="13">
        <v>4694166</v>
      </c>
      <c r="M215" s="13">
        <v>2081191</v>
      </c>
      <c r="N215" s="13">
        <v>202378</v>
      </c>
      <c r="O215" s="13">
        <v>4151046</v>
      </c>
      <c r="P215" s="13">
        <v>3006019</v>
      </c>
      <c r="Q215" s="13">
        <v>543120</v>
      </c>
      <c r="R215" s="13">
        <v>6616</v>
      </c>
      <c r="S215" s="13">
        <v>2</v>
      </c>
      <c r="T215" s="13">
        <v>0</v>
      </c>
      <c r="U215" s="12" t="str">
        <f t="shared" si="12"/>
        <v>Privado Nacional</v>
      </c>
      <c r="V215" s="14">
        <f t="shared" si="13"/>
        <v>0.44335692431839863</v>
      </c>
      <c r="W215" s="14">
        <f t="shared" si="14"/>
        <v>1.2181470025040506E-2</v>
      </c>
      <c r="X215" s="12" t="str">
        <f t="shared" si="15"/>
        <v>Média/Pequena</v>
      </c>
      <c r="Y215" s="122" t="str" cm="1">
        <f t="array" ref="Y215">_xlfn.IFS(ISNUMBER(W215)=FALSE,"Sem dado",W215&gt;0.075,"Excelente",W215&gt;0.04,"Bom",W215&gt;0,"Fraco",TRUE,"Prejuízo")</f>
        <v>Fraco</v>
      </c>
    </row>
    <row r="216" spans="1:25" ht="15" customHeight="1" x14ac:dyDescent="0.2">
      <c r="A216" s="15" t="s">
        <v>565</v>
      </c>
      <c r="B216" s="60">
        <v>3584906</v>
      </c>
      <c r="C216" s="15" t="s">
        <v>566</v>
      </c>
      <c r="D216" s="15"/>
      <c r="E216" s="15" t="s">
        <v>567</v>
      </c>
      <c r="F216" s="15" t="s">
        <v>65</v>
      </c>
      <c r="G216" s="34">
        <v>1</v>
      </c>
      <c r="H216" s="34">
        <v>30</v>
      </c>
      <c r="I216" s="15" t="s">
        <v>228</v>
      </c>
      <c r="J216" s="15" t="s">
        <v>229</v>
      </c>
      <c r="K216" s="74" t="s">
        <v>29</v>
      </c>
      <c r="L216" s="16">
        <v>4693143</v>
      </c>
      <c r="M216" s="16">
        <v>1705318</v>
      </c>
      <c r="N216" s="16">
        <v>2877681</v>
      </c>
      <c r="O216" s="16">
        <v>627711</v>
      </c>
      <c r="P216" s="16">
        <v>462814</v>
      </c>
      <c r="Q216" s="16">
        <v>4065433</v>
      </c>
      <c r="R216" s="16">
        <v>178193</v>
      </c>
      <c r="S216" s="16">
        <v>2</v>
      </c>
      <c r="T216" s="16">
        <v>0</v>
      </c>
      <c r="U216" s="15" t="str">
        <f t="shared" si="12"/>
        <v>Público</v>
      </c>
      <c r="V216" s="17">
        <f t="shared" si="13"/>
        <v>0.36336374152673379</v>
      </c>
      <c r="W216" s="17">
        <f t="shared" si="14"/>
        <v>4.3831247495654216E-2</v>
      </c>
      <c r="X216" s="15" t="str">
        <f t="shared" si="15"/>
        <v>Média/Pequena</v>
      </c>
      <c r="Y216" s="121" t="str" cm="1">
        <f t="array" ref="Y216">_xlfn.IFS(ISNUMBER(W216)=FALSE,"Sem dado",W216&gt;0.075,"Excelente",W216&gt;0.04,"Bom",W216&gt;0,"Fraco",TRUE,"Prejuízo")</f>
        <v>Bom</v>
      </c>
    </row>
    <row r="217" spans="1:25" ht="15" customHeight="1" x14ac:dyDescent="0.2">
      <c r="A217" s="12" t="s">
        <v>568</v>
      </c>
      <c r="B217" s="56">
        <v>68900810</v>
      </c>
      <c r="C217" s="12" t="s">
        <v>569</v>
      </c>
      <c r="D217" s="12" t="s">
        <v>570</v>
      </c>
      <c r="E217" s="12" t="s">
        <v>571</v>
      </c>
      <c r="F217" s="12" t="s">
        <v>26</v>
      </c>
      <c r="G217" s="33">
        <v>2</v>
      </c>
      <c r="H217" s="33">
        <v>2</v>
      </c>
      <c r="I217" s="12" t="s">
        <v>38</v>
      </c>
      <c r="J217" s="12" t="s">
        <v>39</v>
      </c>
      <c r="K217" s="73" t="s">
        <v>29</v>
      </c>
      <c r="L217" s="13">
        <v>4661149</v>
      </c>
      <c r="M217" s="13">
        <v>519289</v>
      </c>
      <c r="N217" s="13">
        <v>237270</v>
      </c>
      <c r="O217" s="13">
        <v>4128316</v>
      </c>
      <c r="P217" s="13">
        <v>3140923</v>
      </c>
      <c r="Q217" s="13">
        <v>532833</v>
      </c>
      <c r="R217" s="13">
        <v>74144</v>
      </c>
      <c r="S217" s="13">
        <v>7</v>
      </c>
      <c r="T217" s="13">
        <v>1</v>
      </c>
      <c r="U217" s="12" t="str">
        <f t="shared" si="12"/>
        <v>Privado Nacional</v>
      </c>
      <c r="V217" s="14">
        <f t="shared" si="13"/>
        <v>0.11140793825728378</v>
      </c>
      <c r="W217" s="14">
        <f t="shared" si="14"/>
        <v>0.13915054060090121</v>
      </c>
      <c r="X217" s="12" t="str">
        <f t="shared" si="15"/>
        <v>Média/Pequena</v>
      </c>
      <c r="Y217" s="122" t="str" cm="1">
        <f t="array" ref="Y217">_xlfn.IFS(ISNUMBER(W217)=FALSE,"Sem dado",W217&gt;0.075,"Excelente",W217&gt;0.04,"Bom",W217&gt;0,"Fraco",TRUE,"Prejuízo")</f>
        <v>Excelente</v>
      </c>
    </row>
    <row r="218" spans="1:25" ht="15" customHeight="1" x14ac:dyDescent="0.2">
      <c r="A218" s="15" t="s">
        <v>572</v>
      </c>
      <c r="B218" s="60">
        <v>84974278</v>
      </c>
      <c r="C218" s="15"/>
      <c r="D218" s="15"/>
      <c r="E218" s="15"/>
      <c r="F218" s="15" t="s">
        <v>265</v>
      </c>
      <c r="G218" s="34">
        <v>2</v>
      </c>
      <c r="H218" s="34">
        <v>9</v>
      </c>
      <c r="I218" s="15" t="s">
        <v>573</v>
      </c>
      <c r="J218" s="15" t="s">
        <v>229</v>
      </c>
      <c r="K218" s="74" t="s">
        <v>29</v>
      </c>
      <c r="L218" s="16">
        <v>4628457</v>
      </c>
      <c r="M218" s="16">
        <v>2759911</v>
      </c>
      <c r="N218" s="16">
        <v>1477685</v>
      </c>
      <c r="O218" s="16">
        <v>4052907</v>
      </c>
      <c r="P218" s="16">
        <v>2926934</v>
      </c>
      <c r="Q218" s="16">
        <v>575550</v>
      </c>
      <c r="R218" s="16">
        <v>39506</v>
      </c>
      <c r="S218" s="16">
        <v>0</v>
      </c>
      <c r="T218" s="16">
        <v>41</v>
      </c>
      <c r="U218" s="15" t="str">
        <f t="shared" si="12"/>
        <v>Privado Nacional</v>
      </c>
      <c r="V218" s="17">
        <f t="shared" si="13"/>
        <v>0.59629180955985983</v>
      </c>
      <c r="W218" s="17">
        <f t="shared" si="14"/>
        <v>6.8640430892190074E-2</v>
      </c>
      <c r="X218" s="15" t="str">
        <f t="shared" si="15"/>
        <v>Média/Pequena</v>
      </c>
      <c r="Y218" s="121" t="str" cm="1">
        <f t="array" ref="Y218">_xlfn.IFS(ISNUMBER(W218)=FALSE,"Sem dado",W218&gt;0.075,"Excelente",W218&gt;0.04,"Bom",W218&gt;0,"Fraco",TRUE,"Prejuízo")</f>
        <v>Bom</v>
      </c>
    </row>
    <row r="219" spans="1:25" ht="15" customHeight="1" x14ac:dyDescent="0.2">
      <c r="A219" s="12" t="s">
        <v>574</v>
      </c>
      <c r="B219" s="56">
        <v>74114042</v>
      </c>
      <c r="C219" s="12"/>
      <c r="D219" s="12"/>
      <c r="E219" s="12"/>
      <c r="F219" s="12" t="s">
        <v>265</v>
      </c>
      <c r="G219" s="33">
        <v>2</v>
      </c>
      <c r="H219" s="33">
        <v>9</v>
      </c>
      <c r="I219" s="12" t="s">
        <v>575</v>
      </c>
      <c r="J219" s="12" t="s">
        <v>217</v>
      </c>
      <c r="K219" s="73" t="s">
        <v>29</v>
      </c>
      <c r="L219" s="13">
        <v>4623919</v>
      </c>
      <c r="M219" s="13">
        <v>2226604</v>
      </c>
      <c r="N219" s="13">
        <v>62988</v>
      </c>
      <c r="O219" s="13">
        <v>4278904</v>
      </c>
      <c r="P219" s="13">
        <v>4034494</v>
      </c>
      <c r="Q219" s="13">
        <v>345015</v>
      </c>
      <c r="R219" s="13">
        <v>4137</v>
      </c>
      <c r="S219" s="13">
        <v>0</v>
      </c>
      <c r="T219" s="13">
        <v>33</v>
      </c>
      <c r="U219" s="12" t="str">
        <f t="shared" si="12"/>
        <v>Privado Nacional</v>
      </c>
      <c r="V219" s="14">
        <f t="shared" si="13"/>
        <v>0.48154044220930342</v>
      </c>
      <c r="W219" s="14">
        <f t="shared" si="14"/>
        <v>1.1990783009434373E-2</v>
      </c>
      <c r="X219" s="12" t="str">
        <f t="shared" si="15"/>
        <v>Média/Pequena</v>
      </c>
      <c r="Y219" s="122" t="str" cm="1">
        <f t="array" ref="Y219">_xlfn.IFS(ISNUMBER(W219)=FALSE,"Sem dado",W219&gt;0.075,"Excelente",W219&gt;0.04,"Bom",W219&gt;0,"Fraco",TRUE,"Prejuízo")</f>
        <v>Fraco</v>
      </c>
    </row>
    <row r="220" spans="1:25" ht="15" customHeight="1" x14ac:dyDescent="0.2">
      <c r="A220" s="15" t="s">
        <v>576</v>
      </c>
      <c r="B220" s="60">
        <v>35571249</v>
      </c>
      <c r="C220" s="15"/>
      <c r="D220" s="15"/>
      <c r="E220" s="15"/>
      <c r="F220" s="15" t="s">
        <v>265</v>
      </c>
      <c r="G220" s="34">
        <v>2</v>
      </c>
      <c r="H220" s="34">
        <v>9</v>
      </c>
      <c r="I220" s="15" t="s">
        <v>577</v>
      </c>
      <c r="J220" s="15" t="s">
        <v>578</v>
      </c>
      <c r="K220" s="74" t="s">
        <v>29</v>
      </c>
      <c r="L220" s="16">
        <v>4619477</v>
      </c>
      <c r="M220" s="16">
        <v>2203747</v>
      </c>
      <c r="N220" s="16">
        <v>1878095</v>
      </c>
      <c r="O220" s="16">
        <v>3944573</v>
      </c>
      <c r="P220" s="16">
        <v>3362668</v>
      </c>
      <c r="Q220" s="16">
        <v>674904</v>
      </c>
      <c r="R220" s="16">
        <v>61351</v>
      </c>
      <c r="S220" s="16">
        <v>0</v>
      </c>
      <c r="T220" s="16">
        <v>35</v>
      </c>
      <c r="U220" s="15" t="str">
        <f t="shared" si="12"/>
        <v>Privado Nacional</v>
      </c>
      <c r="V220" s="17">
        <f t="shared" si="13"/>
        <v>0.47705551948846159</v>
      </c>
      <c r="W220" s="17">
        <f t="shared" si="14"/>
        <v>9.0903298839538654E-2</v>
      </c>
      <c r="X220" s="15" t="str">
        <f t="shared" si="15"/>
        <v>Média/Pequena</v>
      </c>
      <c r="Y220" s="121" t="str" cm="1">
        <f t="array" ref="Y220">_xlfn.IFS(ISNUMBER(W220)=FALSE,"Sem dado",W220&gt;0.075,"Excelente",W220&gt;0.04,"Bom",W220&gt;0,"Fraco",TRUE,"Prejuízo")</f>
        <v>Excelente</v>
      </c>
    </row>
    <row r="221" spans="1:25" ht="15" customHeight="1" x14ac:dyDescent="0.2">
      <c r="A221" s="12" t="s">
        <v>579</v>
      </c>
      <c r="B221" s="56">
        <v>7206072</v>
      </c>
      <c r="C221" s="12"/>
      <c r="D221" s="12"/>
      <c r="E221" s="12"/>
      <c r="F221" s="12" t="s">
        <v>265</v>
      </c>
      <c r="G221" s="33">
        <v>2</v>
      </c>
      <c r="H221" s="33">
        <v>9</v>
      </c>
      <c r="I221" s="12" t="s">
        <v>580</v>
      </c>
      <c r="J221" s="12" t="s">
        <v>229</v>
      </c>
      <c r="K221" s="73" t="s">
        <v>29</v>
      </c>
      <c r="L221" s="13">
        <v>4611344</v>
      </c>
      <c r="M221" s="13">
        <v>2511048</v>
      </c>
      <c r="N221" s="13">
        <v>1827077</v>
      </c>
      <c r="O221" s="13">
        <v>4149322</v>
      </c>
      <c r="P221" s="13">
        <v>3147337</v>
      </c>
      <c r="Q221" s="13">
        <v>462022</v>
      </c>
      <c r="R221" s="13">
        <v>56029</v>
      </c>
      <c r="S221" s="13">
        <v>0</v>
      </c>
      <c r="T221" s="13">
        <v>34</v>
      </c>
      <c r="U221" s="12" t="str">
        <f t="shared" si="12"/>
        <v>Privado Nacional</v>
      </c>
      <c r="V221" s="14">
        <f t="shared" si="13"/>
        <v>0.54453712410091293</v>
      </c>
      <c r="W221" s="14">
        <f t="shared" si="14"/>
        <v>0.12126911705503202</v>
      </c>
      <c r="X221" s="12" t="str">
        <f t="shared" si="15"/>
        <v>Média/Pequena</v>
      </c>
      <c r="Y221" s="122" t="str" cm="1">
        <f t="array" ref="Y221">_xlfn.IFS(ISNUMBER(W221)=FALSE,"Sem dado",W221&gt;0.075,"Excelente",W221&gt;0.04,"Bom",W221&gt;0,"Fraco",TRUE,"Prejuízo")</f>
        <v>Excelente</v>
      </c>
    </row>
    <row r="222" spans="1:25" ht="15" customHeight="1" x14ac:dyDescent="0.2">
      <c r="A222" s="15" t="s">
        <v>581</v>
      </c>
      <c r="B222" s="60">
        <v>74064502</v>
      </c>
      <c r="C222" s="15"/>
      <c r="D222" s="15"/>
      <c r="E222" s="15"/>
      <c r="F222" s="15" t="s">
        <v>265</v>
      </c>
      <c r="G222" s="34">
        <v>2</v>
      </c>
      <c r="H222" s="34">
        <v>9</v>
      </c>
      <c r="I222" s="15" t="s">
        <v>216</v>
      </c>
      <c r="J222" s="15" t="s">
        <v>217</v>
      </c>
      <c r="K222" s="74" t="s">
        <v>29</v>
      </c>
      <c r="L222" s="16">
        <v>4592109</v>
      </c>
      <c r="M222" s="16">
        <v>2119061</v>
      </c>
      <c r="N222" s="16">
        <v>98016</v>
      </c>
      <c r="O222" s="16">
        <v>4086659</v>
      </c>
      <c r="P222" s="16">
        <v>3821250</v>
      </c>
      <c r="Q222" s="16">
        <v>505450</v>
      </c>
      <c r="R222" s="16">
        <v>37386</v>
      </c>
      <c r="S222" s="16">
        <v>0</v>
      </c>
      <c r="T222" s="16">
        <v>23</v>
      </c>
      <c r="U222" s="15" t="str">
        <f t="shared" si="12"/>
        <v>Privado Nacional</v>
      </c>
      <c r="V222" s="17">
        <f t="shared" si="13"/>
        <v>0.46145703422980594</v>
      </c>
      <c r="W222" s="17">
        <f t="shared" si="14"/>
        <v>7.3965773073498858E-2</v>
      </c>
      <c r="X222" s="15" t="str">
        <f t="shared" si="15"/>
        <v>Média/Pequena</v>
      </c>
      <c r="Y222" s="121" t="str" cm="1">
        <f t="array" ref="Y222">_xlfn.IFS(ISNUMBER(W222)=FALSE,"Sem dado",W222&gt;0.075,"Excelente",W222&gt;0.04,"Bom",W222&gt;0,"Fraco",TRUE,"Prejuízo")</f>
        <v>Bom</v>
      </c>
    </row>
    <row r="223" spans="1:25" ht="15" customHeight="1" x14ac:dyDescent="0.2">
      <c r="A223" s="12" t="s">
        <v>582</v>
      </c>
      <c r="B223" s="56">
        <v>4388688</v>
      </c>
      <c r="C223" s="12"/>
      <c r="D223" s="12"/>
      <c r="E223" s="12"/>
      <c r="F223" s="12" t="s">
        <v>265</v>
      </c>
      <c r="G223" s="33">
        <v>2</v>
      </c>
      <c r="H223" s="33">
        <v>9</v>
      </c>
      <c r="I223" s="12" t="s">
        <v>388</v>
      </c>
      <c r="J223" s="12" t="s">
        <v>389</v>
      </c>
      <c r="K223" s="73" t="s">
        <v>29</v>
      </c>
      <c r="L223" s="13">
        <v>4576649</v>
      </c>
      <c r="M223" s="13">
        <v>1918926</v>
      </c>
      <c r="N223" s="13">
        <v>95106</v>
      </c>
      <c r="O223" s="13">
        <v>3981973</v>
      </c>
      <c r="P223" s="13">
        <v>3614558</v>
      </c>
      <c r="Q223" s="13">
        <v>594676</v>
      </c>
      <c r="R223" s="13">
        <v>20745</v>
      </c>
      <c r="S223" s="13">
        <v>0</v>
      </c>
      <c r="T223" s="13">
        <v>13</v>
      </c>
      <c r="U223" s="12" t="str">
        <f t="shared" si="12"/>
        <v>Privado Nacional</v>
      </c>
      <c r="V223" s="14">
        <f t="shared" si="13"/>
        <v>0.41928625070439091</v>
      </c>
      <c r="W223" s="14">
        <f t="shared" si="14"/>
        <v>3.4884542170862787E-2</v>
      </c>
      <c r="X223" s="12" t="str">
        <f t="shared" si="15"/>
        <v>Média/Pequena</v>
      </c>
      <c r="Y223" s="122" t="str" cm="1">
        <f t="array" ref="Y223">_xlfn.IFS(ISNUMBER(W223)=FALSE,"Sem dado",W223&gt;0.075,"Excelente",W223&gt;0.04,"Bom",W223&gt;0,"Fraco",TRUE,"Prejuízo")</f>
        <v>Fraco</v>
      </c>
    </row>
    <row r="224" spans="1:25" ht="15" customHeight="1" x14ac:dyDescent="0.2">
      <c r="A224" s="15" t="s">
        <v>583</v>
      </c>
      <c r="B224" s="60">
        <v>91669747</v>
      </c>
      <c r="C224" s="15" t="s">
        <v>584</v>
      </c>
      <c r="D224" s="15" t="s">
        <v>585</v>
      </c>
      <c r="E224" s="15" t="s">
        <v>586</v>
      </c>
      <c r="F224" s="15" t="s">
        <v>65</v>
      </c>
      <c r="G224" s="34">
        <v>2</v>
      </c>
      <c r="H224" s="34">
        <v>14</v>
      </c>
      <c r="I224" s="15" t="s">
        <v>587</v>
      </c>
      <c r="J224" s="15" t="s">
        <v>39</v>
      </c>
      <c r="K224" s="74" t="s">
        <v>29</v>
      </c>
      <c r="L224" s="16">
        <v>4426695</v>
      </c>
      <c r="M224" s="16">
        <v>3009461</v>
      </c>
      <c r="N224" s="16">
        <v>303146</v>
      </c>
      <c r="O224" s="16">
        <v>3791145</v>
      </c>
      <c r="P224" s="16">
        <v>2097512</v>
      </c>
      <c r="Q224" s="16">
        <v>635550</v>
      </c>
      <c r="R224" s="16">
        <v>77527</v>
      </c>
      <c r="S224" s="16">
        <v>2</v>
      </c>
      <c r="T224" s="16">
        <v>0</v>
      </c>
      <c r="U224" s="15" t="str">
        <f t="shared" si="12"/>
        <v>Privado Nacional</v>
      </c>
      <c r="V224" s="17">
        <f t="shared" si="13"/>
        <v>0.67984376606023234</v>
      </c>
      <c r="W224" s="17">
        <f t="shared" si="14"/>
        <v>0.12198410825269451</v>
      </c>
      <c r="X224" s="15" t="str">
        <f t="shared" si="15"/>
        <v>Média/Pequena</v>
      </c>
      <c r="Y224" s="121" t="str" cm="1">
        <f t="array" ref="Y224">_xlfn.IFS(ISNUMBER(W224)=FALSE,"Sem dado",W224&gt;0.075,"Excelente",W224&gt;0.04,"Bom",W224&gt;0,"Fraco",TRUE,"Prejuízo")</f>
        <v>Excelente</v>
      </c>
    </row>
    <row r="225" spans="1:25" ht="15" customHeight="1" x14ac:dyDescent="0.2">
      <c r="A225" s="12" t="s">
        <v>588</v>
      </c>
      <c r="B225" s="56">
        <v>87733077</v>
      </c>
      <c r="C225" s="12"/>
      <c r="D225" s="12"/>
      <c r="E225" s="12"/>
      <c r="F225" s="12" t="s">
        <v>265</v>
      </c>
      <c r="G225" s="33">
        <v>2</v>
      </c>
      <c r="H225" s="33">
        <v>9</v>
      </c>
      <c r="I225" s="12" t="s">
        <v>589</v>
      </c>
      <c r="J225" s="12" t="s">
        <v>74</v>
      </c>
      <c r="K225" s="73" t="s">
        <v>29</v>
      </c>
      <c r="L225" s="13">
        <v>4396565</v>
      </c>
      <c r="M225" s="13">
        <v>2418705</v>
      </c>
      <c r="N225" s="13">
        <v>1725897</v>
      </c>
      <c r="O225" s="13">
        <v>3713519</v>
      </c>
      <c r="P225" s="13">
        <v>2413371</v>
      </c>
      <c r="Q225" s="13">
        <v>683045</v>
      </c>
      <c r="R225" s="13">
        <v>47363</v>
      </c>
      <c r="S225" s="13">
        <v>0</v>
      </c>
      <c r="T225" s="13">
        <v>27</v>
      </c>
      <c r="U225" s="12" t="str">
        <f t="shared" si="12"/>
        <v>Privado Nacional</v>
      </c>
      <c r="V225" s="14">
        <f t="shared" si="13"/>
        <v>0.5501351623369608</v>
      </c>
      <c r="W225" s="14">
        <f t="shared" si="14"/>
        <v>6.934096582216398E-2</v>
      </c>
      <c r="X225" s="12" t="str">
        <f t="shared" si="15"/>
        <v>Média/Pequena</v>
      </c>
      <c r="Y225" s="122" t="str" cm="1">
        <f t="array" ref="Y225">_xlfn.IFS(ISNUMBER(W225)=FALSE,"Sem dado",W225&gt;0.075,"Excelente",W225&gt;0.04,"Bom",W225&gt;0,"Fraco",TRUE,"Prejuízo")</f>
        <v>Bom</v>
      </c>
    </row>
    <row r="226" spans="1:25" ht="15" customHeight="1" x14ac:dyDescent="0.2">
      <c r="A226" s="15" t="s">
        <v>590</v>
      </c>
      <c r="B226" s="60">
        <v>70431630</v>
      </c>
      <c r="C226" s="15"/>
      <c r="D226" s="15"/>
      <c r="E226" s="15"/>
      <c r="F226" s="15" t="s">
        <v>265</v>
      </c>
      <c r="G226" s="34">
        <v>2</v>
      </c>
      <c r="H226" s="34">
        <v>9</v>
      </c>
      <c r="I226" s="15" t="s">
        <v>591</v>
      </c>
      <c r="J226" s="15" t="s">
        <v>329</v>
      </c>
      <c r="K226" s="74" t="s">
        <v>29</v>
      </c>
      <c r="L226" s="16">
        <v>4353921</v>
      </c>
      <c r="M226" s="16">
        <v>2093169</v>
      </c>
      <c r="N226" s="16">
        <v>1630122</v>
      </c>
      <c r="O226" s="16">
        <v>3728002</v>
      </c>
      <c r="P226" s="16">
        <v>2693904</v>
      </c>
      <c r="Q226" s="16">
        <v>625919</v>
      </c>
      <c r="R226" s="16">
        <v>11184</v>
      </c>
      <c r="S226" s="16">
        <v>0</v>
      </c>
      <c r="T226" s="16">
        <v>46</v>
      </c>
      <c r="U226" s="15" t="str">
        <f t="shared" si="12"/>
        <v>Privado Nacional</v>
      </c>
      <c r="V226" s="17">
        <f t="shared" si="13"/>
        <v>0.4807549333118355</v>
      </c>
      <c r="W226" s="17">
        <f t="shared" si="14"/>
        <v>1.7868126706490777E-2</v>
      </c>
      <c r="X226" s="15" t="str">
        <f t="shared" si="15"/>
        <v>Média/Pequena</v>
      </c>
      <c r="Y226" s="121" t="str" cm="1">
        <f t="array" ref="Y226">_xlfn.IFS(ISNUMBER(W226)=FALSE,"Sem dado",W226&gt;0.075,"Excelente",W226&gt;0.04,"Bom",W226&gt;0,"Fraco",TRUE,"Prejuízo")</f>
        <v>Fraco</v>
      </c>
    </row>
    <row r="227" spans="1:25" ht="15" customHeight="1" x14ac:dyDescent="0.2">
      <c r="A227" s="12" t="s">
        <v>592</v>
      </c>
      <c r="B227" s="56">
        <v>3793242</v>
      </c>
      <c r="C227" s="12"/>
      <c r="D227" s="12"/>
      <c r="E227" s="12"/>
      <c r="F227" s="12" t="s">
        <v>265</v>
      </c>
      <c r="G227" s="33">
        <v>2</v>
      </c>
      <c r="H227" s="33">
        <v>9</v>
      </c>
      <c r="I227" s="12" t="s">
        <v>593</v>
      </c>
      <c r="J227" s="12" t="s">
        <v>217</v>
      </c>
      <c r="K227" s="73" t="s">
        <v>29</v>
      </c>
      <c r="L227" s="13">
        <v>4293025</v>
      </c>
      <c r="M227" s="13">
        <v>1931981</v>
      </c>
      <c r="N227" s="13">
        <v>2082784</v>
      </c>
      <c r="O227" s="13">
        <v>3926078</v>
      </c>
      <c r="P227" s="13">
        <v>3248681</v>
      </c>
      <c r="Q227" s="13">
        <v>366947</v>
      </c>
      <c r="R227" s="13">
        <v>30621</v>
      </c>
      <c r="S227" s="13">
        <v>0</v>
      </c>
      <c r="T227" s="13">
        <v>30</v>
      </c>
      <c r="U227" s="12" t="str">
        <f t="shared" si="12"/>
        <v>Privado Nacional</v>
      </c>
      <c r="V227" s="14">
        <f t="shared" si="13"/>
        <v>0.45002789408400834</v>
      </c>
      <c r="W227" s="14">
        <f t="shared" si="14"/>
        <v>8.3448018378675937E-2</v>
      </c>
      <c r="X227" s="12" t="str">
        <f t="shared" si="15"/>
        <v>Média/Pequena</v>
      </c>
      <c r="Y227" s="122" t="str" cm="1">
        <f t="array" ref="Y227">_xlfn.IFS(ISNUMBER(W227)=FALSE,"Sem dado",W227&gt;0.075,"Excelente",W227&gt;0.04,"Bom",W227&gt;0,"Fraco",TRUE,"Prejuízo")</f>
        <v>Excelente</v>
      </c>
    </row>
    <row r="228" spans="1:25" ht="15" customHeight="1" x14ac:dyDescent="0.2">
      <c r="A228" s="15" t="s">
        <v>594</v>
      </c>
      <c r="B228" s="60">
        <v>32983165</v>
      </c>
      <c r="C228" s="15"/>
      <c r="D228" s="15"/>
      <c r="E228" s="15"/>
      <c r="F228" s="15" t="s">
        <v>265</v>
      </c>
      <c r="G228" s="34">
        <v>2</v>
      </c>
      <c r="H228" s="34">
        <v>9</v>
      </c>
      <c r="I228" s="15" t="s">
        <v>595</v>
      </c>
      <c r="J228" s="15" t="s">
        <v>329</v>
      </c>
      <c r="K228" s="74" t="s">
        <v>29</v>
      </c>
      <c r="L228" s="16">
        <v>4277774</v>
      </c>
      <c r="M228" s="16">
        <v>2912319</v>
      </c>
      <c r="N228" s="16">
        <v>842001</v>
      </c>
      <c r="O228" s="16">
        <v>3824832</v>
      </c>
      <c r="P228" s="16">
        <v>2178933</v>
      </c>
      <c r="Q228" s="16">
        <v>452941</v>
      </c>
      <c r="R228" s="16">
        <v>-47234</v>
      </c>
      <c r="S228" s="16">
        <v>0</v>
      </c>
      <c r="T228" s="16">
        <v>25</v>
      </c>
      <c r="U228" s="15" t="str">
        <f t="shared" si="12"/>
        <v>Privado Nacional</v>
      </c>
      <c r="V228" s="17">
        <f t="shared" si="13"/>
        <v>0.68080244538397772</v>
      </c>
      <c r="W228" s="17">
        <f t="shared" si="14"/>
        <v>-0.10428289777255757</v>
      </c>
      <c r="X228" s="15" t="str">
        <f t="shared" si="15"/>
        <v>Média/Pequena</v>
      </c>
      <c r="Y228" s="121" t="str" cm="1">
        <f t="array" ref="Y228">_xlfn.IFS(ISNUMBER(W228)=FALSE,"Sem dado",W228&gt;0.075,"Excelente",W228&gt;0.04,"Bom",W228&gt;0,"Fraco",TRUE,"Prejuízo")</f>
        <v>Prejuízo</v>
      </c>
    </row>
    <row r="229" spans="1:25" ht="15" customHeight="1" x14ac:dyDescent="0.2">
      <c r="A229" s="12" t="s">
        <v>596</v>
      </c>
      <c r="B229" s="56">
        <v>25021356</v>
      </c>
      <c r="C229" s="12" t="s">
        <v>597</v>
      </c>
      <c r="D229" s="12"/>
      <c r="E229" s="12" t="s">
        <v>598</v>
      </c>
      <c r="F229" s="12" t="s">
        <v>84</v>
      </c>
      <c r="G229" s="33">
        <v>3</v>
      </c>
      <c r="H229" s="33">
        <v>41</v>
      </c>
      <c r="I229" s="12" t="s">
        <v>38</v>
      </c>
      <c r="J229" s="12" t="s">
        <v>39</v>
      </c>
      <c r="K229" s="73" t="s">
        <v>29</v>
      </c>
      <c r="L229" s="13">
        <v>4273032</v>
      </c>
      <c r="M229" s="13">
        <v>0</v>
      </c>
      <c r="N229" s="13">
        <v>10070</v>
      </c>
      <c r="O229" s="13">
        <v>4054308</v>
      </c>
      <c r="P229" s="13">
        <v>302882</v>
      </c>
      <c r="Q229" s="13">
        <v>218725</v>
      </c>
      <c r="R229" s="13">
        <v>27357</v>
      </c>
      <c r="S229" s="13">
        <v>1</v>
      </c>
      <c r="T229" s="13">
        <v>0</v>
      </c>
      <c r="U229" s="12" t="str">
        <f t="shared" si="12"/>
        <v>Privado Estrangeiro</v>
      </c>
      <c r="V229" s="14">
        <f t="shared" si="13"/>
        <v>0</v>
      </c>
      <c r="W229" s="14">
        <f t="shared" si="14"/>
        <v>0.12507486569893703</v>
      </c>
      <c r="X229" s="12" t="str">
        <f t="shared" si="15"/>
        <v>Média/Pequena</v>
      </c>
      <c r="Y229" s="122" t="str" cm="1">
        <f t="array" ref="Y229">_xlfn.IFS(ISNUMBER(W229)=FALSE,"Sem dado",W229&gt;0.075,"Excelente",W229&gt;0.04,"Bom",W229&gt;0,"Fraco",TRUE,"Prejuízo")</f>
        <v>Excelente</v>
      </c>
    </row>
    <row r="230" spans="1:25" ht="15" customHeight="1" x14ac:dyDescent="0.2">
      <c r="A230" s="15" t="s">
        <v>599</v>
      </c>
      <c r="B230" s="60">
        <v>5241619</v>
      </c>
      <c r="C230" s="15"/>
      <c r="D230" s="15"/>
      <c r="E230" s="15"/>
      <c r="F230" s="15" t="s">
        <v>265</v>
      </c>
      <c r="G230" s="34">
        <v>2</v>
      </c>
      <c r="H230" s="34">
        <v>9</v>
      </c>
      <c r="I230" s="15" t="s">
        <v>600</v>
      </c>
      <c r="J230" s="15" t="s">
        <v>329</v>
      </c>
      <c r="K230" s="74" t="s">
        <v>29</v>
      </c>
      <c r="L230" s="16">
        <v>4220290</v>
      </c>
      <c r="M230" s="16">
        <v>2838984</v>
      </c>
      <c r="N230" s="16">
        <v>51013</v>
      </c>
      <c r="O230" s="16">
        <v>3705206</v>
      </c>
      <c r="P230" s="16">
        <v>3120122</v>
      </c>
      <c r="Q230" s="16">
        <v>515085</v>
      </c>
      <c r="R230" s="16">
        <v>2438</v>
      </c>
      <c r="S230" s="16">
        <v>0</v>
      </c>
      <c r="T230" s="16">
        <v>64</v>
      </c>
      <c r="U230" s="15" t="str">
        <f t="shared" si="12"/>
        <v>Privado Nacional</v>
      </c>
      <c r="V230" s="17">
        <f t="shared" si="13"/>
        <v>0.67269879558039847</v>
      </c>
      <c r="W230" s="17">
        <f t="shared" si="14"/>
        <v>4.7331993748604599E-3</v>
      </c>
      <c r="X230" s="15" t="str">
        <f t="shared" si="15"/>
        <v>Média/Pequena</v>
      </c>
      <c r="Y230" s="121" t="str" cm="1">
        <f t="array" ref="Y230">_xlfn.IFS(ISNUMBER(W230)=FALSE,"Sem dado",W230&gt;0.075,"Excelente",W230&gt;0.04,"Bom",W230&gt;0,"Fraco",TRUE,"Prejuízo")</f>
        <v>Fraco</v>
      </c>
    </row>
    <row r="231" spans="1:25" ht="15" customHeight="1" x14ac:dyDescent="0.2">
      <c r="A231" s="12" t="s">
        <v>601</v>
      </c>
      <c r="B231" s="56">
        <v>10663610</v>
      </c>
      <c r="C231" s="12" t="s">
        <v>602</v>
      </c>
      <c r="D231" s="12"/>
      <c r="E231" s="12" t="s">
        <v>603</v>
      </c>
      <c r="F231" s="12" t="s">
        <v>65</v>
      </c>
      <c r="G231" s="33">
        <v>1</v>
      </c>
      <c r="H231" s="33">
        <v>30</v>
      </c>
      <c r="I231" s="12" t="s">
        <v>38</v>
      </c>
      <c r="J231" s="12" t="s">
        <v>39</v>
      </c>
      <c r="K231" s="73" t="s">
        <v>29</v>
      </c>
      <c r="L231" s="13">
        <v>4216691</v>
      </c>
      <c r="M231" s="13">
        <v>2371524</v>
      </c>
      <c r="N231" s="13">
        <v>1584124</v>
      </c>
      <c r="O231" s="13">
        <v>845490</v>
      </c>
      <c r="P231" s="13">
        <v>628360</v>
      </c>
      <c r="Q231" s="13">
        <v>3371201</v>
      </c>
      <c r="R231" s="13">
        <v>142709</v>
      </c>
      <c r="S231" s="13">
        <v>1</v>
      </c>
      <c r="T231" s="13">
        <v>0</v>
      </c>
      <c r="U231" s="12" t="str">
        <f t="shared" si="12"/>
        <v>Público</v>
      </c>
      <c r="V231" s="14">
        <f t="shared" si="13"/>
        <v>0.56241351334494272</v>
      </c>
      <c r="W231" s="14">
        <f t="shared" si="14"/>
        <v>4.2331798074336117E-2</v>
      </c>
      <c r="X231" s="12" t="str">
        <f t="shared" si="15"/>
        <v>Média/Pequena</v>
      </c>
      <c r="Y231" s="122" t="str" cm="1">
        <f t="array" ref="Y231">_xlfn.IFS(ISNUMBER(W231)=FALSE,"Sem dado",W231&gt;0.075,"Excelente",W231&gt;0.04,"Bom",W231&gt;0,"Fraco",TRUE,"Prejuízo")</f>
        <v>Bom</v>
      </c>
    </row>
    <row r="232" spans="1:25" ht="15" customHeight="1" x14ac:dyDescent="0.2">
      <c r="A232" s="15" t="s">
        <v>604</v>
      </c>
      <c r="B232" s="60">
        <v>59118133</v>
      </c>
      <c r="C232" s="15" t="s">
        <v>605</v>
      </c>
      <c r="D232" s="15"/>
      <c r="E232" s="15" t="s">
        <v>606</v>
      </c>
      <c r="F232" s="15" t="s">
        <v>26</v>
      </c>
      <c r="G232" s="34">
        <v>3</v>
      </c>
      <c r="H232" s="34">
        <v>8</v>
      </c>
      <c r="I232" s="15" t="s">
        <v>38</v>
      </c>
      <c r="J232" s="15" t="s">
        <v>39</v>
      </c>
      <c r="K232" s="74" t="s">
        <v>29</v>
      </c>
      <c r="L232" s="16">
        <v>4210126</v>
      </c>
      <c r="M232" s="16">
        <v>2847301</v>
      </c>
      <c r="N232" s="16">
        <v>43125</v>
      </c>
      <c r="O232" s="16">
        <v>3877707</v>
      </c>
      <c r="P232" s="16">
        <v>3595866</v>
      </c>
      <c r="Q232" s="16">
        <v>332419</v>
      </c>
      <c r="R232" s="16">
        <v>10938</v>
      </c>
      <c r="S232" s="16">
        <v>2</v>
      </c>
      <c r="T232" s="16">
        <v>0</v>
      </c>
      <c r="U232" s="15" t="str">
        <f t="shared" si="12"/>
        <v>Privado Estrangeiro</v>
      </c>
      <c r="V232" s="17">
        <f t="shared" si="13"/>
        <v>0.67629828655959467</v>
      </c>
      <c r="W232" s="17">
        <f t="shared" si="14"/>
        <v>3.2904256375237279E-2</v>
      </c>
      <c r="X232" s="15" t="str">
        <f t="shared" si="15"/>
        <v>Média/Pequena</v>
      </c>
      <c r="Y232" s="121" t="str" cm="1">
        <f t="array" ref="Y232">_xlfn.IFS(ISNUMBER(W232)=FALSE,"Sem dado",W232&gt;0.075,"Excelente",W232&gt;0.04,"Bom",W232&gt;0,"Fraco",TRUE,"Prejuízo")</f>
        <v>Fraco</v>
      </c>
    </row>
    <row r="233" spans="1:25" ht="15" customHeight="1" x14ac:dyDescent="0.2">
      <c r="A233" s="12" t="s">
        <v>607</v>
      </c>
      <c r="B233" s="56">
        <v>78840071</v>
      </c>
      <c r="C233" s="12"/>
      <c r="D233" s="12"/>
      <c r="E233" s="12"/>
      <c r="F233" s="12" t="s">
        <v>265</v>
      </c>
      <c r="G233" s="33">
        <v>2</v>
      </c>
      <c r="H233" s="33">
        <v>9</v>
      </c>
      <c r="I233" s="12" t="s">
        <v>608</v>
      </c>
      <c r="J233" s="12" t="s">
        <v>217</v>
      </c>
      <c r="K233" s="73" t="s">
        <v>29</v>
      </c>
      <c r="L233" s="13">
        <v>4208943</v>
      </c>
      <c r="M233" s="13">
        <v>2155418</v>
      </c>
      <c r="N233" s="13">
        <v>64259</v>
      </c>
      <c r="O233" s="13">
        <v>3729590</v>
      </c>
      <c r="P233" s="13">
        <v>2881808</v>
      </c>
      <c r="Q233" s="13">
        <v>479354</v>
      </c>
      <c r="R233" s="13">
        <v>33690</v>
      </c>
      <c r="S233" s="13">
        <v>0</v>
      </c>
      <c r="T233" s="13">
        <v>32</v>
      </c>
      <c r="U233" s="12" t="str">
        <f t="shared" si="12"/>
        <v>Privado Nacional</v>
      </c>
      <c r="V233" s="14">
        <f t="shared" si="13"/>
        <v>0.51210434543779759</v>
      </c>
      <c r="W233" s="14">
        <f t="shared" si="14"/>
        <v>7.0282087976735352E-2</v>
      </c>
      <c r="X233" s="12" t="str">
        <f t="shared" si="15"/>
        <v>Média/Pequena</v>
      </c>
      <c r="Y233" s="122" t="str" cm="1">
        <f t="array" ref="Y233">_xlfn.IFS(ISNUMBER(W233)=FALSE,"Sem dado",W233&gt;0.075,"Excelente",W233&gt;0.04,"Bom",W233&gt;0,"Fraco",TRUE,"Prejuízo")</f>
        <v>Bom</v>
      </c>
    </row>
    <row r="234" spans="1:25" ht="15" customHeight="1" x14ac:dyDescent="0.2">
      <c r="A234" s="15" t="s">
        <v>609</v>
      </c>
      <c r="B234" s="60">
        <v>10736214</v>
      </c>
      <c r="C234" s="15"/>
      <c r="D234" s="15"/>
      <c r="E234" s="15"/>
      <c r="F234" s="15" t="s">
        <v>265</v>
      </c>
      <c r="G234" s="34">
        <v>2</v>
      </c>
      <c r="H234" s="34">
        <v>9</v>
      </c>
      <c r="I234" s="15" t="s">
        <v>610</v>
      </c>
      <c r="J234" s="15" t="s">
        <v>389</v>
      </c>
      <c r="K234" s="74" t="s">
        <v>29</v>
      </c>
      <c r="L234" s="16">
        <v>4197272</v>
      </c>
      <c r="M234" s="16">
        <v>2316100</v>
      </c>
      <c r="N234" s="16">
        <v>1596916</v>
      </c>
      <c r="O234" s="16">
        <v>3808279</v>
      </c>
      <c r="P234" s="16">
        <v>2581655</v>
      </c>
      <c r="Q234" s="16">
        <v>388994</v>
      </c>
      <c r="R234" s="16">
        <v>-11297</v>
      </c>
      <c r="S234" s="16">
        <v>0</v>
      </c>
      <c r="T234" s="16">
        <v>36</v>
      </c>
      <c r="U234" s="15" t="str">
        <f t="shared" si="12"/>
        <v>Privado Nacional</v>
      </c>
      <c r="V234" s="17">
        <f t="shared" si="13"/>
        <v>0.5518107952022171</v>
      </c>
      <c r="W234" s="17">
        <f t="shared" si="14"/>
        <v>-2.9041579047491734E-2</v>
      </c>
      <c r="X234" s="15" t="str">
        <f t="shared" si="15"/>
        <v>Média/Pequena</v>
      </c>
      <c r="Y234" s="121" t="str" cm="1">
        <f t="array" ref="Y234">_xlfn.IFS(ISNUMBER(W234)=FALSE,"Sem dado",W234&gt;0.075,"Excelente",W234&gt;0.04,"Bom",W234&gt;0,"Fraco",TRUE,"Prejuízo")</f>
        <v>Prejuízo</v>
      </c>
    </row>
    <row r="235" spans="1:25" ht="15" customHeight="1" x14ac:dyDescent="0.2">
      <c r="A235" s="12" t="s">
        <v>611</v>
      </c>
      <c r="B235" s="56">
        <v>3609817</v>
      </c>
      <c r="C235" s="12" t="s">
        <v>612</v>
      </c>
      <c r="D235" s="12"/>
      <c r="E235" s="12" t="s">
        <v>613</v>
      </c>
      <c r="F235" s="12" t="s">
        <v>26</v>
      </c>
      <c r="G235" s="33">
        <v>3</v>
      </c>
      <c r="H235" s="33">
        <v>8</v>
      </c>
      <c r="I235" s="12" t="s">
        <v>38</v>
      </c>
      <c r="J235" s="12" t="s">
        <v>39</v>
      </c>
      <c r="K235" s="73" t="s">
        <v>29</v>
      </c>
      <c r="L235" s="13">
        <v>4169757</v>
      </c>
      <c r="M235" s="13">
        <v>3015052</v>
      </c>
      <c r="N235" s="13">
        <v>426429</v>
      </c>
      <c r="O235" s="13">
        <v>3206112</v>
      </c>
      <c r="P235" s="13">
        <v>3148852</v>
      </c>
      <c r="Q235" s="13">
        <v>963645</v>
      </c>
      <c r="R235" s="13">
        <v>36714</v>
      </c>
      <c r="S235" s="13">
        <v>2</v>
      </c>
      <c r="T235" s="13">
        <v>0</v>
      </c>
      <c r="U235" s="12" t="str">
        <f t="shared" si="12"/>
        <v>Privado Estrangeiro</v>
      </c>
      <c r="V235" s="14">
        <f t="shared" si="13"/>
        <v>0.72307618885225211</v>
      </c>
      <c r="W235" s="14">
        <f t="shared" si="14"/>
        <v>3.8099092508133182E-2</v>
      </c>
      <c r="X235" s="12" t="str">
        <f t="shared" si="15"/>
        <v>Média/Pequena</v>
      </c>
      <c r="Y235" s="122" t="str" cm="1">
        <f t="array" ref="Y235">_xlfn.IFS(ISNUMBER(W235)=FALSE,"Sem dado",W235&gt;0.075,"Excelente",W235&gt;0.04,"Bom",W235&gt;0,"Fraco",TRUE,"Prejuízo")</f>
        <v>Fraco</v>
      </c>
    </row>
    <row r="236" spans="1:25" ht="15" customHeight="1" x14ac:dyDescent="0.2">
      <c r="A236" s="15" t="s">
        <v>614</v>
      </c>
      <c r="B236" s="60">
        <v>1644264</v>
      </c>
      <c r="C236" s="15"/>
      <c r="D236" s="15"/>
      <c r="E236" s="15"/>
      <c r="F236" s="15" t="s">
        <v>265</v>
      </c>
      <c r="G236" s="34">
        <v>2</v>
      </c>
      <c r="H236" s="34">
        <v>9</v>
      </c>
      <c r="I236" s="15" t="s">
        <v>615</v>
      </c>
      <c r="J236" s="15" t="s">
        <v>120</v>
      </c>
      <c r="K236" s="74" t="s">
        <v>29</v>
      </c>
      <c r="L236" s="16">
        <v>4165405</v>
      </c>
      <c r="M236" s="16">
        <v>1902039</v>
      </c>
      <c r="N236" s="16">
        <v>62696</v>
      </c>
      <c r="O236" s="16">
        <v>3605161</v>
      </c>
      <c r="P236" s="16">
        <v>3475567</v>
      </c>
      <c r="Q236" s="16">
        <v>560245</v>
      </c>
      <c r="R236" s="16">
        <v>69149</v>
      </c>
      <c r="S236" s="16">
        <v>0</v>
      </c>
      <c r="T236" s="16">
        <v>33</v>
      </c>
      <c r="U236" s="15" t="str">
        <f t="shared" si="12"/>
        <v>Privado Nacional</v>
      </c>
      <c r="V236" s="17">
        <f t="shared" si="13"/>
        <v>0.45662762684540881</v>
      </c>
      <c r="W236" s="17">
        <f t="shared" si="14"/>
        <v>0.12342635811118351</v>
      </c>
      <c r="X236" s="15" t="str">
        <f t="shared" si="15"/>
        <v>Média/Pequena</v>
      </c>
      <c r="Y236" s="121" t="str" cm="1">
        <f t="array" ref="Y236">_xlfn.IFS(ISNUMBER(W236)=FALSE,"Sem dado",W236&gt;0.075,"Excelente",W236&gt;0.04,"Bom",W236&gt;0,"Fraco",TRUE,"Prejuízo")</f>
        <v>Excelente</v>
      </c>
    </row>
    <row r="237" spans="1:25" ht="15" customHeight="1" x14ac:dyDescent="0.2">
      <c r="A237" s="12" t="s">
        <v>616</v>
      </c>
      <c r="B237" s="56">
        <v>71297899</v>
      </c>
      <c r="C237" s="12"/>
      <c r="D237" s="12"/>
      <c r="E237" s="12"/>
      <c r="F237" s="12" t="s">
        <v>265</v>
      </c>
      <c r="G237" s="33">
        <v>2</v>
      </c>
      <c r="H237" s="33">
        <v>9</v>
      </c>
      <c r="I237" s="12" t="s">
        <v>617</v>
      </c>
      <c r="J237" s="12" t="s">
        <v>120</v>
      </c>
      <c r="K237" s="73" t="s">
        <v>29</v>
      </c>
      <c r="L237" s="13">
        <v>4139220</v>
      </c>
      <c r="M237" s="13">
        <v>2205442</v>
      </c>
      <c r="N237" s="13">
        <v>71983</v>
      </c>
      <c r="O237" s="13">
        <v>3767157</v>
      </c>
      <c r="P237" s="13">
        <v>3072793</v>
      </c>
      <c r="Q237" s="13">
        <v>372063</v>
      </c>
      <c r="R237" s="13">
        <v>-175224</v>
      </c>
      <c r="S237" s="13">
        <v>0</v>
      </c>
      <c r="T237" s="13">
        <v>57</v>
      </c>
      <c r="U237" s="12" t="str">
        <f t="shared" si="12"/>
        <v>Privado Nacional</v>
      </c>
      <c r="V237" s="14">
        <f t="shared" si="13"/>
        <v>0.53281584453109521</v>
      </c>
      <c r="W237" s="14">
        <f t="shared" si="14"/>
        <v>-0.47095249997984212</v>
      </c>
      <c r="X237" s="12" t="str">
        <f t="shared" si="15"/>
        <v>Média/Pequena</v>
      </c>
      <c r="Y237" s="122" t="str" cm="1">
        <f t="array" ref="Y237">_xlfn.IFS(ISNUMBER(W237)=FALSE,"Sem dado",W237&gt;0.075,"Excelente",W237&gt;0.04,"Bom",W237&gt;0,"Fraco",TRUE,"Prejuízo")</f>
        <v>Prejuízo</v>
      </c>
    </row>
    <row r="238" spans="1:25" ht="15" customHeight="1" x14ac:dyDescent="0.2">
      <c r="A238" s="15" t="s">
        <v>618</v>
      </c>
      <c r="B238" s="60">
        <v>10371492</v>
      </c>
      <c r="C238" s="15" t="s">
        <v>619</v>
      </c>
      <c r="D238" s="15"/>
      <c r="E238" s="15" t="s">
        <v>620</v>
      </c>
      <c r="F238" s="15" t="s">
        <v>26</v>
      </c>
      <c r="G238" s="34">
        <v>3</v>
      </c>
      <c r="H238" s="34">
        <v>8</v>
      </c>
      <c r="I238" s="15" t="s">
        <v>38</v>
      </c>
      <c r="J238" s="15" t="s">
        <v>39</v>
      </c>
      <c r="K238" s="74" t="s">
        <v>29</v>
      </c>
      <c r="L238" s="16">
        <v>4083051</v>
      </c>
      <c r="M238" s="16">
        <v>3072887</v>
      </c>
      <c r="N238" s="16">
        <v>0</v>
      </c>
      <c r="O238" s="16">
        <v>3586224</v>
      </c>
      <c r="P238" s="16">
        <v>3290397</v>
      </c>
      <c r="Q238" s="16">
        <v>496827</v>
      </c>
      <c r="R238" s="16">
        <v>37510</v>
      </c>
      <c r="S238" s="16">
        <v>2</v>
      </c>
      <c r="T238" s="16">
        <v>0</v>
      </c>
      <c r="U238" s="15" t="str">
        <f t="shared" si="12"/>
        <v>Privado Estrangeiro</v>
      </c>
      <c r="V238" s="17">
        <f t="shared" si="13"/>
        <v>0.7525957917253544</v>
      </c>
      <c r="W238" s="17">
        <f t="shared" si="14"/>
        <v>7.5499117399014146E-2</v>
      </c>
      <c r="X238" s="15" t="str">
        <f t="shared" si="15"/>
        <v>Média/Pequena</v>
      </c>
      <c r="Y238" s="121" t="str" cm="1">
        <f t="array" ref="Y238">_xlfn.IFS(ISNUMBER(W238)=FALSE,"Sem dado",W238&gt;0.075,"Excelente",W238&gt;0.04,"Bom",W238&gt;0,"Fraco",TRUE,"Prejuízo")</f>
        <v>Excelente</v>
      </c>
    </row>
    <row r="239" spans="1:25" ht="15" customHeight="1" x14ac:dyDescent="0.2">
      <c r="A239" s="12" t="s">
        <v>621</v>
      </c>
      <c r="B239" s="56">
        <v>48795256</v>
      </c>
      <c r="C239" s="12" t="s">
        <v>622</v>
      </c>
      <c r="D239" s="12" t="s">
        <v>623</v>
      </c>
      <c r="E239" s="12" t="s">
        <v>624</v>
      </c>
      <c r="F239" s="12" t="s">
        <v>26</v>
      </c>
      <c r="G239" s="33">
        <v>3</v>
      </c>
      <c r="H239" s="33">
        <v>8</v>
      </c>
      <c r="I239" s="12" t="s">
        <v>38</v>
      </c>
      <c r="J239" s="12" t="s">
        <v>39</v>
      </c>
      <c r="K239" s="73" t="s">
        <v>29</v>
      </c>
      <c r="L239" s="13">
        <v>4057603</v>
      </c>
      <c r="M239" s="13">
        <v>2336217</v>
      </c>
      <c r="N239" s="13">
        <v>770895</v>
      </c>
      <c r="O239" s="13">
        <v>3827337</v>
      </c>
      <c r="P239" s="13">
        <v>3689692</v>
      </c>
      <c r="Q239" s="13">
        <v>230266</v>
      </c>
      <c r="R239" s="13">
        <v>-11532</v>
      </c>
      <c r="S239" s="13">
        <v>2</v>
      </c>
      <c r="T239" s="13">
        <v>2</v>
      </c>
      <c r="U239" s="12" t="str">
        <f t="shared" si="12"/>
        <v>Privado Estrangeiro</v>
      </c>
      <c r="V239" s="14">
        <f t="shared" si="13"/>
        <v>0.57576283337724266</v>
      </c>
      <c r="W239" s="14">
        <f t="shared" si="14"/>
        <v>-5.0081210426202741E-2</v>
      </c>
      <c r="X239" s="12" t="str">
        <f t="shared" si="15"/>
        <v>Média/Pequena</v>
      </c>
      <c r="Y239" s="122" t="str" cm="1">
        <f t="array" ref="Y239">_xlfn.IFS(ISNUMBER(W239)=FALSE,"Sem dado",W239&gt;0.075,"Excelente",W239&gt;0.04,"Bom",W239&gt;0,"Fraco",TRUE,"Prejuízo")</f>
        <v>Prejuízo</v>
      </c>
    </row>
    <row r="240" spans="1:25" ht="15" customHeight="1" x14ac:dyDescent="0.2">
      <c r="A240" s="15" t="s">
        <v>625</v>
      </c>
      <c r="B240" s="60">
        <v>55230916</v>
      </c>
      <c r="C240" s="15" t="s">
        <v>626</v>
      </c>
      <c r="D240" s="15"/>
      <c r="E240" s="15" t="s">
        <v>627</v>
      </c>
      <c r="F240" s="15" t="s">
        <v>26</v>
      </c>
      <c r="G240" s="34">
        <v>3</v>
      </c>
      <c r="H240" s="34">
        <v>8</v>
      </c>
      <c r="I240" s="15" t="s">
        <v>38</v>
      </c>
      <c r="J240" s="15" t="s">
        <v>39</v>
      </c>
      <c r="K240" s="74" t="s">
        <v>29</v>
      </c>
      <c r="L240" s="16">
        <v>4015478</v>
      </c>
      <c r="M240" s="16">
        <v>1049271</v>
      </c>
      <c r="N240" s="16">
        <v>397840</v>
      </c>
      <c r="O240" s="16">
        <v>2768001</v>
      </c>
      <c r="P240" s="16">
        <v>2548528</v>
      </c>
      <c r="Q240" s="16">
        <v>1247478</v>
      </c>
      <c r="R240" s="16">
        <v>40983</v>
      </c>
      <c r="S240" s="16">
        <v>2</v>
      </c>
      <c r="T240" s="16">
        <v>0</v>
      </c>
      <c r="U240" s="15" t="str">
        <f t="shared" si="12"/>
        <v>Privado Estrangeiro</v>
      </c>
      <c r="V240" s="17">
        <f t="shared" si="13"/>
        <v>0.26130662401836097</v>
      </c>
      <c r="W240" s="17">
        <f t="shared" si="14"/>
        <v>3.2852683574379669E-2</v>
      </c>
      <c r="X240" s="15" t="str">
        <f t="shared" si="15"/>
        <v>Média/Pequena</v>
      </c>
      <c r="Y240" s="121" t="str" cm="1">
        <f t="array" ref="Y240">_xlfn.IFS(ISNUMBER(W240)=FALSE,"Sem dado",W240&gt;0.075,"Excelente",W240&gt;0.04,"Bom",W240&gt;0,"Fraco",TRUE,"Prejuízo")</f>
        <v>Fraco</v>
      </c>
    </row>
    <row r="241" spans="1:25" ht="15" customHeight="1" x14ac:dyDescent="0.2">
      <c r="A241" s="12" t="s">
        <v>628</v>
      </c>
      <c r="B241" s="56">
        <v>57731012</v>
      </c>
      <c r="C241" s="12" t="s">
        <v>122</v>
      </c>
      <c r="D241" s="12" t="s">
        <v>123</v>
      </c>
      <c r="E241" s="12" t="s">
        <v>124</v>
      </c>
      <c r="F241" s="12" t="s">
        <v>65</v>
      </c>
      <c r="G241" s="33">
        <v>2</v>
      </c>
      <c r="H241" s="33">
        <v>19</v>
      </c>
      <c r="I241" s="12" t="s">
        <v>38</v>
      </c>
      <c r="J241" s="12" t="s">
        <v>39</v>
      </c>
      <c r="K241" s="73" t="s">
        <v>29</v>
      </c>
      <c r="L241" s="13">
        <v>3993757</v>
      </c>
      <c r="M241" s="13">
        <v>3088804</v>
      </c>
      <c r="N241" s="13">
        <v>732996</v>
      </c>
      <c r="O241" s="13">
        <v>3869332</v>
      </c>
      <c r="P241" s="13">
        <v>3365516</v>
      </c>
      <c r="Q241" s="13">
        <v>124425</v>
      </c>
      <c r="R241" s="13">
        <v>69703</v>
      </c>
      <c r="S241" s="13">
        <v>2</v>
      </c>
      <c r="T241" s="13">
        <v>0</v>
      </c>
      <c r="U241" s="12" t="str">
        <f t="shared" si="12"/>
        <v>Privado Nacional</v>
      </c>
      <c r="V241" s="14">
        <f t="shared" si="13"/>
        <v>0.77340809668690413</v>
      </c>
      <c r="W241" s="14">
        <f t="shared" si="14"/>
        <v>0.56020092425155721</v>
      </c>
      <c r="X241" s="12" t="str">
        <f t="shared" si="15"/>
        <v>Média/Pequena</v>
      </c>
      <c r="Y241" s="122" t="str" cm="1">
        <f t="array" ref="Y241">_xlfn.IFS(ISNUMBER(W241)=FALSE,"Sem dado",W241&gt;0.075,"Excelente",W241&gt;0.04,"Bom",W241&gt;0,"Fraco",TRUE,"Prejuízo")</f>
        <v>Excelente</v>
      </c>
    </row>
    <row r="242" spans="1:25" ht="15" customHeight="1" x14ac:dyDescent="0.2">
      <c r="A242" s="15" t="s">
        <v>629</v>
      </c>
      <c r="B242" s="60">
        <v>78632767</v>
      </c>
      <c r="C242" s="15" t="s">
        <v>630</v>
      </c>
      <c r="D242" s="15"/>
      <c r="E242" s="15" t="s">
        <v>631</v>
      </c>
      <c r="F242" s="15" t="s">
        <v>26</v>
      </c>
      <c r="G242" s="34">
        <v>2</v>
      </c>
      <c r="H242" s="34">
        <v>8</v>
      </c>
      <c r="I242" s="15" t="s">
        <v>38</v>
      </c>
      <c r="J242" s="15" t="s">
        <v>39</v>
      </c>
      <c r="K242" s="74" t="s">
        <v>29</v>
      </c>
      <c r="L242" s="16">
        <v>3974214</v>
      </c>
      <c r="M242" s="16">
        <v>1481346</v>
      </c>
      <c r="N242" s="16">
        <v>1467647</v>
      </c>
      <c r="O242" s="16">
        <v>3476632</v>
      </c>
      <c r="P242" s="16">
        <v>2505700</v>
      </c>
      <c r="Q242" s="16">
        <v>497582</v>
      </c>
      <c r="R242" s="16">
        <v>178132</v>
      </c>
      <c r="S242" s="16">
        <v>2</v>
      </c>
      <c r="T242" s="16">
        <v>0</v>
      </c>
      <c r="U242" s="15" t="str">
        <f t="shared" si="12"/>
        <v>Privado Nacional</v>
      </c>
      <c r="V242" s="17">
        <f t="shared" si="13"/>
        <v>0.37273936431203752</v>
      </c>
      <c r="W242" s="17">
        <f t="shared" si="14"/>
        <v>0.35799526510203344</v>
      </c>
      <c r="X242" s="15" t="str">
        <f t="shared" si="15"/>
        <v>Média/Pequena</v>
      </c>
      <c r="Y242" s="121" t="str" cm="1">
        <f t="array" ref="Y242">_xlfn.IFS(ISNUMBER(W242)=FALSE,"Sem dado",W242&gt;0.075,"Excelente",W242&gt;0.04,"Bom",W242&gt;0,"Fraco",TRUE,"Prejuízo")</f>
        <v>Excelente</v>
      </c>
    </row>
    <row r="243" spans="1:25" ht="15" customHeight="1" x14ac:dyDescent="0.2">
      <c r="A243" s="12" t="s">
        <v>632</v>
      </c>
      <c r="B243" s="56">
        <v>971300</v>
      </c>
      <c r="C243" s="12"/>
      <c r="D243" s="12"/>
      <c r="E243" s="12"/>
      <c r="F243" s="12" t="s">
        <v>265</v>
      </c>
      <c r="G243" s="33">
        <v>2</v>
      </c>
      <c r="H243" s="33">
        <v>9</v>
      </c>
      <c r="I243" s="12" t="s">
        <v>633</v>
      </c>
      <c r="J243" s="12" t="s">
        <v>229</v>
      </c>
      <c r="K243" s="73" t="s">
        <v>29</v>
      </c>
      <c r="L243" s="13">
        <v>3972475</v>
      </c>
      <c r="M243" s="13">
        <v>2984261</v>
      </c>
      <c r="N243" s="13">
        <v>45978</v>
      </c>
      <c r="O243" s="13">
        <v>3408327</v>
      </c>
      <c r="P243" s="13">
        <v>2184028</v>
      </c>
      <c r="Q243" s="13">
        <v>564148</v>
      </c>
      <c r="R243" s="13">
        <v>54242</v>
      </c>
      <c r="S243" s="13">
        <v>0</v>
      </c>
      <c r="T243" s="13">
        <v>67</v>
      </c>
      <c r="U243" s="12" t="str">
        <f t="shared" si="12"/>
        <v>Privado Nacional</v>
      </c>
      <c r="V243" s="14">
        <f t="shared" si="13"/>
        <v>0.75123468366698343</v>
      </c>
      <c r="W243" s="14">
        <f t="shared" si="14"/>
        <v>9.6148528400348848E-2</v>
      </c>
      <c r="X243" s="12" t="str">
        <f t="shared" si="15"/>
        <v>Média/Pequena</v>
      </c>
      <c r="Y243" s="122" t="str" cm="1">
        <f t="array" ref="Y243">_xlfn.IFS(ISNUMBER(W243)=FALSE,"Sem dado",W243&gt;0.075,"Excelente",W243&gt;0.04,"Bom",W243&gt;0,"Fraco",TRUE,"Prejuízo")</f>
        <v>Excelente</v>
      </c>
    </row>
    <row r="244" spans="1:25" ht="15" customHeight="1" x14ac:dyDescent="0.2">
      <c r="A244" s="15" t="s">
        <v>634</v>
      </c>
      <c r="B244" s="60">
        <v>75847</v>
      </c>
      <c r="C244" s="15"/>
      <c r="D244" s="15"/>
      <c r="E244" s="15"/>
      <c r="F244" s="15" t="s">
        <v>265</v>
      </c>
      <c r="G244" s="34">
        <v>2</v>
      </c>
      <c r="H244" s="34">
        <v>9</v>
      </c>
      <c r="I244" s="15" t="s">
        <v>593</v>
      </c>
      <c r="J244" s="15" t="s">
        <v>217</v>
      </c>
      <c r="K244" s="74" t="s">
        <v>29</v>
      </c>
      <c r="L244" s="16">
        <v>3937240</v>
      </c>
      <c r="M244" s="16">
        <v>1896239</v>
      </c>
      <c r="N244" s="16">
        <v>64906</v>
      </c>
      <c r="O244" s="16">
        <v>3595750</v>
      </c>
      <c r="P244" s="16">
        <v>3358772</v>
      </c>
      <c r="Q244" s="16">
        <v>341490</v>
      </c>
      <c r="R244" s="16">
        <v>22200</v>
      </c>
      <c r="S244" s="16">
        <v>0</v>
      </c>
      <c r="T244" s="16">
        <v>20</v>
      </c>
      <c r="U244" s="15" t="str">
        <f t="shared" si="12"/>
        <v>Privado Nacional</v>
      </c>
      <c r="V244" s="17">
        <f t="shared" si="13"/>
        <v>0.48161630990236814</v>
      </c>
      <c r="W244" s="17">
        <f t="shared" si="14"/>
        <v>6.5009224281823777E-2</v>
      </c>
      <c r="X244" s="15" t="str">
        <f t="shared" si="15"/>
        <v>Média/Pequena</v>
      </c>
      <c r="Y244" s="121" t="str" cm="1">
        <f t="array" ref="Y244">_xlfn.IFS(ISNUMBER(W244)=FALSE,"Sem dado",W244&gt;0.075,"Excelente",W244&gt;0.04,"Bom",W244&gt;0,"Fraco",TRUE,"Prejuízo")</f>
        <v>Bom</v>
      </c>
    </row>
    <row r="245" spans="1:25" ht="15" customHeight="1" x14ac:dyDescent="0.2">
      <c r="A245" s="12" t="s">
        <v>635</v>
      </c>
      <c r="B245" s="56">
        <v>87781530</v>
      </c>
      <c r="C245" s="12"/>
      <c r="D245" s="12"/>
      <c r="E245" s="12"/>
      <c r="F245" s="12" t="s">
        <v>265</v>
      </c>
      <c r="G245" s="33">
        <v>2</v>
      </c>
      <c r="H245" s="33">
        <v>9</v>
      </c>
      <c r="I245" s="12" t="s">
        <v>453</v>
      </c>
      <c r="J245" s="12" t="s">
        <v>74</v>
      </c>
      <c r="K245" s="73" t="s">
        <v>29</v>
      </c>
      <c r="L245" s="13">
        <v>3925612</v>
      </c>
      <c r="M245" s="13">
        <v>2510069</v>
      </c>
      <c r="N245" s="13">
        <v>1252624</v>
      </c>
      <c r="O245" s="13">
        <v>3482422</v>
      </c>
      <c r="P245" s="13">
        <v>2385515</v>
      </c>
      <c r="Q245" s="13">
        <v>443190</v>
      </c>
      <c r="R245" s="13">
        <v>2990</v>
      </c>
      <c r="S245" s="13">
        <v>0</v>
      </c>
      <c r="T245" s="13">
        <v>40</v>
      </c>
      <c r="U245" s="12" t="str">
        <f t="shared" si="12"/>
        <v>Privado Nacional</v>
      </c>
      <c r="V245" s="14">
        <f t="shared" si="13"/>
        <v>0.63940832665072356</v>
      </c>
      <c r="W245" s="14">
        <f t="shared" si="14"/>
        <v>6.7465421151199261E-3</v>
      </c>
      <c r="X245" s="12" t="str">
        <f t="shared" si="15"/>
        <v>Média/Pequena</v>
      </c>
      <c r="Y245" s="122" t="str" cm="1">
        <f t="array" ref="Y245">_xlfn.IFS(ISNUMBER(W245)=FALSE,"Sem dado",W245&gt;0.075,"Excelente",W245&gt;0.04,"Bom",W245&gt;0,"Fraco",TRUE,"Prejuízo")</f>
        <v>Fraco</v>
      </c>
    </row>
    <row r="246" spans="1:25" ht="15" customHeight="1" x14ac:dyDescent="0.2">
      <c r="A246" s="15" t="s">
        <v>636</v>
      </c>
      <c r="B246" s="60">
        <v>4452473</v>
      </c>
      <c r="C246" s="15" t="s">
        <v>637</v>
      </c>
      <c r="D246" s="15" t="s">
        <v>638</v>
      </c>
      <c r="E246" s="15" t="s">
        <v>639</v>
      </c>
      <c r="F246" s="15" t="s">
        <v>65</v>
      </c>
      <c r="G246" s="34">
        <v>3</v>
      </c>
      <c r="H246" s="34">
        <v>14</v>
      </c>
      <c r="I246" s="15" t="s">
        <v>38</v>
      </c>
      <c r="J246" s="15" t="s">
        <v>39</v>
      </c>
      <c r="K246" s="74" t="s">
        <v>29</v>
      </c>
      <c r="L246" s="16">
        <v>3864614</v>
      </c>
      <c r="M246" s="16">
        <v>3669172</v>
      </c>
      <c r="N246" s="16">
        <v>0</v>
      </c>
      <c r="O246" s="16">
        <v>3175133</v>
      </c>
      <c r="P246" s="16">
        <v>2966265</v>
      </c>
      <c r="Q246" s="16">
        <v>689481</v>
      </c>
      <c r="R246" s="16">
        <v>55960</v>
      </c>
      <c r="S246" s="16">
        <v>2</v>
      </c>
      <c r="T246" s="16">
        <v>0</v>
      </c>
      <c r="U246" s="15" t="str">
        <f t="shared" si="12"/>
        <v>Privado Estrangeiro</v>
      </c>
      <c r="V246" s="17">
        <f t="shared" si="13"/>
        <v>0.94942780831410334</v>
      </c>
      <c r="W246" s="17">
        <f t="shared" si="14"/>
        <v>8.1162497588766036E-2</v>
      </c>
      <c r="X246" s="15" t="str">
        <f t="shared" si="15"/>
        <v>Média/Pequena</v>
      </c>
      <c r="Y246" s="121" t="str" cm="1">
        <f t="array" ref="Y246">_xlfn.IFS(ISNUMBER(W246)=FALSE,"Sem dado",W246&gt;0.075,"Excelente",W246&gt;0.04,"Bom",W246&gt;0,"Fraco",TRUE,"Prejuízo")</f>
        <v>Excelente</v>
      </c>
    </row>
    <row r="247" spans="1:25" ht="15" customHeight="1" x14ac:dyDescent="0.2">
      <c r="A247" s="12" t="s">
        <v>640</v>
      </c>
      <c r="B247" s="56">
        <v>30822936</v>
      </c>
      <c r="C247" s="12" t="s">
        <v>23</v>
      </c>
      <c r="D247" s="12" t="s">
        <v>24</v>
      </c>
      <c r="E247" s="12" t="s">
        <v>25</v>
      </c>
      <c r="F247" s="12" t="s">
        <v>98</v>
      </c>
      <c r="G247" s="33">
        <v>1</v>
      </c>
      <c r="H247" s="33">
        <v>16</v>
      </c>
      <c r="I247" s="12" t="s">
        <v>27</v>
      </c>
      <c r="J247" s="12" t="s">
        <v>28</v>
      </c>
      <c r="K247" s="73" t="s">
        <v>29</v>
      </c>
      <c r="L247" s="13">
        <v>3841544</v>
      </c>
      <c r="M247" s="13">
        <v>0</v>
      </c>
      <c r="N247" s="13">
        <v>915199</v>
      </c>
      <c r="O247" s="13">
        <v>2411986</v>
      </c>
      <c r="P247" s="13">
        <v>0</v>
      </c>
      <c r="Q247" s="13">
        <v>1429558</v>
      </c>
      <c r="R247" s="13">
        <v>1245521</v>
      </c>
      <c r="S247" s="13">
        <v>3</v>
      </c>
      <c r="T247" s="13">
        <v>0</v>
      </c>
      <c r="U247" s="12" t="str">
        <f t="shared" si="12"/>
        <v>Público</v>
      </c>
      <c r="V247" s="14">
        <f t="shared" si="13"/>
        <v>0</v>
      </c>
      <c r="W247" s="14">
        <f t="shared" si="14"/>
        <v>0.87126300576821647</v>
      </c>
      <c r="X247" s="12" t="str">
        <f t="shared" si="15"/>
        <v>Média/Pequena</v>
      </c>
      <c r="Y247" s="122" t="str" cm="1">
        <f t="array" ref="Y247">_xlfn.IFS(ISNUMBER(W247)=FALSE,"Sem dado",W247&gt;0.075,"Excelente",W247&gt;0.04,"Bom",W247&gt;0,"Fraco",TRUE,"Prejuízo")</f>
        <v>Excelente</v>
      </c>
    </row>
    <row r="248" spans="1:25" ht="15" customHeight="1" x14ac:dyDescent="0.2">
      <c r="A248" s="15" t="s">
        <v>641</v>
      </c>
      <c r="B248" s="60">
        <v>33603457</v>
      </c>
      <c r="C248" s="15" t="s">
        <v>642</v>
      </c>
      <c r="D248" s="15"/>
      <c r="E248" s="15" t="s">
        <v>643</v>
      </c>
      <c r="F248" s="15" t="s">
        <v>26</v>
      </c>
      <c r="G248" s="34">
        <v>2</v>
      </c>
      <c r="H248" s="34">
        <v>8</v>
      </c>
      <c r="I248" s="15" t="s">
        <v>38</v>
      </c>
      <c r="J248" s="15" t="s">
        <v>39</v>
      </c>
      <c r="K248" s="74" t="s">
        <v>29</v>
      </c>
      <c r="L248" s="16">
        <v>3838853</v>
      </c>
      <c r="M248" s="16">
        <v>2169339</v>
      </c>
      <c r="N248" s="16">
        <v>624007</v>
      </c>
      <c r="O248" s="16">
        <v>3082489</v>
      </c>
      <c r="P248" s="16">
        <v>2888708</v>
      </c>
      <c r="Q248" s="16">
        <v>756364</v>
      </c>
      <c r="R248" s="16">
        <v>63886</v>
      </c>
      <c r="S248" s="16">
        <v>2</v>
      </c>
      <c r="T248" s="16">
        <v>0</v>
      </c>
      <c r="U248" s="15" t="str">
        <f t="shared" si="12"/>
        <v>Privado Nacional</v>
      </c>
      <c r="V248" s="17">
        <f t="shared" si="13"/>
        <v>0.56510082568934006</v>
      </c>
      <c r="W248" s="17">
        <f t="shared" si="14"/>
        <v>8.4464622853546709E-2</v>
      </c>
      <c r="X248" s="15" t="str">
        <f t="shared" si="15"/>
        <v>Média/Pequena</v>
      </c>
      <c r="Y248" s="121" t="str" cm="1">
        <f t="array" ref="Y248">_xlfn.IFS(ISNUMBER(W248)=FALSE,"Sem dado",W248&gt;0.075,"Excelente",W248&gt;0.04,"Bom",W248&gt;0,"Fraco",TRUE,"Prejuízo")</f>
        <v>Excelente</v>
      </c>
    </row>
    <row r="249" spans="1:25" ht="15" customHeight="1" x14ac:dyDescent="0.2">
      <c r="A249" s="12" t="s">
        <v>644</v>
      </c>
      <c r="B249" s="56">
        <v>90729369</v>
      </c>
      <c r="C249" s="12"/>
      <c r="D249" s="12"/>
      <c r="E249" s="12"/>
      <c r="F249" s="12" t="s">
        <v>265</v>
      </c>
      <c r="G249" s="33">
        <v>2</v>
      </c>
      <c r="H249" s="33">
        <v>9</v>
      </c>
      <c r="I249" s="12" t="s">
        <v>645</v>
      </c>
      <c r="J249" s="12" t="s">
        <v>74</v>
      </c>
      <c r="K249" s="73" t="s">
        <v>29</v>
      </c>
      <c r="L249" s="13">
        <v>3821907</v>
      </c>
      <c r="M249" s="13">
        <v>2104047</v>
      </c>
      <c r="N249" s="13">
        <v>1433561</v>
      </c>
      <c r="O249" s="13">
        <v>3160085</v>
      </c>
      <c r="P249" s="13">
        <v>2195942</v>
      </c>
      <c r="Q249" s="13">
        <v>661823</v>
      </c>
      <c r="R249" s="13">
        <v>46266</v>
      </c>
      <c r="S249" s="13">
        <v>0</v>
      </c>
      <c r="T249" s="13">
        <v>33</v>
      </c>
      <c r="U249" s="12" t="str">
        <f t="shared" si="12"/>
        <v>Privado Nacional</v>
      </c>
      <c r="V249" s="14">
        <f t="shared" si="13"/>
        <v>0.55052281491935828</v>
      </c>
      <c r="W249" s="14">
        <f t="shared" si="14"/>
        <v>6.9906908644758486E-2</v>
      </c>
      <c r="X249" s="12" t="str">
        <f t="shared" si="15"/>
        <v>Média/Pequena</v>
      </c>
      <c r="Y249" s="122" t="str" cm="1">
        <f t="array" ref="Y249">_xlfn.IFS(ISNUMBER(W249)=FALSE,"Sem dado",W249&gt;0.075,"Excelente",W249&gt;0.04,"Bom",W249&gt;0,"Fraco",TRUE,"Prejuízo")</f>
        <v>Bom</v>
      </c>
    </row>
    <row r="250" spans="1:25" ht="15" customHeight="1" x14ac:dyDescent="0.2">
      <c r="A250" s="15" t="s">
        <v>646</v>
      </c>
      <c r="B250" s="60">
        <v>4323351</v>
      </c>
      <c r="C250" s="15" t="s">
        <v>289</v>
      </c>
      <c r="D250" s="15" t="s">
        <v>290</v>
      </c>
      <c r="E250" s="15" t="s">
        <v>291</v>
      </c>
      <c r="F250" s="15" t="s">
        <v>98</v>
      </c>
      <c r="G250" s="34">
        <v>3</v>
      </c>
      <c r="H250" s="34">
        <v>15</v>
      </c>
      <c r="I250" s="15" t="s">
        <v>38</v>
      </c>
      <c r="J250" s="15" t="s">
        <v>39</v>
      </c>
      <c r="K250" s="74" t="s">
        <v>29</v>
      </c>
      <c r="L250" s="16">
        <v>3791270</v>
      </c>
      <c r="M250" s="16">
        <v>0</v>
      </c>
      <c r="N250" s="16">
        <v>650588</v>
      </c>
      <c r="O250" s="16">
        <v>1395284</v>
      </c>
      <c r="P250" s="16">
        <v>28799</v>
      </c>
      <c r="Q250" s="16">
        <v>2395986</v>
      </c>
      <c r="R250" s="16">
        <v>139445</v>
      </c>
      <c r="S250" s="16">
        <v>2</v>
      </c>
      <c r="T250" s="16">
        <v>0</v>
      </c>
      <c r="U250" s="15" t="str">
        <f t="shared" si="12"/>
        <v>Privado Estrangeiro</v>
      </c>
      <c r="V250" s="17">
        <f t="shared" si="13"/>
        <v>0</v>
      </c>
      <c r="W250" s="17">
        <f t="shared" si="14"/>
        <v>5.8199421866404893E-2</v>
      </c>
      <c r="X250" s="15" t="str">
        <f t="shared" si="15"/>
        <v>Média/Pequena</v>
      </c>
      <c r="Y250" s="121" t="str" cm="1">
        <f t="array" ref="Y250">_xlfn.IFS(ISNUMBER(W250)=FALSE,"Sem dado",W250&gt;0.075,"Excelente",W250&gt;0.04,"Bom",W250&gt;0,"Fraco",TRUE,"Prejuízo")</f>
        <v>Bom</v>
      </c>
    </row>
    <row r="251" spans="1:25" ht="15" customHeight="1" x14ac:dyDescent="0.2">
      <c r="A251" s="12" t="s">
        <v>647</v>
      </c>
      <c r="B251" s="56">
        <v>2885855</v>
      </c>
      <c r="C251" s="12" t="s">
        <v>648</v>
      </c>
      <c r="D251" s="12"/>
      <c r="E251" s="12" t="s">
        <v>649</v>
      </c>
      <c r="F251" s="12" t="s">
        <v>65</v>
      </c>
      <c r="G251" s="33">
        <v>1</v>
      </c>
      <c r="H251" s="33">
        <v>30</v>
      </c>
      <c r="I251" s="12" t="s">
        <v>73</v>
      </c>
      <c r="J251" s="12" t="s">
        <v>74</v>
      </c>
      <c r="K251" s="73" t="s">
        <v>29</v>
      </c>
      <c r="L251" s="13">
        <v>3771045</v>
      </c>
      <c r="M251" s="13">
        <v>2855746</v>
      </c>
      <c r="N251" s="13">
        <v>659934</v>
      </c>
      <c r="O251" s="13">
        <v>2600674</v>
      </c>
      <c r="P251" s="13">
        <v>2530465</v>
      </c>
      <c r="Q251" s="13">
        <v>1170371</v>
      </c>
      <c r="R251" s="13">
        <v>22439</v>
      </c>
      <c r="S251" s="13">
        <v>2</v>
      </c>
      <c r="T251" s="13">
        <v>0</v>
      </c>
      <c r="U251" s="12" t="str">
        <f t="shared" si="12"/>
        <v>Público</v>
      </c>
      <c r="V251" s="14">
        <f t="shared" si="13"/>
        <v>0.7572823978499329</v>
      </c>
      <c r="W251" s="14">
        <f t="shared" si="14"/>
        <v>1.9172552976791119E-2</v>
      </c>
      <c r="X251" s="12" t="str">
        <f t="shared" si="15"/>
        <v>Média/Pequena</v>
      </c>
      <c r="Y251" s="122" t="str" cm="1">
        <f t="array" ref="Y251">_xlfn.IFS(ISNUMBER(W251)=FALSE,"Sem dado",W251&gt;0.075,"Excelente",W251&gt;0.04,"Bom",W251&gt;0,"Fraco",TRUE,"Prejuízo")</f>
        <v>Fraco</v>
      </c>
    </row>
    <row r="252" spans="1:25" ht="15" customHeight="1" x14ac:dyDescent="0.2">
      <c r="A252" s="15" t="s">
        <v>650</v>
      </c>
      <c r="B252" s="60">
        <v>3017677</v>
      </c>
      <c r="C252" s="15" t="s">
        <v>67</v>
      </c>
      <c r="D252" s="15" t="s">
        <v>68</v>
      </c>
      <c r="E252" s="15" t="s">
        <v>69</v>
      </c>
      <c r="F252" s="15" t="s">
        <v>26</v>
      </c>
      <c r="G252" s="34">
        <v>2</v>
      </c>
      <c r="H252" s="34">
        <v>8</v>
      </c>
      <c r="I252" s="15" t="s">
        <v>38</v>
      </c>
      <c r="J252" s="15" t="s">
        <v>39</v>
      </c>
      <c r="K252" s="74" t="s">
        <v>29</v>
      </c>
      <c r="L252" s="16">
        <v>3752910</v>
      </c>
      <c r="M252" s="16">
        <v>1161349</v>
      </c>
      <c r="N252" s="16">
        <v>155771</v>
      </c>
      <c r="O252" s="16">
        <v>2555589</v>
      </c>
      <c r="P252" s="16">
        <v>2288558</v>
      </c>
      <c r="Q252" s="16">
        <v>1197321</v>
      </c>
      <c r="R252" s="16">
        <v>105155</v>
      </c>
      <c r="S252" s="16">
        <v>2</v>
      </c>
      <c r="T252" s="16">
        <v>0</v>
      </c>
      <c r="U252" s="15" t="str">
        <f t="shared" si="12"/>
        <v>Privado Nacional</v>
      </c>
      <c r="V252" s="17">
        <f t="shared" si="13"/>
        <v>0.30945293119206163</v>
      </c>
      <c r="W252" s="17">
        <f t="shared" si="14"/>
        <v>8.7825236507168919E-2</v>
      </c>
      <c r="X252" s="15" t="str">
        <f t="shared" si="15"/>
        <v>Média/Pequena</v>
      </c>
      <c r="Y252" s="121" t="str" cm="1">
        <f t="array" ref="Y252">_xlfn.IFS(ISNUMBER(W252)=FALSE,"Sem dado",W252&gt;0.075,"Excelente",W252&gt;0.04,"Bom",W252&gt;0,"Fraco",TRUE,"Prejuízo")</f>
        <v>Excelente</v>
      </c>
    </row>
    <row r="253" spans="1:25" ht="15" customHeight="1" x14ac:dyDescent="0.2">
      <c r="A253" s="12" t="s">
        <v>651</v>
      </c>
      <c r="B253" s="56">
        <v>1658426</v>
      </c>
      <c r="C253" s="12"/>
      <c r="D253" s="12"/>
      <c r="E253" s="12"/>
      <c r="F253" s="12" t="s">
        <v>265</v>
      </c>
      <c r="G253" s="33">
        <v>2</v>
      </c>
      <c r="H253" s="33">
        <v>9</v>
      </c>
      <c r="I253" s="12" t="s">
        <v>27</v>
      </c>
      <c r="J253" s="12" t="s">
        <v>28</v>
      </c>
      <c r="K253" s="73" t="s">
        <v>29</v>
      </c>
      <c r="L253" s="13">
        <v>3697064</v>
      </c>
      <c r="M253" s="13">
        <v>2359271</v>
      </c>
      <c r="N253" s="13">
        <v>1298166</v>
      </c>
      <c r="O253" s="13">
        <v>2958395</v>
      </c>
      <c r="P253" s="13">
        <v>2895602</v>
      </c>
      <c r="Q253" s="13">
        <v>738669</v>
      </c>
      <c r="R253" s="13">
        <v>32971</v>
      </c>
      <c r="S253" s="13">
        <v>0</v>
      </c>
      <c r="T253" s="13">
        <v>3</v>
      </c>
      <c r="U253" s="12" t="str">
        <f t="shared" si="12"/>
        <v>Privado Nacional</v>
      </c>
      <c r="V253" s="14">
        <f t="shared" si="13"/>
        <v>0.63814718922907476</v>
      </c>
      <c r="W253" s="14">
        <f t="shared" si="14"/>
        <v>4.4635689327696168E-2</v>
      </c>
      <c r="X253" s="12" t="str">
        <f t="shared" si="15"/>
        <v>Média/Pequena</v>
      </c>
      <c r="Y253" s="122" t="str" cm="1">
        <f t="array" ref="Y253">_xlfn.IFS(ISNUMBER(W253)=FALSE,"Sem dado",W253&gt;0.075,"Excelente",W253&gt;0.04,"Bom",W253&gt;0,"Fraco",TRUE,"Prejuízo")</f>
        <v>Bom</v>
      </c>
    </row>
    <row r="254" spans="1:25" ht="15" customHeight="1" x14ac:dyDescent="0.2">
      <c r="A254" s="15" t="s">
        <v>652</v>
      </c>
      <c r="B254" s="60">
        <v>88099247</v>
      </c>
      <c r="C254" s="15"/>
      <c r="D254" s="15"/>
      <c r="E254" s="15"/>
      <c r="F254" s="15" t="s">
        <v>265</v>
      </c>
      <c r="G254" s="34">
        <v>2</v>
      </c>
      <c r="H254" s="34">
        <v>9</v>
      </c>
      <c r="I254" s="15" t="s">
        <v>653</v>
      </c>
      <c r="J254" s="15" t="s">
        <v>74</v>
      </c>
      <c r="K254" s="74" t="s">
        <v>29</v>
      </c>
      <c r="L254" s="16">
        <v>3602002</v>
      </c>
      <c r="M254" s="16">
        <v>2122930</v>
      </c>
      <c r="N254" s="16">
        <v>1237073</v>
      </c>
      <c r="O254" s="16">
        <v>2952122</v>
      </c>
      <c r="P254" s="16">
        <v>2123286</v>
      </c>
      <c r="Q254" s="16">
        <v>649880</v>
      </c>
      <c r="R254" s="16">
        <v>49612</v>
      </c>
      <c r="S254" s="16">
        <v>0</v>
      </c>
      <c r="T254" s="16">
        <v>49</v>
      </c>
      <c r="U254" s="15" t="str">
        <f t="shared" si="12"/>
        <v>Privado Nacional</v>
      </c>
      <c r="V254" s="17">
        <f t="shared" si="13"/>
        <v>0.58937501978066642</v>
      </c>
      <c r="W254" s="17">
        <f t="shared" si="14"/>
        <v>7.6340247430294828E-2</v>
      </c>
      <c r="X254" s="15" t="str">
        <f t="shared" si="15"/>
        <v>Média/Pequena</v>
      </c>
      <c r="Y254" s="121" t="str" cm="1">
        <f t="array" ref="Y254">_xlfn.IFS(ISNUMBER(W254)=FALSE,"Sem dado",W254&gt;0.075,"Excelente",W254&gt;0.04,"Bom",W254&gt;0,"Fraco",TRUE,"Prejuízo")</f>
        <v>Excelente</v>
      </c>
    </row>
    <row r="255" spans="1:25" ht="15" customHeight="1" x14ac:dyDescent="0.2">
      <c r="A255" s="12" t="s">
        <v>654</v>
      </c>
      <c r="B255" s="56">
        <v>94433109</v>
      </c>
      <c r="C255" s="12"/>
      <c r="D255" s="12"/>
      <c r="E255" s="12"/>
      <c r="F255" s="12" t="s">
        <v>265</v>
      </c>
      <c r="G255" s="33">
        <v>2</v>
      </c>
      <c r="H255" s="33">
        <v>9</v>
      </c>
      <c r="I255" s="12" t="s">
        <v>73</v>
      </c>
      <c r="J255" s="12" t="s">
        <v>74</v>
      </c>
      <c r="K255" s="73" t="s">
        <v>29</v>
      </c>
      <c r="L255" s="13">
        <v>3599853</v>
      </c>
      <c r="M255" s="13">
        <v>1971630</v>
      </c>
      <c r="N255" s="13">
        <v>67374</v>
      </c>
      <c r="O255" s="13">
        <v>3204306</v>
      </c>
      <c r="P255" s="13">
        <v>2928278</v>
      </c>
      <c r="Q255" s="13">
        <v>395546</v>
      </c>
      <c r="R255" s="13">
        <v>43282</v>
      </c>
      <c r="S255" s="13">
        <v>0</v>
      </c>
      <c r="T255" s="13">
        <v>36</v>
      </c>
      <c r="U255" s="12" t="str">
        <f t="shared" si="12"/>
        <v>Privado Nacional</v>
      </c>
      <c r="V255" s="14">
        <f t="shared" si="13"/>
        <v>0.54769736430904259</v>
      </c>
      <c r="W255" s="14">
        <f t="shared" si="14"/>
        <v>0.1094234298918457</v>
      </c>
      <c r="X255" s="12" t="str">
        <f t="shared" si="15"/>
        <v>Média/Pequena</v>
      </c>
      <c r="Y255" s="122" t="str" cm="1">
        <f t="array" ref="Y255">_xlfn.IFS(ISNUMBER(W255)=FALSE,"Sem dado",W255&gt;0.075,"Excelente",W255&gt;0.04,"Bom",W255&gt;0,"Fraco",TRUE,"Prejuízo")</f>
        <v>Excelente</v>
      </c>
    </row>
    <row r="256" spans="1:25" ht="15" customHeight="1" x14ac:dyDescent="0.2">
      <c r="A256" s="15" t="s">
        <v>655</v>
      </c>
      <c r="B256" s="60">
        <v>3358914</v>
      </c>
      <c r="C256" s="15"/>
      <c r="D256" s="15"/>
      <c r="E256" s="15"/>
      <c r="F256" s="15" t="s">
        <v>265</v>
      </c>
      <c r="G256" s="34">
        <v>2</v>
      </c>
      <c r="H256" s="34">
        <v>9</v>
      </c>
      <c r="I256" s="15" t="s">
        <v>479</v>
      </c>
      <c r="J256" s="15" t="s">
        <v>183</v>
      </c>
      <c r="K256" s="74" t="s">
        <v>29</v>
      </c>
      <c r="L256" s="16">
        <v>3594753</v>
      </c>
      <c r="M256" s="16">
        <v>1704360</v>
      </c>
      <c r="N256" s="16">
        <v>69573</v>
      </c>
      <c r="O256" s="16">
        <v>3222508</v>
      </c>
      <c r="P256" s="16">
        <v>3063219</v>
      </c>
      <c r="Q256" s="16">
        <v>372246</v>
      </c>
      <c r="R256" s="16">
        <v>40028</v>
      </c>
      <c r="S256" s="16">
        <v>0</v>
      </c>
      <c r="T256" s="16">
        <v>31</v>
      </c>
      <c r="U256" s="15" t="str">
        <f t="shared" si="12"/>
        <v>Privado Nacional</v>
      </c>
      <c r="V256" s="17">
        <f t="shared" si="13"/>
        <v>0.47412436960202831</v>
      </c>
      <c r="W256" s="17">
        <f t="shared" si="14"/>
        <v>0.10753104130064527</v>
      </c>
      <c r="X256" s="15" t="str">
        <f t="shared" si="15"/>
        <v>Média/Pequena</v>
      </c>
      <c r="Y256" s="121" t="str" cm="1">
        <f t="array" ref="Y256">_xlfn.IFS(ISNUMBER(W256)=FALSE,"Sem dado",W256&gt;0.075,"Excelente",W256&gt;0.04,"Bom",W256&gt;0,"Fraco",TRUE,"Prejuízo")</f>
        <v>Excelente</v>
      </c>
    </row>
    <row r="257" spans="1:25" ht="15" customHeight="1" x14ac:dyDescent="0.2">
      <c r="A257" s="12" t="s">
        <v>656</v>
      </c>
      <c r="B257" s="56">
        <v>78907607</v>
      </c>
      <c r="C257" s="12"/>
      <c r="D257" s="12"/>
      <c r="E257" s="12"/>
      <c r="F257" s="12" t="s">
        <v>265</v>
      </c>
      <c r="G257" s="33">
        <v>2</v>
      </c>
      <c r="H257" s="33">
        <v>9</v>
      </c>
      <c r="I257" s="12" t="s">
        <v>657</v>
      </c>
      <c r="J257" s="12" t="s">
        <v>229</v>
      </c>
      <c r="K257" s="73" t="s">
        <v>29</v>
      </c>
      <c r="L257" s="13">
        <v>3580369</v>
      </c>
      <c r="M257" s="13">
        <v>2026537</v>
      </c>
      <c r="N257" s="13">
        <v>1263909</v>
      </c>
      <c r="O257" s="13">
        <v>3099759</v>
      </c>
      <c r="P257" s="13">
        <v>2053088</v>
      </c>
      <c r="Q257" s="13">
        <v>480609</v>
      </c>
      <c r="R257" s="13">
        <v>50518</v>
      </c>
      <c r="S257" s="13">
        <v>0</v>
      </c>
      <c r="T257" s="13">
        <v>37</v>
      </c>
      <c r="U257" s="12" t="str">
        <f t="shared" si="12"/>
        <v>Privado Nacional</v>
      </c>
      <c r="V257" s="14">
        <f t="shared" si="13"/>
        <v>0.56601344721731195</v>
      </c>
      <c r="W257" s="14">
        <f t="shared" si="14"/>
        <v>0.10511247188462972</v>
      </c>
      <c r="X257" s="12" t="str">
        <f t="shared" si="15"/>
        <v>Média/Pequena</v>
      </c>
      <c r="Y257" s="122" t="str" cm="1">
        <f t="array" ref="Y257">_xlfn.IFS(ISNUMBER(W257)=FALSE,"Sem dado",W257&gt;0.075,"Excelente",W257&gt;0.04,"Bom",W257&gt;0,"Fraco",TRUE,"Prejuízo")</f>
        <v>Excelente</v>
      </c>
    </row>
    <row r="258" spans="1:25" ht="15" customHeight="1" x14ac:dyDescent="0.2">
      <c r="A258" s="15" t="s">
        <v>658</v>
      </c>
      <c r="B258" s="60">
        <v>22610500</v>
      </c>
      <c r="C258" s="15" t="s">
        <v>659</v>
      </c>
      <c r="D258" s="15" t="s">
        <v>660</v>
      </c>
      <c r="E258" s="15" t="s">
        <v>661</v>
      </c>
      <c r="F258" s="15" t="s">
        <v>98</v>
      </c>
      <c r="G258" s="34">
        <v>2</v>
      </c>
      <c r="H258" s="34">
        <v>16</v>
      </c>
      <c r="I258" s="15" t="s">
        <v>38</v>
      </c>
      <c r="J258" s="15" t="s">
        <v>39</v>
      </c>
      <c r="K258" s="74" t="s">
        <v>29</v>
      </c>
      <c r="L258" s="16">
        <v>3576010</v>
      </c>
      <c r="M258" s="16">
        <v>0</v>
      </c>
      <c r="N258" s="16">
        <v>32827</v>
      </c>
      <c r="O258" s="16">
        <v>3461821</v>
      </c>
      <c r="P258" s="16">
        <v>3351213</v>
      </c>
      <c r="Q258" s="16">
        <v>114189</v>
      </c>
      <c r="R258" s="16">
        <v>34118</v>
      </c>
      <c r="S258" s="16">
        <v>2</v>
      </c>
      <c r="T258" s="16">
        <v>0</v>
      </c>
      <c r="U258" s="15" t="str">
        <f t="shared" si="12"/>
        <v>Privado Nacional</v>
      </c>
      <c r="V258" s="17">
        <f t="shared" si="13"/>
        <v>0</v>
      </c>
      <c r="W258" s="17">
        <f t="shared" si="14"/>
        <v>0.29878534709998333</v>
      </c>
      <c r="X258" s="15" t="str">
        <f t="shared" si="15"/>
        <v>Média/Pequena</v>
      </c>
      <c r="Y258" s="121" t="str" cm="1">
        <f t="array" ref="Y258">_xlfn.IFS(ISNUMBER(W258)=FALSE,"Sem dado",W258&gt;0.075,"Excelente",W258&gt;0.04,"Bom",W258&gt;0,"Fraco",TRUE,"Prejuízo")</f>
        <v>Excelente</v>
      </c>
    </row>
    <row r="259" spans="1:25" ht="15" customHeight="1" x14ac:dyDescent="0.2">
      <c r="A259" s="12" t="s">
        <v>662</v>
      </c>
      <c r="B259" s="56">
        <v>42873828</v>
      </c>
      <c r="C259" s="12"/>
      <c r="D259" s="12"/>
      <c r="E259" s="12"/>
      <c r="F259" s="12" t="s">
        <v>265</v>
      </c>
      <c r="G259" s="33">
        <v>2</v>
      </c>
      <c r="H259" s="33">
        <v>9</v>
      </c>
      <c r="I259" s="12" t="s">
        <v>663</v>
      </c>
      <c r="J259" s="12" t="s">
        <v>120</v>
      </c>
      <c r="K259" s="73" t="s">
        <v>29</v>
      </c>
      <c r="L259" s="13">
        <v>3560020</v>
      </c>
      <c r="M259" s="13">
        <v>844153</v>
      </c>
      <c r="N259" s="13">
        <v>93547</v>
      </c>
      <c r="O259" s="13">
        <v>2777495</v>
      </c>
      <c r="P259" s="13">
        <v>2443413</v>
      </c>
      <c r="Q259" s="13">
        <v>782524</v>
      </c>
      <c r="R259" s="13">
        <v>81923</v>
      </c>
      <c r="S259" s="13">
        <v>0</v>
      </c>
      <c r="T259" s="13">
        <v>27</v>
      </c>
      <c r="U259" s="12" t="str">
        <f t="shared" si="12"/>
        <v>Privado Nacional</v>
      </c>
      <c r="V259" s="14">
        <f t="shared" si="13"/>
        <v>0.23712029707698271</v>
      </c>
      <c r="W259" s="14">
        <f t="shared" si="14"/>
        <v>0.10469071875111817</v>
      </c>
      <c r="X259" s="12" t="str">
        <f t="shared" si="15"/>
        <v>Média/Pequena</v>
      </c>
      <c r="Y259" s="122" t="str" cm="1">
        <f t="array" ref="Y259">_xlfn.IFS(ISNUMBER(W259)=FALSE,"Sem dado",W259&gt;0.075,"Excelente",W259&gt;0.04,"Bom",W259&gt;0,"Fraco",TRUE,"Prejuízo")</f>
        <v>Excelente</v>
      </c>
    </row>
    <row r="260" spans="1:25" ht="15" customHeight="1" x14ac:dyDescent="0.2">
      <c r="A260" s="15" t="s">
        <v>664</v>
      </c>
      <c r="B260" s="60">
        <v>25798596</v>
      </c>
      <c r="C260" s="15"/>
      <c r="D260" s="15"/>
      <c r="E260" s="15"/>
      <c r="F260" s="15" t="s">
        <v>265</v>
      </c>
      <c r="G260" s="34">
        <v>2</v>
      </c>
      <c r="H260" s="34">
        <v>9</v>
      </c>
      <c r="I260" s="15" t="s">
        <v>665</v>
      </c>
      <c r="J260" s="15" t="s">
        <v>120</v>
      </c>
      <c r="K260" s="74" t="s">
        <v>29</v>
      </c>
      <c r="L260" s="16">
        <v>3536882</v>
      </c>
      <c r="M260" s="16">
        <v>1947393</v>
      </c>
      <c r="N260" s="16">
        <v>76531</v>
      </c>
      <c r="O260" s="16">
        <v>3036157</v>
      </c>
      <c r="P260" s="16">
        <v>2486501</v>
      </c>
      <c r="Q260" s="16">
        <v>500725</v>
      </c>
      <c r="R260" s="16">
        <v>35360</v>
      </c>
      <c r="S260" s="16">
        <v>0</v>
      </c>
      <c r="T260" s="16">
        <v>31</v>
      </c>
      <c r="U260" s="15" t="str">
        <f t="shared" si="12"/>
        <v>Privado Nacional</v>
      </c>
      <c r="V260" s="17">
        <f t="shared" si="13"/>
        <v>0.55059597690847473</v>
      </c>
      <c r="W260" s="17">
        <f t="shared" si="14"/>
        <v>7.061760447351341E-2</v>
      </c>
      <c r="X260" s="15" t="str">
        <f t="shared" si="15"/>
        <v>Média/Pequena</v>
      </c>
      <c r="Y260" s="121" t="str" cm="1">
        <f t="array" ref="Y260">_xlfn.IFS(ISNUMBER(W260)=FALSE,"Sem dado",W260&gt;0.075,"Excelente",W260&gt;0.04,"Bom",W260&gt;0,"Fraco",TRUE,"Prejuízo")</f>
        <v>Bom</v>
      </c>
    </row>
    <row r="261" spans="1:25" ht="15" customHeight="1" x14ac:dyDescent="0.2">
      <c r="A261" s="12" t="s">
        <v>666</v>
      </c>
      <c r="B261" s="56">
        <v>87900601</v>
      </c>
      <c r="C261" s="12"/>
      <c r="D261" s="12"/>
      <c r="E261" s="12"/>
      <c r="F261" s="12" t="s">
        <v>265</v>
      </c>
      <c r="G261" s="33">
        <v>2</v>
      </c>
      <c r="H261" s="33">
        <v>9</v>
      </c>
      <c r="I261" s="12" t="s">
        <v>667</v>
      </c>
      <c r="J261" s="12" t="s">
        <v>74</v>
      </c>
      <c r="K261" s="73" t="s">
        <v>29</v>
      </c>
      <c r="L261" s="13">
        <v>3533412</v>
      </c>
      <c r="M261" s="13">
        <v>2440661</v>
      </c>
      <c r="N261" s="13">
        <v>811287</v>
      </c>
      <c r="O261" s="13">
        <v>3050255</v>
      </c>
      <c r="P261" s="13">
        <v>2070676</v>
      </c>
      <c r="Q261" s="13">
        <v>483158</v>
      </c>
      <c r="R261" s="13">
        <v>38049</v>
      </c>
      <c r="S261" s="13">
        <v>0</v>
      </c>
      <c r="T261" s="13">
        <v>39</v>
      </c>
      <c r="U261" s="12" t="str">
        <f t="shared" ref="U261:U324" si="16">IFERROR(CHOOSE(G261,"Público","Privado Nacional","Privado Estrangeiro"),"n.d.")</f>
        <v>Privado Nacional</v>
      </c>
      <c r="V261" s="14">
        <f t="shared" ref="V261:V324" si="17">IF(AND(ISNUMBER(M261),ISNUMBER(L261)),IF(L261&gt;0,M261/L261,"n.d."),"NI")</f>
        <v>0.69073773451836351</v>
      </c>
      <c r="W261" s="14">
        <f t="shared" ref="W261:W324" si="18">IF(AND(ISNUMBER(R261),ISNUMBER(Q261)),IF(Q261&gt;0,R261/Q261,"n.d."),"NI")</f>
        <v>7.8750636437769833E-2</v>
      </c>
      <c r="X261" s="12" t="str">
        <f t="shared" ref="X261:X324" si="19">IF(ISNUMBER(L261),IF(L261&gt;100000000,"Grande","Média/Pequena"),"Sem dado")</f>
        <v>Média/Pequena</v>
      </c>
      <c r="Y261" s="122" t="str" cm="1">
        <f t="array" ref="Y261">_xlfn.IFS(ISNUMBER(W261)=FALSE,"Sem dado",W261&gt;0.075,"Excelente",W261&gt;0.04,"Bom",W261&gt;0,"Fraco",TRUE,"Prejuízo")</f>
        <v>Excelente</v>
      </c>
    </row>
    <row r="262" spans="1:25" ht="15" customHeight="1" x14ac:dyDescent="0.2">
      <c r="A262" s="15" t="s">
        <v>668</v>
      </c>
      <c r="B262" s="60">
        <v>2466552</v>
      </c>
      <c r="C262" s="15"/>
      <c r="D262" s="15"/>
      <c r="E262" s="15"/>
      <c r="F262" s="15" t="s">
        <v>265</v>
      </c>
      <c r="G262" s="34">
        <v>2</v>
      </c>
      <c r="H262" s="34">
        <v>9</v>
      </c>
      <c r="I262" s="15" t="s">
        <v>278</v>
      </c>
      <c r="J262" s="15" t="s">
        <v>229</v>
      </c>
      <c r="K262" s="74" t="s">
        <v>29</v>
      </c>
      <c r="L262" s="16">
        <v>3521401</v>
      </c>
      <c r="M262" s="16">
        <v>2227237</v>
      </c>
      <c r="N262" s="16">
        <v>42278</v>
      </c>
      <c r="O262" s="16">
        <v>3165067</v>
      </c>
      <c r="P262" s="16">
        <v>2107401</v>
      </c>
      <c r="Q262" s="16">
        <v>356334</v>
      </c>
      <c r="R262" s="16">
        <v>40869</v>
      </c>
      <c r="S262" s="16">
        <v>0</v>
      </c>
      <c r="T262" s="16">
        <v>50</v>
      </c>
      <c r="U262" s="15" t="str">
        <f t="shared" si="16"/>
        <v>Privado Nacional</v>
      </c>
      <c r="V262" s="17">
        <f t="shared" si="17"/>
        <v>0.63248604745667991</v>
      </c>
      <c r="W262" s="17">
        <f t="shared" si="18"/>
        <v>0.11469295660812609</v>
      </c>
      <c r="X262" s="15" t="str">
        <f t="shared" si="19"/>
        <v>Média/Pequena</v>
      </c>
      <c r="Y262" s="121" t="str" cm="1">
        <f t="array" ref="Y262">_xlfn.IFS(ISNUMBER(W262)=FALSE,"Sem dado",W262&gt;0.075,"Excelente",W262&gt;0.04,"Bom",W262&gt;0,"Fraco",TRUE,"Prejuízo")</f>
        <v>Excelente</v>
      </c>
    </row>
    <row r="263" spans="1:25" ht="15" customHeight="1" x14ac:dyDescent="0.2">
      <c r="A263" s="12" t="s">
        <v>669</v>
      </c>
      <c r="B263" s="56">
        <v>76059997</v>
      </c>
      <c r="C263" s="12"/>
      <c r="D263" s="12"/>
      <c r="E263" s="12"/>
      <c r="F263" s="12" t="s">
        <v>265</v>
      </c>
      <c r="G263" s="33">
        <v>2</v>
      </c>
      <c r="H263" s="33">
        <v>9</v>
      </c>
      <c r="I263" s="12" t="s">
        <v>670</v>
      </c>
      <c r="J263" s="12" t="s">
        <v>229</v>
      </c>
      <c r="K263" s="73" t="s">
        <v>29</v>
      </c>
      <c r="L263" s="13">
        <v>3496717</v>
      </c>
      <c r="M263" s="13">
        <v>2183195</v>
      </c>
      <c r="N263" s="13">
        <v>912950</v>
      </c>
      <c r="O263" s="13">
        <v>3107808</v>
      </c>
      <c r="P263" s="13">
        <v>2122143</v>
      </c>
      <c r="Q263" s="13">
        <v>388909</v>
      </c>
      <c r="R263" s="13">
        <v>11385</v>
      </c>
      <c r="S263" s="13">
        <v>0</v>
      </c>
      <c r="T263" s="13">
        <v>26</v>
      </c>
      <c r="U263" s="12" t="str">
        <f t="shared" si="16"/>
        <v>Privado Nacional</v>
      </c>
      <c r="V263" s="14">
        <f t="shared" si="17"/>
        <v>0.62435564559556866</v>
      </c>
      <c r="W263" s="14">
        <f t="shared" si="18"/>
        <v>2.9274200391351191E-2</v>
      </c>
      <c r="X263" s="12" t="str">
        <f t="shared" si="19"/>
        <v>Média/Pequena</v>
      </c>
      <c r="Y263" s="122" t="str" cm="1">
        <f t="array" ref="Y263">_xlfn.IFS(ISNUMBER(W263)=FALSE,"Sem dado",W263&gt;0.075,"Excelente",W263&gt;0.04,"Bom",W263&gt;0,"Fraco",TRUE,"Prejuízo")</f>
        <v>Fraco</v>
      </c>
    </row>
    <row r="264" spans="1:25" ht="15" customHeight="1" x14ac:dyDescent="0.2">
      <c r="A264" s="15" t="s">
        <v>671</v>
      </c>
      <c r="B264" s="60">
        <v>4670195</v>
      </c>
      <c r="C264" s="15" t="s">
        <v>672</v>
      </c>
      <c r="D264" s="15"/>
      <c r="E264" s="15" t="s">
        <v>673</v>
      </c>
      <c r="F264" s="15" t="s">
        <v>84</v>
      </c>
      <c r="G264" s="34">
        <v>2</v>
      </c>
      <c r="H264" s="34">
        <v>41</v>
      </c>
      <c r="I264" s="15" t="s">
        <v>107</v>
      </c>
      <c r="J264" s="15" t="s">
        <v>39</v>
      </c>
      <c r="K264" s="74" t="s">
        <v>29</v>
      </c>
      <c r="L264" s="16">
        <v>3489800</v>
      </c>
      <c r="M264" s="16">
        <v>2651603</v>
      </c>
      <c r="N264" s="16">
        <v>245350</v>
      </c>
      <c r="O264" s="16">
        <v>2961442</v>
      </c>
      <c r="P264" s="16">
        <v>486</v>
      </c>
      <c r="Q264" s="16">
        <v>528358</v>
      </c>
      <c r="R264" s="16">
        <v>54923</v>
      </c>
      <c r="S264" s="16">
        <v>1</v>
      </c>
      <c r="T264" s="16">
        <v>0</v>
      </c>
      <c r="U264" s="15" t="str">
        <f t="shared" si="16"/>
        <v>Privado Nacional</v>
      </c>
      <c r="V264" s="17">
        <f t="shared" si="17"/>
        <v>0.75981517565476531</v>
      </c>
      <c r="W264" s="17">
        <f t="shared" si="18"/>
        <v>0.10395035184477192</v>
      </c>
      <c r="X264" s="15" t="str">
        <f t="shared" si="19"/>
        <v>Média/Pequena</v>
      </c>
      <c r="Y264" s="121" t="str" cm="1">
        <f t="array" ref="Y264">_xlfn.IFS(ISNUMBER(W264)=FALSE,"Sem dado",W264&gt;0.075,"Excelente",W264&gt;0.04,"Bom",W264&gt;0,"Fraco",TRUE,"Prejuízo")</f>
        <v>Excelente</v>
      </c>
    </row>
    <row r="265" spans="1:25" ht="15" customHeight="1" x14ac:dyDescent="0.2">
      <c r="A265" s="12" t="s">
        <v>674</v>
      </c>
      <c r="B265" s="56">
        <v>3042597</v>
      </c>
      <c r="C265" s="12"/>
      <c r="D265" s="12"/>
      <c r="E265" s="12"/>
      <c r="F265" s="12" t="s">
        <v>265</v>
      </c>
      <c r="G265" s="33">
        <v>2</v>
      </c>
      <c r="H265" s="33">
        <v>9</v>
      </c>
      <c r="I265" s="12" t="s">
        <v>404</v>
      </c>
      <c r="J265" s="12" t="s">
        <v>401</v>
      </c>
      <c r="K265" s="73" t="s">
        <v>29</v>
      </c>
      <c r="L265" s="13">
        <v>3371023</v>
      </c>
      <c r="M265" s="13">
        <v>2347045</v>
      </c>
      <c r="N265" s="13">
        <v>736496</v>
      </c>
      <c r="O265" s="13">
        <v>2951300</v>
      </c>
      <c r="P265" s="13">
        <v>1711448</v>
      </c>
      <c r="Q265" s="13">
        <v>419723</v>
      </c>
      <c r="R265" s="13">
        <v>-17502</v>
      </c>
      <c r="S265" s="13">
        <v>0</v>
      </c>
      <c r="T265" s="13">
        <v>27</v>
      </c>
      <c r="U265" s="12" t="str">
        <f t="shared" si="16"/>
        <v>Privado Nacional</v>
      </c>
      <c r="V265" s="14">
        <f t="shared" si="17"/>
        <v>0.69624117070693381</v>
      </c>
      <c r="W265" s="14">
        <f t="shared" si="18"/>
        <v>-4.1698930008600914E-2</v>
      </c>
      <c r="X265" s="12" t="str">
        <f t="shared" si="19"/>
        <v>Média/Pequena</v>
      </c>
      <c r="Y265" s="122" t="str" cm="1">
        <f t="array" ref="Y265">_xlfn.IFS(ISNUMBER(W265)=FALSE,"Sem dado",W265&gt;0.075,"Excelente",W265&gt;0.04,"Bom",W265&gt;0,"Fraco",TRUE,"Prejuízo")</f>
        <v>Prejuízo</v>
      </c>
    </row>
    <row r="266" spans="1:25" ht="15" customHeight="1" x14ac:dyDescent="0.2">
      <c r="A266" s="15" t="s">
        <v>675</v>
      </c>
      <c r="B266" s="60">
        <v>24313102</v>
      </c>
      <c r="C266" s="15" t="s">
        <v>676</v>
      </c>
      <c r="D266" s="15"/>
      <c r="E266" s="15" t="s">
        <v>677</v>
      </c>
      <c r="F266" s="15" t="s">
        <v>84</v>
      </c>
      <c r="G266" s="34">
        <v>3</v>
      </c>
      <c r="H266" s="34">
        <v>41</v>
      </c>
      <c r="I266" s="15" t="s">
        <v>38</v>
      </c>
      <c r="J266" s="15" t="s">
        <v>39</v>
      </c>
      <c r="K266" s="74" t="s">
        <v>29</v>
      </c>
      <c r="L266" s="16">
        <v>3355480</v>
      </c>
      <c r="M266" s="16">
        <v>0</v>
      </c>
      <c r="N266" s="16">
        <v>1496805</v>
      </c>
      <c r="O266" s="16">
        <v>3246587</v>
      </c>
      <c r="P266" s="16">
        <v>2817398</v>
      </c>
      <c r="Q266" s="16">
        <v>108894</v>
      </c>
      <c r="R266" s="16">
        <v>-21401</v>
      </c>
      <c r="S266" s="16">
        <v>1</v>
      </c>
      <c r="T266" s="16">
        <v>0</v>
      </c>
      <c r="U266" s="15" t="str">
        <f t="shared" si="16"/>
        <v>Privado Estrangeiro</v>
      </c>
      <c r="V266" s="17">
        <f t="shared" si="17"/>
        <v>0</v>
      </c>
      <c r="W266" s="17">
        <f t="shared" si="18"/>
        <v>-0.19653057101401364</v>
      </c>
      <c r="X266" s="15" t="str">
        <f t="shared" si="19"/>
        <v>Média/Pequena</v>
      </c>
      <c r="Y266" s="121" t="str" cm="1">
        <f t="array" ref="Y266">_xlfn.IFS(ISNUMBER(W266)=FALSE,"Sem dado",W266&gt;0.075,"Excelente",W266&gt;0.04,"Bom",W266&gt;0,"Fraco",TRUE,"Prejuízo")</f>
        <v>Prejuízo</v>
      </c>
    </row>
    <row r="267" spans="1:25" ht="15" customHeight="1" x14ac:dyDescent="0.2">
      <c r="A267" s="12" t="s">
        <v>678</v>
      </c>
      <c r="B267" s="56">
        <v>45283173</v>
      </c>
      <c r="C267" s="12" t="s">
        <v>679</v>
      </c>
      <c r="D267" s="12"/>
      <c r="E267" s="12" t="s">
        <v>680</v>
      </c>
      <c r="F267" s="12" t="s">
        <v>60</v>
      </c>
      <c r="G267" s="33">
        <v>3</v>
      </c>
      <c r="H267" s="33">
        <v>13</v>
      </c>
      <c r="I267" s="12" t="s">
        <v>38</v>
      </c>
      <c r="J267" s="12" t="s">
        <v>39</v>
      </c>
      <c r="K267" s="73" t="s">
        <v>29</v>
      </c>
      <c r="L267" s="13">
        <v>3349114</v>
      </c>
      <c r="M267" s="13">
        <v>981286</v>
      </c>
      <c r="N267" s="13">
        <v>1176251</v>
      </c>
      <c r="O267" s="13">
        <v>1492807</v>
      </c>
      <c r="P267" s="13">
        <v>1195424</v>
      </c>
      <c r="Q267" s="13">
        <v>1856308</v>
      </c>
      <c r="R267" s="13">
        <v>-6861</v>
      </c>
      <c r="S267" s="13">
        <v>2</v>
      </c>
      <c r="T267" s="13">
        <v>0</v>
      </c>
      <c r="U267" s="12" t="str">
        <f t="shared" si="16"/>
        <v>Privado Estrangeiro</v>
      </c>
      <c r="V267" s="14">
        <f t="shared" si="17"/>
        <v>0.29299868562252585</v>
      </c>
      <c r="W267" s="14">
        <f t="shared" si="18"/>
        <v>-3.6960461302757946E-3</v>
      </c>
      <c r="X267" s="12" t="str">
        <f t="shared" si="19"/>
        <v>Média/Pequena</v>
      </c>
      <c r="Y267" s="122" t="str" cm="1">
        <f t="array" ref="Y267">_xlfn.IFS(ISNUMBER(W267)=FALSE,"Sem dado",W267&gt;0.075,"Excelente",W267&gt;0.04,"Bom",W267&gt;0,"Fraco",TRUE,"Prejuízo")</f>
        <v>Prejuízo</v>
      </c>
    </row>
    <row r="268" spans="1:25" ht="15" customHeight="1" x14ac:dyDescent="0.2">
      <c r="A268" s="15" t="s">
        <v>681</v>
      </c>
      <c r="B268" s="60">
        <v>62285390</v>
      </c>
      <c r="C268" s="15" t="s">
        <v>682</v>
      </c>
      <c r="D268" s="15" t="s">
        <v>683</v>
      </c>
      <c r="E268" s="15" t="s">
        <v>684</v>
      </c>
      <c r="F268" s="15" t="s">
        <v>98</v>
      </c>
      <c r="G268" s="34">
        <v>3</v>
      </c>
      <c r="H268" s="34">
        <v>15</v>
      </c>
      <c r="I268" s="15" t="s">
        <v>38</v>
      </c>
      <c r="J268" s="15" t="s">
        <v>39</v>
      </c>
      <c r="K268" s="74" t="s">
        <v>29</v>
      </c>
      <c r="L268" s="16">
        <v>3317525</v>
      </c>
      <c r="M268" s="16">
        <v>0</v>
      </c>
      <c r="N268" s="16">
        <v>248438</v>
      </c>
      <c r="O268" s="16">
        <v>2611582</v>
      </c>
      <c r="P268" s="16">
        <v>2345285</v>
      </c>
      <c r="Q268" s="16">
        <v>705943</v>
      </c>
      <c r="R268" s="16">
        <v>77188</v>
      </c>
      <c r="S268" s="16">
        <v>2</v>
      </c>
      <c r="T268" s="16">
        <v>0</v>
      </c>
      <c r="U268" s="15" t="str">
        <f t="shared" si="16"/>
        <v>Privado Estrangeiro</v>
      </c>
      <c r="V268" s="17">
        <f t="shared" si="17"/>
        <v>0</v>
      </c>
      <c r="W268" s="17">
        <f t="shared" si="18"/>
        <v>0.10934027251491976</v>
      </c>
      <c r="X268" s="15" t="str">
        <f t="shared" si="19"/>
        <v>Média/Pequena</v>
      </c>
      <c r="Y268" s="121" t="str" cm="1">
        <f t="array" ref="Y268">_xlfn.IFS(ISNUMBER(W268)=FALSE,"Sem dado",W268&gt;0.075,"Excelente",W268&gt;0.04,"Bom",W268&gt;0,"Fraco",TRUE,"Prejuízo")</f>
        <v>Excelente</v>
      </c>
    </row>
    <row r="269" spans="1:25" ht="15" customHeight="1" x14ac:dyDescent="0.2">
      <c r="A269" s="12" t="s">
        <v>685</v>
      </c>
      <c r="B269" s="56">
        <v>26549311</v>
      </c>
      <c r="C269" s="12"/>
      <c r="D269" s="12"/>
      <c r="E269" s="12"/>
      <c r="F269" s="12" t="s">
        <v>265</v>
      </c>
      <c r="G269" s="33">
        <v>2</v>
      </c>
      <c r="H269" s="33">
        <v>9</v>
      </c>
      <c r="I269" s="12" t="s">
        <v>686</v>
      </c>
      <c r="J269" s="12" t="s">
        <v>329</v>
      </c>
      <c r="K269" s="73" t="s">
        <v>29</v>
      </c>
      <c r="L269" s="13">
        <v>3298316</v>
      </c>
      <c r="M269" s="13">
        <v>1553691</v>
      </c>
      <c r="N269" s="13">
        <v>1127300</v>
      </c>
      <c r="O269" s="13">
        <v>2879989</v>
      </c>
      <c r="P269" s="13">
        <v>2043465</v>
      </c>
      <c r="Q269" s="13">
        <v>418327</v>
      </c>
      <c r="R269" s="13">
        <v>14758</v>
      </c>
      <c r="S269" s="13">
        <v>0</v>
      </c>
      <c r="T269" s="13">
        <v>23</v>
      </c>
      <c r="U269" s="12" t="str">
        <f t="shared" si="16"/>
        <v>Privado Nacional</v>
      </c>
      <c r="V269" s="14">
        <f t="shared" si="17"/>
        <v>0.47105583576588783</v>
      </c>
      <c r="W269" s="14">
        <f t="shared" si="18"/>
        <v>3.5278621748058341E-2</v>
      </c>
      <c r="X269" s="12" t="str">
        <f t="shared" si="19"/>
        <v>Média/Pequena</v>
      </c>
      <c r="Y269" s="122" t="str" cm="1">
        <f t="array" ref="Y269">_xlfn.IFS(ISNUMBER(W269)=FALSE,"Sem dado",W269&gt;0.075,"Excelente",W269&gt;0.04,"Bom",W269&gt;0,"Fraco",TRUE,"Prejuízo")</f>
        <v>Fraco</v>
      </c>
    </row>
    <row r="270" spans="1:25" ht="15" customHeight="1" x14ac:dyDescent="0.2">
      <c r="A270" s="15" t="s">
        <v>687</v>
      </c>
      <c r="B270" s="60">
        <v>95213211</v>
      </c>
      <c r="C270" s="15"/>
      <c r="D270" s="15"/>
      <c r="E270" s="15"/>
      <c r="F270" s="15" t="s">
        <v>265</v>
      </c>
      <c r="G270" s="34">
        <v>2</v>
      </c>
      <c r="H270" s="34">
        <v>9</v>
      </c>
      <c r="I270" s="15" t="s">
        <v>688</v>
      </c>
      <c r="J270" s="15" t="s">
        <v>74</v>
      </c>
      <c r="K270" s="74" t="s">
        <v>29</v>
      </c>
      <c r="L270" s="16">
        <v>3236571</v>
      </c>
      <c r="M270" s="16">
        <v>1774848</v>
      </c>
      <c r="N270" s="16">
        <v>1187747</v>
      </c>
      <c r="O270" s="16">
        <v>2994341</v>
      </c>
      <c r="P270" s="16">
        <v>2307741</v>
      </c>
      <c r="Q270" s="16">
        <v>242230</v>
      </c>
      <c r="R270" s="16">
        <v>9280</v>
      </c>
      <c r="S270" s="16">
        <v>0</v>
      </c>
      <c r="T270" s="16">
        <v>27</v>
      </c>
      <c r="U270" s="15" t="str">
        <f t="shared" si="16"/>
        <v>Privado Nacional</v>
      </c>
      <c r="V270" s="17">
        <f t="shared" si="17"/>
        <v>0.54837295396887631</v>
      </c>
      <c r="W270" s="17">
        <f t="shared" si="18"/>
        <v>3.8310696445526982E-2</v>
      </c>
      <c r="X270" s="15" t="str">
        <f t="shared" si="19"/>
        <v>Média/Pequena</v>
      </c>
      <c r="Y270" s="121" t="str" cm="1">
        <f t="array" ref="Y270">_xlfn.IFS(ISNUMBER(W270)=FALSE,"Sem dado",W270&gt;0.075,"Excelente",W270&gt;0.04,"Bom",W270&gt;0,"Fraco",TRUE,"Prejuízo")</f>
        <v>Fraco</v>
      </c>
    </row>
    <row r="271" spans="1:25" ht="15" customHeight="1" x14ac:dyDescent="0.2">
      <c r="A271" s="12" t="s">
        <v>689</v>
      </c>
      <c r="B271" s="56">
        <v>6332931</v>
      </c>
      <c r="C271" s="12"/>
      <c r="D271" s="12"/>
      <c r="E271" s="12"/>
      <c r="F271" s="12" t="s">
        <v>265</v>
      </c>
      <c r="G271" s="33">
        <v>2</v>
      </c>
      <c r="H271" s="33">
        <v>9</v>
      </c>
      <c r="I271" s="12" t="s">
        <v>388</v>
      </c>
      <c r="J271" s="12" t="s">
        <v>389</v>
      </c>
      <c r="K271" s="73" t="s">
        <v>29</v>
      </c>
      <c r="L271" s="13">
        <v>3204041</v>
      </c>
      <c r="M271" s="13">
        <v>1899727</v>
      </c>
      <c r="N271" s="13">
        <v>920292</v>
      </c>
      <c r="O271" s="13">
        <v>2966229</v>
      </c>
      <c r="P271" s="13">
        <v>1898859</v>
      </c>
      <c r="Q271" s="13">
        <v>237812</v>
      </c>
      <c r="R271" s="13">
        <v>-36780</v>
      </c>
      <c r="S271" s="13">
        <v>0</v>
      </c>
      <c r="T271" s="13">
        <v>30</v>
      </c>
      <c r="U271" s="12" t="str">
        <f t="shared" si="16"/>
        <v>Privado Nacional</v>
      </c>
      <c r="V271" s="14">
        <f t="shared" si="17"/>
        <v>0.59291594583215379</v>
      </c>
      <c r="W271" s="14">
        <f t="shared" si="18"/>
        <v>-0.1546599835163911</v>
      </c>
      <c r="X271" s="12" t="str">
        <f t="shared" si="19"/>
        <v>Média/Pequena</v>
      </c>
      <c r="Y271" s="122" t="str" cm="1">
        <f t="array" ref="Y271">_xlfn.IFS(ISNUMBER(W271)=FALSE,"Sem dado",W271&gt;0.075,"Excelente",W271&gt;0.04,"Bom",W271&gt;0,"Fraco",TRUE,"Prejuízo")</f>
        <v>Prejuízo</v>
      </c>
    </row>
    <row r="272" spans="1:25" ht="15" customHeight="1" x14ac:dyDescent="0.2">
      <c r="A272" s="15" t="s">
        <v>690</v>
      </c>
      <c r="B272" s="60">
        <v>14796606</v>
      </c>
      <c r="C272" s="15" t="s">
        <v>691</v>
      </c>
      <c r="D272" s="15"/>
      <c r="E272" s="15" t="s">
        <v>692</v>
      </c>
      <c r="F272" s="15" t="s">
        <v>84</v>
      </c>
      <c r="G272" s="34">
        <v>3</v>
      </c>
      <c r="H272" s="34">
        <v>41</v>
      </c>
      <c r="I272" s="15" t="s">
        <v>38</v>
      </c>
      <c r="J272" s="15" t="s">
        <v>39</v>
      </c>
      <c r="K272" s="74" t="s">
        <v>29</v>
      </c>
      <c r="L272" s="16">
        <v>3178633</v>
      </c>
      <c r="M272" s="16">
        <v>0</v>
      </c>
      <c r="N272" s="16">
        <v>188807</v>
      </c>
      <c r="O272" s="16">
        <v>2314513</v>
      </c>
      <c r="P272" s="16">
        <v>187079</v>
      </c>
      <c r="Q272" s="16">
        <v>864120</v>
      </c>
      <c r="R272" s="16">
        <v>85921</v>
      </c>
      <c r="S272" s="16">
        <v>1</v>
      </c>
      <c r="T272" s="16">
        <v>0</v>
      </c>
      <c r="U272" s="15" t="str">
        <f t="shared" si="16"/>
        <v>Privado Estrangeiro</v>
      </c>
      <c r="V272" s="17">
        <f t="shared" si="17"/>
        <v>0</v>
      </c>
      <c r="W272" s="17">
        <f t="shared" si="18"/>
        <v>9.9431791880757306E-2</v>
      </c>
      <c r="X272" s="15" t="str">
        <f t="shared" si="19"/>
        <v>Média/Pequena</v>
      </c>
      <c r="Y272" s="121" t="str" cm="1">
        <f t="array" ref="Y272">_xlfn.IFS(ISNUMBER(W272)=FALSE,"Sem dado",W272&gt;0.075,"Excelente",W272&gt;0.04,"Bom",W272&gt;0,"Fraco",TRUE,"Prejuízo")</f>
        <v>Excelente</v>
      </c>
    </row>
    <row r="273" spans="1:25" ht="15" customHeight="1" x14ac:dyDescent="0.2">
      <c r="A273" s="12" t="s">
        <v>693</v>
      </c>
      <c r="B273" s="56">
        <v>79086997</v>
      </c>
      <c r="C273" s="12"/>
      <c r="D273" s="12"/>
      <c r="E273" s="12"/>
      <c r="F273" s="12" t="s">
        <v>265</v>
      </c>
      <c r="G273" s="33">
        <v>2</v>
      </c>
      <c r="H273" s="33">
        <v>9</v>
      </c>
      <c r="I273" s="12" t="s">
        <v>694</v>
      </c>
      <c r="J273" s="12" t="s">
        <v>229</v>
      </c>
      <c r="K273" s="73" t="s">
        <v>29</v>
      </c>
      <c r="L273" s="13">
        <v>3177885</v>
      </c>
      <c r="M273" s="13">
        <v>1903319</v>
      </c>
      <c r="N273" s="13">
        <v>755974</v>
      </c>
      <c r="O273" s="13">
        <v>2922736</v>
      </c>
      <c r="P273" s="13">
        <v>1989157</v>
      </c>
      <c r="Q273" s="13">
        <v>255149</v>
      </c>
      <c r="R273" s="13">
        <v>10379</v>
      </c>
      <c r="S273" s="13">
        <v>0</v>
      </c>
      <c r="T273" s="13">
        <v>50</v>
      </c>
      <c r="U273" s="12" t="str">
        <f t="shared" si="16"/>
        <v>Privado Nacional</v>
      </c>
      <c r="V273" s="14">
        <f t="shared" si="17"/>
        <v>0.59892632993327322</v>
      </c>
      <c r="W273" s="14">
        <f t="shared" si="18"/>
        <v>4.0678191958424294E-2</v>
      </c>
      <c r="X273" s="12" t="str">
        <f t="shared" si="19"/>
        <v>Média/Pequena</v>
      </c>
      <c r="Y273" s="122" t="str" cm="1">
        <f t="array" ref="Y273">_xlfn.IFS(ISNUMBER(W273)=FALSE,"Sem dado",W273&gt;0.075,"Excelente",W273&gt;0.04,"Bom",W273&gt;0,"Fraco",TRUE,"Prejuízo")</f>
        <v>Bom</v>
      </c>
    </row>
    <row r="274" spans="1:25" ht="15" customHeight="1" x14ac:dyDescent="0.2">
      <c r="A274" s="15" t="s">
        <v>695</v>
      </c>
      <c r="B274" s="60">
        <v>81367880</v>
      </c>
      <c r="C274" s="15"/>
      <c r="D274" s="15"/>
      <c r="E274" s="15"/>
      <c r="F274" s="15" t="s">
        <v>265</v>
      </c>
      <c r="G274" s="34">
        <v>2</v>
      </c>
      <c r="H274" s="34">
        <v>9</v>
      </c>
      <c r="I274" s="15" t="s">
        <v>696</v>
      </c>
      <c r="J274" s="15" t="s">
        <v>217</v>
      </c>
      <c r="K274" s="74" t="s">
        <v>29</v>
      </c>
      <c r="L274" s="16">
        <v>3170210</v>
      </c>
      <c r="M274" s="16">
        <v>1332748</v>
      </c>
      <c r="N274" s="16">
        <v>50225</v>
      </c>
      <c r="O274" s="16">
        <v>2691774</v>
      </c>
      <c r="P274" s="16">
        <v>2343824</v>
      </c>
      <c r="Q274" s="16">
        <v>478436</v>
      </c>
      <c r="R274" s="16">
        <v>61354</v>
      </c>
      <c r="S274" s="16">
        <v>0</v>
      </c>
      <c r="T274" s="16">
        <v>30</v>
      </c>
      <c r="U274" s="15" t="str">
        <f t="shared" si="16"/>
        <v>Privado Nacional</v>
      </c>
      <c r="V274" s="17">
        <f t="shared" si="17"/>
        <v>0.42039738692389461</v>
      </c>
      <c r="W274" s="17">
        <f t="shared" si="18"/>
        <v>0.12823867769147806</v>
      </c>
      <c r="X274" s="15" t="str">
        <f t="shared" si="19"/>
        <v>Média/Pequena</v>
      </c>
      <c r="Y274" s="121" t="str" cm="1">
        <f t="array" ref="Y274">_xlfn.IFS(ISNUMBER(W274)=FALSE,"Sem dado",W274&gt;0.075,"Excelente",W274&gt;0.04,"Bom",W274&gt;0,"Fraco",TRUE,"Prejuízo")</f>
        <v>Excelente</v>
      </c>
    </row>
    <row r="275" spans="1:25" ht="15" customHeight="1" x14ac:dyDescent="0.2">
      <c r="A275" s="12" t="s">
        <v>697</v>
      </c>
      <c r="B275" s="56">
        <v>81206039</v>
      </c>
      <c r="C275" s="12"/>
      <c r="D275" s="12"/>
      <c r="E275" s="12"/>
      <c r="F275" s="12" t="s">
        <v>265</v>
      </c>
      <c r="G275" s="33">
        <v>2</v>
      </c>
      <c r="H275" s="33">
        <v>9</v>
      </c>
      <c r="I275" s="12" t="s">
        <v>698</v>
      </c>
      <c r="J275" s="12" t="s">
        <v>229</v>
      </c>
      <c r="K275" s="73" t="s">
        <v>29</v>
      </c>
      <c r="L275" s="13">
        <v>3164020</v>
      </c>
      <c r="M275" s="13">
        <v>1893982</v>
      </c>
      <c r="N275" s="13">
        <v>1038960</v>
      </c>
      <c r="O275" s="13">
        <v>2694342</v>
      </c>
      <c r="P275" s="13">
        <v>1921903</v>
      </c>
      <c r="Q275" s="13">
        <v>469678</v>
      </c>
      <c r="R275" s="13">
        <v>54084</v>
      </c>
      <c r="S275" s="13">
        <v>0</v>
      </c>
      <c r="T275" s="13">
        <v>37</v>
      </c>
      <c r="U275" s="12" t="str">
        <f t="shared" si="16"/>
        <v>Privado Nacional</v>
      </c>
      <c r="V275" s="14">
        <f t="shared" si="17"/>
        <v>0.5985998824280504</v>
      </c>
      <c r="W275" s="14">
        <f t="shared" si="18"/>
        <v>0.11515123126908222</v>
      </c>
      <c r="X275" s="12" t="str">
        <f t="shared" si="19"/>
        <v>Média/Pequena</v>
      </c>
      <c r="Y275" s="122" t="str" cm="1">
        <f t="array" ref="Y275">_xlfn.IFS(ISNUMBER(W275)=FALSE,"Sem dado",W275&gt;0.075,"Excelente",W275&gt;0.04,"Bom",W275&gt;0,"Fraco",TRUE,"Prejuízo")</f>
        <v>Excelente</v>
      </c>
    </row>
    <row r="276" spans="1:25" ht="15" customHeight="1" x14ac:dyDescent="0.2">
      <c r="A276" s="15" t="s">
        <v>699</v>
      </c>
      <c r="B276" s="60">
        <v>4632856</v>
      </c>
      <c r="C276" s="15"/>
      <c r="D276" s="15"/>
      <c r="E276" s="15"/>
      <c r="F276" s="15" t="s">
        <v>199</v>
      </c>
      <c r="G276" s="34">
        <v>2</v>
      </c>
      <c r="H276" s="34">
        <v>9</v>
      </c>
      <c r="I276" s="15" t="s">
        <v>700</v>
      </c>
      <c r="J276" s="15" t="s">
        <v>432</v>
      </c>
      <c r="K276" s="74" t="s">
        <v>29</v>
      </c>
      <c r="L276" s="16">
        <v>3149260</v>
      </c>
      <c r="M276" s="16">
        <v>97703</v>
      </c>
      <c r="N276" s="16">
        <v>1887129</v>
      </c>
      <c r="O276" s="16">
        <v>2981880</v>
      </c>
      <c r="P276" s="16">
        <v>579566</v>
      </c>
      <c r="Q276" s="16">
        <v>167380</v>
      </c>
      <c r="R276" s="16">
        <v>7765</v>
      </c>
      <c r="S276" s="16">
        <v>0</v>
      </c>
      <c r="T276" s="16">
        <v>0</v>
      </c>
      <c r="U276" s="15" t="str">
        <f t="shared" si="16"/>
        <v>Privado Nacional</v>
      </c>
      <c r="V276" s="17">
        <f t="shared" si="17"/>
        <v>3.1024113601290461E-2</v>
      </c>
      <c r="W276" s="17">
        <f t="shared" si="18"/>
        <v>4.639144461703907E-2</v>
      </c>
      <c r="X276" s="15" t="str">
        <f t="shared" si="19"/>
        <v>Média/Pequena</v>
      </c>
      <c r="Y276" s="121" t="str" cm="1">
        <f t="array" ref="Y276">_xlfn.IFS(ISNUMBER(W276)=FALSE,"Sem dado",W276&gt;0.075,"Excelente",W276&gt;0.04,"Bom",W276&gt;0,"Fraco",TRUE,"Prejuízo")</f>
        <v>Bom</v>
      </c>
    </row>
    <row r="277" spans="1:25" ht="15" customHeight="1" x14ac:dyDescent="0.2">
      <c r="A277" s="12" t="s">
        <v>701</v>
      </c>
      <c r="B277" s="56">
        <v>1604998</v>
      </c>
      <c r="C277" s="12"/>
      <c r="D277" s="12"/>
      <c r="E277" s="12"/>
      <c r="F277" s="12" t="s">
        <v>265</v>
      </c>
      <c r="G277" s="33">
        <v>2</v>
      </c>
      <c r="H277" s="33">
        <v>9</v>
      </c>
      <c r="I277" s="12" t="s">
        <v>702</v>
      </c>
      <c r="J277" s="12" t="s">
        <v>120</v>
      </c>
      <c r="K277" s="73" t="s">
        <v>29</v>
      </c>
      <c r="L277" s="13">
        <v>3148823</v>
      </c>
      <c r="M277" s="13">
        <v>1137840</v>
      </c>
      <c r="N277" s="13">
        <v>63353</v>
      </c>
      <c r="O277" s="13">
        <v>2750332</v>
      </c>
      <c r="P277" s="13">
        <v>2423788</v>
      </c>
      <c r="Q277" s="13">
        <v>398491</v>
      </c>
      <c r="R277" s="13">
        <v>46430</v>
      </c>
      <c r="S277" s="13">
        <v>0</v>
      </c>
      <c r="T277" s="13">
        <v>44</v>
      </c>
      <c r="U277" s="12" t="str">
        <f t="shared" si="16"/>
        <v>Privado Nacional</v>
      </c>
      <c r="V277" s="14">
        <f t="shared" si="17"/>
        <v>0.36135406785328994</v>
      </c>
      <c r="W277" s="14">
        <f t="shared" si="18"/>
        <v>0.11651455114419146</v>
      </c>
      <c r="X277" s="12" t="str">
        <f t="shared" si="19"/>
        <v>Média/Pequena</v>
      </c>
      <c r="Y277" s="122" t="str" cm="1">
        <f t="array" ref="Y277">_xlfn.IFS(ISNUMBER(W277)=FALSE,"Sem dado",W277&gt;0.075,"Excelente",W277&gt;0.04,"Bom",W277&gt;0,"Fraco",TRUE,"Prejuízo")</f>
        <v>Excelente</v>
      </c>
    </row>
    <row r="278" spans="1:25" ht="15" customHeight="1" x14ac:dyDescent="0.2">
      <c r="A278" s="15" t="s">
        <v>703</v>
      </c>
      <c r="B278" s="60">
        <v>37880206</v>
      </c>
      <c r="C278" s="15" t="s">
        <v>704</v>
      </c>
      <c r="D278" s="15"/>
      <c r="E278" s="15" t="s">
        <v>705</v>
      </c>
      <c r="F278" s="15" t="s">
        <v>65</v>
      </c>
      <c r="G278" s="34">
        <v>2</v>
      </c>
      <c r="H278" s="34">
        <v>14</v>
      </c>
      <c r="I278" s="15" t="s">
        <v>38</v>
      </c>
      <c r="J278" s="15" t="s">
        <v>39</v>
      </c>
      <c r="K278" s="74" t="s">
        <v>29</v>
      </c>
      <c r="L278" s="16">
        <v>3121461</v>
      </c>
      <c r="M278" s="16">
        <v>322716</v>
      </c>
      <c r="N278" s="16">
        <v>2041911</v>
      </c>
      <c r="O278" s="16">
        <v>2869313</v>
      </c>
      <c r="P278" s="16">
        <v>2551067</v>
      </c>
      <c r="Q278" s="16">
        <v>252148</v>
      </c>
      <c r="R278" s="16">
        <v>26784</v>
      </c>
      <c r="S278" s="16">
        <v>2</v>
      </c>
      <c r="T278" s="16">
        <v>0</v>
      </c>
      <c r="U278" s="15" t="str">
        <f t="shared" si="16"/>
        <v>Privado Nacional</v>
      </c>
      <c r="V278" s="17">
        <f t="shared" si="17"/>
        <v>0.10338620280695482</v>
      </c>
      <c r="W278" s="17">
        <f t="shared" si="18"/>
        <v>0.10622332915589257</v>
      </c>
      <c r="X278" s="15" t="str">
        <f t="shared" si="19"/>
        <v>Média/Pequena</v>
      </c>
      <c r="Y278" s="121" t="str" cm="1">
        <f t="array" ref="Y278">_xlfn.IFS(ISNUMBER(W278)=FALSE,"Sem dado",W278&gt;0.075,"Excelente",W278&gt;0.04,"Bom",W278&gt;0,"Fraco",TRUE,"Prejuízo")</f>
        <v>Excelente</v>
      </c>
    </row>
    <row r="279" spans="1:25" ht="15" customHeight="1" x14ac:dyDescent="0.2">
      <c r="A279" s="12" t="s">
        <v>706</v>
      </c>
      <c r="B279" s="56">
        <v>5582619</v>
      </c>
      <c r="C279" s="12"/>
      <c r="D279" s="12"/>
      <c r="E279" s="12"/>
      <c r="F279" s="12" t="s">
        <v>265</v>
      </c>
      <c r="G279" s="33">
        <v>2</v>
      </c>
      <c r="H279" s="33">
        <v>9</v>
      </c>
      <c r="I279" s="12" t="s">
        <v>372</v>
      </c>
      <c r="J279" s="12" t="s">
        <v>229</v>
      </c>
      <c r="K279" s="73" t="s">
        <v>29</v>
      </c>
      <c r="L279" s="13">
        <v>3110902</v>
      </c>
      <c r="M279" s="13">
        <v>2060713</v>
      </c>
      <c r="N279" s="13">
        <v>47999</v>
      </c>
      <c r="O279" s="13">
        <v>2795236</v>
      </c>
      <c r="P279" s="13">
        <v>2444801</v>
      </c>
      <c r="Q279" s="13">
        <v>315666</v>
      </c>
      <c r="R279" s="13">
        <v>32434</v>
      </c>
      <c r="S279" s="13">
        <v>0</v>
      </c>
      <c r="T279" s="13">
        <v>52</v>
      </c>
      <c r="U279" s="12" t="str">
        <f t="shared" si="16"/>
        <v>Privado Nacional</v>
      </c>
      <c r="V279" s="14">
        <f t="shared" si="17"/>
        <v>0.66241655957018253</v>
      </c>
      <c r="W279" s="14">
        <f t="shared" si="18"/>
        <v>0.10274784107252602</v>
      </c>
      <c r="X279" s="12" t="str">
        <f t="shared" si="19"/>
        <v>Média/Pequena</v>
      </c>
      <c r="Y279" s="122" t="str" cm="1">
        <f t="array" ref="Y279">_xlfn.IFS(ISNUMBER(W279)=FALSE,"Sem dado",W279&gt;0.075,"Excelente",W279&gt;0.04,"Bom",W279&gt;0,"Fraco",TRUE,"Prejuízo")</f>
        <v>Excelente</v>
      </c>
    </row>
    <row r="280" spans="1:25" ht="15" customHeight="1" x14ac:dyDescent="0.2">
      <c r="A280" s="15" t="s">
        <v>707</v>
      </c>
      <c r="B280" s="60">
        <v>26178533</v>
      </c>
      <c r="C280" s="15"/>
      <c r="D280" s="15"/>
      <c r="E280" s="15"/>
      <c r="F280" s="15" t="s">
        <v>265</v>
      </c>
      <c r="G280" s="34">
        <v>2</v>
      </c>
      <c r="H280" s="34">
        <v>9</v>
      </c>
      <c r="I280" s="15" t="s">
        <v>708</v>
      </c>
      <c r="J280" s="15" t="s">
        <v>120</v>
      </c>
      <c r="K280" s="74" t="s">
        <v>29</v>
      </c>
      <c r="L280" s="16">
        <v>3090901</v>
      </c>
      <c r="M280" s="16">
        <v>2018252</v>
      </c>
      <c r="N280" s="16">
        <v>37393</v>
      </c>
      <c r="O280" s="16">
        <v>2788780</v>
      </c>
      <c r="P280" s="16">
        <v>1804363</v>
      </c>
      <c r="Q280" s="16">
        <v>302121</v>
      </c>
      <c r="R280" s="16">
        <v>-799</v>
      </c>
      <c r="S280" s="16">
        <v>0</v>
      </c>
      <c r="T280" s="16">
        <v>10</v>
      </c>
      <c r="U280" s="15" t="str">
        <f t="shared" si="16"/>
        <v>Privado Nacional</v>
      </c>
      <c r="V280" s="17">
        <f t="shared" si="17"/>
        <v>0.65296559158640155</v>
      </c>
      <c r="W280" s="17">
        <f t="shared" si="18"/>
        <v>-2.6446357585205929E-3</v>
      </c>
      <c r="X280" s="15" t="str">
        <f t="shared" si="19"/>
        <v>Média/Pequena</v>
      </c>
      <c r="Y280" s="121" t="str" cm="1">
        <f t="array" ref="Y280">_xlfn.IFS(ISNUMBER(W280)=FALSE,"Sem dado",W280&gt;0.075,"Excelente",W280&gt;0.04,"Bom",W280&gt;0,"Fraco",TRUE,"Prejuízo")</f>
        <v>Prejuízo</v>
      </c>
    </row>
    <row r="281" spans="1:25" ht="15" customHeight="1" x14ac:dyDescent="0.2">
      <c r="A281" s="12" t="s">
        <v>709</v>
      </c>
      <c r="B281" s="56">
        <v>7656500</v>
      </c>
      <c r="C281" s="12" t="s">
        <v>710</v>
      </c>
      <c r="D281" s="12"/>
      <c r="E281" s="12" t="s">
        <v>711</v>
      </c>
      <c r="F281" s="12" t="s">
        <v>26</v>
      </c>
      <c r="G281" s="33">
        <v>3</v>
      </c>
      <c r="H281" s="33">
        <v>8</v>
      </c>
      <c r="I281" s="12" t="s">
        <v>38</v>
      </c>
      <c r="J281" s="12" t="s">
        <v>39</v>
      </c>
      <c r="K281" s="73" t="s">
        <v>29</v>
      </c>
      <c r="L281" s="13">
        <v>3085035</v>
      </c>
      <c r="M281" s="13">
        <v>734757</v>
      </c>
      <c r="N281" s="13">
        <v>2187944</v>
      </c>
      <c r="O281" s="13">
        <v>2533960</v>
      </c>
      <c r="P281" s="13">
        <v>2490162</v>
      </c>
      <c r="Q281" s="13">
        <v>551075</v>
      </c>
      <c r="R281" s="13">
        <v>25874</v>
      </c>
      <c r="S281" s="13">
        <v>2</v>
      </c>
      <c r="T281" s="13">
        <v>0</v>
      </c>
      <c r="U281" s="12" t="str">
        <f t="shared" si="16"/>
        <v>Privado Estrangeiro</v>
      </c>
      <c r="V281" s="14">
        <f t="shared" si="17"/>
        <v>0.23816812451074298</v>
      </c>
      <c r="W281" s="14">
        <f t="shared" si="18"/>
        <v>4.6951866805788688E-2</v>
      </c>
      <c r="X281" s="12" t="str">
        <f t="shared" si="19"/>
        <v>Média/Pequena</v>
      </c>
      <c r="Y281" s="122" t="str" cm="1">
        <f t="array" ref="Y281">_xlfn.IFS(ISNUMBER(W281)=FALSE,"Sem dado",W281&gt;0.075,"Excelente",W281&gt;0.04,"Bom",W281&gt;0,"Fraco",TRUE,"Prejuízo")</f>
        <v>Bom</v>
      </c>
    </row>
    <row r="282" spans="1:25" ht="15" customHeight="1" x14ac:dyDescent="0.2">
      <c r="A282" s="15" t="s">
        <v>712</v>
      </c>
      <c r="B282" s="60">
        <v>87510475</v>
      </c>
      <c r="C282" s="15"/>
      <c r="D282" s="15"/>
      <c r="E282" s="15"/>
      <c r="F282" s="15" t="s">
        <v>265</v>
      </c>
      <c r="G282" s="34">
        <v>2</v>
      </c>
      <c r="H282" s="34">
        <v>9</v>
      </c>
      <c r="I282" s="15" t="s">
        <v>713</v>
      </c>
      <c r="J282" s="15" t="s">
        <v>74</v>
      </c>
      <c r="K282" s="74" t="s">
        <v>29</v>
      </c>
      <c r="L282" s="16">
        <v>3075343</v>
      </c>
      <c r="M282" s="16">
        <v>1963579</v>
      </c>
      <c r="N282" s="16">
        <v>949187</v>
      </c>
      <c r="O282" s="16">
        <v>2718927</v>
      </c>
      <c r="P282" s="16">
        <v>1417754</v>
      </c>
      <c r="Q282" s="16">
        <v>356416</v>
      </c>
      <c r="R282" s="16">
        <v>-15714</v>
      </c>
      <c r="S282" s="16">
        <v>0</v>
      </c>
      <c r="T282" s="16">
        <v>28</v>
      </c>
      <c r="U282" s="15" t="str">
        <f t="shared" si="16"/>
        <v>Privado Nacional</v>
      </c>
      <c r="V282" s="17">
        <f t="shared" si="17"/>
        <v>0.63849105611959378</v>
      </c>
      <c r="W282" s="17">
        <f t="shared" si="18"/>
        <v>-4.4088929789908422E-2</v>
      </c>
      <c r="X282" s="15" t="str">
        <f t="shared" si="19"/>
        <v>Média/Pequena</v>
      </c>
      <c r="Y282" s="121" t="str" cm="1">
        <f t="array" ref="Y282">_xlfn.IFS(ISNUMBER(W282)=FALSE,"Sem dado",W282&gt;0.075,"Excelente",W282&gt;0.04,"Bom",W282&gt;0,"Fraco",TRUE,"Prejuízo")</f>
        <v>Prejuízo</v>
      </c>
    </row>
    <row r="283" spans="1:25" ht="15" customHeight="1" x14ac:dyDescent="0.2">
      <c r="A283" s="12" t="s">
        <v>714</v>
      </c>
      <c r="B283" s="56">
        <v>48703388</v>
      </c>
      <c r="C283" s="12" t="s">
        <v>715</v>
      </c>
      <c r="D283" s="12"/>
      <c r="E283" s="12" t="s">
        <v>716</v>
      </c>
      <c r="F283" s="12" t="s">
        <v>65</v>
      </c>
      <c r="G283" s="33">
        <v>2</v>
      </c>
      <c r="H283" s="33">
        <v>14</v>
      </c>
      <c r="I283" s="12" t="s">
        <v>38</v>
      </c>
      <c r="J283" s="12" t="s">
        <v>39</v>
      </c>
      <c r="K283" s="73" t="s">
        <v>29</v>
      </c>
      <c r="L283" s="13">
        <v>3071149</v>
      </c>
      <c r="M283" s="13">
        <v>1390480</v>
      </c>
      <c r="N283" s="13">
        <v>1128868</v>
      </c>
      <c r="O283" s="13">
        <v>2772448</v>
      </c>
      <c r="P283" s="13">
        <v>2703027</v>
      </c>
      <c r="Q283" s="13">
        <v>298701</v>
      </c>
      <c r="R283" s="13">
        <v>-90661</v>
      </c>
      <c r="S283" s="13">
        <v>3</v>
      </c>
      <c r="T283" s="13">
        <v>0</v>
      </c>
      <c r="U283" s="12" t="str">
        <f t="shared" si="16"/>
        <v>Privado Nacional</v>
      </c>
      <c r="V283" s="14">
        <f t="shared" si="17"/>
        <v>0.45275562989617241</v>
      </c>
      <c r="W283" s="14">
        <f t="shared" si="18"/>
        <v>-0.30351756438712962</v>
      </c>
      <c r="X283" s="12" t="str">
        <f t="shared" si="19"/>
        <v>Média/Pequena</v>
      </c>
      <c r="Y283" s="122" t="str" cm="1">
        <f t="array" ref="Y283">_xlfn.IFS(ISNUMBER(W283)=FALSE,"Sem dado",W283&gt;0.075,"Excelente",W283&gt;0.04,"Bom",W283&gt;0,"Fraco",TRUE,"Prejuízo")</f>
        <v>Prejuízo</v>
      </c>
    </row>
    <row r="284" spans="1:25" ht="15" customHeight="1" x14ac:dyDescent="0.2">
      <c r="A284" s="15" t="s">
        <v>717</v>
      </c>
      <c r="B284" s="60">
        <v>81016131</v>
      </c>
      <c r="C284" s="15"/>
      <c r="D284" s="15"/>
      <c r="E284" s="15"/>
      <c r="F284" s="15" t="s">
        <v>265</v>
      </c>
      <c r="G284" s="34">
        <v>2</v>
      </c>
      <c r="H284" s="34">
        <v>9</v>
      </c>
      <c r="I284" s="15" t="s">
        <v>718</v>
      </c>
      <c r="J284" s="15" t="s">
        <v>217</v>
      </c>
      <c r="K284" s="74" t="s">
        <v>29</v>
      </c>
      <c r="L284" s="16">
        <v>3053784</v>
      </c>
      <c r="M284" s="16">
        <v>1519889</v>
      </c>
      <c r="N284" s="16">
        <v>62371</v>
      </c>
      <c r="O284" s="16">
        <v>2744119</v>
      </c>
      <c r="P284" s="16">
        <v>2156800</v>
      </c>
      <c r="Q284" s="16">
        <v>309665</v>
      </c>
      <c r="R284" s="16">
        <v>18876</v>
      </c>
      <c r="S284" s="16">
        <v>0</v>
      </c>
      <c r="T284" s="16">
        <v>34</v>
      </c>
      <c r="U284" s="15" t="str">
        <f t="shared" si="16"/>
        <v>Privado Nacional</v>
      </c>
      <c r="V284" s="17">
        <f t="shared" si="17"/>
        <v>0.49770677952337167</v>
      </c>
      <c r="W284" s="17">
        <f t="shared" si="18"/>
        <v>6.0956194597387499E-2</v>
      </c>
      <c r="X284" s="15" t="str">
        <f t="shared" si="19"/>
        <v>Média/Pequena</v>
      </c>
      <c r="Y284" s="121" t="str" cm="1">
        <f t="array" ref="Y284">_xlfn.IFS(ISNUMBER(W284)=FALSE,"Sem dado",W284&gt;0.075,"Excelente",W284&gt;0.04,"Bom",W284&gt;0,"Fraco",TRUE,"Prejuízo")</f>
        <v>Bom</v>
      </c>
    </row>
    <row r="285" spans="1:25" ht="15" customHeight="1" x14ac:dyDescent="0.2">
      <c r="A285" s="12" t="s">
        <v>719</v>
      </c>
      <c r="B285" s="56">
        <v>77984870</v>
      </c>
      <c r="C285" s="12"/>
      <c r="D285" s="12"/>
      <c r="E285" s="12"/>
      <c r="F285" s="12" t="s">
        <v>265</v>
      </c>
      <c r="G285" s="33">
        <v>2</v>
      </c>
      <c r="H285" s="33">
        <v>9</v>
      </c>
      <c r="I285" s="12" t="s">
        <v>720</v>
      </c>
      <c r="J285" s="12" t="s">
        <v>229</v>
      </c>
      <c r="K285" s="73" t="s">
        <v>29</v>
      </c>
      <c r="L285" s="13">
        <v>3018003</v>
      </c>
      <c r="M285" s="13">
        <v>1804806</v>
      </c>
      <c r="N285" s="13">
        <v>924481</v>
      </c>
      <c r="O285" s="13">
        <v>2721527</v>
      </c>
      <c r="P285" s="13">
        <v>1772512</v>
      </c>
      <c r="Q285" s="13">
        <v>296475</v>
      </c>
      <c r="R285" s="13">
        <v>19315</v>
      </c>
      <c r="S285" s="13">
        <v>0</v>
      </c>
      <c r="T285" s="13">
        <v>29</v>
      </c>
      <c r="U285" s="12" t="str">
        <f t="shared" si="16"/>
        <v>Privado Nacional</v>
      </c>
      <c r="V285" s="14">
        <f t="shared" si="17"/>
        <v>0.59801332205435187</v>
      </c>
      <c r="W285" s="14">
        <f t="shared" si="18"/>
        <v>6.514883211063327E-2</v>
      </c>
      <c r="X285" s="12" t="str">
        <f t="shared" si="19"/>
        <v>Média/Pequena</v>
      </c>
      <c r="Y285" s="122" t="str" cm="1">
        <f t="array" ref="Y285">_xlfn.IFS(ISNUMBER(W285)=FALSE,"Sem dado",W285&gt;0.075,"Excelente",W285&gt;0.04,"Bom",W285&gt;0,"Fraco",TRUE,"Prejuízo")</f>
        <v>Bom</v>
      </c>
    </row>
    <row r="286" spans="1:25" ht="15" customHeight="1" x14ac:dyDescent="0.2">
      <c r="A286" s="15" t="s">
        <v>721</v>
      </c>
      <c r="B286" s="60">
        <v>19540550</v>
      </c>
      <c r="C286" s="15" t="s">
        <v>722</v>
      </c>
      <c r="D286" s="15"/>
      <c r="E286" s="15" t="s">
        <v>723</v>
      </c>
      <c r="F286" s="15" t="s">
        <v>84</v>
      </c>
      <c r="G286" s="34">
        <v>2</v>
      </c>
      <c r="H286" s="34">
        <v>41</v>
      </c>
      <c r="I286" s="15" t="s">
        <v>528</v>
      </c>
      <c r="J286" s="15" t="s">
        <v>217</v>
      </c>
      <c r="K286" s="74" t="s">
        <v>29</v>
      </c>
      <c r="L286" s="16">
        <v>3015510</v>
      </c>
      <c r="M286" s="16">
        <v>6614</v>
      </c>
      <c r="N286" s="16">
        <v>1125884</v>
      </c>
      <c r="O286" s="16">
        <v>2635750</v>
      </c>
      <c r="P286" s="16">
        <v>1368331</v>
      </c>
      <c r="Q286" s="16">
        <v>379760</v>
      </c>
      <c r="R286" s="16">
        <v>2595</v>
      </c>
      <c r="S286" s="16">
        <v>1</v>
      </c>
      <c r="T286" s="16">
        <v>0</v>
      </c>
      <c r="U286" s="15" t="str">
        <f t="shared" si="16"/>
        <v>Privado Nacional</v>
      </c>
      <c r="V286" s="17">
        <f t="shared" si="17"/>
        <v>2.1933271652224665E-3</v>
      </c>
      <c r="W286" s="17">
        <f t="shared" si="18"/>
        <v>6.8332631135453971E-3</v>
      </c>
      <c r="X286" s="15" t="str">
        <f t="shared" si="19"/>
        <v>Média/Pequena</v>
      </c>
      <c r="Y286" s="121" t="str" cm="1">
        <f t="array" ref="Y286">_xlfn.IFS(ISNUMBER(W286)=FALSE,"Sem dado",W286&gt;0.075,"Excelente",W286&gt;0.04,"Bom",W286&gt;0,"Fraco",TRUE,"Prejuízo")</f>
        <v>Fraco</v>
      </c>
    </row>
    <row r="287" spans="1:25" ht="15" customHeight="1" x14ac:dyDescent="0.2">
      <c r="A287" s="12" t="s">
        <v>724</v>
      </c>
      <c r="B287" s="56">
        <v>1852137</v>
      </c>
      <c r="C287" s="12" t="s">
        <v>725</v>
      </c>
      <c r="D287" s="12"/>
      <c r="E287" s="12" t="s">
        <v>726</v>
      </c>
      <c r="F287" s="12" t="s">
        <v>26</v>
      </c>
      <c r="G287" s="33">
        <v>2</v>
      </c>
      <c r="H287" s="33">
        <v>8</v>
      </c>
      <c r="I287" s="12" t="s">
        <v>38</v>
      </c>
      <c r="J287" s="12" t="s">
        <v>39</v>
      </c>
      <c r="K287" s="73" t="s">
        <v>29</v>
      </c>
      <c r="L287" s="13">
        <v>3005856</v>
      </c>
      <c r="M287" s="13">
        <v>2535614</v>
      </c>
      <c r="N287" s="13">
        <v>108991</v>
      </c>
      <c r="O287" s="13">
        <v>2696251</v>
      </c>
      <c r="P287" s="13">
        <v>2618378</v>
      </c>
      <c r="Q287" s="13">
        <v>309605</v>
      </c>
      <c r="R287" s="13">
        <v>-461</v>
      </c>
      <c r="S287" s="13">
        <v>2</v>
      </c>
      <c r="T287" s="13">
        <v>0</v>
      </c>
      <c r="U287" s="12" t="str">
        <f t="shared" si="16"/>
        <v>Privado Nacional</v>
      </c>
      <c r="V287" s="14">
        <f t="shared" si="17"/>
        <v>0.84355804136991264</v>
      </c>
      <c r="W287" s="14">
        <f t="shared" si="18"/>
        <v>-1.4889940407939149E-3</v>
      </c>
      <c r="X287" s="12" t="str">
        <f t="shared" si="19"/>
        <v>Média/Pequena</v>
      </c>
      <c r="Y287" s="122" t="str" cm="1">
        <f t="array" ref="Y287">_xlfn.IFS(ISNUMBER(W287)=FALSE,"Sem dado",W287&gt;0.075,"Excelente",W287&gt;0.04,"Bom",W287&gt;0,"Fraco",TRUE,"Prejuízo")</f>
        <v>Prejuízo</v>
      </c>
    </row>
    <row r="288" spans="1:25" ht="15" customHeight="1" x14ac:dyDescent="0.2">
      <c r="A288" s="15" t="s">
        <v>727</v>
      </c>
      <c r="B288" s="60">
        <v>79063574</v>
      </c>
      <c r="C288" s="15"/>
      <c r="D288" s="15"/>
      <c r="E288" s="15"/>
      <c r="F288" s="15" t="s">
        <v>265</v>
      </c>
      <c r="G288" s="34">
        <v>2</v>
      </c>
      <c r="H288" s="34">
        <v>9</v>
      </c>
      <c r="I288" s="15" t="s">
        <v>728</v>
      </c>
      <c r="J288" s="15" t="s">
        <v>229</v>
      </c>
      <c r="K288" s="74" t="s">
        <v>29</v>
      </c>
      <c r="L288" s="16">
        <v>2993490</v>
      </c>
      <c r="M288" s="16">
        <v>1648008</v>
      </c>
      <c r="N288" s="16">
        <v>1102377</v>
      </c>
      <c r="O288" s="16">
        <v>2692303</v>
      </c>
      <c r="P288" s="16">
        <v>1735557</v>
      </c>
      <c r="Q288" s="16">
        <v>301188</v>
      </c>
      <c r="R288" s="16">
        <v>15025</v>
      </c>
      <c r="S288" s="16">
        <v>0</v>
      </c>
      <c r="T288" s="16">
        <v>34</v>
      </c>
      <c r="U288" s="15" t="str">
        <f t="shared" si="16"/>
        <v>Privado Nacional</v>
      </c>
      <c r="V288" s="17">
        <f t="shared" si="17"/>
        <v>0.55053065151378489</v>
      </c>
      <c r="W288" s="17">
        <f t="shared" si="18"/>
        <v>4.9885785622269148E-2</v>
      </c>
      <c r="X288" s="15" t="str">
        <f t="shared" si="19"/>
        <v>Média/Pequena</v>
      </c>
      <c r="Y288" s="121" t="str" cm="1">
        <f t="array" ref="Y288">_xlfn.IFS(ISNUMBER(W288)=FALSE,"Sem dado",W288&gt;0.075,"Excelente",W288&gt;0.04,"Bom",W288&gt;0,"Fraco",TRUE,"Prejuízo")</f>
        <v>Bom</v>
      </c>
    </row>
    <row r="289" spans="1:25" ht="15" customHeight="1" x14ac:dyDescent="0.2">
      <c r="A289" s="12" t="s">
        <v>729</v>
      </c>
      <c r="B289" s="56">
        <v>5276770</v>
      </c>
      <c r="C289" s="12"/>
      <c r="D289" s="12"/>
      <c r="E289" s="12"/>
      <c r="F289" s="12" t="s">
        <v>265</v>
      </c>
      <c r="G289" s="33">
        <v>2</v>
      </c>
      <c r="H289" s="33">
        <v>9</v>
      </c>
      <c r="I289" s="12" t="s">
        <v>730</v>
      </c>
      <c r="J289" s="12" t="s">
        <v>229</v>
      </c>
      <c r="K289" s="73" t="s">
        <v>29</v>
      </c>
      <c r="L289" s="13">
        <v>2993218</v>
      </c>
      <c r="M289" s="13">
        <v>2281185</v>
      </c>
      <c r="N289" s="13">
        <v>44989</v>
      </c>
      <c r="O289" s="13">
        <v>2614757</v>
      </c>
      <c r="P289" s="13">
        <v>1502417</v>
      </c>
      <c r="Q289" s="13">
        <v>378462</v>
      </c>
      <c r="R289" s="13">
        <v>25738</v>
      </c>
      <c r="S289" s="13">
        <v>0</v>
      </c>
      <c r="T289" s="13">
        <v>45</v>
      </c>
      <c r="U289" s="12" t="str">
        <f t="shared" si="16"/>
        <v>Privado Nacional</v>
      </c>
      <c r="V289" s="14">
        <f t="shared" si="17"/>
        <v>0.76211789452021206</v>
      </c>
      <c r="W289" s="14">
        <f t="shared" si="18"/>
        <v>6.8006827633950037E-2</v>
      </c>
      <c r="X289" s="12" t="str">
        <f t="shared" si="19"/>
        <v>Média/Pequena</v>
      </c>
      <c r="Y289" s="122" t="str" cm="1">
        <f t="array" ref="Y289">_xlfn.IFS(ISNUMBER(W289)=FALSE,"Sem dado",W289&gt;0.075,"Excelente",W289&gt;0.04,"Bom",W289&gt;0,"Fraco",TRUE,"Prejuízo")</f>
        <v>Bom</v>
      </c>
    </row>
    <row r="290" spans="1:25" ht="15" customHeight="1" x14ac:dyDescent="0.2">
      <c r="A290" s="15" t="s">
        <v>731</v>
      </c>
      <c r="B290" s="60">
        <v>87784088</v>
      </c>
      <c r="C290" s="15"/>
      <c r="D290" s="15"/>
      <c r="E290" s="15"/>
      <c r="F290" s="15" t="s">
        <v>265</v>
      </c>
      <c r="G290" s="34">
        <v>2</v>
      </c>
      <c r="H290" s="34">
        <v>9</v>
      </c>
      <c r="I290" s="15" t="s">
        <v>732</v>
      </c>
      <c r="J290" s="15" t="s">
        <v>74</v>
      </c>
      <c r="K290" s="74" t="s">
        <v>29</v>
      </c>
      <c r="L290" s="16">
        <v>2993188</v>
      </c>
      <c r="M290" s="16">
        <v>1911625</v>
      </c>
      <c r="N290" s="16">
        <v>917059</v>
      </c>
      <c r="O290" s="16">
        <v>2678647</v>
      </c>
      <c r="P290" s="16">
        <v>1640215</v>
      </c>
      <c r="Q290" s="16">
        <v>314541</v>
      </c>
      <c r="R290" s="16">
        <v>10536</v>
      </c>
      <c r="S290" s="16">
        <v>0</v>
      </c>
      <c r="T290" s="16">
        <v>30</v>
      </c>
      <c r="U290" s="15" t="str">
        <f t="shared" si="16"/>
        <v>Privado Nacional</v>
      </c>
      <c r="V290" s="17">
        <f t="shared" si="17"/>
        <v>0.63865851393230233</v>
      </c>
      <c r="W290" s="17">
        <f t="shared" si="18"/>
        <v>3.3496428128606447E-2</v>
      </c>
      <c r="X290" s="15" t="str">
        <f t="shared" si="19"/>
        <v>Média/Pequena</v>
      </c>
      <c r="Y290" s="121" t="str" cm="1">
        <f t="array" ref="Y290">_xlfn.IFS(ISNUMBER(W290)=FALSE,"Sem dado",W290&gt;0.075,"Excelente",W290&gt;0.04,"Bom",W290&gt;0,"Fraco",TRUE,"Prejuízo")</f>
        <v>Fraco</v>
      </c>
    </row>
    <row r="291" spans="1:25" ht="15" customHeight="1" x14ac:dyDescent="0.2">
      <c r="A291" s="12" t="s">
        <v>733</v>
      </c>
      <c r="B291" s="56">
        <v>81192106</v>
      </c>
      <c r="C291" s="12"/>
      <c r="D291" s="12"/>
      <c r="E291" s="12"/>
      <c r="F291" s="12" t="s">
        <v>265</v>
      </c>
      <c r="G291" s="33">
        <v>2</v>
      </c>
      <c r="H291" s="33">
        <v>9</v>
      </c>
      <c r="I291" s="12" t="s">
        <v>734</v>
      </c>
      <c r="J291" s="12" t="s">
        <v>229</v>
      </c>
      <c r="K291" s="73" t="s">
        <v>29</v>
      </c>
      <c r="L291" s="13">
        <v>2991757</v>
      </c>
      <c r="M291" s="13">
        <v>1775079</v>
      </c>
      <c r="N291" s="13">
        <v>852922</v>
      </c>
      <c r="O291" s="13">
        <v>2703702</v>
      </c>
      <c r="P291" s="13">
        <v>1769851</v>
      </c>
      <c r="Q291" s="13">
        <v>288055</v>
      </c>
      <c r="R291" s="13">
        <v>12753</v>
      </c>
      <c r="S291" s="13">
        <v>0</v>
      </c>
      <c r="T291" s="13">
        <v>31</v>
      </c>
      <c r="U291" s="12" t="str">
        <f t="shared" si="16"/>
        <v>Privado Nacional</v>
      </c>
      <c r="V291" s="14">
        <f t="shared" si="17"/>
        <v>0.59332325452902757</v>
      </c>
      <c r="W291" s="14">
        <f t="shared" si="18"/>
        <v>4.4272795125930811E-2</v>
      </c>
      <c r="X291" s="12" t="str">
        <f t="shared" si="19"/>
        <v>Média/Pequena</v>
      </c>
      <c r="Y291" s="122" t="str" cm="1">
        <f t="array" ref="Y291">_xlfn.IFS(ISNUMBER(W291)=FALSE,"Sem dado",W291&gt;0.075,"Excelente",W291&gt;0.04,"Bom",W291&gt;0,"Fraco",TRUE,"Prejuízo")</f>
        <v>Bom</v>
      </c>
    </row>
    <row r="292" spans="1:25" ht="15" customHeight="1" x14ac:dyDescent="0.2">
      <c r="A292" s="15" t="s">
        <v>735</v>
      </c>
      <c r="B292" s="60">
        <v>14568725</v>
      </c>
      <c r="C292" s="15"/>
      <c r="D292" s="15"/>
      <c r="E292" s="15"/>
      <c r="F292" s="15" t="s">
        <v>199</v>
      </c>
      <c r="G292" s="34">
        <v>2</v>
      </c>
      <c r="H292" s="34">
        <v>9</v>
      </c>
      <c r="I292" s="15" t="s">
        <v>53</v>
      </c>
      <c r="J292" s="15" t="s">
        <v>54</v>
      </c>
      <c r="K292" s="74" t="s">
        <v>29</v>
      </c>
      <c r="L292" s="16">
        <v>2971468</v>
      </c>
      <c r="M292" s="16">
        <v>29298</v>
      </c>
      <c r="N292" s="16">
        <v>1141543</v>
      </c>
      <c r="O292" s="16">
        <v>2706428</v>
      </c>
      <c r="P292" s="16">
        <v>0</v>
      </c>
      <c r="Q292" s="16">
        <v>265040</v>
      </c>
      <c r="R292" s="16">
        <v>12663</v>
      </c>
      <c r="S292" s="16">
        <v>0</v>
      </c>
      <c r="T292" s="16">
        <v>2</v>
      </c>
      <c r="U292" s="15" t="str">
        <f t="shared" si="16"/>
        <v>Privado Nacional</v>
      </c>
      <c r="V292" s="17">
        <f t="shared" si="17"/>
        <v>9.859773014550384E-3</v>
      </c>
      <c r="W292" s="17">
        <f t="shared" si="18"/>
        <v>4.777769393299125E-2</v>
      </c>
      <c r="X292" s="15" t="str">
        <f t="shared" si="19"/>
        <v>Média/Pequena</v>
      </c>
      <c r="Y292" s="121" t="str" cm="1">
        <f t="array" ref="Y292">_xlfn.IFS(ISNUMBER(W292)=FALSE,"Sem dado",W292&gt;0.075,"Excelente",W292&gt;0.04,"Bom",W292&gt;0,"Fraco",TRUE,"Prejuízo")</f>
        <v>Bom</v>
      </c>
    </row>
    <row r="293" spans="1:25" ht="15" customHeight="1" x14ac:dyDescent="0.2">
      <c r="A293" s="12" t="s">
        <v>736</v>
      </c>
      <c r="B293" s="56">
        <v>60770336</v>
      </c>
      <c r="C293" s="12" t="s">
        <v>67</v>
      </c>
      <c r="D293" s="12" t="s">
        <v>68</v>
      </c>
      <c r="E293" s="12" t="s">
        <v>69</v>
      </c>
      <c r="F293" s="12" t="s">
        <v>60</v>
      </c>
      <c r="G293" s="33">
        <v>2</v>
      </c>
      <c r="H293" s="33">
        <v>13</v>
      </c>
      <c r="I293" s="12" t="s">
        <v>38</v>
      </c>
      <c r="J293" s="12" t="s">
        <v>39</v>
      </c>
      <c r="K293" s="73" t="s">
        <v>29</v>
      </c>
      <c r="L293" s="13">
        <v>2952623</v>
      </c>
      <c r="M293" s="13">
        <v>917489</v>
      </c>
      <c r="N293" s="13">
        <v>314605</v>
      </c>
      <c r="O293" s="13">
        <v>1469080</v>
      </c>
      <c r="P293" s="13">
        <v>1332118</v>
      </c>
      <c r="Q293" s="13">
        <v>1483543</v>
      </c>
      <c r="R293" s="13">
        <v>-26619</v>
      </c>
      <c r="S293" s="13">
        <v>9</v>
      </c>
      <c r="T293" s="13">
        <v>0</v>
      </c>
      <c r="U293" s="12" t="str">
        <f t="shared" si="16"/>
        <v>Privado Nacional</v>
      </c>
      <c r="V293" s="14">
        <f t="shared" si="17"/>
        <v>0.31073692780961198</v>
      </c>
      <c r="W293" s="14">
        <f t="shared" si="18"/>
        <v>-1.7942857065821483E-2</v>
      </c>
      <c r="X293" s="12" t="str">
        <f t="shared" si="19"/>
        <v>Média/Pequena</v>
      </c>
      <c r="Y293" s="122" t="str" cm="1">
        <f t="array" ref="Y293">_xlfn.IFS(ISNUMBER(W293)=FALSE,"Sem dado",W293&gt;0.075,"Excelente",W293&gt;0.04,"Bom",W293&gt;0,"Fraco",TRUE,"Prejuízo")</f>
        <v>Prejuízo</v>
      </c>
    </row>
    <row r="294" spans="1:25" ht="15" customHeight="1" x14ac:dyDescent="0.2">
      <c r="A294" s="15" t="s">
        <v>737</v>
      </c>
      <c r="B294" s="60">
        <v>33022690</v>
      </c>
      <c r="C294" s="15"/>
      <c r="D294" s="15"/>
      <c r="E294" s="15"/>
      <c r="F294" s="15" t="s">
        <v>265</v>
      </c>
      <c r="G294" s="34">
        <v>2</v>
      </c>
      <c r="H294" s="34">
        <v>9</v>
      </c>
      <c r="I294" s="15" t="s">
        <v>738</v>
      </c>
      <c r="J294" s="15" t="s">
        <v>329</v>
      </c>
      <c r="K294" s="74" t="s">
        <v>29</v>
      </c>
      <c r="L294" s="16">
        <v>2951598</v>
      </c>
      <c r="M294" s="16">
        <v>1955613</v>
      </c>
      <c r="N294" s="16">
        <v>671335</v>
      </c>
      <c r="O294" s="16">
        <v>2623867</v>
      </c>
      <c r="P294" s="16">
        <v>1681986</v>
      </c>
      <c r="Q294" s="16">
        <v>327731</v>
      </c>
      <c r="R294" s="16">
        <v>-37367</v>
      </c>
      <c r="S294" s="16">
        <v>0</v>
      </c>
      <c r="T294" s="16">
        <v>36</v>
      </c>
      <c r="U294" s="15" t="str">
        <f t="shared" si="16"/>
        <v>Privado Nacional</v>
      </c>
      <c r="V294" s="17">
        <f t="shared" si="17"/>
        <v>0.66256075522479685</v>
      </c>
      <c r="W294" s="17">
        <f t="shared" si="18"/>
        <v>-0.11401728856897883</v>
      </c>
      <c r="X294" s="15" t="str">
        <f t="shared" si="19"/>
        <v>Média/Pequena</v>
      </c>
      <c r="Y294" s="121" t="str" cm="1">
        <f t="array" ref="Y294">_xlfn.IFS(ISNUMBER(W294)=FALSE,"Sem dado",W294&gt;0.075,"Excelente",W294&gt;0.04,"Bom",W294&gt;0,"Fraco",TRUE,"Prejuízo")</f>
        <v>Prejuízo</v>
      </c>
    </row>
    <row r="295" spans="1:25" ht="15" customHeight="1" x14ac:dyDescent="0.2">
      <c r="A295" s="12" t="s">
        <v>739</v>
      </c>
      <c r="B295" s="56">
        <v>89049738</v>
      </c>
      <c r="C295" s="12"/>
      <c r="D295" s="12"/>
      <c r="E295" s="12"/>
      <c r="F295" s="12" t="s">
        <v>265</v>
      </c>
      <c r="G295" s="33">
        <v>2</v>
      </c>
      <c r="H295" s="33">
        <v>9</v>
      </c>
      <c r="I295" s="12" t="s">
        <v>740</v>
      </c>
      <c r="J295" s="12" t="s">
        <v>74</v>
      </c>
      <c r="K295" s="73" t="s">
        <v>29</v>
      </c>
      <c r="L295" s="13">
        <v>2947863</v>
      </c>
      <c r="M295" s="13">
        <v>1604471</v>
      </c>
      <c r="N295" s="13">
        <v>993446</v>
      </c>
      <c r="O295" s="13">
        <v>2278328</v>
      </c>
      <c r="P295" s="13">
        <v>1726406</v>
      </c>
      <c r="Q295" s="13">
        <v>669535</v>
      </c>
      <c r="R295" s="13">
        <v>54027</v>
      </c>
      <c r="S295" s="13">
        <v>0</v>
      </c>
      <c r="T295" s="13">
        <v>26</v>
      </c>
      <c r="U295" s="12" t="str">
        <f t="shared" si="16"/>
        <v>Privado Nacional</v>
      </c>
      <c r="V295" s="14">
        <f t="shared" si="17"/>
        <v>0.54428275669527382</v>
      </c>
      <c r="W295" s="14">
        <f t="shared" si="18"/>
        <v>8.0693317003592044E-2</v>
      </c>
      <c r="X295" s="12" t="str">
        <f t="shared" si="19"/>
        <v>Média/Pequena</v>
      </c>
      <c r="Y295" s="122" t="str" cm="1">
        <f t="array" ref="Y295">_xlfn.IFS(ISNUMBER(W295)=FALSE,"Sem dado",W295&gt;0.075,"Excelente",W295&gt;0.04,"Bom",W295&gt;0,"Fraco",TRUE,"Prejuízo")</f>
        <v>Excelente</v>
      </c>
    </row>
    <row r="296" spans="1:25" ht="15" customHeight="1" x14ac:dyDescent="0.2">
      <c r="A296" s="15" t="s">
        <v>741</v>
      </c>
      <c r="B296" s="60">
        <v>17343510</v>
      </c>
      <c r="C296" s="15"/>
      <c r="D296" s="15"/>
      <c r="E296" s="15"/>
      <c r="F296" s="15" t="s">
        <v>265</v>
      </c>
      <c r="G296" s="34">
        <v>2</v>
      </c>
      <c r="H296" s="34">
        <v>9</v>
      </c>
      <c r="I296" s="15" t="s">
        <v>742</v>
      </c>
      <c r="J296" s="15" t="s">
        <v>74</v>
      </c>
      <c r="K296" s="74" t="s">
        <v>29</v>
      </c>
      <c r="L296" s="16">
        <v>2938079</v>
      </c>
      <c r="M296" s="16">
        <v>2219286</v>
      </c>
      <c r="N296" s="16">
        <v>45272</v>
      </c>
      <c r="O296" s="16">
        <v>2608497</v>
      </c>
      <c r="P296" s="16">
        <v>1646343</v>
      </c>
      <c r="Q296" s="16">
        <v>329581</v>
      </c>
      <c r="R296" s="16">
        <v>24151</v>
      </c>
      <c r="S296" s="16">
        <v>0</v>
      </c>
      <c r="T296" s="16">
        <v>56</v>
      </c>
      <c r="U296" s="15" t="str">
        <f t="shared" si="16"/>
        <v>Privado Nacional</v>
      </c>
      <c r="V296" s="17">
        <f t="shared" si="17"/>
        <v>0.75535273217636423</v>
      </c>
      <c r="W296" s="17">
        <f t="shared" si="18"/>
        <v>7.3277889198709881E-2</v>
      </c>
      <c r="X296" s="15" t="str">
        <f t="shared" si="19"/>
        <v>Média/Pequena</v>
      </c>
      <c r="Y296" s="121" t="str" cm="1">
        <f t="array" ref="Y296">_xlfn.IFS(ISNUMBER(W296)=FALSE,"Sem dado",W296&gt;0.075,"Excelente",W296&gt;0.04,"Bom",W296&gt;0,"Fraco",TRUE,"Prejuízo")</f>
        <v>Bom</v>
      </c>
    </row>
    <row r="297" spans="1:25" ht="15" customHeight="1" x14ac:dyDescent="0.2">
      <c r="A297" s="12" t="s">
        <v>743</v>
      </c>
      <c r="B297" s="56">
        <v>22177858</v>
      </c>
      <c r="C297" s="12" t="s">
        <v>116</v>
      </c>
      <c r="D297" s="12"/>
      <c r="E297" s="12" t="s">
        <v>118</v>
      </c>
      <c r="F297" s="12" t="s">
        <v>84</v>
      </c>
      <c r="G297" s="33">
        <v>2</v>
      </c>
      <c r="H297" s="33">
        <v>41</v>
      </c>
      <c r="I297" s="12" t="s">
        <v>119</v>
      </c>
      <c r="J297" s="12" t="s">
        <v>120</v>
      </c>
      <c r="K297" s="73" t="s">
        <v>29</v>
      </c>
      <c r="L297" s="13">
        <v>2922091</v>
      </c>
      <c r="M297" s="13">
        <v>0</v>
      </c>
      <c r="N297" s="13">
        <v>1906534</v>
      </c>
      <c r="O297" s="13">
        <v>748459</v>
      </c>
      <c r="P297" s="13">
        <v>0</v>
      </c>
      <c r="Q297" s="13">
        <v>2173632</v>
      </c>
      <c r="R297" s="13">
        <v>54400</v>
      </c>
      <c r="S297" s="13">
        <v>1</v>
      </c>
      <c r="T297" s="13">
        <v>0</v>
      </c>
      <c r="U297" s="12" t="str">
        <f t="shared" si="16"/>
        <v>Privado Nacional</v>
      </c>
      <c r="V297" s="14">
        <f t="shared" si="17"/>
        <v>0</v>
      </c>
      <c r="W297" s="14">
        <f t="shared" si="18"/>
        <v>2.5027235521008155E-2</v>
      </c>
      <c r="X297" s="12" t="str">
        <f t="shared" si="19"/>
        <v>Média/Pequena</v>
      </c>
      <c r="Y297" s="122" t="str" cm="1">
        <f t="array" ref="Y297">_xlfn.IFS(ISNUMBER(W297)=FALSE,"Sem dado",W297&gt;0.075,"Excelente",W297&gt;0.04,"Bom",W297&gt;0,"Fraco",TRUE,"Prejuízo")</f>
        <v>Fraco</v>
      </c>
    </row>
    <row r="298" spans="1:25" ht="15" customHeight="1" x14ac:dyDescent="0.2">
      <c r="A298" s="15" t="s">
        <v>744</v>
      </c>
      <c r="B298" s="60">
        <v>3532415</v>
      </c>
      <c r="C298" s="15" t="s">
        <v>745</v>
      </c>
      <c r="D298" s="15" t="s">
        <v>746</v>
      </c>
      <c r="E298" s="15" t="s">
        <v>747</v>
      </c>
      <c r="F298" s="15" t="s">
        <v>26</v>
      </c>
      <c r="G298" s="34">
        <v>3</v>
      </c>
      <c r="H298" s="34">
        <v>8</v>
      </c>
      <c r="I298" s="15" t="s">
        <v>38</v>
      </c>
      <c r="J298" s="15" t="s">
        <v>39</v>
      </c>
      <c r="K298" s="74" t="s">
        <v>29</v>
      </c>
      <c r="L298" s="16">
        <v>2907341</v>
      </c>
      <c r="M298" s="16">
        <v>0</v>
      </c>
      <c r="N298" s="16">
        <v>849340</v>
      </c>
      <c r="O298" s="16">
        <v>2276394</v>
      </c>
      <c r="P298" s="16">
        <v>1311544</v>
      </c>
      <c r="Q298" s="16">
        <v>630947</v>
      </c>
      <c r="R298" s="16">
        <v>22996</v>
      </c>
      <c r="S298" s="16">
        <v>2</v>
      </c>
      <c r="T298" s="16">
        <v>0</v>
      </c>
      <c r="U298" s="15" t="str">
        <f t="shared" si="16"/>
        <v>Privado Estrangeiro</v>
      </c>
      <c r="V298" s="17">
        <f t="shared" si="17"/>
        <v>0</v>
      </c>
      <c r="W298" s="17">
        <f t="shared" si="18"/>
        <v>3.6446801395362841E-2</v>
      </c>
      <c r="X298" s="15" t="str">
        <f t="shared" si="19"/>
        <v>Média/Pequena</v>
      </c>
      <c r="Y298" s="121" t="str" cm="1">
        <f t="array" ref="Y298">_xlfn.IFS(ISNUMBER(W298)=FALSE,"Sem dado",W298&gt;0.075,"Excelente",W298&gt;0.04,"Bom",W298&gt;0,"Fraco",TRUE,"Prejuízo")</f>
        <v>Fraco</v>
      </c>
    </row>
    <row r="299" spans="1:25" ht="15" customHeight="1" x14ac:dyDescent="0.2">
      <c r="A299" s="12" t="s">
        <v>748</v>
      </c>
      <c r="B299" s="56">
        <v>95424891</v>
      </c>
      <c r="C299" s="12"/>
      <c r="D299" s="12"/>
      <c r="E299" s="12"/>
      <c r="F299" s="12" t="s">
        <v>265</v>
      </c>
      <c r="G299" s="33">
        <v>2</v>
      </c>
      <c r="H299" s="33">
        <v>9</v>
      </c>
      <c r="I299" s="12" t="s">
        <v>749</v>
      </c>
      <c r="J299" s="12" t="s">
        <v>74</v>
      </c>
      <c r="K299" s="73" t="s">
        <v>29</v>
      </c>
      <c r="L299" s="13">
        <v>2892572</v>
      </c>
      <c r="M299" s="13">
        <v>1467305</v>
      </c>
      <c r="N299" s="13">
        <v>1305144</v>
      </c>
      <c r="O299" s="13">
        <v>2366108</v>
      </c>
      <c r="P299" s="13">
        <v>1829174</v>
      </c>
      <c r="Q299" s="13">
        <v>526464</v>
      </c>
      <c r="R299" s="13">
        <v>59805</v>
      </c>
      <c r="S299" s="13">
        <v>0</v>
      </c>
      <c r="T299" s="13">
        <v>16</v>
      </c>
      <c r="U299" s="12" t="str">
        <f t="shared" si="16"/>
        <v>Privado Nacional</v>
      </c>
      <c r="V299" s="14">
        <f t="shared" si="17"/>
        <v>0.50726654340842681</v>
      </c>
      <c r="W299" s="14">
        <f t="shared" si="18"/>
        <v>0.11359751094091904</v>
      </c>
      <c r="X299" s="12" t="str">
        <f t="shared" si="19"/>
        <v>Média/Pequena</v>
      </c>
      <c r="Y299" s="122" t="str" cm="1">
        <f t="array" ref="Y299">_xlfn.IFS(ISNUMBER(W299)=FALSE,"Sem dado",W299&gt;0.075,"Excelente",W299&gt;0.04,"Bom",W299&gt;0,"Fraco",TRUE,"Prejuízo")</f>
        <v>Excelente</v>
      </c>
    </row>
    <row r="300" spans="1:25" ht="15" customHeight="1" x14ac:dyDescent="0.2">
      <c r="A300" s="15" t="s">
        <v>750</v>
      </c>
      <c r="B300" s="60">
        <v>78858107</v>
      </c>
      <c r="C300" s="15"/>
      <c r="D300" s="15"/>
      <c r="E300" s="15"/>
      <c r="F300" s="15" t="s">
        <v>265</v>
      </c>
      <c r="G300" s="34">
        <v>2</v>
      </c>
      <c r="H300" s="34">
        <v>9</v>
      </c>
      <c r="I300" s="15" t="s">
        <v>751</v>
      </c>
      <c r="J300" s="15" t="s">
        <v>217</v>
      </c>
      <c r="K300" s="74" t="s">
        <v>29</v>
      </c>
      <c r="L300" s="16">
        <v>2884727</v>
      </c>
      <c r="M300" s="16">
        <v>941675</v>
      </c>
      <c r="N300" s="16">
        <v>58242</v>
      </c>
      <c r="O300" s="16">
        <v>2391918</v>
      </c>
      <c r="P300" s="16">
        <v>2062380</v>
      </c>
      <c r="Q300" s="16">
        <v>492808</v>
      </c>
      <c r="R300" s="16">
        <v>50411</v>
      </c>
      <c r="S300" s="16">
        <v>0</v>
      </c>
      <c r="T300" s="16">
        <v>18</v>
      </c>
      <c r="U300" s="15" t="str">
        <f t="shared" si="16"/>
        <v>Privado Nacional</v>
      </c>
      <c r="V300" s="17">
        <f t="shared" si="17"/>
        <v>0.32643470248657847</v>
      </c>
      <c r="W300" s="17">
        <f t="shared" si="18"/>
        <v>0.10229338809434911</v>
      </c>
      <c r="X300" s="15" t="str">
        <f t="shared" si="19"/>
        <v>Média/Pequena</v>
      </c>
      <c r="Y300" s="121" t="str" cm="1">
        <f t="array" ref="Y300">_xlfn.IFS(ISNUMBER(W300)=FALSE,"Sem dado",W300&gt;0.075,"Excelente",W300&gt;0.04,"Bom",W300&gt;0,"Fraco",TRUE,"Prejuízo")</f>
        <v>Excelente</v>
      </c>
    </row>
    <row r="301" spans="1:25" ht="15" customHeight="1" x14ac:dyDescent="0.2">
      <c r="A301" s="12" t="s">
        <v>752</v>
      </c>
      <c r="B301" s="56">
        <v>81014060</v>
      </c>
      <c r="C301" s="12"/>
      <c r="D301" s="12"/>
      <c r="E301" s="12"/>
      <c r="F301" s="12" t="s">
        <v>265</v>
      </c>
      <c r="G301" s="33">
        <v>2</v>
      </c>
      <c r="H301" s="33">
        <v>9</v>
      </c>
      <c r="I301" s="12" t="s">
        <v>753</v>
      </c>
      <c r="J301" s="12" t="s">
        <v>217</v>
      </c>
      <c r="K301" s="73" t="s">
        <v>29</v>
      </c>
      <c r="L301" s="13">
        <v>2859377</v>
      </c>
      <c r="M301" s="13">
        <v>1693198</v>
      </c>
      <c r="N301" s="13">
        <v>68685</v>
      </c>
      <c r="O301" s="13">
        <v>2504354</v>
      </c>
      <c r="P301" s="13">
        <v>1873543</v>
      </c>
      <c r="Q301" s="13">
        <v>355023</v>
      </c>
      <c r="R301" s="13">
        <v>-4365</v>
      </c>
      <c r="S301" s="13">
        <v>0</v>
      </c>
      <c r="T301" s="13">
        <v>25</v>
      </c>
      <c r="U301" s="12" t="str">
        <f t="shared" si="16"/>
        <v>Privado Nacional</v>
      </c>
      <c r="V301" s="14">
        <f t="shared" si="17"/>
        <v>0.59215626340982663</v>
      </c>
      <c r="W301" s="14">
        <f t="shared" si="18"/>
        <v>-1.2294978071843233E-2</v>
      </c>
      <c r="X301" s="12" t="str">
        <f t="shared" si="19"/>
        <v>Média/Pequena</v>
      </c>
      <c r="Y301" s="122" t="str" cm="1">
        <f t="array" ref="Y301">_xlfn.IFS(ISNUMBER(W301)=FALSE,"Sem dado",W301&gt;0.075,"Excelente",W301&gt;0.04,"Bom",W301&gt;0,"Fraco",TRUE,"Prejuízo")</f>
        <v>Prejuízo</v>
      </c>
    </row>
    <row r="302" spans="1:25" ht="15" customHeight="1" x14ac:dyDescent="0.2">
      <c r="A302" s="15" t="s">
        <v>754</v>
      </c>
      <c r="B302" s="60">
        <v>88471024</v>
      </c>
      <c r="C302" s="15"/>
      <c r="D302" s="15"/>
      <c r="E302" s="15"/>
      <c r="F302" s="15" t="s">
        <v>265</v>
      </c>
      <c r="G302" s="34">
        <v>2</v>
      </c>
      <c r="H302" s="34">
        <v>9</v>
      </c>
      <c r="I302" s="15" t="s">
        <v>755</v>
      </c>
      <c r="J302" s="15" t="s">
        <v>74</v>
      </c>
      <c r="K302" s="74" t="s">
        <v>29</v>
      </c>
      <c r="L302" s="16">
        <v>2849993</v>
      </c>
      <c r="M302" s="16">
        <v>1774617</v>
      </c>
      <c r="N302" s="16">
        <v>869357</v>
      </c>
      <c r="O302" s="16">
        <v>2461494</v>
      </c>
      <c r="P302" s="16">
        <v>1703255</v>
      </c>
      <c r="Q302" s="16">
        <v>388499</v>
      </c>
      <c r="R302" s="16">
        <v>15172</v>
      </c>
      <c r="S302" s="16">
        <v>0</v>
      </c>
      <c r="T302" s="16">
        <v>32</v>
      </c>
      <c r="U302" s="15" t="str">
        <f t="shared" si="16"/>
        <v>Privado Nacional</v>
      </c>
      <c r="V302" s="17">
        <f t="shared" si="17"/>
        <v>0.62267416095407957</v>
      </c>
      <c r="W302" s="17">
        <f t="shared" si="18"/>
        <v>3.9052867574948712E-2</v>
      </c>
      <c r="X302" s="15" t="str">
        <f t="shared" si="19"/>
        <v>Média/Pequena</v>
      </c>
      <c r="Y302" s="121" t="str" cm="1">
        <f t="array" ref="Y302">_xlfn.IFS(ISNUMBER(W302)=FALSE,"Sem dado",W302&gt;0.075,"Excelente",W302&gt;0.04,"Bom",W302&gt;0,"Fraco",TRUE,"Prejuízo")</f>
        <v>Fraco</v>
      </c>
    </row>
    <row r="303" spans="1:25" ht="15" customHeight="1" x14ac:dyDescent="0.2">
      <c r="A303" s="12" t="s">
        <v>756</v>
      </c>
      <c r="B303" s="56">
        <v>16668076</v>
      </c>
      <c r="C303" s="12" t="s">
        <v>757</v>
      </c>
      <c r="D303" s="12"/>
      <c r="E303" s="12" t="s">
        <v>758</v>
      </c>
      <c r="F303" s="12" t="s">
        <v>84</v>
      </c>
      <c r="G303" s="33">
        <v>3</v>
      </c>
      <c r="H303" s="33">
        <v>41</v>
      </c>
      <c r="I303" s="12" t="s">
        <v>38</v>
      </c>
      <c r="J303" s="12" t="s">
        <v>39</v>
      </c>
      <c r="K303" s="73" t="s">
        <v>29</v>
      </c>
      <c r="L303" s="13">
        <v>2843510</v>
      </c>
      <c r="M303" s="13">
        <v>0</v>
      </c>
      <c r="N303" s="13">
        <v>103148</v>
      </c>
      <c r="O303" s="13">
        <v>2446895</v>
      </c>
      <c r="P303" s="13">
        <v>129821</v>
      </c>
      <c r="Q303" s="13">
        <v>396615</v>
      </c>
      <c r="R303" s="13">
        <v>-20852</v>
      </c>
      <c r="S303" s="13">
        <v>1</v>
      </c>
      <c r="T303" s="13">
        <v>0</v>
      </c>
      <c r="U303" s="12" t="str">
        <f t="shared" si="16"/>
        <v>Privado Estrangeiro</v>
      </c>
      <c r="V303" s="14">
        <f t="shared" si="17"/>
        <v>0</v>
      </c>
      <c r="W303" s="14">
        <f t="shared" si="18"/>
        <v>-5.2574915220049673E-2</v>
      </c>
      <c r="X303" s="12" t="str">
        <f t="shared" si="19"/>
        <v>Média/Pequena</v>
      </c>
      <c r="Y303" s="122" t="str" cm="1">
        <f t="array" ref="Y303">_xlfn.IFS(ISNUMBER(W303)=FALSE,"Sem dado",W303&gt;0.075,"Excelente",W303&gt;0.04,"Bom",W303&gt;0,"Fraco",TRUE,"Prejuízo")</f>
        <v>Prejuízo</v>
      </c>
    </row>
    <row r="304" spans="1:25" ht="15" customHeight="1" x14ac:dyDescent="0.2">
      <c r="A304" s="15" t="s">
        <v>759</v>
      </c>
      <c r="B304" s="60">
        <v>85291086</v>
      </c>
      <c r="C304" s="15"/>
      <c r="D304" s="15"/>
      <c r="E304" s="15"/>
      <c r="F304" s="15" t="s">
        <v>265</v>
      </c>
      <c r="G304" s="34">
        <v>2</v>
      </c>
      <c r="H304" s="34">
        <v>9</v>
      </c>
      <c r="I304" s="15" t="s">
        <v>760</v>
      </c>
      <c r="J304" s="15" t="s">
        <v>217</v>
      </c>
      <c r="K304" s="74" t="s">
        <v>29</v>
      </c>
      <c r="L304" s="16">
        <v>2842196</v>
      </c>
      <c r="M304" s="16">
        <v>1409928</v>
      </c>
      <c r="N304" s="16">
        <v>47374</v>
      </c>
      <c r="O304" s="16">
        <v>2432868</v>
      </c>
      <c r="P304" s="16">
        <v>2141787</v>
      </c>
      <c r="Q304" s="16">
        <v>409328</v>
      </c>
      <c r="R304" s="16">
        <v>45634</v>
      </c>
      <c r="S304" s="16">
        <v>0</v>
      </c>
      <c r="T304" s="16">
        <v>16</v>
      </c>
      <c r="U304" s="15" t="str">
        <f t="shared" si="16"/>
        <v>Privado Nacional</v>
      </c>
      <c r="V304" s="17">
        <f t="shared" si="17"/>
        <v>0.49606994028561013</v>
      </c>
      <c r="W304" s="17">
        <f t="shared" si="18"/>
        <v>0.11148516593050073</v>
      </c>
      <c r="X304" s="15" t="str">
        <f t="shared" si="19"/>
        <v>Média/Pequena</v>
      </c>
      <c r="Y304" s="121" t="str" cm="1">
        <f t="array" ref="Y304">_xlfn.IFS(ISNUMBER(W304)=FALSE,"Sem dado",W304&gt;0.075,"Excelente",W304&gt;0.04,"Bom",W304&gt;0,"Fraco",TRUE,"Prejuízo")</f>
        <v>Excelente</v>
      </c>
    </row>
    <row r="305" spans="1:25" ht="15" customHeight="1" x14ac:dyDescent="0.2">
      <c r="A305" s="12" t="s">
        <v>761</v>
      </c>
      <c r="B305" s="56">
        <v>87437687</v>
      </c>
      <c r="C305" s="12"/>
      <c r="D305" s="12"/>
      <c r="E305" s="12"/>
      <c r="F305" s="12" t="s">
        <v>199</v>
      </c>
      <c r="G305" s="33">
        <v>2</v>
      </c>
      <c r="H305" s="33">
        <v>9</v>
      </c>
      <c r="I305" s="12" t="s">
        <v>73</v>
      </c>
      <c r="J305" s="12" t="s">
        <v>74</v>
      </c>
      <c r="K305" s="73" t="s">
        <v>29</v>
      </c>
      <c r="L305" s="13">
        <v>2830096</v>
      </c>
      <c r="M305" s="13">
        <v>0</v>
      </c>
      <c r="N305" s="13">
        <v>1231343</v>
      </c>
      <c r="O305" s="13">
        <v>194399</v>
      </c>
      <c r="P305" s="13">
        <v>8323</v>
      </c>
      <c r="Q305" s="13">
        <v>2635697</v>
      </c>
      <c r="R305" s="13">
        <v>0</v>
      </c>
      <c r="S305" s="13">
        <v>0</v>
      </c>
      <c r="T305" s="13">
        <v>0</v>
      </c>
      <c r="U305" s="12" t="str">
        <f t="shared" si="16"/>
        <v>Privado Nacional</v>
      </c>
      <c r="V305" s="14">
        <f t="shared" si="17"/>
        <v>0</v>
      </c>
      <c r="W305" s="14">
        <f t="shared" si="18"/>
        <v>0</v>
      </c>
      <c r="X305" s="12" t="str">
        <f t="shared" si="19"/>
        <v>Média/Pequena</v>
      </c>
      <c r="Y305" s="122" t="str" cm="1">
        <f t="array" ref="Y305">_xlfn.IFS(ISNUMBER(W305)=FALSE,"Sem dado",W305&gt;0.075,"Excelente",W305&gt;0.04,"Bom",W305&gt;0,"Fraco",TRUE,"Prejuízo")</f>
        <v>Prejuízo</v>
      </c>
    </row>
    <row r="306" spans="1:25" ht="15" customHeight="1" x14ac:dyDescent="0.2">
      <c r="A306" s="15" t="s">
        <v>762</v>
      </c>
      <c r="B306" s="60">
        <v>5888589</v>
      </c>
      <c r="C306" s="15"/>
      <c r="D306" s="15"/>
      <c r="E306" s="15"/>
      <c r="F306" s="15" t="s">
        <v>265</v>
      </c>
      <c r="G306" s="34">
        <v>2</v>
      </c>
      <c r="H306" s="34">
        <v>9</v>
      </c>
      <c r="I306" s="15" t="s">
        <v>228</v>
      </c>
      <c r="J306" s="15" t="s">
        <v>229</v>
      </c>
      <c r="K306" s="74" t="s">
        <v>29</v>
      </c>
      <c r="L306" s="16">
        <v>2820180</v>
      </c>
      <c r="M306" s="16">
        <v>1978185</v>
      </c>
      <c r="N306" s="16">
        <v>39165</v>
      </c>
      <c r="O306" s="16">
        <v>2491590</v>
      </c>
      <c r="P306" s="16">
        <v>2191877</v>
      </c>
      <c r="Q306" s="16">
        <v>328590</v>
      </c>
      <c r="R306" s="16">
        <v>16282</v>
      </c>
      <c r="S306" s="16">
        <v>0</v>
      </c>
      <c r="T306" s="16">
        <v>35</v>
      </c>
      <c r="U306" s="15" t="str">
        <f t="shared" si="16"/>
        <v>Privado Nacional</v>
      </c>
      <c r="V306" s="17">
        <f t="shared" si="17"/>
        <v>0.70143926983384042</v>
      </c>
      <c r="W306" s="17">
        <f t="shared" si="18"/>
        <v>4.9551112328433608E-2</v>
      </c>
      <c r="X306" s="15" t="str">
        <f t="shared" si="19"/>
        <v>Média/Pequena</v>
      </c>
      <c r="Y306" s="121" t="str" cm="1">
        <f t="array" ref="Y306">_xlfn.IFS(ISNUMBER(W306)=FALSE,"Sem dado",W306&gt;0.075,"Excelente",W306&gt;0.04,"Bom",W306&gt;0,"Fraco",TRUE,"Prejuízo")</f>
        <v>Bom</v>
      </c>
    </row>
    <row r="307" spans="1:25" ht="15" customHeight="1" x14ac:dyDescent="0.2">
      <c r="A307" s="12" t="s">
        <v>763</v>
      </c>
      <c r="B307" s="56">
        <v>60850229</v>
      </c>
      <c r="C307" s="12" t="s">
        <v>448</v>
      </c>
      <c r="D307" s="12" t="s">
        <v>449</v>
      </c>
      <c r="E307" s="12" t="s">
        <v>450</v>
      </c>
      <c r="F307" s="12" t="s">
        <v>26</v>
      </c>
      <c r="G307" s="33">
        <v>2</v>
      </c>
      <c r="H307" s="33">
        <v>8</v>
      </c>
      <c r="I307" s="12" t="s">
        <v>38</v>
      </c>
      <c r="J307" s="12" t="s">
        <v>39</v>
      </c>
      <c r="K307" s="73" t="s">
        <v>29</v>
      </c>
      <c r="L307" s="13">
        <v>2809731</v>
      </c>
      <c r="M307" s="13">
        <v>511223</v>
      </c>
      <c r="N307" s="13">
        <v>96250</v>
      </c>
      <c r="O307" s="13">
        <v>2328005</v>
      </c>
      <c r="P307" s="13">
        <v>2230846</v>
      </c>
      <c r="Q307" s="13">
        <v>481727</v>
      </c>
      <c r="R307" s="13">
        <v>24553</v>
      </c>
      <c r="S307" s="13">
        <v>2</v>
      </c>
      <c r="T307" s="13">
        <v>0</v>
      </c>
      <c r="U307" s="12" t="str">
        <f t="shared" si="16"/>
        <v>Privado Nacional</v>
      </c>
      <c r="V307" s="14">
        <f t="shared" si="17"/>
        <v>0.18194731097033845</v>
      </c>
      <c r="W307" s="14">
        <f t="shared" si="18"/>
        <v>5.0968702190244679E-2</v>
      </c>
      <c r="X307" s="12" t="str">
        <f t="shared" si="19"/>
        <v>Média/Pequena</v>
      </c>
      <c r="Y307" s="122" t="str" cm="1">
        <f t="array" ref="Y307">_xlfn.IFS(ISNUMBER(W307)=FALSE,"Sem dado",W307&gt;0.075,"Excelente",W307&gt;0.04,"Bom",W307&gt;0,"Fraco",TRUE,"Prejuízo")</f>
        <v>Bom</v>
      </c>
    </row>
    <row r="308" spans="1:25" ht="15" customHeight="1" x14ac:dyDescent="0.2">
      <c r="A308" s="15" t="s">
        <v>764</v>
      </c>
      <c r="B308" s="60">
        <v>10878448</v>
      </c>
      <c r="C308" s="15" t="s">
        <v>765</v>
      </c>
      <c r="D308" s="15"/>
      <c r="E308" s="15" t="s">
        <v>766</v>
      </c>
      <c r="F308" s="15" t="s">
        <v>84</v>
      </c>
      <c r="G308" s="34">
        <v>3</v>
      </c>
      <c r="H308" s="34">
        <v>41</v>
      </c>
      <c r="I308" s="15" t="s">
        <v>38</v>
      </c>
      <c r="J308" s="15" t="s">
        <v>39</v>
      </c>
      <c r="K308" s="74" t="s">
        <v>29</v>
      </c>
      <c r="L308" s="16">
        <v>2784825</v>
      </c>
      <c r="M308" s="16">
        <v>0</v>
      </c>
      <c r="N308" s="16">
        <v>759910</v>
      </c>
      <c r="O308" s="16">
        <v>2204104</v>
      </c>
      <c r="P308" s="16">
        <v>164004</v>
      </c>
      <c r="Q308" s="16">
        <v>580721</v>
      </c>
      <c r="R308" s="16">
        <v>2655</v>
      </c>
      <c r="S308" s="16">
        <v>1</v>
      </c>
      <c r="T308" s="16">
        <v>0</v>
      </c>
      <c r="U308" s="15" t="str">
        <f t="shared" si="16"/>
        <v>Privado Estrangeiro</v>
      </c>
      <c r="V308" s="17">
        <f t="shared" si="17"/>
        <v>0</v>
      </c>
      <c r="W308" s="17">
        <f t="shared" si="18"/>
        <v>4.5719028586877347E-3</v>
      </c>
      <c r="X308" s="15" t="str">
        <f t="shared" si="19"/>
        <v>Média/Pequena</v>
      </c>
      <c r="Y308" s="121" t="str" cm="1">
        <f t="array" ref="Y308">_xlfn.IFS(ISNUMBER(W308)=FALSE,"Sem dado",W308&gt;0.075,"Excelente",W308&gt;0.04,"Bom",W308&gt;0,"Fraco",TRUE,"Prejuízo")</f>
        <v>Fraco</v>
      </c>
    </row>
    <row r="309" spans="1:25" ht="15" customHeight="1" x14ac:dyDescent="0.2">
      <c r="A309" s="12" t="s">
        <v>767</v>
      </c>
      <c r="B309" s="56">
        <v>4814563</v>
      </c>
      <c r="C309" s="12" t="s">
        <v>768</v>
      </c>
      <c r="D309" s="12"/>
      <c r="E309" s="12" t="s">
        <v>769</v>
      </c>
      <c r="F309" s="12" t="s">
        <v>26</v>
      </c>
      <c r="G309" s="33">
        <v>2</v>
      </c>
      <c r="H309" s="33">
        <v>8</v>
      </c>
      <c r="I309" s="12" t="s">
        <v>770</v>
      </c>
      <c r="J309" s="12" t="s">
        <v>39</v>
      </c>
      <c r="K309" s="73" t="s">
        <v>29</v>
      </c>
      <c r="L309" s="13">
        <v>2761341</v>
      </c>
      <c r="M309" s="13">
        <v>585802</v>
      </c>
      <c r="N309" s="13">
        <v>220620</v>
      </c>
      <c r="O309" s="13">
        <v>2660329</v>
      </c>
      <c r="P309" s="13">
        <v>2503073</v>
      </c>
      <c r="Q309" s="13">
        <v>101012</v>
      </c>
      <c r="R309" s="13">
        <v>-93370</v>
      </c>
      <c r="S309" s="13">
        <v>2</v>
      </c>
      <c r="T309" s="13">
        <v>1</v>
      </c>
      <c r="U309" s="12" t="str">
        <f t="shared" si="16"/>
        <v>Privado Nacional</v>
      </c>
      <c r="V309" s="14">
        <f t="shared" si="17"/>
        <v>0.21214402712305361</v>
      </c>
      <c r="W309" s="14">
        <f t="shared" si="18"/>
        <v>-0.92434562230230066</v>
      </c>
      <c r="X309" s="12" t="str">
        <f t="shared" si="19"/>
        <v>Média/Pequena</v>
      </c>
      <c r="Y309" s="122" t="str" cm="1">
        <f t="array" ref="Y309">_xlfn.IFS(ISNUMBER(W309)=FALSE,"Sem dado",W309&gt;0.075,"Excelente",W309&gt;0.04,"Bom",W309&gt;0,"Fraco",TRUE,"Prejuízo")</f>
        <v>Prejuízo</v>
      </c>
    </row>
    <row r="310" spans="1:25" ht="15" customHeight="1" x14ac:dyDescent="0.2">
      <c r="A310" s="15" t="s">
        <v>771</v>
      </c>
      <c r="B310" s="60">
        <v>87900411</v>
      </c>
      <c r="C310" s="15"/>
      <c r="D310" s="15"/>
      <c r="E310" s="15"/>
      <c r="F310" s="15" t="s">
        <v>265</v>
      </c>
      <c r="G310" s="34">
        <v>2</v>
      </c>
      <c r="H310" s="34">
        <v>9</v>
      </c>
      <c r="I310" s="15" t="s">
        <v>772</v>
      </c>
      <c r="J310" s="15" t="s">
        <v>74</v>
      </c>
      <c r="K310" s="74" t="s">
        <v>29</v>
      </c>
      <c r="L310" s="16">
        <v>2712139</v>
      </c>
      <c r="M310" s="16">
        <v>1726546</v>
      </c>
      <c r="N310" s="16">
        <v>730847</v>
      </c>
      <c r="O310" s="16">
        <v>2095842</v>
      </c>
      <c r="P310" s="16">
        <v>1162949</v>
      </c>
      <c r="Q310" s="16">
        <v>616297</v>
      </c>
      <c r="R310" s="16">
        <v>39535</v>
      </c>
      <c r="S310" s="16">
        <v>0</v>
      </c>
      <c r="T310" s="16">
        <v>25</v>
      </c>
      <c r="U310" s="15" t="str">
        <f t="shared" si="16"/>
        <v>Privado Nacional</v>
      </c>
      <c r="V310" s="17">
        <f t="shared" si="17"/>
        <v>0.63659937783424814</v>
      </c>
      <c r="W310" s="17">
        <f t="shared" si="18"/>
        <v>6.4149265694949026E-2</v>
      </c>
      <c r="X310" s="15" t="str">
        <f t="shared" si="19"/>
        <v>Média/Pequena</v>
      </c>
      <c r="Y310" s="121" t="str" cm="1">
        <f t="array" ref="Y310">_xlfn.IFS(ISNUMBER(W310)=FALSE,"Sem dado",W310&gt;0.075,"Excelente",W310&gt;0.04,"Bom",W310&gt;0,"Fraco",TRUE,"Prejuízo")</f>
        <v>Bom</v>
      </c>
    </row>
    <row r="311" spans="1:25" ht="15" customHeight="1" x14ac:dyDescent="0.2">
      <c r="A311" s="12" t="s">
        <v>773</v>
      </c>
      <c r="B311" s="56">
        <v>8075352</v>
      </c>
      <c r="C311" s="12"/>
      <c r="D311" s="12"/>
      <c r="E311" s="12"/>
      <c r="F311" s="12" t="s">
        <v>265</v>
      </c>
      <c r="G311" s="33">
        <v>2</v>
      </c>
      <c r="H311" s="33">
        <v>9</v>
      </c>
      <c r="I311" s="12" t="s">
        <v>216</v>
      </c>
      <c r="J311" s="12" t="s">
        <v>217</v>
      </c>
      <c r="K311" s="73" t="s">
        <v>29</v>
      </c>
      <c r="L311" s="13">
        <v>2709123</v>
      </c>
      <c r="M311" s="13">
        <v>2112291</v>
      </c>
      <c r="N311" s="13">
        <v>58893</v>
      </c>
      <c r="O311" s="13">
        <v>2436185</v>
      </c>
      <c r="P311" s="13">
        <v>1538624</v>
      </c>
      <c r="Q311" s="13">
        <v>272937</v>
      </c>
      <c r="R311" s="13">
        <v>-20418</v>
      </c>
      <c r="S311" s="13">
        <v>0</v>
      </c>
      <c r="T311" s="13">
        <v>58</v>
      </c>
      <c r="U311" s="12" t="str">
        <f t="shared" si="16"/>
        <v>Privado Nacional</v>
      </c>
      <c r="V311" s="14">
        <f t="shared" si="17"/>
        <v>0.77969549555335804</v>
      </c>
      <c r="W311" s="14">
        <f t="shared" si="18"/>
        <v>-7.480847228481298E-2</v>
      </c>
      <c r="X311" s="12" t="str">
        <f t="shared" si="19"/>
        <v>Média/Pequena</v>
      </c>
      <c r="Y311" s="122" t="str" cm="1">
        <f t="array" ref="Y311">_xlfn.IFS(ISNUMBER(W311)=FALSE,"Sem dado",W311&gt;0.075,"Excelente",W311&gt;0.04,"Bom",W311&gt;0,"Fraco",TRUE,"Prejuízo")</f>
        <v>Prejuízo</v>
      </c>
    </row>
    <row r="312" spans="1:25" ht="15" customHeight="1" x14ac:dyDescent="0.2">
      <c r="A312" s="15" t="s">
        <v>774</v>
      </c>
      <c r="B312" s="60">
        <v>44469161</v>
      </c>
      <c r="C312" s="15"/>
      <c r="D312" s="15"/>
      <c r="E312" s="15"/>
      <c r="F312" s="15" t="s">
        <v>265</v>
      </c>
      <c r="G312" s="34">
        <v>2</v>
      </c>
      <c r="H312" s="34">
        <v>9</v>
      </c>
      <c r="I312" s="15" t="s">
        <v>775</v>
      </c>
      <c r="J312" s="15" t="s">
        <v>39</v>
      </c>
      <c r="K312" s="74" t="s">
        <v>29</v>
      </c>
      <c r="L312" s="16">
        <v>2699917</v>
      </c>
      <c r="M312" s="16">
        <v>1228232</v>
      </c>
      <c r="N312" s="16">
        <v>567867</v>
      </c>
      <c r="O312" s="16">
        <v>2252595</v>
      </c>
      <c r="P312" s="16">
        <v>2086202</v>
      </c>
      <c r="Q312" s="16">
        <v>447322</v>
      </c>
      <c r="R312" s="16">
        <v>27160</v>
      </c>
      <c r="S312" s="16">
        <v>0</v>
      </c>
      <c r="T312" s="16">
        <v>12</v>
      </c>
      <c r="U312" s="15" t="str">
        <f t="shared" si="16"/>
        <v>Privado Nacional</v>
      </c>
      <c r="V312" s="17">
        <f t="shared" si="17"/>
        <v>0.45491472515636594</v>
      </c>
      <c r="W312" s="17">
        <f t="shared" si="18"/>
        <v>6.071688850537197E-2</v>
      </c>
      <c r="X312" s="15" t="str">
        <f t="shared" si="19"/>
        <v>Média/Pequena</v>
      </c>
      <c r="Y312" s="121" t="str" cm="1">
        <f t="array" ref="Y312">_xlfn.IFS(ISNUMBER(W312)=FALSE,"Sem dado",W312&gt;0.075,"Excelente",W312&gt;0.04,"Bom",W312&gt;0,"Fraco",TRUE,"Prejuízo")</f>
        <v>Bom</v>
      </c>
    </row>
    <row r="313" spans="1:25" ht="15" customHeight="1" x14ac:dyDescent="0.2">
      <c r="A313" s="12" t="s">
        <v>776</v>
      </c>
      <c r="B313" s="56">
        <v>87067757</v>
      </c>
      <c r="C313" s="12"/>
      <c r="D313" s="12"/>
      <c r="E313" s="12"/>
      <c r="F313" s="12" t="s">
        <v>265</v>
      </c>
      <c r="G313" s="33">
        <v>2</v>
      </c>
      <c r="H313" s="33">
        <v>9</v>
      </c>
      <c r="I313" s="12" t="s">
        <v>777</v>
      </c>
      <c r="J313" s="12" t="s">
        <v>74</v>
      </c>
      <c r="K313" s="73" t="s">
        <v>29</v>
      </c>
      <c r="L313" s="13">
        <v>2687885</v>
      </c>
      <c r="M313" s="13">
        <v>1032474</v>
      </c>
      <c r="N313" s="13">
        <v>1410801</v>
      </c>
      <c r="O313" s="13">
        <v>1953115</v>
      </c>
      <c r="P313" s="13">
        <v>1439093</v>
      </c>
      <c r="Q313" s="13">
        <v>734770</v>
      </c>
      <c r="R313" s="13">
        <v>87876</v>
      </c>
      <c r="S313" s="13">
        <v>0</v>
      </c>
      <c r="T313" s="13">
        <v>16</v>
      </c>
      <c r="U313" s="12" t="str">
        <f t="shared" si="16"/>
        <v>Privado Nacional</v>
      </c>
      <c r="V313" s="14">
        <f t="shared" si="17"/>
        <v>0.38412134447716328</v>
      </c>
      <c r="W313" s="14">
        <f t="shared" si="18"/>
        <v>0.11959660846251208</v>
      </c>
      <c r="X313" s="12" t="str">
        <f t="shared" si="19"/>
        <v>Média/Pequena</v>
      </c>
      <c r="Y313" s="122" t="str" cm="1">
        <f t="array" ref="Y313">_xlfn.IFS(ISNUMBER(W313)=FALSE,"Sem dado",W313&gt;0.075,"Excelente",W313&gt;0.04,"Bom",W313&gt;0,"Fraco",TRUE,"Prejuízo")</f>
        <v>Excelente</v>
      </c>
    </row>
    <row r="314" spans="1:25" ht="15" customHeight="1" x14ac:dyDescent="0.2">
      <c r="A314" s="15" t="s">
        <v>778</v>
      </c>
      <c r="B314" s="60">
        <v>4247370</v>
      </c>
      <c r="C314" s="15"/>
      <c r="D314" s="15"/>
      <c r="E314" s="15"/>
      <c r="F314" s="15" t="s">
        <v>265</v>
      </c>
      <c r="G314" s="34">
        <v>2</v>
      </c>
      <c r="H314" s="34">
        <v>9</v>
      </c>
      <c r="I314" s="15" t="s">
        <v>608</v>
      </c>
      <c r="J314" s="15" t="s">
        <v>217</v>
      </c>
      <c r="K314" s="74" t="s">
        <v>29</v>
      </c>
      <c r="L314" s="16">
        <v>2683747</v>
      </c>
      <c r="M314" s="16">
        <v>1477434</v>
      </c>
      <c r="N314" s="16">
        <v>152665</v>
      </c>
      <c r="O314" s="16">
        <v>2229397</v>
      </c>
      <c r="P314" s="16">
        <v>2177736</v>
      </c>
      <c r="Q314" s="16">
        <v>454350</v>
      </c>
      <c r="R314" s="16">
        <v>50795</v>
      </c>
      <c r="S314" s="16">
        <v>0</v>
      </c>
      <c r="T314" s="16">
        <v>5</v>
      </c>
      <c r="U314" s="15" t="str">
        <f t="shared" si="16"/>
        <v>Privado Nacional</v>
      </c>
      <c r="V314" s="17">
        <f t="shared" si="17"/>
        <v>0.55051165404190483</v>
      </c>
      <c r="W314" s="17">
        <f t="shared" si="18"/>
        <v>0.11179707274127874</v>
      </c>
      <c r="X314" s="15" t="str">
        <f t="shared" si="19"/>
        <v>Média/Pequena</v>
      </c>
      <c r="Y314" s="121" t="str" cm="1">
        <f t="array" ref="Y314">_xlfn.IFS(ISNUMBER(W314)=FALSE,"Sem dado",W314&gt;0.075,"Excelente",W314&gt;0.04,"Bom",W314&gt;0,"Fraco",TRUE,"Prejuízo")</f>
        <v>Excelente</v>
      </c>
    </row>
    <row r="315" spans="1:25" ht="15" customHeight="1" x14ac:dyDescent="0.2">
      <c r="A315" s="12" t="s">
        <v>779</v>
      </c>
      <c r="B315" s="56">
        <v>11476673</v>
      </c>
      <c r="C315" s="12" t="s">
        <v>780</v>
      </c>
      <c r="D315" s="12"/>
      <c r="E315" s="12" t="s">
        <v>781</v>
      </c>
      <c r="F315" s="12" t="s">
        <v>60</v>
      </c>
      <c r="G315" s="33">
        <v>2</v>
      </c>
      <c r="H315" s="33">
        <v>8</v>
      </c>
      <c r="I315" s="12" t="s">
        <v>782</v>
      </c>
      <c r="J315" s="12" t="s">
        <v>74</v>
      </c>
      <c r="K315" s="73" t="s">
        <v>29</v>
      </c>
      <c r="L315" s="13">
        <v>2683741</v>
      </c>
      <c r="M315" s="13">
        <v>1855948</v>
      </c>
      <c r="N315" s="13">
        <v>691465</v>
      </c>
      <c r="O315" s="13">
        <v>2313489</v>
      </c>
      <c r="P315" s="13">
        <v>2283402</v>
      </c>
      <c r="Q315" s="13">
        <v>370253</v>
      </c>
      <c r="R315" s="13">
        <v>2800</v>
      </c>
      <c r="S315" s="13">
        <v>2</v>
      </c>
      <c r="T315" s="13">
        <v>0</v>
      </c>
      <c r="U315" s="12" t="str">
        <f t="shared" si="16"/>
        <v>Privado Nacional</v>
      </c>
      <c r="V315" s="14">
        <f t="shared" si="17"/>
        <v>0.69155257530439784</v>
      </c>
      <c r="W315" s="14">
        <f t="shared" si="18"/>
        <v>7.5623965234582835E-3</v>
      </c>
      <c r="X315" s="12" t="str">
        <f t="shared" si="19"/>
        <v>Média/Pequena</v>
      </c>
      <c r="Y315" s="122" t="str" cm="1">
        <f t="array" ref="Y315">_xlfn.IFS(ISNUMBER(W315)=FALSE,"Sem dado",W315&gt;0.075,"Excelente",W315&gt;0.04,"Bom",W315&gt;0,"Fraco",TRUE,"Prejuízo")</f>
        <v>Fraco</v>
      </c>
    </row>
    <row r="316" spans="1:25" ht="15" customHeight="1" x14ac:dyDescent="0.2">
      <c r="A316" s="15" t="s">
        <v>783</v>
      </c>
      <c r="B316" s="60">
        <v>59281253</v>
      </c>
      <c r="C316" s="15" t="s">
        <v>56</v>
      </c>
      <c r="D316" s="15" t="s">
        <v>57</v>
      </c>
      <c r="E316" s="15" t="s">
        <v>58</v>
      </c>
      <c r="F316" s="15" t="s">
        <v>98</v>
      </c>
      <c r="G316" s="34">
        <v>2</v>
      </c>
      <c r="H316" s="34">
        <v>16</v>
      </c>
      <c r="I316" s="15" t="s">
        <v>53</v>
      </c>
      <c r="J316" s="15" t="s">
        <v>54</v>
      </c>
      <c r="K316" s="74" t="s">
        <v>29</v>
      </c>
      <c r="L316" s="16">
        <v>2651422</v>
      </c>
      <c r="M316" s="16">
        <v>0</v>
      </c>
      <c r="N316" s="16">
        <v>0</v>
      </c>
      <c r="O316" s="16">
        <v>2213140</v>
      </c>
      <c r="P316" s="16">
        <v>0</v>
      </c>
      <c r="Q316" s="16">
        <v>438281</v>
      </c>
      <c r="R316" s="16">
        <v>205688</v>
      </c>
      <c r="S316" s="16">
        <v>2</v>
      </c>
      <c r="T316" s="16">
        <v>0</v>
      </c>
      <c r="U316" s="15" t="str">
        <f t="shared" si="16"/>
        <v>Privado Nacional</v>
      </c>
      <c r="V316" s="17">
        <f t="shared" si="17"/>
        <v>0</v>
      </c>
      <c r="W316" s="17">
        <f t="shared" si="18"/>
        <v>0.46930622135114231</v>
      </c>
      <c r="X316" s="15" t="str">
        <f t="shared" si="19"/>
        <v>Média/Pequena</v>
      </c>
      <c r="Y316" s="121" t="str" cm="1">
        <f t="array" ref="Y316">_xlfn.IFS(ISNUMBER(W316)=FALSE,"Sem dado",W316&gt;0.075,"Excelente",W316&gt;0.04,"Bom",W316&gt;0,"Fraco",TRUE,"Prejuízo")</f>
        <v>Excelente</v>
      </c>
    </row>
    <row r="317" spans="1:25" ht="15" customHeight="1" x14ac:dyDescent="0.2">
      <c r="A317" s="12" t="s">
        <v>784</v>
      </c>
      <c r="B317" s="56">
        <v>7512780</v>
      </c>
      <c r="C317" s="12"/>
      <c r="D317" s="12"/>
      <c r="E317" s="12"/>
      <c r="F317" s="12" t="s">
        <v>265</v>
      </c>
      <c r="G317" s="33">
        <v>2</v>
      </c>
      <c r="H317" s="33">
        <v>9</v>
      </c>
      <c r="I317" s="12" t="s">
        <v>785</v>
      </c>
      <c r="J317" s="12" t="s">
        <v>217</v>
      </c>
      <c r="K317" s="73" t="s">
        <v>29</v>
      </c>
      <c r="L317" s="13">
        <v>2644860</v>
      </c>
      <c r="M317" s="13">
        <v>1667503</v>
      </c>
      <c r="N317" s="13">
        <v>24872</v>
      </c>
      <c r="O317" s="13">
        <v>2229886</v>
      </c>
      <c r="P317" s="13">
        <v>1565678</v>
      </c>
      <c r="Q317" s="13">
        <v>414974</v>
      </c>
      <c r="R317" s="13">
        <v>43121</v>
      </c>
      <c r="S317" s="13">
        <v>0</v>
      </c>
      <c r="T317" s="13">
        <v>51</v>
      </c>
      <c r="U317" s="12" t="str">
        <f t="shared" si="16"/>
        <v>Privado Nacional</v>
      </c>
      <c r="V317" s="14">
        <f t="shared" si="17"/>
        <v>0.63046928759934362</v>
      </c>
      <c r="W317" s="14">
        <f t="shared" si="18"/>
        <v>0.10391253427925605</v>
      </c>
      <c r="X317" s="12" t="str">
        <f t="shared" si="19"/>
        <v>Média/Pequena</v>
      </c>
      <c r="Y317" s="122" t="str" cm="1">
        <f t="array" ref="Y317">_xlfn.IFS(ISNUMBER(W317)=FALSE,"Sem dado",W317&gt;0.075,"Excelente",W317&gt;0.04,"Bom",W317&gt;0,"Fraco",TRUE,"Prejuízo")</f>
        <v>Excelente</v>
      </c>
    </row>
    <row r="318" spans="1:25" ht="15" customHeight="1" x14ac:dyDescent="0.2">
      <c r="A318" s="15" t="s">
        <v>786</v>
      </c>
      <c r="B318" s="60">
        <v>13370835</v>
      </c>
      <c r="C318" s="15" t="s">
        <v>787</v>
      </c>
      <c r="D318" s="15"/>
      <c r="E318" s="15" t="s">
        <v>788</v>
      </c>
      <c r="F318" s="15" t="s">
        <v>84</v>
      </c>
      <c r="G318" s="34">
        <v>2</v>
      </c>
      <c r="H318" s="34">
        <v>41</v>
      </c>
      <c r="I318" s="15" t="s">
        <v>107</v>
      </c>
      <c r="J318" s="15" t="s">
        <v>39</v>
      </c>
      <c r="K318" s="74" t="s">
        <v>29</v>
      </c>
      <c r="L318" s="16">
        <v>2609955</v>
      </c>
      <c r="M318" s="16">
        <v>28813</v>
      </c>
      <c r="N318" s="16">
        <v>121960</v>
      </c>
      <c r="O318" s="16">
        <v>2403804</v>
      </c>
      <c r="P318" s="16">
        <v>1997771</v>
      </c>
      <c r="Q318" s="16">
        <v>206151</v>
      </c>
      <c r="R318" s="16">
        <v>5611</v>
      </c>
      <c r="S318" s="16">
        <v>1</v>
      </c>
      <c r="T318" s="16">
        <v>0</v>
      </c>
      <c r="U318" s="15" t="str">
        <f t="shared" si="16"/>
        <v>Privado Nacional</v>
      </c>
      <c r="V318" s="17">
        <f t="shared" si="17"/>
        <v>1.1039653940393608E-2</v>
      </c>
      <c r="W318" s="17">
        <f t="shared" si="18"/>
        <v>2.7217913083128386E-2</v>
      </c>
      <c r="X318" s="15" t="str">
        <f t="shared" si="19"/>
        <v>Média/Pequena</v>
      </c>
      <c r="Y318" s="121" t="str" cm="1">
        <f t="array" ref="Y318">_xlfn.IFS(ISNUMBER(W318)=FALSE,"Sem dado",W318&gt;0.075,"Excelente",W318&gt;0.04,"Bom",W318&gt;0,"Fraco",TRUE,"Prejuízo")</f>
        <v>Fraco</v>
      </c>
    </row>
    <row r="319" spans="1:25" ht="15" customHeight="1" x14ac:dyDescent="0.2">
      <c r="A319" s="12" t="s">
        <v>789</v>
      </c>
      <c r="B319" s="56">
        <v>86829827</v>
      </c>
      <c r="C319" s="12"/>
      <c r="D319" s="12"/>
      <c r="E319" s="12"/>
      <c r="F319" s="12" t="s">
        <v>265</v>
      </c>
      <c r="G319" s="33">
        <v>2</v>
      </c>
      <c r="H319" s="33">
        <v>9</v>
      </c>
      <c r="I319" s="12" t="s">
        <v>790</v>
      </c>
      <c r="J319" s="12" t="s">
        <v>217</v>
      </c>
      <c r="K319" s="73" t="s">
        <v>29</v>
      </c>
      <c r="L319" s="13">
        <v>2582546</v>
      </c>
      <c r="M319" s="13">
        <v>1456062</v>
      </c>
      <c r="N319" s="13">
        <v>47444</v>
      </c>
      <c r="O319" s="13">
        <v>2276988</v>
      </c>
      <c r="P319" s="13">
        <v>1775019</v>
      </c>
      <c r="Q319" s="13">
        <v>305558</v>
      </c>
      <c r="R319" s="13">
        <v>32759</v>
      </c>
      <c r="S319" s="13">
        <v>0</v>
      </c>
      <c r="T319" s="13">
        <v>17</v>
      </c>
      <c r="U319" s="12" t="str">
        <f t="shared" si="16"/>
        <v>Privado Nacional</v>
      </c>
      <c r="V319" s="14">
        <f t="shared" si="17"/>
        <v>0.56380873757911765</v>
      </c>
      <c r="W319" s="14">
        <f t="shared" si="18"/>
        <v>0.10721041504395237</v>
      </c>
      <c r="X319" s="12" t="str">
        <f t="shared" si="19"/>
        <v>Média/Pequena</v>
      </c>
      <c r="Y319" s="122" t="str" cm="1">
        <f t="array" ref="Y319">_xlfn.IFS(ISNUMBER(W319)=FALSE,"Sem dado",W319&gt;0.075,"Excelente",W319&gt;0.04,"Bom",W319&gt;0,"Fraco",TRUE,"Prejuízo")</f>
        <v>Excelente</v>
      </c>
    </row>
    <row r="320" spans="1:25" ht="15" customHeight="1" x14ac:dyDescent="0.2">
      <c r="A320" s="15" t="s">
        <v>791</v>
      </c>
      <c r="B320" s="60">
        <v>1736516</v>
      </c>
      <c r="C320" s="15"/>
      <c r="D320" s="15"/>
      <c r="E320" s="15"/>
      <c r="F320" s="15" t="s">
        <v>265</v>
      </c>
      <c r="G320" s="34">
        <v>2</v>
      </c>
      <c r="H320" s="34">
        <v>9</v>
      </c>
      <c r="I320" s="15" t="s">
        <v>792</v>
      </c>
      <c r="J320" s="15" t="s">
        <v>120</v>
      </c>
      <c r="K320" s="74" t="s">
        <v>29</v>
      </c>
      <c r="L320" s="16">
        <v>2581413</v>
      </c>
      <c r="M320" s="16">
        <v>1006062</v>
      </c>
      <c r="N320" s="16">
        <v>33971</v>
      </c>
      <c r="O320" s="16">
        <v>2275400</v>
      </c>
      <c r="P320" s="16">
        <v>2218641</v>
      </c>
      <c r="Q320" s="16">
        <v>306013</v>
      </c>
      <c r="R320" s="16">
        <v>28714</v>
      </c>
      <c r="S320" s="16">
        <v>0</v>
      </c>
      <c r="T320" s="16">
        <v>30</v>
      </c>
      <c r="U320" s="15" t="str">
        <f t="shared" si="16"/>
        <v>Privado Nacional</v>
      </c>
      <c r="V320" s="17">
        <f t="shared" si="17"/>
        <v>0.38973306479823261</v>
      </c>
      <c r="W320" s="17">
        <f t="shared" si="18"/>
        <v>9.3832614954266647E-2</v>
      </c>
      <c r="X320" s="15" t="str">
        <f t="shared" si="19"/>
        <v>Média/Pequena</v>
      </c>
      <c r="Y320" s="121" t="str" cm="1">
        <f t="array" ref="Y320">_xlfn.IFS(ISNUMBER(W320)=FALSE,"Sem dado",W320&gt;0.075,"Excelente",W320&gt;0.04,"Bom",W320&gt;0,"Fraco",TRUE,"Prejuízo")</f>
        <v>Excelente</v>
      </c>
    </row>
    <row r="321" spans="1:25" ht="15" customHeight="1" x14ac:dyDescent="0.2">
      <c r="A321" s="12" t="s">
        <v>793</v>
      </c>
      <c r="B321" s="56">
        <v>32474884</v>
      </c>
      <c r="C321" s="12"/>
      <c r="D321" s="12"/>
      <c r="E321" s="12"/>
      <c r="F321" s="12" t="s">
        <v>265</v>
      </c>
      <c r="G321" s="33">
        <v>2</v>
      </c>
      <c r="H321" s="33">
        <v>9</v>
      </c>
      <c r="I321" s="12" t="s">
        <v>794</v>
      </c>
      <c r="J321" s="12" t="s">
        <v>183</v>
      </c>
      <c r="K321" s="73" t="s">
        <v>29</v>
      </c>
      <c r="L321" s="13">
        <v>2565709</v>
      </c>
      <c r="M321" s="13">
        <v>852440</v>
      </c>
      <c r="N321" s="13">
        <v>245472</v>
      </c>
      <c r="O321" s="13">
        <v>2252233</v>
      </c>
      <c r="P321" s="13">
        <v>2101242</v>
      </c>
      <c r="Q321" s="13">
        <v>313476</v>
      </c>
      <c r="R321" s="13">
        <v>33701</v>
      </c>
      <c r="S321" s="13">
        <v>0</v>
      </c>
      <c r="T321" s="13">
        <v>18</v>
      </c>
      <c r="U321" s="12" t="str">
        <f t="shared" si="16"/>
        <v>Privado Nacional</v>
      </c>
      <c r="V321" s="14">
        <f t="shared" si="17"/>
        <v>0.33224344615854723</v>
      </c>
      <c r="W321" s="14">
        <f t="shared" si="18"/>
        <v>0.10750743278592301</v>
      </c>
      <c r="X321" s="12" t="str">
        <f t="shared" si="19"/>
        <v>Média/Pequena</v>
      </c>
      <c r="Y321" s="122" t="str" cm="1">
        <f t="array" ref="Y321">_xlfn.IFS(ISNUMBER(W321)=FALSE,"Sem dado",W321&gt;0.075,"Excelente",W321&gt;0.04,"Bom",W321&gt;0,"Fraco",TRUE,"Prejuízo")</f>
        <v>Excelente</v>
      </c>
    </row>
    <row r="322" spans="1:25" ht="15" customHeight="1" x14ac:dyDescent="0.2">
      <c r="A322" s="15" t="s">
        <v>795</v>
      </c>
      <c r="B322" s="60">
        <v>62318407</v>
      </c>
      <c r="C322" s="15" t="s">
        <v>796</v>
      </c>
      <c r="D322" s="15"/>
      <c r="E322" s="15" t="s">
        <v>797</v>
      </c>
      <c r="F322" s="15" t="s">
        <v>98</v>
      </c>
      <c r="G322" s="34">
        <v>3</v>
      </c>
      <c r="H322" s="34">
        <v>16</v>
      </c>
      <c r="I322" s="15" t="s">
        <v>38</v>
      </c>
      <c r="J322" s="15" t="s">
        <v>39</v>
      </c>
      <c r="K322" s="74" t="s">
        <v>29</v>
      </c>
      <c r="L322" s="16">
        <v>2556127</v>
      </c>
      <c r="M322" s="16">
        <v>0</v>
      </c>
      <c r="N322" s="16">
        <v>0</v>
      </c>
      <c r="O322" s="16">
        <v>1523948</v>
      </c>
      <c r="P322" s="16">
        <v>844082</v>
      </c>
      <c r="Q322" s="16">
        <v>1032179</v>
      </c>
      <c r="R322" s="16">
        <v>110535</v>
      </c>
      <c r="S322" s="16">
        <v>2</v>
      </c>
      <c r="T322" s="16">
        <v>0</v>
      </c>
      <c r="U322" s="15" t="str">
        <f t="shared" si="16"/>
        <v>Privado Estrangeiro</v>
      </c>
      <c r="V322" s="17">
        <f t="shared" si="17"/>
        <v>0</v>
      </c>
      <c r="W322" s="17">
        <f t="shared" si="18"/>
        <v>0.10708898359683737</v>
      </c>
      <c r="X322" s="15" t="str">
        <f t="shared" si="19"/>
        <v>Média/Pequena</v>
      </c>
      <c r="Y322" s="121" t="str" cm="1">
        <f t="array" ref="Y322">_xlfn.IFS(ISNUMBER(W322)=FALSE,"Sem dado",W322&gt;0.075,"Excelente",W322&gt;0.04,"Bom",W322&gt;0,"Fraco",TRUE,"Prejuízo")</f>
        <v>Excelente</v>
      </c>
    </row>
    <row r="323" spans="1:25" ht="15" customHeight="1" x14ac:dyDescent="0.2">
      <c r="A323" s="12" t="s">
        <v>798</v>
      </c>
      <c r="B323" s="56">
        <v>3130170</v>
      </c>
      <c r="C323" s="12" t="s">
        <v>799</v>
      </c>
      <c r="D323" s="12"/>
      <c r="E323" s="12" t="s">
        <v>800</v>
      </c>
      <c r="F323" s="12" t="s">
        <v>84</v>
      </c>
      <c r="G323" s="33">
        <v>2</v>
      </c>
      <c r="H323" s="33">
        <v>41</v>
      </c>
      <c r="I323" s="12" t="s">
        <v>801</v>
      </c>
      <c r="J323" s="12" t="s">
        <v>120</v>
      </c>
      <c r="K323" s="73" t="s">
        <v>29</v>
      </c>
      <c r="L323" s="13">
        <v>2550498</v>
      </c>
      <c r="M323" s="13">
        <v>1820620</v>
      </c>
      <c r="N323" s="13">
        <v>163929</v>
      </c>
      <c r="O323" s="13">
        <v>2536690</v>
      </c>
      <c r="P323" s="13">
        <v>11306</v>
      </c>
      <c r="Q323" s="13">
        <v>13808</v>
      </c>
      <c r="R323" s="13">
        <v>2751</v>
      </c>
      <c r="S323" s="13">
        <v>1</v>
      </c>
      <c r="T323" s="13">
        <v>0</v>
      </c>
      <c r="U323" s="12" t="str">
        <f t="shared" si="16"/>
        <v>Privado Nacional</v>
      </c>
      <c r="V323" s="14">
        <f t="shared" si="17"/>
        <v>0.71382922080315292</v>
      </c>
      <c r="W323" s="14">
        <f t="shared" si="18"/>
        <v>0.19923232908458866</v>
      </c>
      <c r="X323" s="12" t="str">
        <f t="shared" si="19"/>
        <v>Média/Pequena</v>
      </c>
      <c r="Y323" s="122" t="str" cm="1">
        <f t="array" ref="Y323">_xlfn.IFS(ISNUMBER(W323)=FALSE,"Sem dado",W323&gt;0.075,"Excelente",W323&gt;0.04,"Bom",W323&gt;0,"Fraco",TRUE,"Prejuízo")</f>
        <v>Excelente</v>
      </c>
    </row>
    <row r="324" spans="1:25" ht="15" customHeight="1" x14ac:dyDescent="0.2">
      <c r="A324" s="15" t="s">
        <v>802</v>
      </c>
      <c r="B324" s="60">
        <v>106180</v>
      </c>
      <c r="C324" s="15"/>
      <c r="D324" s="15"/>
      <c r="E324" s="15"/>
      <c r="F324" s="15" t="s">
        <v>199</v>
      </c>
      <c r="G324" s="34">
        <v>2</v>
      </c>
      <c r="H324" s="34">
        <v>9</v>
      </c>
      <c r="I324" s="15" t="s">
        <v>803</v>
      </c>
      <c r="J324" s="15" t="s">
        <v>329</v>
      </c>
      <c r="K324" s="74" t="s">
        <v>29</v>
      </c>
      <c r="L324" s="16">
        <v>2547146</v>
      </c>
      <c r="M324" s="16">
        <v>0</v>
      </c>
      <c r="N324" s="16">
        <v>1076493</v>
      </c>
      <c r="O324" s="16">
        <v>2392156</v>
      </c>
      <c r="P324" s="16">
        <v>114</v>
      </c>
      <c r="Q324" s="16">
        <v>154990</v>
      </c>
      <c r="R324" s="16">
        <v>7</v>
      </c>
      <c r="S324" s="16">
        <v>0</v>
      </c>
      <c r="T324" s="16">
        <v>2</v>
      </c>
      <c r="U324" s="15" t="str">
        <f t="shared" si="16"/>
        <v>Privado Nacional</v>
      </c>
      <c r="V324" s="17">
        <f t="shared" si="17"/>
        <v>0</v>
      </c>
      <c r="W324" s="17">
        <f t="shared" si="18"/>
        <v>4.5164204142202725E-5</v>
      </c>
      <c r="X324" s="15" t="str">
        <f t="shared" si="19"/>
        <v>Média/Pequena</v>
      </c>
      <c r="Y324" s="121" t="str" cm="1">
        <f t="array" ref="Y324">_xlfn.IFS(ISNUMBER(W324)=FALSE,"Sem dado",W324&gt;0.075,"Excelente",W324&gt;0.04,"Bom",W324&gt;0,"Fraco",TRUE,"Prejuízo")</f>
        <v>Fraco</v>
      </c>
    </row>
    <row r="325" spans="1:25" ht="15" customHeight="1" x14ac:dyDescent="0.2">
      <c r="A325" s="12" t="s">
        <v>804</v>
      </c>
      <c r="B325" s="56">
        <v>1060307</v>
      </c>
      <c r="C325" s="12"/>
      <c r="D325" s="12"/>
      <c r="E325" s="12"/>
      <c r="F325" s="12" t="s">
        <v>265</v>
      </c>
      <c r="G325" s="33">
        <v>2</v>
      </c>
      <c r="H325" s="33">
        <v>9</v>
      </c>
      <c r="I325" s="12" t="s">
        <v>805</v>
      </c>
      <c r="J325" s="12" t="s">
        <v>120</v>
      </c>
      <c r="K325" s="73" t="s">
        <v>29</v>
      </c>
      <c r="L325" s="13">
        <v>2545639</v>
      </c>
      <c r="M325" s="13">
        <v>1156977</v>
      </c>
      <c r="N325" s="13">
        <v>140122</v>
      </c>
      <c r="O325" s="13">
        <v>2297964</v>
      </c>
      <c r="P325" s="13">
        <v>1961793</v>
      </c>
      <c r="Q325" s="13">
        <v>247675</v>
      </c>
      <c r="R325" s="13">
        <v>24925</v>
      </c>
      <c r="S325" s="13">
        <v>0</v>
      </c>
      <c r="T325" s="13">
        <v>39</v>
      </c>
      <c r="U325" s="12" t="str">
        <f t="shared" ref="U325:U388" si="20">IFERROR(CHOOSE(G325,"Público","Privado Nacional","Privado Estrangeiro"),"n.d.")</f>
        <v>Privado Nacional</v>
      </c>
      <c r="V325" s="14">
        <f t="shared" ref="V325:V388" si="21">IF(AND(ISNUMBER(M325),ISNUMBER(L325)),IF(L325&gt;0,M325/L325,"n.d."),"NI")</f>
        <v>0.45449374400690751</v>
      </c>
      <c r="W325" s="14">
        <f t="shared" ref="W325:W388" si="22">IF(AND(ISNUMBER(R325),ISNUMBER(Q325)),IF(Q325&gt;0,R325/Q325,"n.d."),"NI")</f>
        <v>0.10063591400020187</v>
      </c>
      <c r="X325" s="12" t="str">
        <f t="shared" ref="X325:X388" si="23">IF(ISNUMBER(L325),IF(L325&gt;100000000,"Grande","Média/Pequena"),"Sem dado")</f>
        <v>Média/Pequena</v>
      </c>
      <c r="Y325" s="122" t="str" cm="1">
        <f t="array" ref="Y325">_xlfn.IFS(ISNUMBER(W325)=FALSE,"Sem dado",W325&gt;0.075,"Excelente",W325&gt;0.04,"Bom",W325&gt;0,"Fraco",TRUE,"Prejuízo")</f>
        <v>Excelente</v>
      </c>
    </row>
    <row r="326" spans="1:25" ht="15" customHeight="1" x14ac:dyDescent="0.2">
      <c r="A326" s="15" t="s">
        <v>806</v>
      </c>
      <c r="B326" s="60">
        <v>4463602</v>
      </c>
      <c r="C326" s="15"/>
      <c r="D326" s="15"/>
      <c r="E326" s="15"/>
      <c r="F326" s="15" t="s">
        <v>265</v>
      </c>
      <c r="G326" s="34">
        <v>2</v>
      </c>
      <c r="H326" s="34">
        <v>9</v>
      </c>
      <c r="I326" s="15" t="s">
        <v>807</v>
      </c>
      <c r="J326" s="15" t="s">
        <v>39</v>
      </c>
      <c r="K326" s="74" t="s">
        <v>29</v>
      </c>
      <c r="L326" s="16">
        <v>2532712</v>
      </c>
      <c r="M326" s="16">
        <v>1240905</v>
      </c>
      <c r="N326" s="16">
        <v>1052135</v>
      </c>
      <c r="O326" s="16">
        <v>2333190</v>
      </c>
      <c r="P326" s="16">
        <v>1879980</v>
      </c>
      <c r="Q326" s="16">
        <v>199521</v>
      </c>
      <c r="R326" s="16">
        <v>12411</v>
      </c>
      <c r="S326" s="16">
        <v>0</v>
      </c>
      <c r="T326" s="16">
        <v>27</v>
      </c>
      <c r="U326" s="15" t="str">
        <f t="shared" si="20"/>
        <v>Privado Nacional</v>
      </c>
      <c r="V326" s="17">
        <f t="shared" si="21"/>
        <v>0.48995108800368931</v>
      </c>
      <c r="W326" s="17">
        <f t="shared" si="22"/>
        <v>6.220397852857594E-2</v>
      </c>
      <c r="X326" s="15" t="str">
        <f t="shared" si="23"/>
        <v>Média/Pequena</v>
      </c>
      <c r="Y326" s="121" t="str" cm="1">
        <f t="array" ref="Y326">_xlfn.IFS(ISNUMBER(W326)=FALSE,"Sem dado",W326&gt;0.075,"Excelente",W326&gt;0.04,"Bom",W326&gt;0,"Fraco",TRUE,"Prejuízo")</f>
        <v>Bom</v>
      </c>
    </row>
    <row r="327" spans="1:25" ht="15" customHeight="1" x14ac:dyDescent="0.2">
      <c r="A327" s="12" t="s">
        <v>808</v>
      </c>
      <c r="B327" s="56">
        <v>81115149</v>
      </c>
      <c r="C327" s="12"/>
      <c r="D327" s="12"/>
      <c r="E327" s="12"/>
      <c r="F327" s="12" t="s">
        <v>265</v>
      </c>
      <c r="G327" s="33">
        <v>2</v>
      </c>
      <c r="H327" s="33">
        <v>9</v>
      </c>
      <c r="I327" s="12" t="s">
        <v>809</v>
      </c>
      <c r="J327" s="12" t="s">
        <v>229</v>
      </c>
      <c r="K327" s="73" t="s">
        <v>29</v>
      </c>
      <c r="L327" s="13">
        <v>2527552</v>
      </c>
      <c r="M327" s="13">
        <v>1272254</v>
      </c>
      <c r="N327" s="13">
        <v>1018048</v>
      </c>
      <c r="O327" s="13">
        <v>2249685</v>
      </c>
      <c r="P327" s="13">
        <v>1607688</v>
      </c>
      <c r="Q327" s="13">
        <v>277867</v>
      </c>
      <c r="R327" s="13">
        <v>21764</v>
      </c>
      <c r="S327" s="13">
        <v>0</v>
      </c>
      <c r="T327" s="13">
        <v>32</v>
      </c>
      <c r="U327" s="12" t="str">
        <f t="shared" si="20"/>
        <v>Privado Nacional</v>
      </c>
      <c r="V327" s="14">
        <f t="shared" si="21"/>
        <v>0.50335423366166154</v>
      </c>
      <c r="W327" s="14">
        <f t="shared" si="22"/>
        <v>7.8325241932291345E-2</v>
      </c>
      <c r="X327" s="12" t="str">
        <f t="shared" si="23"/>
        <v>Média/Pequena</v>
      </c>
      <c r="Y327" s="122" t="str" cm="1">
        <f t="array" ref="Y327">_xlfn.IFS(ISNUMBER(W327)=FALSE,"Sem dado",W327&gt;0.075,"Excelente",W327&gt;0.04,"Bom",W327&gt;0,"Fraco",TRUE,"Prejuízo")</f>
        <v>Excelente</v>
      </c>
    </row>
    <row r="328" spans="1:25" ht="15" customHeight="1" x14ac:dyDescent="0.2">
      <c r="A328" s="15" t="s">
        <v>810</v>
      </c>
      <c r="B328" s="60">
        <v>32223020</v>
      </c>
      <c r="C328" s="15" t="s">
        <v>811</v>
      </c>
      <c r="D328" s="15"/>
      <c r="E328" s="15" t="s">
        <v>812</v>
      </c>
      <c r="F328" s="15" t="s">
        <v>84</v>
      </c>
      <c r="G328" s="34">
        <v>2</v>
      </c>
      <c r="H328" s="34">
        <v>41</v>
      </c>
      <c r="I328" s="15" t="s">
        <v>38</v>
      </c>
      <c r="J328" s="15" t="s">
        <v>39</v>
      </c>
      <c r="K328" s="74" t="s">
        <v>29</v>
      </c>
      <c r="L328" s="16">
        <v>2526252</v>
      </c>
      <c r="M328" s="16">
        <v>42895</v>
      </c>
      <c r="N328" s="16">
        <v>795215</v>
      </c>
      <c r="O328" s="16">
        <v>2309334</v>
      </c>
      <c r="P328" s="16">
        <v>2057307</v>
      </c>
      <c r="Q328" s="16">
        <v>216918</v>
      </c>
      <c r="R328" s="16">
        <v>-10480</v>
      </c>
      <c r="S328" s="16">
        <v>1</v>
      </c>
      <c r="T328" s="16">
        <v>0</v>
      </c>
      <c r="U328" s="15" t="str">
        <f t="shared" si="20"/>
        <v>Privado Nacional</v>
      </c>
      <c r="V328" s="17">
        <f t="shared" si="21"/>
        <v>1.6979699570747495E-2</v>
      </c>
      <c r="W328" s="17">
        <f t="shared" si="22"/>
        <v>-4.8313187471763525E-2</v>
      </c>
      <c r="X328" s="15" t="str">
        <f t="shared" si="23"/>
        <v>Média/Pequena</v>
      </c>
      <c r="Y328" s="121" t="str" cm="1">
        <f t="array" ref="Y328">_xlfn.IFS(ISNUMBER(W328)=FALSE,"Sem dado",W328&gt;0.075,"Excelente",W328&gt;0.04,"Bom",W328&gt;0,"Fraco",TRUE,"Prejuízo")</f>
        <v>Prejuízo</v>
      </c>
    </row>
    <row r="329" spans="1:25" ht="15" customHeight="1" x14ac:dyDescent="0.2">
      <c r="A329" s="12" t="s">
        <v>813</v>
      </c>
      <c r="B329" s="56">
        <v>36900256</v>
      </c>
      <c r="C329" s="12"/>
      <c r="D329" s="12"/>
      <c r="E329" s="12"/>
      <c r="F329" s="12" t="s">
        <v>265</v>
      </c>
      <c r="G329" s="33">
        <v>2</v>
      </c>
      <c r="H329" s="33">
        <v>9</v>
      </c>
      <c r="I329" s="12" t="s">
        <v>803</v>
      </c>
      <c r="J329" s="12" t="s">
        <v>329</v>
      </c>
      <c r="K329" s="73" t="s">
        <v>29</v>
      </c>
      <c r="L329" s="13">
        <v>2513608</v>
      </c>
      <c r="M329" s="13">
        <v>1473829</v>
      </c>
      <c r="N329" s="13">
        <v>48762</v>
      </c>
      <c r="O329" s="13">
        <v>2197581</v>
      </c>
      <c r="P329" s="13">
        <v>1956777</v>
      </c>
      <c r="Q329" s="13">
        <v>316027</v>
      </c>
      <c r="R329" s="13">
        <v>49074</v>
      </c>
      <c r="S329" s="13">
        <v>0</v>
      </c>
      <c r="T329" s="13">
        <v>17</v>
      </c>
      <c r="U329" s="12" t="str">
        <f t="shared" si="20"/>
        <v>Privado Nacional</v>
      </c>
      <c r="V329" s="14">
        <f t="shared" si="21"/>
        <v>0.58634003392732681</v>
      </c>
      <c r="W329" s="14">
        <f t="shared" si="22"/>
        <v>0.15528420040059868</v>
      </c>
      <c r="X329" s="12" t="str">
        <f t="shared" si="23"/>
        <v>Média/Pequena</v>
      </c>
      <c r="Y329" s="122" t="str" cm="1">
        <f t="array" ref="Y329">_xlfn.IFS(ISNUMBER(W329)=FALSE,"Sem dado",W329&gt;0.075,"Excelente",W329&gt;0.04,"Bom",W329&gt;0,"Fraco",TRUE,"Prejuízo")</f>
        <v>Excelente</v>
      </c>
    </row>
    <row r="330" spans="1:25" ht="15" customHeight="1" x14ac:dyDescent="0.2">
      <c r="A330" s="15" t="s">
        <v>814</v>
      </c>
      <c r="B330" s="60">
        <v>41697103</v>
      </c>
      <c r="C330" s="15"/>
      <c r="D330" s="15"/>
      <c r="E330" s="15"/>
      <c r="F330" s="15" t="s">
        <v>265</v>
      </c>
      <c r="G330" s="34">
        <v>2</v>
      </c>
      <c r="H330" s="34">
        <v>9</v>
      </c>
      <c r="I330" s="15" t="s">
        <v>815</v>
      </c>
      <c r="J330" s="15" t="s">
        <v>120</v>
      </c>
      <c r="K330" s="74" t="s">
        <v>29</v>
      </c>
      <c r="L330" s="16">
        <v>2504298</v>
      </c>
      <c r="M330" s="16">
        <v>1240718</v>
      </c>
      <c r="N330" s="16">
        <v>70894</v>
      </c>
      <c r="O330" s="16">
        <v>2048043</v>
      </c>
      <c r="P330" s="16">
        <v>1671013</v>
      </c>
      <c r="Q330" s="16">
        <v>456255</v>
      </c>
      <c r="R330" s="16">
        <v>62457</v>
      </c>
      <c r="S330" s="16">
        <v>0</v>
      </c>
      <c r="T330" s="16">
        <v>21</v>
      </c>
      <c r="U330" s="15" t="str">
        <f t="shared" si="20"/>
        <v>Privado Nacional</v>
      </c>
      <c r="V330" s="17">
        <f t="shared" si="21"/>
        <v>0.49543544737886624</v>
      </c>
      <c r="W330" s="17">
        <f t="shared" si="22"/>
        <v>0.13689055462405891</v>
      </c>
      <c r="X330" s="15" t="str">
        <f t="shared" si="23"/>
        <v>Média/Pequena</v>
      </c>
      <c r="Y330" s="121" t="str" cm="1">
        <f t="array" ref="Y330">_xlfn.IFS(ISNUMBER(W330)=FALSE,"Sem dado",W330&gt;0.075,"Excelente",W330&gt;0.04,"Bom",W330&gt;0,"Fraco",TRUE,"Prejuízo")</f>
        <v>Excelente</v>
      </c>
    </row>
    <row r="331" spans="1:25" ht="15" customHeight="1" x14ac:dyDescent="0.2">
      <c r="A331" s="12" t="s">
        <v>816</v>
      </c>
      <c r="B331" s="56">
        <v>4350225</v>
      </c>
      <c r="C331" s="12"/>
      <c r="D331" s="12"/>
      <c r="E331" s="12"/>
      <c r="F331" s="12" t="s">
        <v>265</v>
      </c>
      <c r="G331" s="33">
        <v>2</v>
      </c>
      <c r="H331" s="33">
        <v>9</v>
      </c>
      <c r="I331" s="12" t="s">
        <v>278</v>
      </c>
      <c r="J331" s="12" t="s">
        <v>229</v>
      </c>
      <c r="K331" s="73" t="s">
        <v>29</v>
      </c>
      <c r="L331" s="13">
        <v>2500478</v>
      </c>
      <c r="M331" s="13">
        <v>1874468</v>
      </c>
      <c r="N331" s="13">
        <v>31799</v>
      </c>
      <c r="O331" s="13">
        <v>2216045</v>
      </c>
      <c r="P331" s="13">
        <v>1465486</v>
      </c>
      <c r="Q331" s="13">
        <v>284432</v>
      </c>
      <c r="R331" s="13">
        <v>17762</v>
      </c>
      <c r="S331" s="13">
        <v>0</v>
      </c>
      <c r="T331" s="13">
        <v>31</v>
      </c>
      <c r="U331" s="12" t="str">
        <f t="shared" si="20"/>
        <v>Privado Nacional</v>
      </c>
      <c r="V331" s="14">
        <f t="shared" si="21"/>
        <v>0.74964386809242078</v>
      </c>
      <c r="W331" s="14">
        <f t="shared" si="22"/>
        <v>6.2447263317770153E-2</v>
      </c>
      <c r="X331" s="12" t="str">
        <f t="shared" si="23"/>
        <v>Média/Pequena</v>
      </c>
      <c r="Y331" s="122" t="str" cm="1">
        <f t="array" ref="Y331">_xlfn.IFS(ISNUMBER(W331)=FALSE,"Sem dado",W331&gt;0.075,"Excelente",W331&gt;0.04,"Bom",W331&gt;0,"Fraco",TRUE,"Prejuízo")</f>
        <v>Bom</v>
      </c>
    </row>
    <row r="332" spans="1:25" ht="15" customHeight="1" x14ac:dyDescent="0.2">
      <c r="A332" s="15" t="s">
        <v>817</v>
      </c>
      <c r="B332" s="60">
        <v>41180092</v>
      </c>
      <c r="C332" s="15"/>
      <c r="D332" s="15"/>
      <c r="E332" s="15"/>
      <c r="F332" s="15" t="s">
        <v>265</v>
      </c>
      <c r="G332" s="34">
        <v>2</v>
      </c>
      <c r="H332" s="34">
        <v>9</v>
      </c>
      <c r="I332" s="15" t="s">
        <v>818</v>
      </c>
      <c r="J332" s="15" t="s">
        <v>819</v>
      </c>
      <c r="K332" s="74" t="s">
        <v>29</v>
      </c>
      <c r="L332" s="16">
        <v>2470718</v>
      </c>
      <c r="M332" s="16">
        <v>1338222</v>
      </c>
      <c r="N332" s="16">
        <v>876931</v>
      </c>
      <c r="O332" s="16">
        <v>2086388</v>
      </c>
      <c r="P332" s="16">
        <v>1760768</v>
      </c>
      <c r="Q332" s="16">
        <v>384330</v>
      </c>
      <c r="R332" s="16">
        <v>25852</v>
      </c>
      <c r="S332" s="16">
        <v>0</v>
      </c>
      <c r="T332" s="16">
        <v>26</v>
      </c>
      <c r="U332" s="15" t="str">
        <f t="shared" si="20"/>
        <v>Privado Nacional</v>
      </c>
      <c r="V332" s="17">
        <f t="shared" si="21"/>
        <v>0.54163283709431831</v>
      </c>
      <c r="W332" s="17">
        <f t="shared" si="22"/>
        <v>6.7265110712148413E-2</v>
      </c>
      <c r="X332" s="15" t="str">
        <f t="shared" si="23"/>
        <v>Média/Pequena</v>
      </c>
      <c r="Y332" s="121" t="str" cm="1">
        <f t="array" ref="Y332">_xlfn.IFS(ISNUMBER(W332)=FALSE,"Sem dado",W332&gt;0.075,"Excelente",W332&gt;0.04,"Bom",W332&gt;0,"Fraco",TRUE,"Prejuízo")</f>
        <v>Bom</v>
      </c>
    </row>
    <row r="333" spans="1:25" ht="15" customHeight="1" x14ac:dyDescent="0.2">
      <c r="A333" s="12" t="s">
        <v>820</v>
      </c>
      <c r="B333" s="56">
        <v>70038237</v>
      </c>
      <c r="C333" s="12"/>
      <c r="D333" s="12"/>
      <c r="E333" s="12"/>
      <c r="F333" s="12" t="s">
        <v>265</v>
      </c>
      <c r="G333" s="33">
        <v>2</v>
      </c>
      <c r="H333" s="33">
        <v>9</v>
      </c>
      <c r="I333" s="12" t="s">
        <v>821</v>
      </c>
      <c r="J333" s="12" t="s">
        <v>822</v>
      </c>
      <c r="K333" s="73" t="s">
        <v>29</v>
      </c>
      <c r="L333" s="13">
        <v>2470180</v>
      </c>
      <c r="M333" s="13">
        <v>1244845</v>
      </c>
      <c r="N333" s="13">
        <v>978749</v>
      </c>
      <c r="O333" s="13">
        <v>2219218</v>
      </c>
      <c r="P333" s="13">
        <v>1925836</v>
      </c>
      <c r="Q333" s="13">
        <v>250962</v>
      </c>
      <c r="R333" s="13">
        <v>30536</v>
      </c>
      <c r="S333" s="13">
        <v>0</v>
      </c>
      <c r="T333" s="13">
        <v>13</v>
      </c>
      <c r="U333" s="12" t="str">
        <f t="shared" si="20"/>
        <v>Privado Nacional</v>
      </c>
      <c r="V333" s="14">
        <f t="shared" si="21"/>
        <v>0.50394910492352785</v>
      </c>
      <c r="W333" s="14">
        <f t="shared" si="22"/>
        <v>0.12167579155409983</v>
      </c>
      <c r="X333" s="12" t="str">
        <f t="shared" si="23"/>
        <v>Média/Pequena</v>
      </c>
      <c r="Y333" s="122" t="str" cm="1">
        <f t="array" ref="Y333">_xlfn.IFS(ISNUMBER(W333)=FALSE,"Sem dado",W333&gt;0.075,"Excelente",W333&gt;0.04,"Bom",W333&gt;0,"Fraco",TRUE,"Prejuízo")</f>
        <v>Excelente</v>
      </c>
    </row>
    <row r="334" spans="1:25" ht="15" customHeight="1" x14ac:dyDescent="0.2">
      <c r="A334" s="15" t="s">
        <v>823</v>
      </c>
      <c r="B334" s="60">
        <v>61033106</v>
      </c>
      <c r="C334" s="15" t="s">
        <v>441</v>
      </c>
      <c r="D334" s="15" t="s">
        <v>442</v>
      </c>
      <c r="E334" s="15" t="s">
        <v>443</v>
      </c>
      <c r="F334" s="15" t="s">
        <v>26</v>
      </c>
      <c r="G334" s="34">
        <v>2</v>
      </c>
      <c r="H334" s="34">
        <v>2</v>
      </c>
      <c r="I334" s="15" t="s">
        <v>38</v>
      </c>
      <c r="J334" s="15" t="s">
        <v>39</v>
      </c>
      <c r="K334" s="74" t="s">
        <v>29</v>
      </c>
      <c r="L334" s="16">
        <v>2445171</v>
      </c>
      <c r="M334" s="16">
        <v>1572888</v>
      </c>
      <c r="N334" s="16">
        <v>335855</v>
      </c>
      <c r="O334" s="16">
        <v>1997650</v>
      </c>
      <c r="P334" s="16">
        <v>1096067</v>
      </c>
      <c r="Q334" s="16">
        <v>447521</v>
      </c>
      <c r="R334" s="16">
        <v>40301</v>
      </c>
      <c r="S334" s="16">
        <v>2</v>
      </c>
      <c r="T334" s="16">
        <v>1194</v>
      </c>
      <c r="U334" s="15" t="str">
        <f t="shared" si="20"/>
        <v>Privado Nacional</v>
      </c>
      <c r="V334" s="17">
        <f t="shared" si="21"/>
        <v>0.64326298651505354</v>
      </c>
      <c r="W334" s="17">
        <f t="shared" si="22"/>
        <v>9.0053874566780101E-2</v>
      </c>
      <c r="X334" s="15" t="str">
        <f t="shared" si="23"/>
        <v>Média/Pequena</v>
      </c>
      <c r="Y334" s="121" t="str" cm="1">
        <f t="array" ref="Y334">_xlfn.IFS(ISNUMBER(W334)=FALSE,"Sem dado",W334&gt;0.075,"Excelente",W334&gt;0.04,"Bom",W334&gt;0,"Fraco",TRUE,"Prejuízo")</f>
        <v>Excelente</v>
      </c>
    </row>
    <row r="335" spans="1:25" ht="15" customHeight="1" x14ac:dyDescent="0.2">
      <c r="A335" s="12" t="s">
        <v>824</v>
      </c>
      <c r="B335" s="56">
        <v>1039011</v>
      </c>
      <c r="C335" s="12"/>
      <c r="D335" s="12"/>
      <c r="E335" s="12"/>
      <c r="F335" s="12" t="s">
        <v>265</v>
      </c>
      <c r="G335" s="33">
        <v>2</v>
      </c>
      <c r="H335" s="33">
        <v>9</v>
      </c>
      <c r="I335" s="12" t="s">
        <v>369</v>
      </c>
      <c r="J335" s="12" t="s">
        <v>217</v>
      </c>
      <c r="K335" s="73" t="s">
        <v>29</v>
      </c>
      <c r="L335" s="13">
        <v>2400761</v>
      </c>
      <c r="M335" s="13">
        <v>1472935</v>
      </c>
      <c r="N335" s="13">
        <v>41200</v>
      </c>
      <c r="O335" s="13">
        <v>2151024</v>
      </c>
      <c r="P335" s="13">
        <v>1972144</v>
      </c>
      <c r="Q335" s="13">
        <v>249737</v>
      </c>
      <c r="R335" s="13">
        <v>5057</v>
      </c>
      <c r="S335" s="13">
        <v>0</v>
      </c>
      <c r="T335" s="13">
        <v>21</v>
      </c>
      <c r="U335" s="12" t="str">
        <f t="shared" si="20"/>
        <v>Privado Nacional</v>
      </c>
      <c r="V335" s="14">
        <f t="shared" si="21"/>
        <v>0.61352837704377905</v>
      </c>
      <c r="W335" s="14">
        <f t="shared" si="22"/>
        <v>2.0249302265983815E-2</v>
      </c>
      <c r="X335" s="12" t="str">
        <f t="shared" si="23"/>
        <v>Média/Pequena</v>
      </c>
      <c r="Y335" s="122" t="str" cm="1">
        <f t="array" ref="Y335">_xlfn.IFS(ISNUMBER(W335)=FALSE,"Sem dado",W335&gt;0.075,"Excelente",W335&gt;0.04,"Bom",W335&gt;0,"Fraco",TRUE,"Prejuízo")</f>
        <v>Fraco</v>
      </c>
    </row>
    <row r="336" spans="1:25" ht="15" customHeight="1" x14ac:dyDescent="0.2">
      <c r="A336" s="15" t="s">
        <v>825</v>
      </c>
      <c r="B336" s="60">
        <v>81054686</v>
      </c>
      <c r="C336" s="15"/>
      <c r="D336" s="15"/>
      <c r="E336" s="15"/>
      <c r="F336" s="15" t="s">
        <v>265</v>
      </c>
      <c r="G336" s="34">
        <v>2</v>
      </c>
      <c r="H336" s="34">
        <v>9</v>
      </c>
      <c r="I336" s="15" t="s">
        <v>826</v>
      </c>
      <c r="J336" s="15" t="s">
        <v>229</v>
      </c>
      <c r="K336" s="74" t="s">
        <v>29</v>
      </c>
      <c r="L336" s="16">
        <v>2395591</v>
      </c>
      <c r="M336" s="16">
        <v>939204</v>
      </c>
      <c r="N336" s="16">
        <v>1363712</v>
      </c>
      <c r="O336" s="16">
        <v>2108049</v>
      </c>
      <c r="P336" s="16">
        <v>1581778</v>
      </c>
      <c r="Q336" s="16">
        <v>287542</v>
      </c>
      <c r="R336" s="16">
        <v>27251</v>
      </c>
      <c r="S336" s="16">
        <v>0</v>
      </c>
      <c r="T336" s="16">
        <v>29</v>
      </c>
      <c r="U336" s="15" t="str">
        <f t="shared" si="20"/>
        <v>Privado Nacional</v>
      </c>
      <c r="V336" s="17">
        <f t="shared" si="21"/>
        <v>0.39205523814373988</v>
      </c>
      <c r="W336" s="17">
        <f t="shared" si="22"/>
        <v>9.4772241968129875E-2</v>
      </c>
      <c r="X336" s="15" t="str">
        <f t="shared" si="23"/>
        <v>Média/Pequena</v>
      </c>
      <c r="Y336" s="121" t="str" cm="1">
        <f t="array" ref="Y336">_xlfn.IFS(ISNUMBER(W336)=FALSE,"Sem dado",W336&gt;0.075,"Excelente",W336&gt;0.04,"Bom",W336&gt;0,"Fraco",TRUE,"Prejuízo")</f>
        <v>Excelente</v>
      </c>
    </row>
    <row r="337" spans="1:25" ht="15" customHeight="1" x14ac:dyDescent="0.2">
      <c r="A337" s="12" t="s">
        <v>827</v>
      </c>
      <c r="B337" s="56">
        <v>78825023</v>
      </c>
      <c r="C337" s="12"/>
      <c r="D337" s="12"/>
      <c r="E337" s="12"/>
      <c r="F337" s="12" t="s">
        <v>265</v>
      </c>
      <c r="G337" s="33">
        <v>2</v>
      </c>
      <c r="H337" s="33">
        <v>9</v>
      </c>
      <c r="I337" s="12" t="s">
        <v>828</v>
      </c>
      <c r="J337" s="12" t="s">
        <v>217</v>
      </c>
      <c r="K337" s="73" t="s">
        <v>29</v>
      </c>
      <c r="L337" s="13">
        <v>2386724</v>
      </c>
      <c r="M337" s="13">
        <v>1321009</v>
      </c>
      <c r="N337" s="13">
        <v>32932</v>
      </c>
      <c r="O337" s="13">
        <v>2115838</v>
      </c>
      <c r="P337" s="13">
        <v>1538494</v>
      </c>
      <c r="Q337" s="13">
        <v>270886</v>
      </c>
      <c r="R337" s="13">
        <v>18848</v>
      </c>
      <c r="S337" s="13">
        <v>0</v>
      </c>
      <c r="T337" s="13">
        <v>20</v>
      </c>
      <c r="U337" s="12" t="str">
        <f t="shared" si="20"/>
        <v>Privado Nacional</v>
      </c>
      <c r="V337" s="14">
        <f t="shared" si="21"/>
        <v>0.55348209512285462</v>
      </c>
      <c r="W337" s="14">
        <f t="shared" si="22"/>
        <v>6.9579084928715396E-2</v>
      </c>
      <c r="X337" s="12" t="str">
        <f t="shared" si="23"/>
        <v>Média/Pequena</v>
      </c>
      <c r="Y337" s="122" t="str" cm="1">
        <f t="array" ref="Y337">_xlfn.IFS(ISNUMBER(W337)=FALSE,"Sem dado",W337&gt;0.075,"Excelente",W337&gt;0.04,"Bom",W337&gt;0,"Fraco",TRUE,"Prejuízo")</f>
        <v>Bom</v>
      </c>
    </row>
    <row r="338" spans="1:25" ht="15" customHeight="1" x14ac:dyDescent="0.2">
      <c r="A338" s="15" t="s">
        <v>829</v>
      </c>
      <c r="B338" s="60">
        <v>10690848</v>
      </c>
      <c r="C338" s="15" t="s">
        <v>296</v>
      </c>
      <c r="D338" s="15" t="s">
        <v>297</v>
      </c>
      <c r="E338" s="15" t="s">
        <v>298</v>
      </c>
      <c r="F338" s="15" t="s">
        <v>26</v>
      </c>
      <c r="G338" s="34">
        <v>3</v>
      </c>
      <c r="H338" s="34">
        <v>8</v>
      </c>
      <c r="I338" s="15" t="s">
        <v>38</v>
      </c>
      <c r="J338" s="15" t="s">
        <v>39</v>
      </c>
      <c r="K338" s="74" t="s">
        <v>29</v>
      </c>
      <c r="L338" s="16">
        <v>2358918</v>
      </c>
      <c r="M338" s="16">
        <v>408061</v>
      </c>
      <c r="N338" s="16">
        <v>582693</v>
      </c>
      <c r="O338" s="16">
        <v>1717443</v>
      </c>
      <c r="P338" s="16">
        <v>1571511</v>
      </c>
      <c r="Q338" s="16">
        <v>641475</v>
      </c>
      <c r="R338" s="16">
        <v>27316</v>
      </c>
      <c r="S338" s="16">
        <v>2</v>
      </c>
      <c r="T338" s="16">
        <v>1</v>
      </c>
      <c r="U338" s="15" t="str">
        <f t="shared" si="20"/>
        <v>Privado Estrangeiro</v>
      </c>
      <c r="V338" s="17">
        <f t="shared" si="21"/>
        <v>0.17298651330822012</v>
      </c>
      <c r="W338" s="17">
        <f t="shared" si="22"/>
        <v>4.2583109240422461E-2</v>
      </c>
      <c r="X338" s="15" t="str">
        <f t="shared" si="23"/>
        <v>Média/Pequena</v>
      </c>
      <c r="Y338" s="121" t="str" cm="1">
        <f t="array" ref="Y338">_xlfn.IFS(ISNUMBER(W338)=FALSE,"Sem dado",W338&gt;0.075,"Excelente",W338&gt;0.04,"Bom",W338&gt;0,"Fraco",TRUE,"Prejuízo")</f>
        <v>Bom</v>
      </c>
    </row>
    <row r="339" spans="1:25" ht="15" customHeight="1" x14ac:dyDescent="0.2">
      <c r="A339" s="12" t="s">
        <v>830</v>
      </c>
      <c r="B339" s="56">
        <v>5392810</v>
      </c>
      <c r="C339" s="12"/>
      <c r="D339" s="12"/>
      <c r="E339" s="12"/>
      <c r="F339" s="12" t="s">
        <v>265</v>
      </c>
      <c r="G339" s="33">
        <v>2</v>
      </c>
      <c r="H339" s="33">
        <v>9</v>
      </c>
      <c r="I339" s="12" t="s">
        <v>670</v>
      </c>
      <c r="J339" s="12" t="s">
        <v>229</v>
      </c>
      <c r="K339" s="73" t="s">
        <v>29</v>
      </c>
      <c r="L339" s="13">
        <v>2351386</v>
      </c>
      <c r="M339" s="13">
        <v>1390245</v>
      </c>
      <c r="N339" s="13">
        <v>35829</v>
      </c>
      <c r="O339" s="13">
        <v>2072730</v>
      </c>
      <c r="P339" s="13">
        <v>1819690</v>
      </c>
      <c r="Q339" s="13">
        <v>278656</v>
      </c>
      <c r="R339" s="13">
        <v>16574</v>
      </c>
      <c r="S339" s="13">
        <v>0</v>
      </c>
      <c r="T339" s="13">
        <v>33</v>
      </c>
      <c r="U339" s="12" t="str">
        <f t="shared" si="20"/>
        <v>Privado Nacional</v>
      </c>
      <c r="V339" s="14">
        <f t="shared" si="21"/>
        <v>0.59124490832215548</v>
      </c>
      <c r="W339" s="14">
        <f t="shared" si="22"/>
        <v>5.947835323840147E-2</v>
      </c>
      <c r="X339" s="12" t="str">
        <f t="shared" si="23"/>
        <v>Média/Pequena</v>
      </c>
      <c r="Y339" s="122" t="str" cm="1">
        <f t="array" ref="Y339">_xlfn.IFS(ISNUMBER(W339)=FALSE,"Sem dado",W339&gt;0.075,"Excelente",W339&gt;0.04,"Bom",W339&gt;0,"Fraco",TRUE,"Prejuízo")</f>
        <v>Bom</v>
      </c>
    </row>
    <row r="340" spans="1:25" ht="15" customHeight="1" x14ac:dyDescent="0.2">
      <c r="A340" s="15" t="s">
        <v>831</v>
      </c>
      <c r="B340" s="60">
        <v>2232383</v>
      </c>
      <c r="C340" s="15"/>
      <c r="D340" s="15"/>
      <c r="E340" s="15"/>
      <c r="F340" s="15" t="s">
        <v>265</v>
      </c>
      <c r="G340" s="34">
        <v>2</v>
      </c>
      <c r="H340" s="34">
        <v>9</v>
      </c>
      <c r="I340" s="15" t="s">
        <v>832</v>
      </c>
      <c r="J340" s="15" t="s">
        <v>120</v>
      </c>
      <c r="K340" s="74" t="s">
        <v>29</v>
      </c>
      <c r="L340" s="16">
        <v>2341529</v>
      </c>
      <c r="M340" s="16">
        <v>1060266</v>
      </c>
      <c r="N340" s="16">
        <v>34400</v>
      </c>
      <c r="O340" s="16">
        <v>2027118</v>
      </c>
      <c r="P340" s="16">
        <v>1931440</v>
      </c>
      <c r="Q340" s="16">
        <v>314411</v>
      </c>
      <c r="R340" s="16">
        <v>28647</v>
      </c>
      <c r="S340" s="16">
        <v>0</v>
      </c>
      <c r="T340" s="16">
        <v>22</v>
      </c>
      <c r="U340" s="15" t="str">
        <f t="shared" si="20"/>
        <v>Privado Nacional</v>
      </c>
      <c r="V340" s="17">
        <f t="shared" si="21"/>
        <v>0.45280925412412149</v>
      </c>
      <c r="W340" s="17">
        <f t="shared" si="22"/>
        <v>9.1113224410087429E-2</v>
      </c>
      <c r="X340" s="15" t="str">
        <f t="shared" si="23"/>
        <v>Média/Pequena</v>
      </c>
      <c r="Y340" s="121" t="str" cm="1">
        <f t="array" ref="Y340">_xlfn.IFS(ISNUMBER(W340)=FALSE,"Sem dado",W340&gt;0.075,"Excelente",W340&gt;0.04,"Bom",W340&gt;0,"Fraco",TRUE,"Prejuízo")</f>
        <v>Excelente</v>
      </c>
    </row>
    <row r="341" spans="1:25" ht="15" customHeight="1" x14ac:dyDescent="0.2">
      <c r="A341" s="12" t="s">
        <v>833</v>
      </c>
      <c r="B341" s="56">
        <v>81011686</v>
      </c>
      <c r="C341" s="12"/>
      <c r="D341" s="12"/>
      <c r="E341" s="12"/>
      <c r="F341" s="12" t="s">
        <v>265</v>
      </c>
      <c r="G341" s="33">
        <v>2</v>
      </c>
      <c r="H341" s="33">
        <v>9</v>
      </c>
      <c r="I341" s="12" t="s">
        <v>834</v>
      </c>
      <c r="J341" s="12" t="s">
        <v>217</v>
      </c>
      <c r="K341" s="73" t="s">
        <v>29</v>
      </c>
      <c r="L341" s="13">
        <v>2327551</v>
      </c>
      <c r="M341" s="13">
        <v>1092203</v>
      </c>
      <c r="N341" s="13">
        <v>82735</v>
      </c>
      <c r="O341" s="13">
        <v>2029272</v>
      </c>
      <c r="P341" s="13">
        <v>1641386</v>
      </c>
      <c r="Q341" s="13">
        <v>298279</v>
      </c>
      <c r="R341" s="13">
        <v>39255</v>
      </c>
      <c r="S341" s="13">
        <v>0</v>
      </c>
      <c r="T341" s="13">
        <v>17</v>
      </c>
      <c r="U341" s="12" t="str">
        <f t="shared" si="20"/>
        <v>Privado Nacional</v>
      </c>
      <c r="V341" s="14">
        <f t="shared" si="21"/>
        <v>0.46924986820911763</v>
      </c>
      <c r="W341" s="14">
        <f t="shared" si="22"/>
        <v>0.13160497386674891</v>
      </c>
      <c r="X341" s="12" t="str">
        <f t="shared" si="23"/>
        <v>Média/Pequena</v>
      </c>
      <c r="Y341" s="122" t="str" cm="1">
        <f t="array" ref="Y341">_xlfn.IFS(ISNUMBER(W341)=FALSE,"Sem dado",W341&gt;0.075,"Excelente",W341&gt;0.04,"Bom",W341&gt;0,"Fraco",TRUE,"Prejuízo")</f>
        <v>Excelente</v>
      </c>
    </row>
    <row r="342" spans="1:25" ht="15" customHeight="1" x14ac:dyDescent="0.2">
      <c r="A342" s="15" t="s">
        <v>835</v>
      </c>
      <c r="B342" s="60">
        <v>29650082</v>
      </c>
      <c r="C342" s="15" t="s">
        <v>56</v>
      </c>
      <c r="D342" s="15" t="s">
        <v>57</v>
      </c>
      <c r="E342" s="15" t="s">
        <v>58</v>
      </c>
      <c r="F342" s="15" t="s">
        <v>98</v>
      </c>
      <c r="G342" s="34">
        <v>2</v>
      </c>
      <c r="H342" s="34">
        <v>16</v>
      </c>
      <c r="I342" s="15" t="s">
        <v>53</v>
      </c>
      <c r="J342" s="15" t="s">
        <v>54</v>
      </c>
      <c r="K342" s="74" t="s">
        <v>29</v>
      </c>
      <c r="L342" s="16">
        <v>2319655</v>
      </c>
      <c r="M342" s="16">
        <v>0</v>
      </c>
      <c r="N342" s="16">
        <v>0</v>
      </c>
      <c r="O342" s="16">
        <v>1257436</v>
      </c>
      <c r="P342" s="16">
        <v>0</v>
      </c>
      <c r="Q342" s="16">
        <v>1062219</v>
      </c>
      <c r="R342" s="16">
        <v>276413</v>
      </c>
      <c r="S342" s="16">
        <v>18</v>
      </c>
      <c r="T342" s="16">
        <v>0</v>
      </c>
      <c r="U342" s="15" t="str">
        <f t="shared" si="20"/>
        <v>Privado Nacional</v>
      </c>
      <c r="V342" s="17">
        <f t="shared" si="21"/>
        <v>0</v>
      </c>
      <c r="W342" s="17">
        <f t="shared" si="22"/>
        <v>0.26022223289171065</v>
      </c>
      <c r="X342" s="15" t="str">
        <f t="shared" si="23"/>
        <v>Média/Pequena</v>
      </c>
      <c r="Y342" s="121" t="str" cm="1">
        <f t="array" ref="Y342">_xlfn.IFS(ISNUMBER(W342)=FALSE,"Sem dado",W342&gt;0.075,"Excelente",W342&gt;0.04,"Bom",W342&gt;0,"Fraco",TRUE,"Prejuízo")</f>
        <v>Excelente</v>
      </c>
    </row>
    <row r="343" spans="1:25" ht="15" customHeight="1" x14ac:dyDescent="0.2">
      <c r="A343" s="12" t="s">
        <v>836</v>
      </c>
      <c r="B343" s="56">
        <v>81706616</v>
      </c>
      <c r="C343" s="12"/>
      <c r="D343" s="12"/>
      <c r="E343" s="12"/>
      <c r="F343" s="12" t="s">
        <v>265</v>
      </c>
      <c r="G343" s="33">
        <v>2</v>
      </c>
      <c r="H343" s="33">
        <v>9</v>
      </c>
      <c r="I343" s="12" t="s">
        <v>837</v>
      </c>
      <c r="J343" s="12" t="s">
        <v>229</v>
      </c>
      <c r="K343" s="73" t="s">
        <v>29</v>
      </c>
      <c r="L343" s="13">
        <v>2314818</v>
      </c>
      <c r="M343" s="13">
        <v>1483649</v>
      </c>
      <c r="N343" s="13">
        <v>521534</v>
      </c>
      <c r="O343" s="13">
        <v>2095905</v>
      </c>
      <c r="P343" s="13">
        <v>1174030</v>
      </c>
      <c r="Q343" s="13">
        <v>218913</v>
      </c>
      <c r="R343" s="13">
        <v>-11002</v>
      </c>
      <c r="S343" s="13">
        <v>0</v>
      </c>
      <c r="T343" s="13">
        <v>23</v>
      </c>
      <c r="U343" s="12" t="str">
        <f t="shared" si="20"/>
        <v>Privado Nacional</v>
      </c>
      <c r="V343" s="14">
        <f t="shared" si="21"/>
        <v>0.64093548607277118</v>
      </c>
      <c r="W343" s="14">
        <f t="shared" si="22"/>
        <v>-5.0257408194122777E-2</v>
      </c>
      <c r="X343" s="12" t="str">
        <f t="shared" si="23"/>
        <v>Média/Pequena</v>
      </c>
      <c r="Y343" s="122" t="str" cm="1">
        <f t="array" ref="Y343">_xlfn.IFS(ISNUMBER(W343)=FALSE,"Sem dado",W343&gt;0.075,"Excelente",W343&gt;0.04,"Bom",W343&gt;0,"Fraco",TRUE,"Prejuízo")</f>
        <v>Prejuízo</v>
      </c>
    </row>
    <row r="344" spans="1:25" ht="15" customHeight="1" x14ac:dyDescent="0.2">
      <c r="A344" s="15" t="s">
        <v>838</v>
      </c>
      <c r="B344" s="60">
        <v>2335109</v>
      </c>
      <c r="C344" s="15"/>
      <c r="D344" s="15"/>
      <c r="E344" s="15"/>
      <c r="F344" s="15" t="s">
        <v>265</v>
      </c>
      <c r="G344" s="34">
        <v>2</v>
      </c>
      <c r="H344" s="34">
        <v>9</v>
      </c>
      <c r="I344" s="15" t="s">
        <v>839</v>
      </c>
      <c r="J344" s="15" t="s">
        <v>120</v>
      </c>
      <c r="K344" s="74" t="s">
        <v>29</v>
      </c>
      <c r="L344" s="16">
        <v>2313137</v>
      </c>
      <c r="M344" s="16">
        <v>1320071</v>
      </c>
      <c r="N344" s="16">
        <v>38127</v>
      </c>
      <c r="O344" s="16">
        <v>1984668</v>
      </c>
      <c r="P344" s="16">
        <v>1870558</v>
      </c>
      <c r="Q344" s="16">
        <v>328469</v>
      </c>
      <c r="R344" s="16">
        <v>18195</v>
      </c>
      <c r="S344" s="16">
        <v>0</v>
      </c>
      <c r="T344" s="16">
        <v>32</v>
      </c>
      <c r="U344" s="15" t="str">
        <f t="shared" si="20"/>
        <v>Privado Nacional</v>
      </c>
      <c r="V344" s="17">
        <f t="shared" si="21"/>
        <v>0.57068431312109913</v>
      </c>
      <c r="W344" s="17">
        <f t="shared" si="22"/>
        <v>5.5393355232913916E-2</v>
      </c>
      <c r="X344" s="15" t="str">
        <f t="shared" si="23"/>
        <v>Média/Pequena</v>
      </c>
      <c r="Y344" s="121" t="str" cm="1">
        <f t="array" ref="Y344">_xlfn.IFS(ISNUMBER(W344)=FALSE,"Sem dado",W344&gt;0.075,"Excelente",W344&gt;0.04,"Bom",W344&gt;0,"Fraco",TRUE,"Prejuízo")</f>
        <v>Bom</v>
      </c>
    </row>
    <row r="345" spans="1:25" ht="15" customHeight="1" x14ac:dyDescent="0.2">
      <c r="A345" s="12" t="s">
        <v>840</v>
      </c>
      <c r="B345" s="56">
        <v>13884775</v>
      </c>
      <c r="C345" s="12" t="s">
        <v>841</v>
      </c>
      <c r="D345" s="12"/>
      <c r="E345" s="12" t="s">
        <v>842</v>
      </c>
      <c r="F345" s="12" t="s">
        <v>84</v>
      </c>
      <c r="G345" s="33">
        <v>2</v>
      </c>
      <c r="H345" s="33">
        <v>41</v>
      </c>
      <c r="I345" s="12" t="s">
        <v>107</v>
      </c>
      <c r="J345" s="12" t="s">
        <v>39</v>
      </c>
      <c r="K345" s="73" t="s">
        <v>29</v>
      </c>
      <c r="L345" s="13">
        <v>2308204</v>
      </c>
      <c r="M345" s="13">
        <v>325</v>
      </c>
      <c r="N345" s="13">
        <v>339013</v>
      </c>
      <c r="O345" s="13">
        <v>1802752</v>
      </c>
      <c r="P345" s="13">
        <v>166161</v>
      </c>
      <c r="Q345" s="13">
        <v>505452</v>
      </c>
      <c r="R345" s="13">
        <v>18736</v>
      </c>
      <c r="S345" s="13">
        <v>1</v>
      </c>
      <c r="T345" s="13">
        <v>0</v>
      </c>
      <c r="U345" s="12" t="str">
        <f t="shared" si="20"/>
        <v>Privado Nacional</v>
      </c>
      <c r="V345" s="14">
        <f t="shared" si="21"/>
        <v>1.4080211281151925E-4</v>
      </c>
      <c r="W345" s="14">
        <f t="shared" si="22"/>
        <v>3.7067812571717984E-2</v>
      </c>
      <c r="X345" s="12" t="str">
        <f t="shared" si="23"/>
        <v>Média/Pequena</v>
      </c>
      <c r="Y345" s="122" t="str" cm="1">
        <f t="array" ref="Y345">_xlfn.IFS(ISNUMBER(W345)=FALSE,"Sem dado",W345&gt;0.075,"Excelente",W345&gt;0.04,"Bom",W345&gt;0,"Fraco",TRUE,"Prejuízo")</f>
        <v>Fraco</v>
      </c>
    </row>
    <row r="346" spans="1:25" ht="15" customHeight="1" x14ac:dyDescent="0.2">
      <c r="A346" s="15" t="s">
        <v>843</v>
      </c>
      <c r="B346" s="60">
        <v>16779741</v>
      </c>
      <c r="C346" s="15"/>
      <c r="D346" s="15"/>
      <c r="E346" s="15"/>
      <c r="F346" s="15" t="s">
        <v>265</v>
      </c>
      <c r="G346" s="34">
        <v>2</v>
      </c>
      <c r="H346" s="34">
        <v>9</v>
      </c>
      <c r="I346" s="15" t="s">
        <v>844</v>
      </c>
      <c r="J346" s="15" t="s">
        <v>217</v>
      </c>
      <c r="K346" s="74" t="s">
        <v>29</v>
      </c>
      <c r="L346" s="16">
        <v>2289822</v>
      </c>
      <c r="M346" s="16">
        <v>1424209</v>
      </c>
      <c r="N346" s="16">
        <v>61725</v>
      </c>
      <c r="O346" s="16">
        <v>1975018</v>
      </c>
      <c r="P346" s="16">
        <v>1803113</v>
      </c>
      <c r="Q346" s="16">
        <v>314804</v>
      </c>
      <c r="R346" s="16">
        <v>26702</v>
      </c>
      <c r="S346" s="16">
        <v>0</v>
      </c>
      <c r="T346" s="16">
        <v>30</v>
      </c>
      <c r="U346" s="15" t="str">
        <f t="shared" si="20"/>
        <v>Privado Nacional</v>
      </c>
      <c r="V346" s="17">
        <f t="shared" si="21"/>
        <v>0.62197367306279705</v>
      </c>
      <c r="W346" s="17">
        <f t="shared" si="22"/>
        <v>8.482103149896443E-2</v>
      </c>
      <c r="X346" s="15" t="str">
        <f t="shared" si="23"/>
        <v>Média/Pequena</v>
      </c>
      <c r="Y346" s="121" t="str" cm="1">
        <f t="array" ref="Y346">_xlfn.IFS(ISNUMBER(W346)=FALSE,"Sem dado",W346&gt;0.075,"Excelente",W346&gt;0.04,"Bom",W346&gt;0,"Fraco",TRUE,"Prejuízo")</f>
        <v>Excelente</v>
      </c>
    </row>
    <row r="347" spans="1:25" ht="15" customHeight="1" x14ac:dyDescent="0.2">
      <c r="A347" s="12" t="s">
        <v>845</v>
      </c>
      <c r="B347" s="56">
        <v>2910987</v>
      </c>
      <c r="C347" s="12"/>
      <c r="D347" s="12"/>
      <c r="E347" s="12"/>
      <c r="F347" s="12" t="s">
        <v>265</v>
      </c>
      <c r="G347" s="33">
        <v>2</v>
      </c>
      <c r="H347" s="33">
        <v>9</v>
      </c>
      <c r="I347" s="12" t="s">
        <v>414</v>
      </c>
      <c r="J347" s="12" t="s">
        <v>74</v>
      </c>
      <c r="K347" s="73" t="s">
        <v>29</v>
      </c>
      <c r="L347" s="13">
        <v>2283067</v>
      </c>
      <c r="M347" s="13">
        <v>1608355</v>
      </c>
      <c r="N347" s="13">
        <v>30799</v>
      </c>
      <c r="O347" s="13">
        <v>1979853</v>
      </c>
      <c r="P347" s="13">
        <v>1393677</v>
      </c>
      <c r="Q347" s="13">
        <v>303215</v>
      </c>
      <c r="R347" s="13">
        <v>11248</v>
      </c>
      <c r="S347" s="13">
        <v>0</v>
      </c>
      <c r="T347" s="13">
        <v>33</v>
      </c>
      <c r="U347" s="12" t="str">
        <f t="shared" si="20"/>
        <v>Privado Nacional</v>
      </c>
      <c r="V347" s="14">
        <f t="shared" si="21"/>
        <v>0.7044712222637356</v>
      </c>
      <c r="W347" s="14">
        <f t="shared" si="22"/>
        <v>3.7095790115924343E-2</v>
      </c>
      <c r="X347" s="12" t="str">
        <f t="shared" si="23"/>
        <v>Média/Pequena</v>
      </c>
      <c r="Y347" s="122" t="str" cm="1">
        <f t="array" ref="Y347">_xlfn.IFS(ISNUMBER(W347)=FALSE,"Sem dado",W347&gt;0.075,"Excelente",W347&gt;0.04,"Bom",W347&gt;0,"Fraco",TRUE,"Prejuízo")</f>
        <v>Fraco</v>
      </c>
    </row>
    <row r="348" spans="1:25" ht="15" customHeight="1" x14ac:dyDescent="0.2">
      <c r="A348" s="15" t="s">
        <v>846</v>
      </c>
      <c r="B348" s="60">
        <v>5231945</v>
      </c>
      <c r="C348" s="15"/>
      <c r="D348" s="15"/>
      <c r="E348" s="15"/>
      <c r="F348" s="15" t="s">
        <v>265</v>
      </c>
      <c r="G348" s="34">
        <v>2</v>
      </c>
      <c r="H348" s="34">
        <v>9</v>
      </c>
      <c r="I348" s="15" t="s">
        <v>847</v>
      </c>
      <c r="J348" s="15" t="s">
        <v>229</v>
      </c>
      <c r="K348" s="74" t="s">
        <v>29</v>
      </c>
      <c r="L348" s="16">
        <v>2280870</v>
      </c>
      <c r="M348" s="16">
        <v>1826565</v>
      </c>
      <c r="N348" s="16">
        <v>34231</v>
      </c>
      <c r="O348" s="16">
        <v>1979290</v>
      </c>
      <c r="P348" s="16">
        <v>1221507</v>
      </c>
      <c r="Q348" s="16">
        <v>301580</v>
      </c>
      <c r="R348" s="16">
        <v>37591</v>
      </c>
      <c r="S348" s="16">
        <v>0</v>
      </c>
      <c r="T348" s="16">
        <v>45</v>
      </c>
      <c r="U348" s="15" t="str">
        <f t="shared" si="20"/>
        <v>Privado Nacional</v>
      </c>
      <c r="V348" s="17">
        <f t="shared" si="21"/>
        <v>0.80081942416709417</v>
      </c>
      <c r="W348" s="17">
        <f t="shared" si="22"/>
        <v>0.12464685987134426</v>
      </c>
      <c r="X348" s="15" t="str">
        <f t="shared" si="23"/>
        <v>Média/Pequena</v>
      </c>
      <c r="Y348" s="121" t="str" cm="1">
        <f t="array" ref="Y348">_xlfn.IFS(ISNUMBER(W348)=FALSE,"Sem dado",W348&gt;0.075,"Excelente",W348&gt;0.04,"Bom",W348&gt;0,"Fraco",TRUE,"Prejuízo")</f>
        <v>Excelente</v>
      </c>
    </row>
    <row r="349" spans="1:25" ht="15" customHeight="1" x14ac:dyDescent="0.2">
      <c r="A349" s="12" t="s">
        <v>848</v>
      </c>
      <c r="B349" s="56">
        <v>62931522</v>
      </c>
      <c r="C349" s="12"/>
      <c r="D349" s="12"/>
      <c r="E349" s="12"/>
      <c r="F349" s="12" t="s">
        <v>199</v>
      </c>
      <c r="G349" s="33">
        <v>2</v>
      </c>
      <c r="H349" s="33">
        <v>9</v>
      </c>
      <c r="I349" s="12" t="s">
        <v>38</v>
      </c>
      <c r="J349" s="12" t="s">
        <v>39</v>
      </c>
      <c r="K349" s="73" t="s">
        <v>29</v>
      </c>
      <c r="L349" s="13">
        <v>2256755</v>
      </c>
      <c r="M349" s="13">
        <v>11504</v>
      </c>
      <c r="N349" s="13">
        <v>1499713</v>
      </c>
      <c r="O349" s="13">
        <v>1859368</v>
      </c>
      <c r="P349" s="13">
        <v>1685651</v>
      </c>
      <c r="Q349" s="13">
        <v>397387</v>
      </c>
      <c r="R349" s="13">
        <v>28518</v>
      </c>
      <c r="S349" s="13">
        <v>0</v>
      </c>
      <c r="T349" s="13">
        <v>0</v>
      </c>
      <c r="U349" s="12" t="str">
        <f t="shared" si="20"/>
        <v>Privado Nacional</v>
      </c>
      <c r="V349" s="14">
        <f t="shared" si="21"/>
        <v>5.0975848065031425E-3</v>
      </c>
      <c r="W349" s="14">
        <f t="shared" si="22"/>
        <v>7.1763797003928168E-2</v>
      </c>
      <c r="X349" s="12" t="str">
        <f t="shared" si="23"/>
        <v>Média/Pequena</v>
      </c>
      <c r="Y349" s="122" t="str" cm="1">
        <f t="array" ref="Y349">_xlfn.IFS(ISNUMBER(W349)=FALSE,"Sem dado",W349&gt;0.075,"Excelente",W349&gt;0.04,"Bom",W349&gt;0,"Fraco",TRUE,"Prejuízo")</f>
        <v>Bom</v>
      </c>
    </row>
    <row r="350" spans="1:25" ht="15" customHeight="1" x14ac:dyDescent="0.2">
      <c r="A350" s="15" t="s">
        <v>849</v>
      </c>
      <c r="B350" s="60">
        <v>2663426</v>
      </c>
      <c r="C350" s="15"/>
      <c r="D350" s="15"/>
      <c r="E350" s="15"/>
      <c r="F350" s="15" t="s">
        <v>265</v>
      </c>
      <c r="G350" s="34">
        <v>2</v>
      </c>
      <c r="H350" s="34">
        <v>9</v>
      </c>
      <c r="I350" s="15" t="s">
        <v>850</v>
      </c>
      <c r="J350" s="15" t="s">
        <v>74</v>
      </c>
      <c r="K350" s="74" t="s">
        <v>29</v>
      </c>
      <c r="L350" s="16">
        <v>2231709</v>
      </c>
      <c r="M350" s="16">
        <v>1632367</v>
      </c>
      <c r="N350" s="16">
        <v>88927</v>
      </c>
      <c r="O350" s="16">
        <v>1917925</v>
      </c>
      <c r="P350" s="16">
        <v>1007012</v>
      </c>
      <c r="Q350" s="16">
        <v>313783</v>
      </c>
      <c r="R350" s="16">
        <v>17332</v>
      </c>
      <c r="S350" s="16">
        <v>0</v>
      </c>
      <c r="T350" s="16">
        <v>37</v>
      </c>
      <c r="U350" s="15" t="str">
        <f t="shared" si="20"/>
        <v>Privado Nacional</v>
      </c>
      <c r="V350" s="17">
        <f t="shared" si="21"/>
        <v>0.73144258503236759</v>
      </c>
      <c r="W350" s="17">
        <f t="shared" si="22"/>
        <v>5.5235624619561927E-2</v>
      </c>
      <c r="X350" s="15" t="str">
        <f t="shared" si="23"/>
        <v>Média/Pequena</v>
      </c>
      <c r="Y350" s="121" t="str" cm="1">
        <f t="array" ref="Y350">_xlfn.IFS(ISNUMBER(W350)=FALSE,"Sem dado",W350&gt;0.075,"Excelente",W350&gt;0.04,"Bom",W350&gt;0,"Fraco",TRUE,"Prejuízo")</f>
        <v>Bom</v>
      </c>
    </row>
    <row r="351" spans="1:25" ht="15" customHeight="1" x14ac:dyDescent="0.2">
      <c r="A351" s="12" t="s">
        <v>851</v>
      </c>
      <c r="B351" s="56">
        <v>54401286</v>
      </c>
      <c r="C351" s="12"/>
      <c r="D351" s="12"/>
      <c r="E351" s="12"/>
      <c r="F351" s="12" t="s">
        <v>265</v>
      </c>
      <c r="G351" s="33">
        <v>2</v>
      </c>
      <c r="H351" s="33">
        <v>9</v>
      </c>
      <c r="I351" s="12" t="s">
        <v>852</v>
      </c>
      <c r="J351" s="12" t="s">
        <v>39</v>
      </c>
      <c r="K351" s="73" t="s">
        <v>29</v>
      </c>
      <c r="L351" s="13">
        <v>2214149</v>
      </c>
      <c r="M351" s="13">
        <v>782752</v>
      </c>
      <c r="N351" s="13">
        <v>198782</v>
      </c>
      <c r="O351" s="13">
        <v>1956886</v>
      </c>
      <c r="P351" s="13">
        <v>1776842</v>
      </c>
      <c r="Q351" s="13">
        <v>257262</v>
      </c>
      <c r="R351" s="13">
        <v>19165</v>
      </c>
      <c r="S351" s="13">
        <v>0</v>
      </c>
      <c r="T351" s="13">
        <v>26</v>
      </c>
      <c r="U351" s="12" t="str">
        <f t="shared" si="20"/>
        <v>Privado Nacional</v>
      </c>
      <c r="V351" s="14">
        <f t="shared" si="21"/>
        <v>0.35352273040341908</v>
      </c>
      <c r="W351" s="14">
        <f t="shared" si="22"/>
        <v>7.4496039057458927E-2</v>
      </c>
      <c r="X351" s="12" t="str">
        <f t="shared" si="23"/>
        <v>Média/Pequena</v>
      </c>
      <c r="Y351" s="122" t="str" cm="1">
        <f t="array" ref="Y351">_xlfn.IFS(ISNUMBER(W351)=FALSE,"Sem dado",W351&gt;0.075,"Excelente",W351&gt;0.04,"Bom",W351&gt;0,"Fraco",TRUE,"Prejuízo")</f>
        <v>Bom</v>
      </c>
    </row>
    <row r="352" spans="1:25" ht="15" customHeight="1" x14ac:dyDescent="0.2">
      <c r="A352" s="15" t="s">
        <v>853</v>
      </c>
      <c r="B352" s="60">
        <v>28145829</v>
      </c>
      <c r="C352" s="15" t="s">
        <v>854</v>
      </c>
      <c r="D352" s="15"/>
      <c r="E352" s="15" t="s">
        <v>855</v>
      </c>
      <c r="F352" s="15" t="s">
        <v>52</v>
      </c>
      <c r="G352" s="34">
        <v>1</v>
      </c>
      <c r="H352" s="34">
        <v>5</v>
      </c>
      <c r="I352" s="15" t="s">
        <v>182</v>
      </c>
      <c r="J352" s="15" t="s">
        <v>183</v>
      </c>
      <c r="K352" s="74" t="s">
        <v>29</v>
      </c>
      <c r="L352" s="16">
        <v>2204638</v>
      </c>
      <c r="M352" s="16">
        <v>651323</v>
      </c>
      <c r="N352" s="16">
        <v>825977</v>
      </c>
      <c r="O352" s="16">
        <v>1601581</v>
      </c>
      <c r="P352" s="16">
        <v>748010</v>
      </c>
      <c r="Q352" s="16">
        <v>603057</v>
      </c>
      <c r="R352" s="16">
        <v>8425</v>
      </c>
      <c r="S352" s="16">
        <v>2</v>
      </c>
      <c r="T352" s="16">
        <v>0</v>
      </c>
      <c r="U352" s="15" t="str">
        <f t="shared" si="20"/>
        <v>Público</v>
      </c>
      <c r="V352" s="17">
        <f t="shared" si="21"/>
        <v>0.29543308243802385</v>
      </c>
      <c r="W352" s="17">
        <f t="shared" si="22"/>
        <v>1.3970487035222209E-2</v>
      </c>
      <c r="X352" s="15" t="str">
        <f t="shared" si="23"/>
        <v>Média/Pequena</v>
      </c>
      <c r="Y352" s="121" t="str" cm="1">
        <f t="array" ref="Y352">_xlfn.IFS(ISNUMBER(W352)=FALSE,"Sem dado",W352&gt;0.075,"Excelente",W352&gt;0.04,"Bom",W352&gt;0,"Fraco",TRUE,"Prejuízo")</f>
        <v>Fraco</v>
      </c>
    </row>
    <row r="353" spans="1:25" ht="15" customHeight="1" x14ac:dyDescent="0.2">
      <c r="A353" s="12" t="s">
        <v>856</v>
      </c>
      <c r="B353" s="56">
        <v>51014223</v>
      </c>
      <c r="C353" s="12" t="s">
        <v>46</v>
      </c>
      <c r="D353" s="12" t="s">
        <v>47</v>
      </c>
      <c r="E353" s="12" t="s">
        <v>48</v>
      </c>
      <c r="F353" s="12" t="s">
        <v>98</v>
      </c>
      <c r="G353" s="33">
        <v>3</v>
      </c>
      <c r="H353" s="33">
        <v>15</v>
      </c>
      <c r="I353" s="12" t="s">
        <v>38</v>
      </c>
      <c r="J353" s="12" t="s">
        <v>39</v>
      </c>
      <c r="K353" s="73" t="s">
        <v>29</v>
      </c>
      <c r="L353" s="13">
        <v>2192232</v>
      </c>
      <c r="M353" s="13">
        <v>0</v>
      </c>
      <c r="N353" s="13">
        <v>902283</v>
      </c>
      <c r="O353" s="13">
        <v>1021773</v>
      </c>
      <c r="P353" s="13">
        <v>0</v>
      </c>
      <c r="Q353" s="13">
        <v>1170459</v>
      </c>
      <c r="R353" s="13">
        <v>64891</v>
      </c>
      <c r="S353" s="13">
        <v>3</v>
      </c>
      <c r="T353" s="13">
        <v>0</v>
      </c>
      <c r="U353" s="12" t="str">
        <f t="shared" si="20"/>
        <v>Privado Estrangeiro</v>
      </c>
      <c r="V353" s="14">
        <f t="shared" si="21"/>
        <v>0</v>
      </c>
      <c r="W353" s="14">
        <f t="shared" si="22"/>
        <v>5.5440643371532025E-2</v>
      </c>
      <c r="X353" s="12" t="str">
        <f t="shared" si="23"/>
        <v>Média/Pequena</v>
      </c>
      <c r="Y353" s="122" t="str" cm="1">
        <f t="array" ref="Y353">_xlfn.IFS(ISNUMBER(W353)=FALSE,"Sem dado",W353&gt;0.075,"Excelente",W353&gt;0.04,"Bom",W353&gt;0,"Fraco",TRUE,"Prejuízo")</f>
        <v>Bom</v>
      </c>
    </row>
    <row r="354" spans="1:25" ht="15" customHeight="1" x14ac:dyDescent="0.2">
      <c r="A354" s="15" t="s">
        <v>857</v>
      </c>
      <c r="B354" s="60">
        <v>82937293</v>
      </c>
      <c r="C354" s="15" t="s">
        <v>858</v>
      </c>
      <c r="D354" s="15"/>
      <c r="E354" s="15" t="s">
        <v>859</v>
      </c>
      <c r="F354" s="15" t="s">
        <v>65</v>
      </c>
      <c r="G354" s="34">
        <v>1</v>
      </c>
      <c r="H354" s="34">
        <v>30</v>
      </c>
      <c r="I354" s="15" t="s">
        <v>216</v>
      </c>
      <c r="J354" s="15" t="s">
        <v>217</v>
      </c>
      <c r="K354" s="74" t="s">
        <v>29</v>
      </c>
      <c r="L354" s="16">
        <v>2183080</v>
      </c>
      <c r="M354" s="16">
        <v>1582014</v>
      </c>
      <c r="N354" s="16">
        <v>512239</v>
      </c>
      <c r="O354" s="16">
        <v>994503</v>
      </c>
      <c r="P354" s="16">
        <v>848911</v>
      </c>
      <c r="Q354" s="16">
        <v>1188577</v>
      </c>
      <c r="R354" s="16">
        <v>41517</v>
      </c>
      <c r="S354" s="16">
        <v>2</v>
      </c>
      <c r="T354" s="16">
        <v>0</v>
      </c>
      <c r="U354" s="15" t="str">
        <f t="shared" si="20"/>
        <v>Público</v>
      </c>
      <c r="V354" s="17">
        <f t="shared" si="21"/>
        <v>0.72467064880810594</v>
      </c>
      <c r="W354" s="17">
        <f t="shared" si="22"/>
        <v>3.4930004534834511E-2</v>
      </c>
      <c r="X354" s="15" t="str">
        <f t="shared" si="23"/>
        <v>Média/Pequena</v>
      </c>
      <c r="Y354" s="121" t="str" cm="1">
        <f t="array" ref="Y354">_xlfn.IFS(ISNUMBER(W354)=FALSE,"Sem dado",W354&gt;0.075,"Excelente",W354&gt;0.04,"Bom",W354&gt;0,"Fraco",TRUE,"Prejuízo")</f>
        <v>Fraco</v>
      </c>
    </row>
    <row r="355" spans="1:25" ht="15" customHeight="1" x14ac:dyDescent="0.2">
      <c r="A355" s="12" t="s">
        <v>860</v>
      </c>
      <c r="B355" s="56">
        <v>87780284</v>
      </c>
      <c r="C355" s="12"/>
      <c r="D355" s="12"/>
      <c r="E355" s="12"/>
      <c r="F355" s="12" t="s">
        <v>265</v>
      </c>
      <c r="G355" s="33">
        <v>2</v>
      </c>
      <c r="H355" s="33">
        <v>9</v>
      </c>
      <c r="I355" s="12" t="s">
        <v>861</v>
      </c>
      <c r="J355" s="12" t="s">
        <v>74</v>
      </c>
      <c r="K355" s="73" t="s">
        <v>29</v>
      </c>
      <c r="L355" s="13">
        <v>2176444</v>
      </c>
      <c r="M355" s="13">
        <v>1313914</v>
      </c>
      <c r="N355" s="13">
        <v>787211</v>
      </c>
      <c r="O355" s="13">
        <v>1726805</v>
      </c>
      <c r="P355" s="13">
        <v>1112519</v>
      </c>
      <c r="Q355" s="13">
        <v>449638</v>
      </c>
      <c r="R355" s="13">
        <v>31026</v>
      </c>
      <c r="S355" s="13">
        <v>0</v>
      </c>
      <c r="T355" s="13">
        <v>29</v>
      </c>
      <c r="U355" s="12" t="str">
        <f t="shared" si="20"/>
        <v>Privado Nacional</v>
      </c>
      <c r="V355" s="14">
        <f t="shared" si="21"/>
        <v>0.60369759111651855</v>
      </c>
      <c r="W355" s="14">
        <f t="shared" si="22"/>
        <v>6.9002175083066816E-2</v>
      </c>
      <c r="X355" s="12" t="str">
        <f t="shared" si="23"/>
        <v>Média/Pequena</v>
      </c>
      <c r="Y355" s="122" t="str" cm="1">
        <f t="array" ref="Y355">_xlfn.IFS(ISNUMBER(W355)=FALSE,"Sem dado",W355&gt;0.075,"Excelente",W355&gt;0.04,"Bom",W355&gt;0,"Fraco",TRUE,"Prejuízo")</f>
        <v>Bom</v>
      </c>
    </row>
    <row r="356" spans="1:25" ht="15" customHeight="1" x14ac:dyDescent="0.2">
      <c r="A356" s="15" t="s">
        <v>862</v>
      </c>
      <c r="B356" s="60">
        <v>61820817</v>
      </c>
      <c r="C356" s="15" t="s">
        <v>863</v>
      </c>
      <c r="D356" s="15"/>
      <c r="E356" s="15" t="s">
        <v>864</v>
      </c>
      <c r="F356" s="15" t="s">
        <v>26</v>
      </c>
      <c r="G356" s="34">
        <v>2</v>
      </c>
      <c r="H356" s="34">
        <v>8</v>
      </c>
      <c r="I356" s="15" t="s">
        <v>38</v>
      </c>
      <c r="J356" s="15" t="s">
        <v>39</v>
      </c>
      <c r="K356" s="74" t="s">
        <v>29</v>
      </c>
      <c r="L356" s="16">
        <v>2170003</v>
      </c>
      <c r="M356" s="16">
        <v>1045362</v>
      </c>
      <c r="N356" s="16">
        <v>545564</v>
      </c>
      <c r="O356" s="16">
        <v>2052908</v>
      </c>
      <c r="P356" s="16">
        <v>1839582</v>
      </c>
      <c r="Q356" s="16">
        <v>117095</v>
      </c>
      <c r="R356" s="16">
        <v>-27383</v>
      </c>
      <c r="S356" s="16">
        <v>2</v>
      </c>
      <c r="T356" s="16">
        <v>0</v>
      </c>
      <c r="U356" s="15" t="str">
        <f t="shared" si="20"/>
        <v>Privado Nacional</v>
      </c>
      <c r="V356" s="17">
        <f t="shared" si="21"/>
        <v>0.48173297456270797</v>
      </c>
      <c r="W356" s="17">
        <f t="shared" si="22"/>
        <v>-0.23385285451983431</v>
      </c>
      <c r="X356" s="15" t="str">
        <f t="shared" si="23"/>
        <v>Média/Pequena</v>
      </c>
      <c r="Y356" s="121" t="str" cm="1">
        <f t="array" ref="Y356">_xlfn.IFS(ISNUMBER(W356)=FALSE,"Sem dado",W356&gt;0.075,"Excelente",W356&gt;0.04,"Bom",W356&gt;0,"Fraco",TRUE,"Prejuízo")</f>
        <v>Prejuízo</v>
      </c>
    </row>
    <row r="357" spans="1:25" ht="15" customHeight="1" x14ac:dyDescent="0.2">
      <c r="A357" s="12" t="s">
        <v>865</v>
      </c>
      <c r="B357" s="56">
        <v>21018182</v>
      </c>
      <c r="C357" s="12" t="s">
        <v>866</v>
      </c>
      <c r="D357" s="12"/>
      <c r="E357" s="12" t="s">
        <v>867</v>
      </c>
      <c r="F357" s="12" t="s">
        <v>84</v>
      </c>
      <c r="G357" s="33">
        <v>2</v>
      </c>
      <c r="H357" s="33">
        <v>41</v>
      </c>
      <c r="I357" s="12" t="s">
        <v>228</v>
      </c>
      <c r="J357" s="12" t="s">
        <v>229</v>
      </c>
      <c r="K357" s="73" t="s">
        <v>29</v>
      </c>
      <c r="L357" s="13">
        <v>2157397</v>
      </c>
      <c r="M357" s="13">
        <v>0</v>
      </c>
      <c r="N357" s="13">
        <v>0</v>
      </c>
      <c r="O357" s="13">
        <v>1996003</v>
      </c>
      <c r="P357" s="13">
        <v>1964375</v>
      </c>
      <c r="Q357" s="13">
        <v>161393</v>
      </c>
      <c r="R357" s="13">
        <v>59138</v>
      </c>
      <c r="S357" s="13">
        <v>1</v>
      </c>
      <c r="T357" s="13">
        <v>0</v>
      </c>
      <c r="U357" s="12" t="str">
        <f t="shared" si="20"/>
        <v>Privado Nacional</v>
      </c>
      <c r="V357" s="14">
        <f t="shared" si="21"/>
        <v>0</v>
      </c>
      <c r="W357" s="14">
        <f t="shared" si="22"/>
        <v>0.36642233554119447</v>
      </c>
      <c r="X357" s="12" t="str">
        <f t="shared" si="23"/>
        <v>Média/Pequena</v>
      </c>
      <c r="Y357" s="122" t="str" cm="1">
        <f t="array" ref="Y357">_xlfn.IFS(ISNUMBER(W357)=FALSE,"Sem dado",W357&gt;0.075,"Excelente",W357&gt;0.04,"Bom",W357&gt;0,"Fraco",TRUE,"Prejuízo")</f>
        <v>Excelente</v>
      </c>
    </row>
    <row r="358" spans="1:25" ht="15" customHeight="1" x14ac:dyDescent="0.2">
      <c r="A358" s="15" t="s">
        <v>868</v>
      </c>
      <c r="B358" s="60">
        <v>80959612</v>
      </c>
      <c r="C358" s="15"/>
      <c r="D358" s="15"/>
      <c r="E358" s="15"/>
      <c r="F358" s="15" t="s">
        <v>265</v>
      </c>
      <c r="G358" s="34">
        <v>2</v>
      </c>
      <c r="H358" s="34">
        <v>9</v>
      </c>
      <c r="I358" s="15" t="s">
        <v>869</v>
      </c>
      <c r="J358" s="15" t="s">
        <v>217</v>
      </c>
      <c r="K358" s="74" t="s">
        <v>29</v>
      </c>
      <c r="L358" s="16">
        <v>2154951</v>
      </c>
      <c r="M358" s="16">
        <v>974601</v>
      </c>
      <c r="N358" s="16">
        <v>47390</v>
      </c>
      <c r="O358" s="16">
        <v>1892976</v>
      </c>
      <c r="P358" s="16">
        <v>1562785</v>
      </c>
      <c r="Q358" s="16">
        <v>261975</v>
      </c>
      <c r="R358" s="16">
        <v>28866</v>
      </c>
      <c r="S358" s="16">
        <v>0</v>
      </c>
      <c r="T358" s="16">
        <v>29</v>
      </c>
      <c r="U358" s="15" t="str">
        <f t="shared" si="20"/>
        <v>Privado Nacional</v>
      </c>
      <c r="V358" s="17">
        <f t="shared" si="21"/>
        <v>0.45226132751974407</v>
      </c>
      <c r="W358" s="17">
        <f t="shared" si="22"/>
        <v>0.11018608645863155</v>
      </c>
      <c r="X358" s="15" t="str">
        <f t="shared" si="23"/>
        <v>Média/Pequena</v>
      </c>
      <c r="Y358" s="121" t="str" cm="1">
        <f t="array" ref="Y358">_xlfn.IFS(ISNUMBER(W358)=FALSE,"Sem dado",W358&gt;0.075,"Excelente",W358&gt;0.04,"Bom",W358&gt;0,"Fraco",TRUE,"Prejuízo")</f>
        <v>Excelente</v>
      </c>
    </row>
    <row r="359" spans="1:25" ht="15" customHeight="1" x14ac:dyDescent="0.2">
      <c r="A359" s="12" t="s">
        <v>870</v>
      </c>
      <c r="B359" s="56">
        <v>9605581</v>
      </c>
      <c r="C359" s="12" t="s">
        <v>201</v>
      </c>
      <c r="D359" s="12" t="s">
        <v>202</v>
      </c>
      <c r="E359" s="12" t="s">
        <v>203</v>
      </c>
      <c r="F359" s="12" t="s">
        <v>98</v>
      </c>
      <c r="G359" s="33">
        <v>3</v>
      </c>
      <c r="H359" s="33">
        <v>15</v>
      </c>
      <c r="I359" s="12" t="s">
        <v>38</v>
      </c>
      <c r="J359" s="12" t="s">
        <v>39</v>
      </c>
      <c r="K359" s="73" t="s">
        <v>29</v>
      </c>
      <c r="L359" s="13">
        <v>2143538</v>
      </c>
      <c r="M359" s="13">
        <v>0</v>
      </c>
      <c r="N359" s="13">
        <v>44462</v>
      </c>
      <c r="O359" s="13">
        <v>788291</v>
      </c>
      <c r="P359" s="13">
        <v>16063</v>
      </c>
      <c r="Q359" s="13">
        <v>1355248</v>
      </c>
      <c r="R359" s="13">
        <v>223811</v>
      </c>
      <c r="S359" s="13">
        <v>2</v>
      </c>
      <c r="T359" s="13">
        <v>0</v>
      </c>
      <c r="U359" s="12" t="str">
        <f t="shared" si="20"/>
        <v>Privado Estrangeiro</v>
      </c>
      <c r="V359" s="14">
        <f t="shared" si="21"/>
        <v>0</v>
      </c>
      <c r="W359" s="14">
        <f t="shared" si="22"/>
        <v>0.16514394413421013</v>
      </c>
      <c r="X359" s="12" t="str">
        <f t="shared" si="23"/>
        <v>Média/Pequena</v>
      </c>
      <c r="Y359" s="122" t="str" cm="1">
        <f t="array" ref="Y359">_xlfn.IFS(ISNUMBER(W359)=FALSE,"Sem dado",W359&gt;0.075,"Excelente",W359&gt;0.04,"Bom",W359&gt;0,"Fraco",TRUE,"Prejuízo")</f>
        <v>Excelente</v>
      </c>
    </row>
    <row r="360" spans="1:25" ht="15" customHeight="1" x14ac:dyDescent="0.2">
      <c r="A360" s="15" t="s">
        <v>871</v>
      </c>
      <c r="B360" s="60">
        <v>966246</v>
      </c>
      <c r="C360" s="15"/>
      <c r="D360" s="15"/>
      <c r="E360" s="15"/>
      <c r="F360" s="15" t="s">
        <v>265</v>
      </c>
      <c r="G360" s="34">
        <v>2</v>
      </c>
      <c r="H360" s="34">
        <v>9</v>
      </c>
      <c r="I360" s="15" t="s">
        <v>872</v>
      </c>
      <c r="J360" s="15" t="s">
        <v>39</v>
      </c>
      <c r="K360" s="74" t="s">
        <v>29</v>
      </c>
      <c r="L360" s="16">
        <v>2125774</v>
      </c>
      <c r="M360" s="16">
        <v>904589</v>
      </c>
      <c r="N360" s="16">
        <v>71693</v>
      </c>
      <c r="O360" s="16">
        <v>1857684</v>
      </c>
      <c r="P360" s="16">
        <v>1745211</v>
      </c>
      <c r="Q360" s="16">
        <v>268090</v>
      </c>
      <c r="R360" s="16">
        <v>16434</v>
      </c>
      <c r="S360" s="16">
        <v>0</v>
      </c>
      <c r="T360" s="16">
        <v>33</v>
      </c>
      <c r="U360" s="15" t="str">
        <f t="shared" si="20"/>
        <v>Privado Nacional</v>
      </c>
      <c r="V360" s="17">
        <f t="shared" si="21"/>
        <v>0.42553394669423938</v>
      </c>
      <c r="W360" s="17">
        <f t="shared" si="22"/>
        <v>6.1300309597523223E-2</v>
      </c>
      <c r="X360" s="15" t="str">
        <f t="shared" si="23"/>
        <v>Média/Pequena</v>
      </c>
      <c r="Y360" s="121" t="str" cm="1">
        <f t="array" ref="Y360">_xlfn.IFS(ISNUMBER(W360)=FALSE,"Sem dado",W360&gt;0.075,"Excelente",W360&gt;0.04,"Bom",W360&gt;0,"Fraco",TRUE,"Prejuízo")</f>
        <v>Bom</v>
      </c>
    </row>
    <row r="361" spans="1:25" ht="15" customHeight="1" x14ac:dyDescent="0.2">
      <c r="A361" s="12" t="s">
        <v>873</v>
      </c>
      <c r="B361" s="56">
        <v>1635462</v>
      </c>
      <c r="C361" s="12"/>
      <c r="D361" s="12"/>
      <c r="E361" s="12"/>
      <c r="F361" s="12" t="s">
        <v>265</v>
      </c>
      <c r="G361" s="33">
        <v>2</v>
      </c>
      <c r="H361" s="33">
        <v>9</v>
      </c>
      <c r="I361" s="12" t="s">
        <v>535</v>
      </c>
      <c r="J361" s="12" t="s">
        <v>74</v>
      </c>
      <c r="K361" s="73" t="s">
        <v>29</v>
      </c>
      <c r="L361" s="13">
        <v>2124274</v>
      </c>
      <c r="M361" s="13">
        <v>1147812</v>
      </c>
      <c r="N361" s="13">
        <v>43818</v>
      </c>
      <c r="O361" s="13">
        <v>1882619</v>
      </c>
      <c r="P361" s="13">
        <v>1717917</v>
      </c>
      <c r="Q361" s="13">
        <v>241655</v>
      </c>
      <c r="R361" s="13">
        <v>4580</v>
      </c>
      <c r="S361" s="13">
        <v>0</v>
      </c>
      <c r="T361" s="13">
        <v>29</v>
      </c>
      <c r="U361" s="12" t="str">
        <f t="shared" si="20"/>
        <v>Privado Nacional</v>
      </c>
      <c r="V361" s="14">
        <f t="shared" si="21"/>
        <v>0.54033142617195329</v>
      </c>
      <c r="W361" s="14">
        <f t="shared" si="22"/>
        <v>1.8952639092921726E-2</v>
      </c>
      <c r="X361" s="12" t="str">
        <f t="shared" si="23"/>
        <v>Média/Pequena</v>
      </c>
      <c r="Y361" s="122" t="str" cm="1">
        <f t="array" ref="Y361">_xlfn.IFS(ISNUMBER(W361)=FALSE,"Sem dado",W361&gt;0.075,"Excelente",W361&gt;0.04,"Bom",W361&gt;0,"Fraco",TRUE,"Prejuízo")</f>
        <v>Fraco</v>
      </c>
    </row>
    <row r="362" spans="1:25" ht="15" customHeight="1" x14ac:dyDescent="0.2">
      <c r="A362" s="15" t="s">
        <v>874</v>
      </c>
      <c r="B362" s="60">
        <v>71698674</v>
      </c>
      <c r="C362" s="15"/>
      <c r="D362" s="15"/>
      <c r="E362" s="15"/>
      <c r="F362" s="15" t="s">
        <v>265</v>
      </c>
      <c r="G362" s="34">
        <v>2</v>
      </c>
      <c r="H362" s="34">
        <v>9</v>
      </c>
      <c r="I362" s="15" t="s">
        <v>875</v>
      </c>
      <c r="J362" s="15" t="s">
        <v>39</v>
      </c>
      <c r="K362" s="74" t="s">
        <v>29</v>
      </c>
      <c r="L362" s="16">
        <v>2112327</v>
      </c>
      <c r="M362" s="16">
        <v>1324407</v>
      </c>
      <c r="N362" s="16">
        <v>46547</v>
      </c>
      <c r="O362" s="16">
        <v>1877460</v>
      </c>
      <c r="P362" s="16">
        <v>1800369</v>
      </c>
      <c r="Q362" s="16">
        <v>234867</v>
      </c>
      <c r="R362" s="16">
        <v>17951</v>
      </c>
      <c r="S362" s="16">
        <v>0</v>
      </c>
      <c r="T362" s="16">
        <v>34</v>
      </c>
      <c r="U362" s="15" t="str">
        <f t="shared" si="20"/>
        <v>Privado Nacional</v>
      </c>
      <c r="V362" s="17">
        <f t="shared" si="21"/>
        <v>0.62698957121695642</v>
      </c>
      <c r="W362" s="17">
        <f t="shared" si="22"/>
        <v>7.643049044778534E-2</v>
      </c>
      <c r="X362" s="15" t="str">
        <f t="shared" si="23"/>
        <v>Média/Pequena</v>
      </c>
      <c r="Y362" s="121" t="str" cm="1">
        <f t="array" ref="Y362">_xlfn.IFS(ISNUMBER(W362)=FALSE,"Sem dado",W362&gt;0.075,"Excelente",W362&gt;0.04,"Bom",W362&gt;0,"Fraco",TRUE,"Prejuízo")</f>
        <v>Excelente</v>
      </c>
    </row>
    <row r="363" spans="1:25" ht="15" customHeight="1" x14ac:dyDescent="0.2">
      <c r="A363" s="12" t="s">
        <v>876</v>
      </c>
      <c r="B363" s="56">
        <v>3816413</v>
      </c>
      <c r="C363" s="12" t="s">
        <v>877</v>
      </c>
      <c r="D363" s="12"/>
      <c r="E363" s="12" t="s">
        <v>878</v>
      </c>
      <c r="F363" s="12" t="s">
        <v>84</v>
      </c>
      <c r="G363" s="33">
        <v>3</v>
      </c>
      <c r="H363" s="33">
        <v>41</v>
      </c>
      <c r="I363" s="12" t="s">
        <v>281</v>
      </c>
      <c r="J363" s="12" t="s">
        <v>217</v>
      </c>
      <c r="K363" s="73" t="s">
        <v>29</v>
      </c>
      <c r="L363" s="13">
        <v>2109510</v>
      </c>
      <c r="M363" s="13">
        <v>0</v>
      </c>
      <c r="N363" s="13">
        <v>191164</v>
      </c>
      <c r="O363" s="13">
        <v>2045068</v>
      </c>
      <c r="P363" s="13">
        <v>124953</v>
      </c>
      <c r="Q363" s="13">
        <v>64442</v>
      </c>
      <c r="R363" s="13">
        <v>-35742</v>
      </c>
      <c r="S363" s="13">
        <v>1</v>
      </c>
      <c r="T363" s="13">
        <v>0</v>
      </c>
      <c r="U363" s="12" t="str">
        <f t="shared" si="20"/>
        <v>Privado Estrangeiro</v>
      </c>
      <c r="V363" s="14">
        <f t="shared" si="21"/>
        <v>0</v>
      </c>
      <c r="W363" s="14">
        <f t="shared" si="22"/>
        <v>-0.55463827938301113</v>
      </c>
      <c r="X363" s="12" t="str">
        <f t="shared" si="23"/>
        <v>Média/Pequena</v>
      </c>
      <c r="Y363" s="122" t="str" cm="1">
        <f t="array" ref="Y363">_xlfn.IFS(ISNUMBER(W363)=FALSE,"Sem dado",W363&gt;0.075,"Excelente",W363&gt;0.04,"Bom",W363&gt;0,"Fraco",TRUE,"Prejuízo")</f>
        <v>Prejuízo</v>
      </c>
    </row>
    <row r="364" spans="1:25" ht="15" customHeight="1" x14ac:dyDescent="0.2">
      <c r="A364" s="15" t="s">
        <v>879</v>
      </c>
      <c r="B364" s="60">
        <v>80230774</v>
      </c>
      <c r="C364" s="15"/>
      <c r="D364" s="15"/>
      <c r="E364" s="15"/>
      <c r="F364" s="15" t="s">
        <v>199</v>
      </c>
      <c r="G364" s="34">
        <v>2</v>
      </c>
      <c r="H364" s="34">
        <v>9</v>
      </c>
      <c r="I364" s="15" t="s">
        <v>228</v>
      </c>
      <c r="J364" s="15" t="s">
        <v>229</v>
      </c>
      <c r="K364" s="74" t="s">
        <v>29</v>
      </c>
      <c r="L364" s="16">
        <v>2094137</v>
      </c>
      <c r="M364" s="16">
        <v>0</v>
      </c>
      <c r="N364" s="16">
        <v>794279</v>
      </c>
      <c r="O364" s="16">
        <v>169540</v>
      </c>
      <c r="P364" s="16">
        <v>16615</v>
      </c>
      <c r="Q364" s="16">
        <v>1924597</v>
      </c>
      <c r="R364" s="16">
        <v>0</v>
      </c>
      <c r="S364" s="16">
        <v>0</v>
      </c>
      <c r="T364" s="16">
        <v>0</v>
      </c>
      <c r="U364" s="15" t="str">
        <f t="shared" si="20"/>
        <v>Privado Nacional</v>
      </c>
      <c r="V364" s="17">
        <f t="shared" si="21"/>
        <v>0</v>
      </c>
      <c r="W364" s="17">
        <f t="shared" si="22"/>
        <v>0</v>
      </c>
      <c r="X364" s="15" t="str">
        <f t="shared" si="23"/>
        <v>Média/Pequena</v>
      </c>
      <c r="Y364" s="121" t="str" cm="1">
        <f t="array" ref="Y364">_xlfn.IFS(ISNUMBER(W364)=FALSE,"Sem dado",W364&gt;0.075,"Excelente",W364&gt;0.04,"Bom",W364&gt;0,"Fraco",TRUE,"Prejuízo")</f>
        <v>Prejuízo</v>
      </c>
    </row>
    <row r="365" spans="1:25" ht="15" customHeight="1" x14ac:dyDescent="0.2">
      <c r="A365" s="12" t="s">
        <v>880</v>
      </c>
      <c r="B365" s="56">
        <v>72257793</v>
      </c>
      <c r="C365" s="12"/>
      <c r="D365" s="12"/>
      <c r="E365" s="12"/>
      <c r="F365" s="12" t="s">
        <v>265</v>
      </c>
      <c r="G365" s="33">
        <v>2</v>
      </c>
      <c r="H365" s="33">
        <v>9</v>
      </c>
      <c r="I365" s="12" t="s">
        <v>132</v>
      </c>
      <c r="J365" s="12" t="s">
        <v>133</v>
      </c>
      <c r="K365" s="73" t="s">
        <v>29</v>
      </c>
      <c r="L365" s="13">
        <v>2090920</v>
      </c>
      <c r="M365" s="13">
        <v>698461</v>
      </c>
      <c r="N365" s="13">
        <v>1113732</v>
      </c>
      <c r="O365" s="13">
        <v>1815428</v>
      </c>
      <c r="P365" s="13">
        <v>1553714</v>
      </c>
      <c r="Q365" s="13">
        <v>275492</v>
      </c>
      <c r="R365" s="13">
        <v>32069</v>
      </c>
      <c r="S365" s="13">
        <v>0</v>
      </c>
      <c r="T365" s="13">
        <v>26</v>
      </c>
      <c r="U365" s="12" t="str">
        <f t="shared" si="20"/>
        <v>Privado Nacional</v>
      </c>
      <c r="V365" s="14">
        <f t="shared" si="21"/>
        <v>0.33404482237483979</v>
      </c>
      <c r="W365" s="14">
        <f t="shared" si="22"/>
        <v>0.11640628403002629</v>
      </c>
      <c r="X365" s="12" t="str">
        <f t="shared" si="23"/>
        <v>Média/Pequena</v>
      </c>
      <c r="Y365" s="122" t="str" cm="1">
        <f t="array" ref="Y365">_xlfn.IFS(ISNUMBER(W365)=FALSE,"Sem dado",W365&gt;0.075,"Excelente",W365&gt;0.04,"Bom",W365&gt;0,"Fraco",TRUE,"Prejuízo")</f>
        <v>Excelente</v>
      </c>
    </row>
    <row r="366" spans="1:25" ht="15" customHeight="1" x14ac:dyDescent="0.2">
      <c r="A366" s="15" t="s">
        <v>881</v>
      </c>
      <c r="B366" s="60">
        <v>34148882</v>
      </c>
      <c r="C366" s="15"/>
      <c r="D366" s="15"/>
      <c r="E366" s="15"/>
      <c r="F366" s="15" t="s">
        <v>199</v>
      </c>
      <c r="G366" s="34">
        <v>2</v>
      </c>
      <c r="H366" s="34">
        <v>9</v>
      </c>
      <c r="I366" s="15" t="s">
        <v>210</v>
      </c>
      <c r="J366" s="15" t="s">
        <v>211</v>
      </c>
      <c r="K366" s="74" t="s">
        <v>29</v>
      </c>
      <c r="L366" s="16">
        <v>2085622</v>
      </c>
      <c r="M366" s="16">
        <v>15897</v>
      </c>
      <c r="N366" s="16">
        <v>526181</v>
      </c>
      <c r="O366" s="16">
        <v>1902551</v>
      </c>
      <c r="P366" s="16">
        <v>115098</v>
      </c>
      <c r="Q366" s="16">
        <v>183070</v>
      </c>
      <c r="R366" s="16">
        <v>8344</v>
      </c>
      <c r="S366" s="16">
        <v>0</v>
      </c>
      <c r="T366" s="16">
        <v>0</v>
      </c>
      <c r="U366" s="15" t="str">
        <f t="shared" si="20"/>
        <v>Privado Nacional</v>
      </c>
      <c r="V366" s="17">
        <f t="shared" si="21"/>
        <v>7.6221865707208685E-3</v>
      </c>
      <c r="W366" s="17">
        <f t="shared" si="22"/>
        <v>4.5578194133391599E-2</v>
      </c>
      <c r="X366" s="15" t="str">
        <f t="shared" si="23"/>
        <v>Média/Pequena</v>
      </c>
      <c r="Y366" s="121" t="str" cm="1">
        <f t="array" ref="Y366">_xlfn.IFS(ISNUMBER(W366)=FALSE,"Sem dado",W366&gt;0.075,"Excelente",W366&gt;0.04,"Bom",W366&gt;0,"Fraco",TRUE,"Prejuízo")</f>
        <v>Bom</v>
      </c>
    </row>
    <row r="367" spans="1:25" ht="15" customHeight="1" x14ac:dyDescent="0.2">
      <c r="A367" s="12" t="s">
        <v>882</v>
      </c>
      <c r="B367" s="56">
        <v>67960229</v>
      </c>
      <c r="C367" s="12"/>
      <c r="D367" s="12"/>
      <c r="E367" s="12"/>
      <c r="F367" s="12" t="s">
        <v>265</v>
      </c>
      <c r="G367" s="33">
        <v>2</v>
      </c>
      <c r="H367" s="33">
        <v>9</v>
      </c>
      <c r="I367" s="12" t="s">
        <v>883</v>
      </c>
      <c r="J367" s="12" t="s">
        <v>39</v>
      </c>
      <c r="K367" s="73" t="s">
        <v>29</v>
      </c>
      <c r="L367" s="13">
        <v>2084882</v>
      </c>
      <c r="M367" s="13">
        <v>800711</v>
      </c>
      <c r="N367" s="13">
        <v>48694</v>
      </c>
      <c r="O367" s="13">
        <v>1790686</v>
      </c>
      <c r="P367" s="13">
        <v>1747783</v>
      </c>
      <c r="Q367" s="13">
        <v>294196</v>
      </c>
      <c r="R367" s="13">
        <v>21287</v>
      </c>
      <c r="S367" s="13">
        <v>0</v>
      </c>
      <c r="T367" s="13">
        <v>36</v>
      </c>
      <c r="U367" s="12" t="str">
        <f t="shared" si="20"/>
        <v>Privado Nacional</v>
      </c>
      <c r="V367" s="14">
        <f t="shared" si="21"/>
        <v>0.38405578828921733</v>
      </c>
      <c r="W367" s="14">
        <f t="shared" si="22"/>
        <v>7.2356524221947272E-2</v>
      </c>
      <c r="X367" s="12" t="str">
        <f t="shared" si="23"/>
        <v>Média/Pequena</v>
      </c>
      <c r="Y367" s="122" t="str" cm="1">
        <f t="array" ref="Y367">_xlfn.IFS(ISNUMBER(W367)=FALSE,"Sem dado",W367&gt;0.075,"Excelente",W367&gt;0.04,"Bom",W367&gt;0,"Fraco",TRUE,"Prejuízo")</f>
        <v>Bom</v>
      </c>
    </row>
    <row r="368" spans="1:25" ht="15" customHeight="1" x14ac:dyDescent="0.2">
      <c r="A368" s="15" t="s">
        <v>884</v>
      </c>
      <c r="B368" s="60">
        <v>33851205</v>
      </c>
      <c r="C368" s="15" t="s">
        <v>109</v>
      </c>
      <c r="D368" s="15" t="s">
        <v>110</v>
      </c>
      <c r="E368" s="15" t="s">
        <v>111</v>
      </c>
      <c r="F368" s="15" t="s">
        <v>98</v>
      </c>
      <c r="G368" s="34">
        <v>3</v>
      </c>
      <c r="H368" s="34">
        <v>16</v>
      </c>
      <c r="I368" s="15" t="s">
        <v>38</v>
      </c>
      <c r="J368" s="15" t="s">
        <v>39</v>
      </c>
      <c r="K368" s="74" t="s">
        <v>29</v>
      </c>
      <c r="L368" s="16">
        <v>2074544</v>
      </c>
      <c r="M368" s="16">
        <v>0</v>
      </c>
      <c r="N368" s="16">
        <v>0</v>
      </c>
      <c r="O368" s="16">
        <v>1249318</v>
      </c>
      <c r="P368" s="16">
        <v>1161536</v>
      </c>
      <c r="Q368" s="16">
        <v>825226</v>
      </c>
      <c r="R368" s="16">
        <v>83778</v>
      </c>
      <c r="S368" s="16">
        <v>2</v>
      </c>
      <c r="T368" s="16">
        <v>0</v>
      </c>
      <c r="U368" s="15" t="str">
        <f t="shared" si="20"/>
        <v>Privado Estrangeiro</v>
      </c>
      <c r="V368" s="17">
        <f t="shared" si="21"/>
        <v>0</v>
      </c>
      <c r="W368" s="17">
        <f t="shared" si="22"/>
        <v>0.10152128023111244</v>
      </c>
      <c r="X368" s="15" t="str">
        <f t="shared" si="23"/>
        <v>Média/Pequena</v>
      </c>
      <c r="Y368" s="121" t="str" cm="1">
        <f t="array" ref="Y368">_xlfn.IFS(ISNUMBER(W368)=FALSE,"Sem dado",W368&gt;0.075,"Excelente",W368&gt;0.04,"Bom",W368&gt;0,"Fraco",TRUE,"Prejuízo")</f>
        <v>Excelente</v>
      </c>
    </row>
    <row r="369" spans="1:25" ht="15" customHeight="1" x14ac:dyDescent="0.2">
      <c r="A369" s="12" t="s">
        <v>885</v>
      </c>
      <c r="B369" s="56">
        <v>7679404</v>
      </c>
      <c r="C369" s="12" t="s">
        <v>886</v>
      </c>
      <c r="D369" s="12"/>
      <c r="E369" s="12" t="s">
        <v>887</v>
      </c>
      <c r="F369" s="12" t="s">
        <v>26</v>
      </c>
      <c r="G369" s="33">
        <v>3</v>
      </c>
      <c r="H369" s="33">
        <v>8</v>
      </c>
      <c r="I369" s="12" t="s">
        <v>73</v>
      </c>
      <c r="J369" s="12" t="s">
        <v>74</v>
      </c>
      <c r="K369" s="73" t="s">
        <v>29</v>
      </c>
      <c r="L369" s="13">
        <v>2041569</v>
      </c>
      <c r="M369" s="13">
        <v>99971</v>
      </c>
      <c r="N369" s="13">
        <v>569662</v>
      </c>
      <c r="O369" s="13">
        <v>1761464</v>
      </c>
      <c r="P369" s="13">
        <v>1582068</v>
      </c>
      <c r="Q369" s="13">
        <v>280104</v>
      </c>
      <c r="R369" s="13">
        <v>-4355</v>
      </c>
      <c r="S369" s="13">
        <v>2</v>
      </c>
      <c r="T369" s="13">
        <v>0</v>
      </c>
      <c r="U369" s="12" t="str">
        <f t="shared" si="20"/>
        <v>Privado Estrangeiro</v>
      </c>
      <c r="V369" s="14">
        <f t="shared" si="21"/>
        <v>4.8967730211420729E-2</v>
      </c>
      <c r="W369" s="14">
        <f t="shared" si="22"/>
        <v>-1.554779653271642E-2</v>
      </c>
      <c r="X369" s="12" t="str">
        <f t="shared" si="23"/>
        <v>Média/Pequena</v>
      </c>
      <c r="Y369" s="122" t="str" cm="1">
        <f t="array" ref="Y369">_xlfn.IFS(ISNUMBER(W369)=FALSE,"Sem dado",W369&gt;0.075,"Excelente",W369&gt;0.04,"Bom",W369&gt;0,"Fraco",TRUE,"Prejuízo")</f>
        <v>Prejuízo</v>
      </c>
    </row>
    <row r="370" spans="1:25" ht="15" customHeight="1" x14ac:dyDescent="0.2">
      <c r="A370" s="15" t="s">
        <v>888</v>
      </c>
      <c r="B370" s="60">
        <v>556603</v>
      </c>
      <c r="C370" s="15" t="s">
        <v>889</v>
      </c>
      <c r="D370" s="15" t="s">
        <v>890</v>
      </c>
      <c r="E370" s="15" t="s">
        <v>891</v>
      </c>
      <c r="F370" s="15" t="s">
        <v>26</v>
      </c>
      <c r="G370" s="34">
        <v>2</v>
      </c>
      <c r="H370" s="34">
        <v>8</v>
      </c>
      <c r="I370" s="15" t="s">
        <v>228</v>
      </c>
      <c r="J370" s="15" t="s">
        <v>229</v>
      </c>
      <c r="K370" s="74" t="s">
        <v>29</v>
      </c>
      <c r="L370" s="16">
        <v>2033186</v>
      </c>
      <c r="M370" s="16">
        <v>1496873</v>
      </c>
      <c r="N370" s="16">
        <v>147054</v>
      </c>
      <c r="O370" s="16">
        <v>1813310</v>
      </c>
      <c r="P370" s="16">
        <v>1714540</v>
      </c>
      <c r="Q370" s="16">
        <v>219876</v>
      </c>
      <c r="R370" s="16">
        <v>29882</v>
      </c>
      <c r="S370" s="16">
        <v>2</v>
      </c>
      <c r="T370" s="16">
        <v>0</v>
      </c>
      <c r="U370" s="15" t="str">
        <f t="shared" si="20"/>
        <v>Privado Nacional</v>
      </c>
      <c r="V370" s="17">
        <f t="shared" si="21"/>
        <v>0.73622039498599734</v>
      </c>
      <c r="W370" s="17">
        <f t="shared" si="22"/>
        <v>0.13590387309210647</v>
      </c>
      <c r="X370" s="15" t="str">
        <f t="shared" si="23"/>
        <v>Média/Pequena</v>
      </c>
      <c r="Y370" s="121" t="str" cm="1">
        <f t="array" ref="Y370">_xlfn.IFS(ISNUMBER(W370)=FALSE,"Sem dado",W370&gt;0.075,"Excelente",W370&gt;0.04,"Bom",W370&gt;0,"Fraco",TRUE,"Prejuízo")</f>
        <v>Excelente</v>
      </c>
    </row>
    <row r="371" spans="1:25" ht="15" customHeight="1" x14ac:dyDescent="0.2">
      <c r="A371" s="12" t="s">
        <v>892</v>
      </c>
      <c r="B371" s="56">
        <v>26563270</v>
      </c>
      <c r="C371" s="12"/>
      <c r="D371" s="12"/>
      <c r="E371" s="12"/>
      <c r="F371" s="12" t="s">
        <v>265</v>
      </c>
      <c r="G371" s="33">
        <v>2</v>
      </c>
      <c r="H371" s="33">
        <v>9</v>
      </c>
      <c r="I371" s="12" t="s">
        <v>600</v>
      </c>
      <c r="J371" s="12" t="s">
        <v>329</v>
      </c>
      <c r="K371" s="73" t="s">
        <v>29</v>
      </c>
      <c r="L371" s="13">
        <v>2020337</v>
      </c>
      <c r="M371" s="13">
        <v>1277414</v>
      </c>
      <c r="N371" s="13">
        <v>43494</v>
      </c>
      <c r="O371" s="13">
        <v>1857732</v>
      </c>
      <c r="P371" s="13">
        <v>1687754</v>
      </c>
      <c r="Q371" s="13">
        <v>162605</v>
      </c>
      <c r="R371" s="13">
        <v>-48290</v>
      </c>
      <c r="S371" s="13">
        <v>0</v>
      </c>
      <c r="T371" s="13">
        <v>9</v>
      </c>
      <c r="U371" s="12" t="str">
        <f t="shared" si="20"/>
        <v>Privado Nacional</v>
      </c>
      <c r="V371" s="14">
        <f t="shared" si="21"/>
        <v>0.6322776843665191</v>
      </c>
      <c r="W371" s="14">
        <f t="shared" si="22"/>
        <v>-0.29697733772024232</v>
      </c>
      <c r="X371" s="12" t="str">
        <f t="shared" si="23"/>
        <v>Média/Pequena</v>
      </c>
      <c r="Y371" s="122" t="str" cm="1">
        <f t="array" ref="Y371">_xlfn.IFS(ISNUMBER(W371)=FALSE,"Sem dado",W371&gt;0.075,"Excelente",W371&gt;0.04,"Bom",W371&gt;0,"Fraco",TRUE,"Prejuízo")</f>
        <v>Prejuízo</v>
      </c>
    </row>
    <row r="372" spans="1:25" ht="15" customHeight="1" x14ac:dyDescent="0.2">
      <c r="A372" s="15" t="s">
        <v>893</v>
      </c>
      <c r="B372" s="60">
        <v>32402502</v>
      </c>
      <c r="C372" s="15" t="s">
        <v>682</v>
      </c>
      <c r="D372" s="15" t="s">
        <v>683</v>
      </c>
      <c r="E372" s="15" t="s">
        <v>684</v>
      </c>
      <c r="F372" s="15" t="s">
        <v>65</v>
      </c>
      <c r="G372" s="34">
        <v>3</v>
      </c>
      <c r="H372" s="34">
        <v>43</v>
      </c>
      <c r="I372" s="15" t="s">
        <v>38</v>
      </c>
      <c r="J372" s="15" t="s">
        <v>39</v>
      </c>
      <c r="K372" s="74" t="s">
        <v>29</v>
      </c>
      <c r="L372" s="16">
        <v>2017517</v>
      </c>
      <c r="M372" s="16">
        <v>202040</v>
      </c>
      <c r="N372" s="16">
        <v>571614</v>
      </c>
      <c r="O372" s="16">
        <v>1611343</v>
      </c>
      <c r="P372" s="16">
        <v>1391186</v>
      </c>
      <c r="Q372" s="16">
        <v>406174</v>
      </c>
      <c r="R372" s="16">
        <v>136971</v>
      </c>
      <c r="S372" s="16">
        <v>2</v>
      </c>
      <c r="T372" s="16">
        <v>0</v>
      </c>
      <c r="U372" s="15" t="str">
        <f t="shared" si="20"/>
        <v>Privado Estrangeiro</v>
      </c>
      <c r="V372" s="17">
        <f t="shared" si="21"/>
        <v>0.10014289842415207</v>
      </c>
      <c r="W372" s="17">
        <f t="shared" si="22"/>
        <v>0.33722247115768117</v>
      </c>
      <c r="X372" s="15" t="str">
        <f t="shared" si="23"/>
        <v>Média/Pequena</v>
      </c>
      <c r="Y372" s="121" t="str" cm="1">
        <f t="array" ref="Y372">_xlfn.IFS(ISNUMBER(W372)=FALSE,"Sem dado",W372&gt;0.075,"Excelente",W372&gt;0.04,"Bom",W372&gt;0,"Fraco",TRUE,"Prejuízo")</f>
        <v>Excelente</v>
      </c>
    </row>
    <row r="373" spans="1:25" ht="15" customHeight="1" x14ac:dyDescent="0.2">
      <c r="A373" s="12" t="s">
        <v>894</v>
      </c>
      <c r="B373" s="56">
        <v>33709114</v>
      </c>
      <c r="C373" s="12" t="s">
        <v>90</v>
      </c>
      <c r="D373" s="12" t="s">
        <v>91</v>
      </c>
      <c r="E373" s="12" t="s">
        <v>92</v>
      </c>
      <c r="F373" s="12" t="s">
        <v>98</v>
      </c>
      <c r="G373" s="33">
        <v>3</v>
      </c>
      <c r="H373" s="33">
        <v>15</v>
      </c>
      <c r="I373" s="12" t="s">
        <v>38</v>
      </c>
      <c r="J373" s="12" t="s">
        <v>39</v>
      </c>
      <c r="K373" s="73" t="s">
        <v>29</v>
      </c>
      <c r="L373" s="13">
        <v>2004570</v>
      </c>
      <c r="M373" s="13">
        <v>0</v>
      </c>
      <c r="N373" s="13">
        <v>63783</v>
      </c>
      <c r="O373" s="13">
        <v>1164629</v>
      </c>
      <c r="P373" s="13">
        <v>18019</v>
      </c>
      <c r="Q373" s="13">
        <v>839941</v>
      </c>
      <c r="R373" s="13">
        <v>57029</v>
      </c>
      <c r="S373" s="13">
        <v>2</v>
      </c>
      <c r="T373" s="13">
        <v>0</v>
      </c>
      <c r="U373" s="12" t="str">
        <f t="shared" si="20"/>
        <v>Privado Estrangeiro</v>
      </c>
      <c r="V373" s="14">
        <f t="shared" si="21"/>
        <v>0</v>
      </c>
      <c r="W373" s="14">
        <f t="shared" si="22"/>
        <v>6.7896435582975465E-2</v>
      </c>
      <c r="X373" s="12" t="str">
        <f t="shared" si="23"/>
        <v>Média/Pequena</v>
      </c>
      <c r="Y373" s="122" t="str" cm="1">
        <f t="array" ref="Y373">_xlfn.IFS(ISNUMBER(W373)=FALSE,"Sem dado",W373&gt;0.075,"Excelente",W373&gt;0.04,"Bom",W373&gt;0,"Fraco",TRUE,"Prejuízo")</f>
        <v>Bom</v>
      </c>
    </row>
    <row r="374" spans="1:25" ht="15" customHeight="1" x14ac:dyDescent="0.2">
      <c r="A374" s="15" t="s">
        <v>895</v>
      </c>
      <c r="B374" s="60">
        <v>97406706</v>
      </c>
      <c r="C374" s="15" t="s">
        <v>896</v>
      </c>
      <c r="D374" s="15"/>
      <c r="E374" s="15" t="s">
        <v>897</v>
      </c>
      <c r="F374" s="15" t="s">
        <v>65</v>
      </c>
      <c r="G374" s="34">
        <v>3</v>
      </c>
      <c r="H374" s="34">
        <v>19</v>
      </c>
      <c r="I374" s="15" t="s">
        <v>107</v>
      </c>
      <c r="J374" s="15" t="s">
        <v>39</v>
      </c>
      <c r="K374" s="74" t="s">
        <v>29</v>
      </c>
      <c r="L374" s="16">
        <v>1988447</v>
      </c>
      <c r="M374" s="16">
        <v>1820850</v>
      </c>
      <c r="N374" s="16">
        <v>0</v>
      </c>
      <c r="O374" s="16">
        <v>701935</v>
      </c>
      <c r="P374" s="16">
        <v>474956</v>
      </c>
      <c r="Q374" s="16">
        <v>1286512</v>
      </c>
      <c r="R374" s="16">
        <v>54470</v>
      </c>
      <c r="S374" s="16">
        <v>4</v>
      </c>
      <c r="T374" s="16">
        <v>0</v>
      </c>
      <c r="U374" s="15" t="str">
        <f t="shared" si="20"/>
        <v>Privado Estrangeiro</v>
      </c>
      <c r="V374" s="17">
        <f t="shared" si="21"/>
        <v>0.91571462553439942</v>
      </c>
      <c r="W374" s="17">
        <f t="shared" si="22"/>
        <v>4.2339286380539007E-2</v>
      </c>
      <c r="X374" s="15" t="str">
        <f t="shared" si="23"/>
        <v>Média/Pequena</v>
      </c>
      <c r="Y374" s="121" t="str" cm="1">
        <f t="array" ref="Y374">_xlfn.IFS(ISNUMBER(W374)=FALSE,"Sem dado",W374&gt;0.075,"Excelente",W374&gt;0.04,"Bom",W374&gt;0,"Fraco",TRUE,"Prejuízo")</f>
        <v>Bom</v>
      </c>
    </row>
    <row r="375" spans="1:25" ht="15" customHeight="1" x14ac:dyDescent="0.2">
      <c r="A375" s="12" t="s">
        <v>898</v>
      </c>
      <c r="B375" s="56">
        <v>7599206</v>
      </c>
      <c r="C375" s="12"/>
      <c r="D375" s="12"/>
      <c r="E375" s="12"/>
      <c r="F375" s="12" t="s">
        <v>265</v>
      </c>
      <c r="G375" s="33">
        <v>2</v>
      </c>
      <c r="H375" s="33">
        <v>9</v>
      </c>
      <c r="I375" s="12" t="s">
        <v>388</v>
      </c>
      <c r="J375" s="12" t="s">
        <v>389</v>
      </c>
      <c r="K375" s="73" t="s">
        <v>29</v>
      </c>
      <c r="L375" s="13">
        <v>1987950</v>
      </c>
      <c r="M375" s="13">
        <v>1051520</v>
      </c>
      <c r="N375" s="13">
        <v>129461</v>
      </c>
      <c r="O375" s="13">
        <v>1513968</v>
      </c>
      <c r="P375" s="13">
        <v>1324346</v>
      </c>
      <c r="Q375" s="13">
        <v>473983</v>
      </c>
      <c r="R375" s="13">
        <v>-4291</v>
      </c>
      <c r="S375" s="13">
        <v>0</v>
      </c>
      <c r="T375" s="13">
        <v>12</v>
      </c>
      <c r="U375" s="12" t="str">
        <f t="shared" si="20"/>
        <v>Privado Nacional</v>
      </c>
      <c r="V375" s="14">
        <f t="shared" si="21"/>
        <v>0.52894690510324704</v>
      </c>
      <c r="W375" s="14">
        <f t="shared" si="22"/>
        <v>-9.0530673041016238E-3</v>
      </c>
      <c r="X375" s="12" t="str">
        <f t="shared" si="23"/>
        <v>Média/Pequena</v>
      </c>
      <c r="Y375" s="122" t="str" cm="1">
        <f t="array" ref="Y375">_xlfn.IFS(ISNUMBER(W375)=FALSE,"Sem dado",W375&gt;0.075,"Excelente",W375&gt;0.04,"Bom",W375&gt;0,"Fraco",TRUE,"Prejuízo")</f>
        <v>Prejuízo</v>
      </c>
    </row>
    <row r="376" spans="1:25" ht="15" customHeight="1" x14ac:dyDescent="0.2">
      <c r="A376" s="15" t="s">
        <v>899</v>
      </c>
      <c r="B376" s="60">
        <v>1389651</v>
      </c>
      <c r="C376" s="15"/>
      <c r="D376" s="15"/>
      <c r="E376" s="15"/>
      <c r="F376" s="15" t="s">
        <v>265</v>
      </c>
      <c r="G376" s="34">
        <v>2</v>
      </c>
      <c r="H376" s="34">
        <v>9</v>
      </c>
      <c r="I376" s="15" t="s">
        <v>900</v>
      </c>
      <c r="J376" s="15" t="s">
        <v>217</v>
      </c>
      <c r="K376" s="74" t="s">
        <v>29</v>
      </c>
      <c r="L376" s="16">
        <v>1983926</v>
      </c>
      <c r="M376" s="16">
        <v>1276631</v>
      </c>
      <c r="N376" s="16">
        <v>24275</v>
      </c>
      <c r="O376" s="16">
        <v>1748496</v>
      </c>
      <c r="P376" s="16">
        <v>1562308</v>
      </c>
      <c r="Q376" s="16">
        <v>235430</v>
      </c>
      <c r="R376" s="16">
        <v>16104</v>
      </c>
      <c r="S376" s="16">
        <v>0</v>
      </c>
      <c r="T376" s="16">
        <v>20</v>
      </c>
      <c r="U376" s="15" t="str">
        <f t="shared" si="20"/>
        <v>Privado Nacional</v>
      </c>
      <c r="V376" s="17">
        <f t="shared" si="21"/>
        <v>0.64348720668008785</v>
      </c>
      <c r="W376" s="17">
        <f t="shared" si="22"/>
        <v>6.8402497557660452E-2</v>
      </c>
      <c r="X376" s="15" t="str">
        <f t="shared" si="23"/>
        <v>Média/Pequena</v>
      </c>
      <c r="Y376" s="121" t="str" cm="1">
        <f t="array" ref="Y376">_xlfn.IFS(ISNUMBER(W376)=FALSE,"Sem dado",W376&gt;0.075,"Excelente",W376&gt;0.04,"Bom",W376&gt;0,"Fraco",TRUE,"Prejuízo")</f>
        <v>Bom</v>
      </c>
    </row>
    <row r="377" spans="1:25" ht="15" customHeight="1" x14ac:dyDescent="0.2">
      <c r="A377" s="12" t="s">
        <v>901</v>
      </c>
      <c r="B377" s="56">
        <v>1727929</v>
      </c>
      <c r="C377" s="12"/>
      <c r="D377" s="12"/>
      <c r="E377" s="12"/>
      <c r="F377" s="12" t="s">
        <v>265</v>
      </c>
      <c r="G377" s="33">
        <v>2</v>
      </c>
      <c r="H377" s="33">
        <v>9</v>
      </c>
      <c r="I377" s="12" t="s">
        <v>617</v>
      </c>
      <c r="J377" s="12" t="s">
        <v>120</v>
      </c>
      <c r="K377" s="73" t="s">
        <v>29</v>
      </c>
      <c r="L377" s="13">
        <v>1950115</v>
      </c>
      <c r="M377" s="13">
        <v>1050789</v>
      </c>
      <c r="N377" s="13">
        <v>27203</v>
      </c>
      <c r="O377" s="13">
        <v>1781924</v>
      </c>
      <c r="P377" s="13">
        <v>1582661</v>
      </c>
      <c r="Q377" s="13">
        <v>168191</v>
      </c>
      <c r="R377" s="13">
        <v>10364</v>
      </c>
      <c r="S377" s="13">
        <v>0</v>
      </c>
      <c r="T377" s="13">
        <v>32</v>
      </c>
      <c r="U377" s="12" t="str">
        <f t="shared" si="20"/>
        <v>Privado Nacional</v>
      </c>
      <c r="V377" s="14">
        <f t="shared" si="21"/>
        <v>0.53883437643421028</v>
      </c>
      <c r="W377" s="14">
        <f t="shared" si="22"/>
        <v>6.162041964195468E-2</v>
      </c>
      <c r="X377" s="12" t="str">
        <f t="shared" si="23"/>
        <v>Média/Pequena</v>
      </c>
      <c r="Y377" s="122" t="str" cm="1">
        <f t="array" ref="Y377">_xlfn.IFS(ISNUMBER(W377)=FALSE,"Sem dado",W377&gt;0.075,"Excelente",W377&gt;0.04,"Bom",W377&gt;0,"Fraco",TRUE,"Prejuízo")</f>
        <v>Bom</v>
      </c>
    </row>
    <row r="378" spans="1:25" ht="15" customHeight="1" x14ac:dyDescent="0.2">
      <c r="A378" s="15" t="s">
        <v>902</v>
      </c>
      <c r="B378" s="60">
        <v>7026923</v>
      </c>
      <c r="C378" s="15"/>
      <c r="D378" s="15"/>
      <c r="E378" s="15"/>
      <c r="F378" s="15" t="s">
        <v>265</v>
      </c>
      <c r="G378" s="34">
        <v>2</v>
      </c>
      <c r="H378" s="34">
        <v>9</v>
      </c>
      <c r="I378" s="15" t="s">
        <v>903</v>
      </c>
      <c r="J378" s="15" t="s">
        <v>229</v>
      </c>
      <c r="K378" s="74" t="s">
        <v>29</v>
      </c>
      <c r="L378" s="16">
        <v>1931470</v>
      </c>
      <c r="M378" s="16">
        <v>976152</v>
      </c>
      <c r="N378" s="16">
        <v>22857</v>
      </c>
      <c r="O378" s="16">
        <v>1755857</v>
      </c>
      <c r="P378" s="16">
        <v>1438595</v>
      </c>
      <c r="Q378" s="16">
        <v>175613</v>
      </c>
      <c r="R378" s="16">
        <v>17017</v>
      </c>
      <c r="S378" s="16">
        <v>0</v>
      </c>
      <c r="T378" s="16">
        <v>38</v>
      </c>
      <c r="U378" s="15" t="str">
        <f t="shared" si="20"/>
        <v>Privado Nacional</v>
      </c>
      <c r="V378" s="17">
        <f t="shared" si="21"/>
        <v>0.50539330147504236</v>
      </c>
      <c r="W378" s="17">
        <f t="shared" si="22"/>
        <v>9.6900571142227512E-2</v>
      </c>
      <c r="X378" s="15" t="str">
        <f t="shared" si="23"/>
        <v>Média/Pequena</v>
      </c>
      <c r="Y378" s="121" t="str" cm="1">
        <f t="array" ref="Y378">_xlfn.IFS(ISNUMBER(W378)=FALSE,"Sem dado",W378&gt;0.075,"Excelente",W378&gt;0.04,"Bom",W378&gt;0,"Fraco",TRUE,"Prejuízo")</f>
        <v>Excelente</v>
      </c>
    </row>
    <row r="379" spans="1:25" ht="15" customHeight="1" x14ac:dyDescent="0.2">
      <c r="A379" s="12" t="s">
        <v>904</v>
      </c>
      <c r="B379" s="56">
        <v>88530142</v>
      </c>
      <c r="C379" s="12"/>
      <c r="D379" s="12"/>
      <c r="E379" s="12"/>
      <c r="F379" s="12" t="s">
        <v>265</v>
      </c>
      <c r="G379" s="33">
        <v>2</v>
      </c>
      <c r="H379" s="33">
        <v>9</v>
      </c>
      <c r="I379" s="12" t="s">
        <v>905</v>
      </c>
      <c r="J379" s="12" t="s">
        <v>74</v>
      </c>
      <c r="K379" s="73" t="s">
        <v>29</v>
      </c>
      <c r="L379" s="13">
        <v>1920158</v>
      </c>
      <c r="M379" s="13">
        <v>1032279</v>
      </c>
      <c r="N379" s="13">
        <v>761400</v>
      </c>
      <c r="O379" s="13">
        <v>1567765</v>
      </c>
      <c r="P379" s="13">
        <v>1023463</v>
      </c>
      <c r="Q379" s="13">
        <v>352393</v>
      </c>
      <c r="R379" s="13">
        <v>27996</v>
      </c>
      <c r="S379" s="13">
        <v>0</v>
      </c>
      <c r="T379" s="13">
        <v>22</v>
      </c>
      <c r="U379" s="12" t="str">
        <f t="shared" si="20"/>
        <v>Privado Nacional</v>
      </c>
      <c r="V379" s="14">
        <f t="shared" si="21"/>
        <v>0.53760107241174948</v>
      </c>
      <c r="W379" s="14">
        <f t="shared" si="22"/>
        <v>7.9445391934573048E-2</v>
      </c>
      <c r="X379" s="12" t="str">
        <f t="shared" si="23"/>
        <v>Média/Pequena</v>
      </c>
      <c r="Y379" s="122" t="str" cm="1">
        <f t="array" ref="Y379">_xlfn.IFS(ISNUMBER(W379)=FALSE,"Sem dado",W379&gt;0.075,"Excelente",W379&gt;0.04,"Bom",W379&gt;0,"Fraco",TRUE,"Prejuízo")</f>
        <v>Excelente</v>
      </c>
    </row>
    <row r="380" spans="1:25" ht="15" customHeight="1" x14ac:dyDescent="0.2">
      <c r="A380" s="15" t="s">
        <v>906</v>
      </c>
      <c r="B380" s="60">
        <v>11907520</v>
      </c>
      <c r="C380" s="15"/>
      <c r="D380" s="15"/>
      <c r="E380" s="15"/>
      <c r="F380" s="15" t="s">
        <v>265</v>
      </c>
      <c r="G380" s="34">
        <v>2</v>
      </c>
      <c r="H380" s="34">
        <v>9</v>
      </c>
      <c r="I380" s="15" t="s">
        <v>907</v>
      </c>
      <c r="J380" s="15" t="s">
        <v>578</v>
      </c>
      <c r="K380" s="74" t="s">
        <v>29</v>
      </c>
      <c r="L380" s="16">
        <v>1919248</v>
      </c>
      <c r="M380" s="16">
        <v>1101589</v>
      </c>
      <c r="N380" s="16">
        <v>65476</v>
      </c>
      <c r="O380" s="16">
        <v>1576509</v>
      </c>
      <c r="P380" s="16">
        <v>1507797</v>
      </c>
      <c r="Q380" s="16">
        <v>342739</v>
      </c>
      <c r="R380" s="16">
        <v>47236</v>
      </c>
      <c r="S380" s="16">
        <v>0</v>
      </c>
      <c r="T380" s="16">
        <v>12</v>
      </c>
      <c r="U380" s="15" t="str">
        <f t="shared" si="20"/>
        <v>Privado Nacional</v>
      </c>
      <c r="V380" s="17">
        <f t="shared" si="21"/>
        <v>0.57396907538786024</v>
      </c>
      <c r="W380" s="17">
        <f t="shared" si="22"/>
        <v>0.13781915685113161</v>
      </c>
      <c r="X380" s="15" t="str">
        <f t="shared" si="23"/>
        <v>Média/Pequena</v>
      </c>
      <c r="Y380" s="121" t="str" cm="1">
        <f t="array" ref="Y380">_xlfn.IFS(ISNUMBER(W380)=FALSE,"Sem dado",W380&gt;0.075,"Excelente",W380&gt;0.04,"Bom",W380&gt;0,"Fraco",TRUE,"Prejuízo")</f>
        <v>Excelente</v>
      </c>
    </row>
    <row r="381" spans="1:25" ht="15" customHeight="1" x14ac:dyDescent="0.2">
      <c r="A381" s="12" t="s">
        <v>908</v>
      </c>
      <c r="B381" s="56">
        <v>43818780</v>
      </c>
      <c r="C381" s="12" t="s">
        <v>122</v>
      </c>
      <c r="D381" s="12" t="s">
        <v>123</v>
      </c>
      <c r="E381" s="12" t="s">
        <v>124</v>
      </c>
      <c r="F381" s="12" t="s">
        <v>60</v>
      </c>
      <c r="G381" s="33">
        <v>2</v>
      </c>
      <c r="H381" s="33">
        <v>8</v>
      </c>
      <c r="I381" s="12" t="s">
        <v>38</v>
      </c>
      <c r="J381" s="12" t="s">
        <v>39</v>
      </c>
      <c r="K381" s="73" t="s">
        <v>29</v>
      </c>
      <c r="L381" s="13">
        <v>1910735</v>
      </c>
      <c r="M381" s="13">
        <v>920753</v>
      </c>
      <c r="N381" s="13">
        <v>142190</v>
      </c>
      <c r="O381" s="13">
        <v>430215</v>
      </c>
      <c r="P381" s="13">
        <v>162114</v>
      </c>
      <c r="Q381" s="13">
        <v>1480520</v>
      </c>
      <c r="R381" s="13">
        <v>84563</v>
      </c>
      <c r="S381" s="13">
        <v>2</v>
      </c>
      <c r="T381" s="13">
        <v>0</v>
      </c>
      <c r="U381" s="12" t="str">
        <f t="shared" si="20"/>
        <v>Privado Nacional</v>
      </c>
      <c r="V381" s="14">
        <f t="shared" si="21"/>
        <v>0.48188419639562785</v>
      </c>
      <c r="W381" s="14">
        <f t="shared" si="22"/>
        <v>5.7117093994002111E-2</v>
      </c>
      <c r="X381" s="12" t="str">
        <f t="shared" si="23"/>
        <v>Média/Pequena</v>
      </c>
      <c r="Y381" s="122" t="str" cm="1">
        <f t="array" ref="Y381">_xlfn.IFS(ISNUMBER(W381)=FALSE,"Sem dado",W381&gt;0.075,"Excelente",W381&gt;0.04,"Bom",W381&gt;0,"Fraco",TRUE,"Prejuízo")</f>
        <v>Bom</v>
      </c>
    </row>
    <row r="382" spans="1:25" ht="15" customHeight="1" x14ac:dyDescent="0.2">
      <c r="A382" s="15" t="s">
        <v>909</v>
      </c>
      <c r="B382" s="60">
        <v>5203605</v>
      </c>
      <c r="C382" s="15"/>
      <c r="D382" s="15"/>
      <c r="E382" s="15"/>
      <c r="F382" s="15" t="s">
        <v>265</v>
      </c>
      <c r="G382" s="34">
        <v>2</v>
      </c>
      <c r="H382" s="34">
        <v>9</v>
      </c>
      <c r="I382" s="15" t="s">
        <v>910</v>
      </c>
      <c r="J382" s="15" t="s">
        <v>432</v>
      </c>
      <c r="K382" s="74" t="s">
        <v>29</v>
      </c>
      <c r="L382" s="16">
        <v>1909871</v>
      </c>
      <c r="M382" s="16">
        <v>1323118</v>
      </c>
      <c r="N382" s="16">
        <v>45500</v>
      </c>
      <c r="O382" s="16">
        <v>1645453</v>
      </c>
      <c r="P382" s="16">
        <v>1348266</v>
      </c>
      <c r="Q382" s="16">
        <v>264418</v>
      </c>
      <c r="R382" s="16">
        <v>14542</v>
      </c>
      <c r="S382" s="16">
        <v>0</v>
      </c>
      <c r="T382" s="16">
        <v>28</v>
      </c>
      <c r="U382" s="15" t="str">
        <f t="shared" si="20"/>
        <v>Privado Nacional</v>
      </c>
      <c r="V382" s="17">
        <f t="shared" si="21"/>
        <v>0.69277872694019649</v>
      </c>
      <c r="W382" s="17">
        <f t="shared" si="22"/>
        <v>5.4996255928113823E-2</v>
      </c>
      <c r="X382" s="15" t="str">
        <f t="shared" si="23"/>
        <v>Média/Pequena</v>
      </c>
      <c r="Y382" s="121" t="str" cm="1">
        <f t="array" ref="Y382">_xlfn.IFS(ISNUMBER(W382)=FALSE,"Sem dado",W382&gt;0.075,"Excelente",W382&gt;0.04,"Bom",W382&gt;0,"Fraco",TRUE,"Prejuízo")</f>
        <v>Bom</v>
      </c>
    </row>
    <row r="383" spans="1:25" ht="15" customHeight="1" x14ac:dyDescent="0.2">
      <c r="A383" s="12" t="s">
        <v>911</v>
      </c>
      <c r="B383" s="56">
        <v>4836002</v>
      </c>
      <c r="C383" s="12" t="s">
        <v>912</v>
      </c>
      <c r="D383" s="12"/>
      <c r="E383" s="12" t="s">
        <v>913</v>
      </c>
      <c r="F383" s="12" t="s">
        <v>65</v>
      </c>
      <c r="G383" s="33">
        <v>3</v>
      </c>
      <c r="H383" s="33">
        <v>19</v>
      </c>
      <c r="I383" s="12" t="s">
        <v>38</v>
      </c>
      <c r="J383" s="12" t="s">
        <v>39</v>
      </c>
      <c r="K383" s="73" t="s">
        <v>29</v>
      </c>
      <c r="L383" s="13">
        <v>1884262</v>
      </c>
      <c r="M383" s="13">
        <v>0</v>
      </c>
      <c r="N383" s="13">
        <v>0</v>
      </c>
      <c r="O383" s="13">
        <v>1436895</v>
      </c>
      <c r="P383" s="13">
        <v>1099664</v>
      </c>
      <c r="Q383" s="13">
        <v>447366</v>
      </c>
      <c r="R383" s="13">
        <v>32457</v>
      </c>
      <c r="S383" s="13">
        <v>2</v>
      </c>
      <c r="T383" s="13">
        <v>0</v>
      </c>
      <c r="U383" s="12" t="str">
        <f t="shared" si="20"/>
        <v>Privado Estrangeiro</v>
      </c>
      <c r="V383" s="14">
        <f t="shared" si="21"/>
        <v>0</v>
      </c>
      <c r="W383" s="14">
        <f t="shared" si="22"/>
        <v>7.2551333807218246E-2</v>
      </c>
      <c r="X383" s="12" t="str">
        <f t="shared" si="23"/>
        <v>Média/Pequena</v>
      </c>
      <c r="Y383" s="122" t="str" cm="1">
        <f t="array" ref="Y383">_xlfn.IFS(ISNUMBER(W383)=FALSE,"Sem dado",W383&gt;0.075,"Excelente",W383&gt;0.04,"Bom",W383&gt;0,"Fraco",TRUE,"Prejuízo")</f>
        <v>Bom</v>
      </c>
    </row>
    <row r="384" spans="1:25" ht="15" customHeight="1" x14ac:dyDescent="0.2">
      <c r="A384" s="15" t="s">
        <v>914</v>
      </c>
      <c r="B384" s="60">
        <v>5503849</v>
      </c>
      <c r="C384" s="15" t="s">
        <v>239</v>
      </c>
      <c r="D384" s="15"/>
      <c r="E384" s="15" t="s">
        <v>240</v>
      </c>
      <c r="F384" s="15" t="s">
        <v>65</v>
      </c>
      <c r="G384" s="34">
        <v>2</v>
      </c>
      <c r="H384" s="34">
        <v>14</v>
      </c>
      <c r="I384" s="15" t="s">
        <v>38</v>
      </c>
      <c r="J384" s="15" t="s">
        <v>39</v>
      </c>
      <c r="K384" s="74" t="s">
        <v>29</v>
      </c>
      <c r="L384" s="16">
        <v>1880154</v>
      </c>
      <c r="M384" s="16">
        <v>939743</v>
      </c>
      <c r="N384" s="16">
        <v>0</v>
      </c>
      <c r="O384" s="16">
        <v>1716306</v>
      </c>
      <c r="P384" s="16">
        <v>1686875</v>
      </c>
      <c r="Q384" s="16">
        <v>163848</v>
      </c>
      <c r="R384" s="16">
        <v>72848</v>
      </c>
      <c r="S384" s="16">
        <v>1</v>
      </c>
      <c r="T384" s="16">
        <v>0</v>
      </c>
      <c r="U384" s="15" t="str">
        <f t="shared" si="20"/>
        <v>Privado Nacional</v>
      </c>
      <c r="V384" s="17">
        <f t="shared" si="21"/>
        <v>0.49982235497730504</v>
      </c>
      <c r="W384" s="17">
        <f t="shared" si="22"/>
        <v>0.44460719691421319</v>
      </c>
      <c r="X384" s="15" t="str">
        <f t="shared" si="23"/>
        <v>Média/Pequena</v>
      </c>
      <c r="Y384" s="121" t="str" cm="1">
        <f t="array" ref="Y384">_xlfn.IFS(ISNUMBER(W384)=FALSE,"Sem dado",W384&gt;0.075,"Excelente",W384&gt;0.04,"Bom",W384&gt;0,"Fraco",TRUE,"Prejuízo")</f>
        <v>Excelente</v>
      </c>
    </row>
    <row r="385" spans="1:25" ht="15" customHeight="1" x14ac:dyDescent="0.2">
      <c r="A385" s="12" t="s">
        <v>915</v>
      </c>
      <c r="B385" s="56">
        <v>60114865</v>
      </c>
      <c r="C385" s="12" t="s">
        <v>768</v>
      </c>
      <c r="D385" s="12"/>
      <c r="E385" s="12" t="s">
        <v>769</v>
      </c>
      <c r="F385" s="12" t="s">
        <v>84</v>
      </c>
      <c r="G385" s="33">
        <v>2</v>
      </c>
      <c r="H385" s="33">
        <v>41</v>
      </c>
      <c r="I385" s="12" t="s">
        <v>770</v>
      </c>
      <c r="J385" s="12" t="s">
        <v>39</v>
      </c>
      <c r="K385" s="73" t="s">
        <v>29</v>
      </c>
      <c r="L385" s="13">
        <v>1876614</v>
      </c>
      <c r="M385" s="13">
        <v>797733</v>
      </c>
      <c r="N385" s="13">
        <v>165008</v>
      </c>
      <c r="O385" s="13">
        <v>1738664</v>
      </c>
      <c r="P385" s="13">
        <v>19550</v>
      </c>
      <c r="Q385" s="13">
        <v>137950</v>
      </c>
      <c r="R385" s="13">
        <v>-5519</v>
      </c>
      <c r="S385" s="13">
        <v>1</v>
      </c>
      <c r="T385" s="13">
        <v>0</v>
      </c>
      <c r="U385" s="12" t="str">
        <f t="shared" si="20"/>
        <v>Privado Nacional</v>
      </c>
      <c r="V385" s="14">
        <f t="shared" si="21"/>
        <v>0.42509168108092554</v>
      </c>
      <c r="W385" s="14">
        <f t="shared" si="22"/>
        <v>-4.0007249003262052E-2</v>
      </c>
      <c r="X385" s="12" t="str">
        <f t="shared" si="23"/>
        <v>Média/Pequena</v>
      </c>
      <c r="Y385" s="122" t="str" cm="1">
        <f t="array" ref="Y385">_xlfn.IFS(ISNUMBER(W385)=FALSE,"Sem dado",W385&gt;0.075,"Excelente",W385&gt;0.04,"Bom",W385&gt;0,"Fraco",TRUE,"Prejuízo")</f>
        <v>Prejuízo</v>
      </c>
    </row>
    <row r="386" spans="1:25" ht="15" customHeight="1" x14ac:dyDescent="0.2">
      <c r="A386" s="15" t="s">
        <v>916</v>
      </c>
      <c r="B386" s="60">
        <v>33466988</v>
      </c>
      <c r="C386" s="15" t="s">
        <v>917</v>
      </c>
      <c r="D386" s="15" t="s">
        <v>918</v>
      </c>
      <c r="E386" s="15" t="s">
        <v>919</v>
      </c>
      <c r="F386" s="15" t="s">
        <v>26</v>
      </c>
      <c r="G386" s="34">
        <v>3</v>
      </c>
      <c r="H386" s="34">
        <v>8</v>
      </c>
      <c r="I386" s="15" t="s">
        <v>38</v>
      </c>
      <c r="J386" s="15" t="s">
        <v>39</v>
      </c>
      <c r="K386" s="74" t="s">
        <v>29</v>
      </c>
      <c r="L386" s="16">
        <v>1874590</v>
      </c>
      <c r="M386" s="16">
        <v>754120</v>
      </c>
      <c r="N386" s="16">
        <v>632120</v>
      </c>
      <c r="O386" s="16">
        <v>1583434</v>
      </c>
      <c r="P386" s="16">
        <v>1559122</v>
      </c>
      <c r="Q386" s="16">
        <v>291156</v>
      </c>
      <c r="R386" s="16">
        <v>-10819</v>
      </c>
      <c r="S386" s="16">
        <v>2</v>
      </c>
      <c r="T386" s="16">
        <v>0</v>
      </c>
      <c r="U386" s="15" t="str">
        <f t="shared" si="20"/>
        <v>Privado Estrangeiro</v>
      </c>
      <c r="V386" s="17">
        <f t="shared" si="21"/>
        <v>0.40228529971887184</v>
      </c>
      <c r="W386" s="17">
        <f t="shared" si="22"/>
        <v>-3.7158773990575496E-2</v>
      </c>
      <c r="X386" s="15" t="str">
        <f t="shared" si="23"/>
        <v>Média/Pequena</v>
      </c>
      <c r="Y386" s="121" t="str" cm="1">
        <f t="array" ref="Y386">_xlfn.IFS(ISNUMBER(W386)=FALSE,"Sem dado",W386&gt;0.075,"Excelente",W386&gt;0.04,"Bom",W386&gt;0,"Fraco",TRUE,"Prejuízo")</f>
        <v>Prejuízo</v>
      </c>
    </row>
    <row r="387" spans="1:25" ht="15" customHeight="1" x14ac:dyDescent="0.2">
      <c r="A387" s="12" t="s">
        <v>920</v>
      </c>
      <c r="B387" s="56">
        <v>2446089</v>
      </c>
      <c r="C387" s="12"/>
      <c r="D387" s="12"/>
      <c r="E387" s="12"/>
      <c r="F387" s="12" t="s">
        <v>265</v>
      </c>
      <c r="G387" s="33">
        <v>2</v>
      </c>
      <c r="H387" s="33">
        <v>9</v>
      </c>
      <c r="I387" s="12" t="s">
        <v>921</v>
      </c>
      <c r="J387" s="12" t="s">
        <v>229</v>
      </c>
      <c r="K387" s="73" t="s">
        <v>29</v>
      </c>
      <c r="L387" s="13">
        <v>1858371</v>
      </c>
      <c r="M387" s="13">
        <v>1474932</v>
      </c>
      <c r="N387" s="13">
        <v>29646</v>
      </c>
      <c r="O387" s="13">
        <v>1632797</v>
      </c>
      <c r="P387" s="13">
        <v>959657</v>
      </c>
      <c r="Q387" s="13">
        <v>225575</v>
      </c>
      <c r="R387" s="13">
        <v>4150</v>
      </c>
      <c r="S387" s="13">
        <v>0</v>
      </c>
      <c r="T387" s="13">
        <v>21</v>
      </c>
      <c r="U387" s="12" t="str">
        <f t="shared" si="20"/>
        <v>Privado Nacional</v>
      </c>
      <c r="V387" s="14">
        <f t="shared" si="21"/>
        <v>0.79366929423672672</v>
      </c>
      <c r="W387" s="14">
        <f t="shared" si="22"/>
        <v>1.8397428793084342E-2</v>
      </c>
      <c r="X387" s="12" t="str">
        <f t="shared" si="23"/>
        <v>Média/Pequena</v>
      </c>
      <c r="Y387" s="122" t="str" cm="1">
        <f t="array" ref="Y387">_xlfn.IFS(ISNUMBER(W387)=FALSE,"Sem dado",W387&gt;0.075,"Excelente",W387&gt;0.04,"Bom",W387&gt;0,"Fraco",TRUE,"Prejuízo")</f>
        <v>Fraco</v>
      </c>
    </row>
    <row r="388" spans="1:25" ht="15" customHeight="1" x14ac:dyDescent="0.2">
      <c r="A388" s="15" t="s">
        <v>922</v>
      </c>
      <c r="B388" s="60">
        <v>9274232</v>
      </c>
      <c r="C388" s="15" t="s">
        <v>923</v>
      </c>
      <c r="D388" s="15"/>
      <c r="E388" s="15" t="s">
        <v>924</v>
      </c>
      <c r="F388" s="15" t="s">
        <v>26</v>
      </c>
      <c r="G388" s="34">
        <v>3</v>
      </c>
      <c r="H388" s="34">
        <v>2</v>
      </c>
      <c r="I388" s="15" t="s">
        <v>38</v>
      </c>
      <c r="J388" s="15" t="s">
        <v>39</v>
      </c>
      <c r="K388" s="74" t="s">
        <v>29</v>
      </c>
      <c r="L388" s="16">
        <v>1856689</v>
      </c>
      <c r="M388" s="16">
        <v>0</v>
      </c>
      <c r="N388" s="16">
        <v>784562</v>
      </c>
      <c r="O388" s="16">
        <v>1129581</v>
      </c>
      <c r="P388" s="16">
        <v>1107638</v>
      </c>
      <c r="Q388" s="16">
        <v>727108</v>
      </c>
      <c r="R388" s="16">
        <v>6628</v>
      </c>
      <c r="S388" s="16">
        <v>2</v>
      </c>
      <c r="T388" s="16">
        <v>0</v>
      </c>
      <c r="U388" s="15" t="str">
        <f t="shared" si="20"/>
        <v>Privado Estrangeiro</v>
      </c>
      <c r="V388" s="17">
        <f t="shared" si="21"/>
        <v>0</v>
      </c>
      <c r="W388" s="17">
        <f t="shared" si="22"/>
        <v>9.1155646753989777E-3</v>
      </c>
      <c r="X388" s="15" t="str">
        <f t="shared" si="23"/>
        <v>Média/Pequena</v>
      </c>
      <c r="Y388" s="121" t="str" cm="1">
        <f t="array" ref="Y388">_xlfn.IFS(ISNUMBER(W388)=FALSE,"Sem dado",W388&gt;0.075,"Excelente",W388&gt;0.04,"Bom",W388&gt;0,"Fraco",TRUE,"Prejuízo")</f>
        <v>Fraco</v>
      </c>
    </row>
    <row r="389" spans="1:25" ht="15" customHeight="1" x14ac:dyDescent="0.2">
      <c r="A389" s="12" t="s">
        <v>925</v>
      </c>
      <c r="B389" s="56">
        <v>71884498</v>
      </c>
      <c r="C389" s="12"/>
      <c r="D389" s="12"/>
      <c r="E389" s="12"/>
      <c r="F389" s="12" t="s">
        <v>265</v>
      </c>
      <c r="G389" s="33">
        <v>2</v>
      </c>
      <c r="H389" s="33">
        <v>9</v>
      </c>
      <c r="I389" s="12" t="s">
        <v>165</v>
      </c>
      <c r="J389" s="12" t="s">
        <v>39</v>
      </c>
      <c r="K389" s="73" t="s">
        <v>29</v>
      </c>
      <c r="L389" s="13">
        <v>1856652</v>
      </c>
      <c r="M389" s="13">
        <v>970657</v>
      </c>
      <c r="N389" s="13">
        <v>40498</v>
      </c>
      <c r="O389" s="13">
        <v>1599120</v>
      </c>
      <c r="P389" s="13">
        <v>1488444</v>
      </c>
      <c r="Q389" s="13">
        <v>257532</v>
      </c>
      <c r="R389" s="13">
        <v>14546</v>
      </c>
      <c r="S389" s="13">
        <v>0</v>
      </c>
      <c r="T389" s="13">
        <v>33</v>
      </c>
      <c r="U389" s="12" t="str">
        <f t="shared" ref="U389:U452" si="24">IFERROR(CHOOSE(G389,"Público","Privado Nacional","Privado Estrangeiro"),"n.d.")</f>
        <v>Privado Nacional</v>
      </c>
      <c r="V389" s="14">
        <f t="shared" ref="V389:V452" si="25">IF(AND(ISNUMBER(M389),ISNUMBER(L389)),IF(L389&gt;0,M389/L389,"n.d."),"NI")</f>
        <v>0.52279964150524705</v>
      </c>
      <c r="W389" s="14">
        <f t="shared" ref="W389:W452" si="26">IF(AND(ISNUMBER(R389),ISNUMBER(Q389)),IF(Q389&gt;0,R389/Q389,"n.d."),"NI")</f>
        <v>5.6482301228585184E-2</v>
      </c>
      <c r="X389" s="12" t="str">
        <f t="shared" ref="X389:X452" si="27">IF(ISNUMBER(L389),IF(L389&gt;100000000,"Grande","Média/Pequena"),"Sem dado")</f>
        <v>Média/Pequena</v>
      </c>
      <c r="Y389" s="122" t="str" cm="1">
        <f t="array" ref="Y389">_xlfn.IFS(ISNUMBER(W389)=FALSE,"Sem dado",W389&gt;0.075,"Excelente",W389&gt;0.04,"Bom",W389&gt;0,"Fraco",TRUE,"Prejuízo")</f>
        <v>Bom</v>
      </c>
    </row>
    <row r="390" spans="1:25" ht="15" customHeight="1" x14ac:dyDescent="0.2">
      <c r="A390" s="15" t="s">
        <v>926</v>
      </c>
      <c r="B390" s="60">
        <v>73750424</v>
      </c>
      <c r="C390" s="15"/>
      <c r="D390" s="15"/>
      <c r="E390" s="15"/>
      <c r="F390" s="15" t="s">
        <v>265</v>
      </c>
      <c r="G390" s="34">
        <v>2</v>
      </c>
      <c r="H390" s="34">
        <v>9</v>
      </c>
      <c r="I390" s="15" t="s">
        <v>782</v>
      </c>
      <c r="J390" s="15" t="s">
        <v>74</v>
      </c>
      <c r="K390" s="74" t="s">
        <v>29</v>
      </c>
      <c r="L390" s="16">
        <v>1849777</v>
      </c>
      <c r="M390" s="16">
        <v>904650</v>
      </c>
      <c r="N390" s="16">
        <v>36306</v>
      </c>
      <c r="O390" s="16">
        <v>1697403</v>
      </c>
      <c r="P390" s="16">
        <v>1571797</v>
      </c>
      <c r="Q390" s="16">
        <v>152374</v>
      </c>
      <c r="R390" s="16">
        <v>-5225</v>
      </c>
      <c r="S390" s="16">
        <v>0</v>
      </c>
      <c r="T390" s="16">
        <v>21</v>
      </c>
      <c r="U390" s="15" t="str">
        <f t="shared" si="24"/>
        <v>Privado Nacional</v>
      </c>
      <c r="V390" s="17">
        <f t="shared" si="25"/>
        <v>0.4890589514303616</v>
      </c>
      <c r="W390" s="17">
        <f t="shared" si="26"/>
        <v>-3.4290627009857327E-2</v>
      </c>
      <c r="X390" s="15" t="str">
        <f t="shared" si="27"/>
        <v>Média/Pequena</v>
      </c>
      <c r="Y390" s="121" t="str" cm="1">
        <f t="array" ref="Y390">_xlfn.IFS(ISNUMBER(W390)=FALSE,"Sem dado",W390&gt;0.075,"Excelente",W390&gt;0.04,"Bom",W390&gt;0,"Fraco",TRUE,"Prejuízo")</f>
        <v>Prejuízo</v>
      </c>
    </row>
    <row r="391" spans="1:25" ht="15" customHeight="1" x14ac:dyDescent="0.2">
      <c r="A391" s="12" t="s">
        <v>927</v>
      </c>
      <c r="B391" s="56">
        <v>50585090</v>
      </c>
      <c r="C391" s="12" t="s">
        <v>167</v>
      </c>
      <c r="D391" s="12" t="s">
        <v>168</v>
      </c>
      <c r="E391" s="12" t="s">
        <v>169</v>
      </c>
      <c r="F391" s="12" t="s">
        <v>26</v>
      </c>
      <c r="G391" s="33">
        <v>2</v>
      </c>
      <c r="H391" s="33">
        <v>8</v>
      </c>
      <c r="I391" s="12" t="s">
        <v>38</v>
      </c>
      <c r="J391" s="12" t="s">
        <v>39</v>
      </c>
      <c r="K391" s="73" t="s">
        <v>29</v>
      </c>
      <c r="L391" s="13">
        <v>1843083</v>
      </c>
      <c r="M391" s="13">
        <v>172201</v>
      </c>
      <c r="N391" s="13">
        <v>916896</v>
      </c>
      <c r="O391" s="13">
        <v>165825</v>
      </c>
      <c r="P391" s="13">
        <v>0</v>
      </c>
      <c r="Q391" s="13">
        <v>1677259</v>
      </c>
      <c r="R391" s="13">
        <v>103565</v>
      </c>
      <c r="S391" s="13">
        <v>2</v>
      </c>
      <c r="T391" s="13">
        <v>0</v>
      </c>
      <c r="U391" s="12" t="str">
        <f t="shared" si="24"/>
        <v>Privado Nacional</v>
      </c>
      <c r="V391" s="14">
        <f t="shared" si="25"/>
        <v>9.3430952377076881E-2</v>
      </c>
      <c r="W391" s="14">
        <f t="shared" si="26"/>
        <v>6.1746575812083884E-2</v>
      </c>
      <c r="X391" s="12" t="str">
        <f t="shared" si="27"/>
        <v>Média/Pequena</v>
      </c>
      <c r="Y391" s="122" t="str" cm="1">
        <f t="array" ref="Y391">_xlfn.IFS(ISNUMBER(W391)=FALSE,"Sem dado",W391&gt;0.075,"Excelente",W391&gt;0.04,"Bom",W391&gt;0,"Fraco",TRUE,"Prejuízo")</f>
        <v>Bom</v>
      </c>
    </row>
    <row r="392" spans="1:25" ht="15" customHeight="1" x14ac:dyDescent="0.2">
      <c r="A392" s="15" t="s">
        <v>928</v>
      </c>
      <c r="B392" s="60">
        <v>11275560</v>
      </c>
      <c r="C392" s="15" t="s">
        <v>929</v>
      </c>
      <c r="D392" s="15"/>
      <c r="E392" s="15" t="s">
        <v>930</v>
      </c>
      <c r="F392" s="15" t="s">
        <v>84</v>
      </c>
      <c r="G392" s="34">
        <v>3</v>
      </c>
      <c r="H392" s="34">
        <v>41</v>
      </c>
      <c r="I392" s="15" t="s">
        <v>38</v>
      </c>
      <c r="J392" s="15" t="s">
        <v>39</v>
      </c>
      <c r="K392" s="74" t="s">
        <v>29</v>
      </c>
      <c r="L392" s="16">
        <v>1835153</v>
      </c>
      <c r="M392" s="16">
        <v>134848</v>
      </c>
      <c r="N392" s="16">
        <v>858240</v>
      </c>
      <c r="O392" s="16">
        <v>1648017</v>
      </c>
      <c r="P392" s="16">
        <v>308638</v>
      </c>
      <c r="Q392" s="16">
        <v>187135</v>
      </c>
      <c r="R392" s="16">
        <v>12331</v>
      </c>
      <c r="S392" s="16">
        <v>1</v>
      </c>
      <c r="T392" s="16">
        <v>0</v>
      </c>
      <c r="U392" s="15" t="str">
        <f t="shared" si="24"/>
        <v>Privado Estrangeiro</v>
      </c>
      <c r="V392" s="17">
        <f t="shared" si="25"/>
        <v>7.348052178755668E-2</v>
      </c>
      <c r="W392" s="17">
        <f t="shared" si="26"/>
        <v>6.589360622010848E-2</v>
      </c>
      <c r="X392" s="15" t="str">
        <f t="shared" si="27"/>
        <v>Média/Pequena</v>
      </c>
      <c r="Y392" s="121" t="str" cm="1">
        <f t="array" ref="Y392">_xlfn.IFS(ISNUMBER(W392)=FALSE,"Sem dado",W392&gt;0.075,"Excelente",W392&gt;0.04,"Bom",W392&gt;0,"Fraco",TRUE,"Prejuízo")</f>
        <v>Bom</v>
      </c>
    </row>
    <row r="393" spans="1:25" ht="15" customHeight="1" x14ac:dyDescent="0.2">
      <c r="A393" s="12" t="s">
        <v>931</v>
      </c>
      <c r="B393" s="56">
        <v>66402207</v>
      </c>
      <c r="C393" s="12"/>
      <c r="D393" s="12"/>
      <c r="E393" s="12"/>
      <c r="F393" s="12" t="s">
        <v>265</v>
      </c>
      <c r="G393" s="33">
        <v>2</v>
      </c>
      <c r="H393" s="33">
        <v>9</v>
      </c>
      <c r="I393" s="12" t="s">
        <v>932</v>
      </c>
      <c r="J393" s="12" t="s">
        <v>120</v>
      </c>
      <c r="K393" s="73" t="s">
        <v>29</v>
      </c>
      <c r="L393" s="13">
        <v>1829415</v>
      </c>
      <c r="M393" s="13">
        <v>815624</v>
      </c>
      <c r="N393" s="13">
        <v>22089</v>
      </c>
      <c r="O393" s="13">
        <v>1631385</v>
      </c>
      <c r="P393" s="13">
        <v>1343043</v>
      </c>
      <c r="Q393" s="13">
        <v>198030</v>
      </c>
      <c r="R393" s="13">
        <v>6548</v>
      </c>
      <c r="S393" s="13">
        <v>0</v>
      </c>
      <c r="T393" s="13">
        <v>30</v>
      </c>
      <c r="U393" s="12" t="str">
        <f t="shared" si="24"/>
        <v>Privado Nacional</v>
      </c>
      <c r="V393" s="14">
        <f t="shared" si="25"/>
        <v>0.44583869706982832</v>
      </c>
      <c r="W393" s="14">
        <f t="shared" si="26"/>
        <v>3.3065697116598493E-2</v>
      </c>
      <c r="X393" s="12" t="str">
        <f t="shared" si="27"/>
        <v>Média/Pequena</v>
      </c>
      <c r="Y393" s="122" t="str" cm="1">
        <f t="array" ref="Y393">_xlfn.IFS(ISNUMBER(W393)=FALSE,"Sem dado",W393&gt;0.075,"Excelente",W393&gt;0.04,"Bom",W393&gt;0,"Fraco",TRUE,"Prejuízo")</f>
        <v>Fraco</v>
      </c>
    </row>
    <row r="394" spans="1:25" ht="15" customHeight="1" x14ac:dyDescent="0.2">
      <c r="A394" s="15" t="s">
        <v>933</v>
      </c>
      <c r="B394" s="60">
        <v>67096909</v>
      </c>
      <c r="C394" s="15"/>
      <c r="D394" s="15"/>
      <c r="E394" s="15"/>
      <c r="F394" s="15" t="s">
        <v>265</v>
      </c>
      <c r="G394" s="34">
        <v>2</v>
      </c>
      <c r="H394" s="34">
        <v>9</v>
      </c>
      <c r="I394" s="15" t="s">
        <v>934</v>
      </c>
      <c r="J394" s="15" t="s">
        <v>39</v>
      </c>
      <c r="K394" s="74" t="s">
        <v>29</v>
      </c>
      <c r="L394" s="16">
        <v>1817948</v>
      </c>
      <c r="M394" s="16">
        <v>1006356</v>
      </c>
      <c r="N394" s="16">
        <v>62014</v>
      </c>
      <c r="O394" s="16">
        <v>1487168</v>
      </c>
      <c r="P394" s="16">
        <v>1222806</v>
      </c>
      <c r="Q394" s="16">
        <v>330780</v>
      </c>
      <c r="R394" s="16">
        <v>24708</v>
      </c>
      <c r="S394" s="16">
        <v>0</v>
      </c>
      <c r="T394" s="16">
        <v>10</v>
      </c>
      <c r="U394" s="15" t="str">
        <f t="shared" si="24"/>
        <v>Privado Nacional</v>
      </c>
      <c r="V394" s="17">
        <f t="shared" si="25"/>
        <v>0.55356698871474874</v>
      </c>
      <c r="W394" s="17">
        <f t="shared" si="26"/>
        <v>7.4696172682749862E-2</v>
      </c>
      <c r="X394" s="15" t="str">
        <f t="shared" si="27"/>
        <v>Média/Pequena</v>
      </c>
      <c r="Y394" s="121" t="str" cm="1">
        <f t="array" ref="Y394">_xlfn.IFS(ISNUMBER(W394)=FALSE,"Sem dado",W394&gt;0.075,"Excelente",W394&gt;0.04,"Bom",W394&gt;0,"Fraco",TRUE,"Prejuízo")</f>
        <v>Bom</v>
      </c>
    </row>
    <row r="395" spans="1:25" ht="15" customHeight="1" x14ac:dyDescent="0.2">
      <c r="A395" s="12" t="s">
        <v>935</v>
      </c>
      <c r="B395" s="56">
        <v>517645</v>
      </c>
      <c r="C395" s="12" t="s">
        <v>936</v>
      </c>
      <c r="D395" s="12"/>
      <c r="E395" s="12" t="s">
        <v>937</v>
      </c>
      <c r="F395" s="12" t="s">
        <v>26</v>
      </c>
      <c r="G395" s="33">
        <v>3</v>
      </c>
      <c r="H395" s="33">
        <v>8</v>
      </c>
      <c r="I395" s="12" t="s">
        <v>262</v>
      </c>
      <c r="J395" s="12" t="s">
        <v>39</v>
      </c>
      <c r="K395" s="73" t="s">
        <v>29</v>
      </c>
      <c r="L395" s="13">
        <v>1816104</v>
      </c>
      <c r="M395" s="13">
        <v>988469</v>
      </c>
      <c r="N395" s="13">
        <v>661894</v>
      </c>
      <c r="O395" s="13">
        <v>1581844</v>
      </c>
      <c r="P395" s="13">
        <v>1546101</v>
      </c>
      <c r="Q395" s="13">
        <v>234260</v>
      </c>
      <c r="R395" s="13">
        <v>17941</v>
      </c>
      <c r="S395" s="13">
        <v>2</v>
      </c>
      <c r="T395" s="13">
        <v>0</v>
      </c>
      <c r="U395" s="12" t="str">
        <f t="shared" si="24"/>
        <v>Privado Estrangeiro</v>
      </c>
      <c r="V395" s="14">
        <f t="shared" si="25"/>
        <v>0.54427995313043742</v>
      </c>
      <c r="W395" s="14">
        <f t="shared" si="26"/>
        <v>7.6585844787842569E-2</v>
      </c>
      <c r="X395" s="12" t="str">
        <f t="shared" si="27"/>
        <v>Média/Pequena</v>
      </c>
      <c r="Y395" s="122" t="str" cm="1">
        <f t="array" ref="Y395">_xlfn.IFS(ISNUMBER(W395)=FALSE,"Sem dado",W395&gt;0.075,"Excelente",W395&gt;0.04,"Bom",W395&gt;0,"Fraco",TRUE,"Prejuízo")</f>
        <v>Excelente</v>
      </c>
    </row>
    <row r="396" spans="1:25" ht="15" customHeight="1" x14ac:dyDescent="0.2">
      <c r="A396" s="15" t="s">
        <v>938</v>
      </c>
      <c r="B396" s="60">
        <v>8044854</v>
      </c>
      <c r="C396" s="15"/>
      <c r="D396" s="15"/>
      <c r="E396" s="15"/>
      <c r="F396" s="15" t="s">
        <v>265</v>
      </c>
      <c r="G396" s="34">
        <v>2</v>
      </c>
      <c r="H396" s="34">
        <v>9</v>
      </c>
      <c r="I396" s="15" t="s">
        <v>700</v>
      </c>
      <c r="J396" s="15" t="s">
        <v>432</v>
      </c>
      <c r="K396" s="74" t="s">
        <v>29</v>
      </c>
      <c r="L396" s="16">
        <v>1802269</v>
      </c>
      <c r="M396" s="16">
        <v>911911</v>
      </c>
      <c r="N396" s="16">
        <v>46008</v>
      </c>
      <c r="O396" s="16">
        <v>1534288</v>
      </c>
      <c r="P396" s="16">
        <v>1178232</v>
      </c>
      <c r="Q396" s="16">
        <v>267980</v>
      </c>
      <c r="R396" s="16">
        <v>22687</v>
      </c>
      <c r="S396" s="16">
        <v>0</v>
      </c>
      <c r="T396" s="16">
        <v>21</v>
      </c>
      <c r="U396" s="15" t="str">
        <f t="shared" si="24"/>
        <v>Privado Nacional</v>
      </c>
      <c r="V396" s="17">
        <f t="shared" si="25"/>
        <v>0.50597940706964384</v>
      </c>
      <c r="W396" s="17">
        <f t="shared" si="26"/>
        <v>8.4659302933054709E-2</v>
      </c>
      <c r="X396" s="15" t="str">
        <f t="shared" si="27"/>
        <v>Média/Pequena</v>
      </c>
      <c r="Y396" s="121" t="str" cm="1">
        <f t="array" ref="Y396">_xlfn.IFS(ISNUMBER(W396)=FALSE,"Sem dado",W396&gt;0.075,"Excelente",W396&gt;0.04,"Bom",W396&gt;0,"Fraco",TRUE,"Prejuízo")</f>
        <v>Excelente</v>
      </c>
    </row>
    <row r="397" spans="1:25" ht="15" customHeight="1" x14ac:dyDescent="0.2">
      <c r="A397" s="12" t="s">
        <v>939</v>
      </c>
      <c r="B397" s="56">
        <v>73443863</v>
      </c>
      <c r="C397" s="12"/>
      <c r="D397" s="12"/>
      <c r="E397" s="12"/>
      <c r="F397" s="12" t="s">
        <v>265</v>
      </c>
      <c r="G397" s="33">
        <v>2</v>
      </c>
      <c r="H397" s="33">
        <v>9</v>
      </c>
      <c r="I397" s="12" t="s">
        <v>281</v>
      </c>
      <c r="J397" s="12" t="s">
        <v>217</v>
      </c>
      <c r="K397" s="73" t="s">
        <v>29</v>
      </c>
      <c r="L397" s="13">
        <v>1800537</v>
      </c>
      <c r="M397" s="13">
        <v>980067</v>
      </c>
      <c r="N397" s="13">
        <v>33604</v>
      </c>
      <c r="O397" s="13">
        <v>1658265</v>
      </c>
      <c r="P397" s="13">
        <v>1534833</v>
      </c>
      <c r="Q397" s="13">
        <v>142271</v>
      </c>
      <c r="R397" s="13">
        <v>-29252</v>
      </c>
      <c r="S397" s="13">
        <v>0</v>
      </c>
      <c r="T397" s="13">
        <v>18</v>
      </c>
      <c r="U397" s="12" t="str">
        <f t="shared" si="24"/>
        <v>Privado Nacional</v>
      </c>
      <c r="V397" s="14">
        <f t="shared" si="25"/>
        <v>0.54431927808203884</v>
      </c>
      <c r="W397" s="14">
        <f t="shared" si="26"/>
        <v>-0.20560760801568836</v>
      </c>
      <c r="X397" s="12" t="str">
        <f t="shared" si="27"/>
        <v>Média/Pequena</v>
      </c>
      <c r="Y397" s="122" t="str" cm="1">
        <f t="array" ref="Y397">_xlfn.IFS(ISNUMBER(W397)=FALSE,"Sem dado",W397&gt;0.075,"Excelente",W397&gt;0.04,"Bom",W397&gt;0,"Fraco",TRUE,"Prejuízo")</f>
        <v>Prejuízo</v>
      </c>
    </row>
    <row r="398" spans="1:25" ht="15" customHeight="1" x14ac:dyDescent="0.2">
      <c r="A398" s="15" t="s">
        <v>940</v>
      </c>
      <c r="B398" s="60">
        <v>65229254</v>
      </c>
      <c r="C398" s="15"/>
      <c r="D398" s="15"/>
      <c r="E398" s="15"/>
      <c r="F398" s="15" t="s">
        <v>265</v>
      </c>
      <c r="G398" s="34">
        <v>2</v>
      </c>
      <c r="H398" s="34">
        <v>9</v>
      </c>
      <c r="I398" s="15" t="s">
        <v>941</v>
      </c>
      <c r="J398" s="15" t="s">
        <v>120</v>
      </c>
      <c r="K398" s="74" t="s">
        <v>29</v>
      </c>
      <c r="L398" s="16">
        <v>1798727</v>
      </c>
      <c r="M398" s="16">
        <v>1019635</v>
      </c>
      <c r="N398" s="16">
        <v>61070</v>
      </c>
      <c r="O398" s="16">
        <v>1478698</v>
      </c>
      <c r="P398" s="16">
        <v>1136674</v>
      </c>
      <c r="Q398" s="16">
        <v>320029</v>
      </c>
      <c r="R398" s="16">
        <v>22596</v>
      </c>
      <c r="S398" s="16">
        <v>0</v>
      </c>
      <c r="T398" s="16">
        <v>21</v>
      </c>
      <c r="U398" s="15" t="str">
        <f t="shared" si="24"/>
        <v>Privado Nacional</v>
      </c>
      <c r="V398" s="17">
        <f t="shared" si="25"/>
        <v>0.56686478826414455</v>
      </c>
      <c r="W398" s="17">
        <f t="shared" si="26"/>
        <v>7.0606101322067683E-2</v>
      </c>
      <c r="X398" s="15" t="str">
        <f t="shared" si="27"/>
        <v>Média/Pequena</v>
      </c>
      <c r="Y398" s="121" t="str" cm="1">
        <f t="array" ref="Y398">_xlfn.IFS(ISNUMBER(W398)=FALSE,"Sem dado",W398&gt;0.075,"Excelente",W398&gt;0.04,"Bom",W398&gt;0,"Fraco",TRUE,"Prejuízo")</f>
        <v>Bom</v>
      </c>
    </row>
    <row r="399" spans="1:25" ht="15" customHeight="1" x14ac:dyDescent="0.2">
      <c r="A399" s="12" t="s">
        <v>942</v>
      </c>
      <c r="B399" s="56">
        <v>7122321</v>
      </c>
      <c r="C399" s="12"/>
      <c r="D399" s="12"/>
      <c r="E399" s="12"/>
      <c r="F399" s="12" t="s">
        <v>265</v>
      </c>
      <c r="G399" s="33">
        <v>2</v>
      </c>
      <c r="H399" s="33">
        <v>9</v>
      </c>
      <c r="I399" s="12" t="s">
        <v>943</v>
      </c>
      <c r="J399" s="12" t="s">
        <v>229</v>
      </c>
      <c r="K399" s="73" t="s">
        <v>29</v>
      </c>
      <c r="L399" s="13">
        <v>1791827</v>
      </c>
      <c r="M399" s="13">
        <v>1006869</v>
      </c>
      <c r="N399" s="13">
        <v>20630</v>
      </c>
      <c r="O399" s="13">
        <v>1629656</v>
      </c>
      <c r="P399" s="13">
        <v>1443643</v>
      </c>
      <c r="Q399" s="13">
        <v>162171</v>
      </c>
      <c r="R399" s="13">
        <v>7176</v>
      </c>
      <c r="S399" s="13">
        <v>0</v>
      </c>
      <c r="T399" s="13">
        <v>44</v>
      </c>
      <c r="U399" s="12" t="str">
        <f t="shared" si="24"/>
        <v>Privado Nacional</v>
      </c>
      <c r="V399" s="14">
        <f t="shared" si="25"/>
        <v>0.56192310976450288</v>
      </c>
      <c r="W399" s="14">
        <f t="shared" si="26"/>
        <v>4.4249588397432343E-2</v>
      </c>
      <c r="X399" s="12" t="str">
        <f t="shared" si="27"/>
        <v>Média/Pequena</v>
      </c>
      <c r="Y399" s="122" t="str" cm="1">
        <f t="array" ref="Y399">_xlfn.IFS(ISNUMBER(W399)=FALSE,"Sem dado",W399&gt;0.075,"Excelente",W399&gt;0.04,"Bom",W399&gt;0,"Fraco",TRUE,"Prejuízo")</f>
        <v>Bom</v>
      </c>
    </row>
    <row r="400" spans="1:25" ht="15" customHeight="1" x14ac:dyDescent="0.2">
      <c r="A400" s="15" t="s">
        <v>944</v>
      </c>
      <c r="B400" s="60">
        <v>36583700</v>
      </c>
      <c r="C400" s="15" t="s">
        <v>945</v>
      </c>
      <c r="D400" s="15"/>
      <c r="E400" s="15" t="s">
        <v>946</v>
      </c>
      <c r="F400" s="15" t="s">
        <v>65</v>
      </c>
      <c r="G400" s="34">
        <v>2</v>
      </c>
      <c r="H400" s="34">
        <v>14</v>
      </c>
      <c r="I400" s="15" t="s">
        <v>38</v>
      </c>
      <c r="J400" s="15" t="s">
        <v>39</v>
      </c>
      <c r="K400" s="74" t="s">
        <v>29</v>
      </c>
      <c r="L400" s="16">
        <v>1786244</v>
      </c>
      <c r="M400" s="16">
        <v>447567</v>
      </c>
      <c r="N400" s="16">
        <v>1137341</v>
      </c>
      <c r="O400" s="16">
        <v>1467784</v>
      </c>
      <c r="P400" s="16">
        <v>1369833</v>
      </c>
      <c r="Q400" s="16">
        <v>318460</v>
      </c>
      <c r="R400" s="16">
        <v>-40407</v>
      </c>
      <c r="S400" s="16">
        <v>2</v>
      </c>
      <c r="T400" s="16">
        <v>0</v>
      </c>
      <c r="U400" s="15" t="str">
        <f t="shared" si="24"/>
        <v>Privado Nacional</v>
      </c>
      <c r="V400" s="17">
        <f t="shared" si="25"/>
        <v>0.2505631929344479</v>
      </c>
      <c r="W400" s="17">
        <f t="shared" si="26"/>
        <v>-0.1268824970168938</v>
      </c>
      <c r="X400" s="15" t="str">
        <f t="shared" si="27"/>
        <v>Média/Pequena</v>
      </c>
      <c r="Y400" s="121" t="str" cm="1">
        <f t="array" ref="Y400">_xlfn.IFS(ISNUMBER(W400)=FALSE,"Sem dado",W400&gt;0.075,"Excelente",W400&gt;0.04,"Bom",W400&gt;0,"Fraco",TRUE,"Prejuízo")</f>
        <v>Prejuízo</v>
      </c>
    </row>
    <row r="401" spans="1:25" ht="15" customHeight="1" x14ac:dyDescent="0.2">
      <c r="A401" s="12" t="s">
        <v>947</v>
      </c>
      <c r="B401" s="56">
        <v>17453575</v>
      </c>
      <c r="C401" s="12" t="s">
        <v>948</v>
      </c>
      <c r="D401" s="12"/>
      <c r="E401" s="12" t="s">
        <v>949</v>
      </c>
      <c r="F401" s="12" t="s">
        <v>26</v>
      </c>
      <c r="G401" s="33">
        <v>3</v>
      </c>
      <c r="H401" s="33">
        <v>8</v>
      </c>
      <c r="I401" s="12" t="s">
        <v>38</v>
      </c>
      <c r="J401" s="12" t="s">
        <v>39</v>
      </c>
      <c r="K401" s="73" t="s">
        <v>29</v>
      </c>
      <c r="L401" s="13">
        <v>1762078</v>
      </c>
      <c r="M401" s="13">
        <v>186377</v>
      </c>
      <c r="N401" s="13">
        <v>1087542</v>
      </c>
      <c r="O401" s="13">
        <v>1615926</v>
      </c>
      <c r="P401" s="13">
        <v>1335545</v>
      </c>
      <c r="Q401" s="13">
        <v>146151</v>
      </c>
      <c r="R401" s="13">
        <v>-13525</v>
      </c>
      <c r="S401" s="13">
        <v>2</v>
      </c>
      <c r="T401" s="13">
        <v>0</v>
      </c>
      <c r="U401" s="12" t="str">
        <f t="shared" si="24"/>
        <v>Privado Estrangeiro</v>
      </c>
      <c r="V401" s="14">
        <f t="shared" si="25"/>
        <v>0.10577114066460168</v>
      </c>
      <c r="W401" s="14">
        <f t="shared" si="26"/>
        <v>-9.254127580379197E-2</v>
      </c>
      <c r="X401" s="12" t="str">
        <f t="shared" si="27"/>
        <v>Média/Pequena</v>
      </c>
      <c r="Y401" s="122" t="str" cm="1">
        <f t="array" ref="Y401">_xlfn.IFS(ISNUMBER(W401)=FALSE,"Sem dado",W401&gt;0.075,"Excelente",W401&gt;0.04,"Bom",W401&gt;0,"Fraco",TRUE,"Prejuízo")</f>
        <v>Prejuízo</v>
      </c>
    </row>
    <row r="402" spans="1:25" ht="15" customHeight="1" x14ac:dyDescent="0.2">
      <c r="A402" s="15" t="s">
        <v>950</v>
      </c>
      <c r="B402" s="60">
        <v>70116611</v>
      </c>
      <c r="C402" s="15"/>
      <c r="D402" s="15"/>
      <c r="E402" s="15"/>
      <c r="F402" s="15" t="s">
        <v>199</v>
      </c>
      <c r="G402" s="34">
        <v>2</v>
      </c>
      <c r="H402" s="34">
        <v>9</v>
      </c>
      <c r="I402" s="15" t="s">
        <v>577</v>
      </c>
      <c r="J402" s="15" t="s">
        <v>578</v>
      </c>
      <c r="K402" s="74" t="s">
        <v>29</v>
      </c>
      <c r="L402" s="16">
        <v>1761631</v>
      </c>
      <c r="M402" s="16">
        <v>31198</v>
      </c>
      <c r="N402" s="16">
        <v>554121</v>
      </c>
      <c r="O402" s="16">
        <v>1662150</v>
      </c>
      <c r="P402" s="16">
        <v>117336</v>
      </c>
      <c r="Q402" s="16">
        <v>99481</v>
      </c>
      <c r="R402" s="16">
        <v>6727</v>
      </c>
      <c r="S402" s="16">
        <v>0</v>
      </c>
      <c r="T402" s="16">
        <v>2</v>
      </c>
      <c r="U402" s="15" t="str">
        <f t="shared" si="24"/>
        <v>Privado Nacional</v>
      </c>
      <c r="V402" s="17">
        <f t="shared" si="25"/>
        <v>1.7709724681275477E-2</v>
      </c>
      <c r="W402" s="17">
        <f t="shared" si="26"/>
        <v>6.7620952744745222E-2</v>
      </c>
      <c r="X402" s="15" t="str">
        <f t="shared" si="27"/>
        <v>Média/Pequena</v>
      </c>
      <c r="Y402" s="121" t="str" cm="1">
        <f t="array" ref="Y402">_xlfn.IFS(ISNUMBER(W402)=FALSE,"Sem dado",W402&gt;0.075,"Excelente",W402&gt;0.04,"Bom",W402&gt;0,"Fraco",TRUE,"Prejuízo")</f>
        <v>Bom</v>
      </c>
    </row>
    <row r="403" spans="1:25" ht="15" customHeight="1" x14ac:dyDescent="0.2">
      <c r="A403" s="12" t="s">
        <v>951</v>
      </c>
      <c r="B403" s="56">
        <v>7441209</v>
      </c>
      <c r="C403" s="12" t="s">
        <v>952</v>
      </c>
      <c r="D403" s="12"/>
      <c r="E403" s="12" t="s">
        <v>953</v>
      </c>
      <c r="F403" s="12" t="s">
        <v>60</v>
      </c>
      <c r="G403" s="33">
        <v>2</v>
      </c>
      <c r="H403" s="33">
        <v>8</v>
      </c>
      <c r="I403" s="12" t="s">
        <v>782</v>
      </c>
      <c r="J403" s="12" t="s">
        <v>74</v>
      </c>
      <c r="K403" s="73" t="s">
        <v>29</v>
      </c>
      <c r="L403" s="13">
        <v>1745748</v>
      </c>
      <c r="M403" s="13">
        <v>1678657</v>
      </c>
      <c r="N403" s="13">
        <v>1175</v>
      </c>
      <c r="O403" s="13">
        <v>1401751</v>
      </c>
      <c r="P403" s="13">
        <v>1369838</v>
      </c>
      <c r="Q403" s="13">
        <v>343997</v>
      </c>
      <c r="R403" s="13">
        <v>23573</v>
      </c>
      <c r="S403" s="13">
        <v>2</v>
      </c>
      <c r="T403" s="13">
        <v>0</v>
      </c>
      <c r="U403" s="12" t="str">
        <f t="shared" si="24"/>
        <v>Privado Nacional</v>
      </c>
      <c r="V403" s="14">
        <f t="shared" si="25"/>
        <v>0.96156890914381687</v>
      </c>
      <c r="W403" s="14">
        <f t="shared" si="26"/>
        <v>6.8526760407794249E-2</v>
      </c>
      <c r="X403" s="12" t="str">
        <f t="shared" si="27"/>
        <v>Média/Pequena</v>
      </c>
      <c r="Y403" s="122" t="str" cm="1">
        <f t="array" ref="Y403">_xlfn.IFS(ISNUMBER(W403)=FALSE,"Sem dado",W403&gt;0.075,"Excelente",W403&gt;0.04,"Bom",W403&gt;0,"Fraco",TRUE,"Prejuízo")</f>
        <v>Bom</v>
      </c>
    </row>
    <row r="404" spans="1:25" ht="15" customHeight="1" x14ac:dyDescent="0.2">
      <c r="A404" s="15" t="s">
        <v>954</v>
      </c>
      <c r="B404" s="60">
        <v>87779625</v>
      </c>
      <c r="C404" s="15"/>
      <c r="D404" s="15"/>
      <c r="E404" s="15"/>
      <c r="F404" s="15" t="s">
        <v>265</v>
      </c>
      <c r="G404" s="34">
        <v>2</v>
      </c>
      <c r="H404" s="34">
        <v>9</v>
      </c>
      <c r="I404" s="15" t="s">
        <v>955</v>
      </c>
      <c r="J404" s="15" t="s">
        <v>74</v>
      </c>
      <c r="K404" s="74" t="s">
        <v>29</v>
      </c>
      <c r="L404" s="16">
        <v>1745735</v>
      </c>
      <c r="M404" s="16">
        <v>978353</v>
      </c>
      <c r="N404" s="16">
        <v>691308</v>
      </c>
      <c r="O404" s="16">
        <v>1387668</v>
      </c>
      <c r="P404" s="16">
        <v>952643</v>
      </c>
      <c r="Q404" s="16">
        <v>358067</v>
      </c>
      <c r="R404" s="16">
        <v>28130</v>
      </c>
      <c r="S404" s="16">
        <v>0</v>
      </c>
      <c r="T404" s="16">
        <v>27</v>
      </c>
      <c r="U404" s="15" t="str">
        <f t="shared" si="24"/>
        <v>Privado Nacional</v>
      </c>
      <c r="V404" s="17">
        <f t="shared" si="25"/>
        <v>0.5604246921783661</v>
      </c>
      <c r="W404" s="17">
        <f t="shared" si="26"/>
        <v>7.8560716290526633E-2</v>
      </c>
      <c r="X404" s="15" t="str">
        <f t="shared" si="27"/>
        <v>Média/Pequena</v>
      </c>
      <c r="Y404" s="121" t="str" cm="1">
        <f t="array" ref="Y404">_xlfn.IFS(ISNUMBER(W404)=FALSE,"Sem dado",W404&gt;0.075,"Excelente",W404&gt;0.04,"Bom",W404&gt;0,"Fraco",TRUE,"Prejuízo")</f>
        <v>Excelente</v>
      </c>
    </row>
    <row r="405" spans="1:25" ht="15" customHeight="1" x14ac:dyDescent="0.2">
      <c r="A405" s="12" t="s">
        <v>956</v>
      </c>
      <c r="B405" s="56">
        <v>95163002</v>
      </c>
      <c r="C405" s="12"/>
      <c r="D405" s="12"/>
      <c r="E405" s="12"/>
      <c r="F405" s="12" t="s">
        <v>265</v>
      </c>
      <c r="G405" s="33">
        <v>2</v>
      </c>
      <c r="H405" s="33">
        <v>9</v>
      </c>
      <c r="I405" s="12" t="s">
        <v>957</v>
      </c>
      <c r="J405" s="12" t="s">
        <v>74</v>
      </c>
      <c r="K405" s="73" t="s">
        <v>29</v>
      </c>
      <c r="L405" s="13">
        <v>1730664</v>
      </c>
      <c r="M405" s="13">
        <v>938416</v>
      </c>
      <c r="N405" s="13">
        <v>30624</v>
      </c>
      <c r="O405" s="13">
        <v>1578294</v>
      </c>
      <c r="P405" s="13">
        <v>1461230</v>
      </c>
      <c r="Q405" s="13">
        <v>152371</v>
      </c>
      <c r="R405" s="13">
        <v>85</v>
      </c>
      <c r="S405" s="13">
        <v>0</v>
      </c>
      <c r="T405" s="13">
        <v>18</v>
      </c>
      <c r="U405" s="12" t="str">
        <f t="shared" si="24"/>
        <v>Privado Nacional</v>
      </c>
      <c r="V405" s="14">
        <f t="shared" si="25"/>
        <v>0.54222887862693159</v>
      </c>
      <c r="W405" s="14">
        <f t="shared" si="26"/>
        <v>5.5784893450853512E-4</v>
      </c>
      <c r="X405" s="12" t="str">
        <f t="shared" si="27"/>
        <v>Média/Pequena</v>
      </c>
      <c r="Y405" s="122" t="str" cm="1">
        <f t="array" ref="Y405">_xlfn.IFS(ISNUMBER(W405)=FALSE,"Sem dado",W405&gt;0.075,"Excelente",W405&gt;0.04,"Bom",W405&gt;0,"Fraco",TRUE,"Prejuízo")</f>
        <v>Fraco</v>
      </c>
    </row>
    <row r="406" spans="1:25" ht="15" customHeight="1" x14ac:dyDescent="0.2">
      <c r="A406" s="15" t="s">
        <v>958</v>
      </c>
      <c r="B406" s="60">
        <v>11581339</v>
      </c>
      <c r="C406" s="15" t="s">
        <v>959</v>
      </c>
      <c r="D406" s="15" t="s">
        <v>960</v>
      </c>
      <c r="E406" s="15" t="s">
        <v>961</v>
      </c>
      <c r="F406" s="15" t="s">
        <v>65</v>
      </c>
      <c r="G406" s="34">
        <v>2</v>
      </c>
      <c r="H406" s="34">
        <v>10</v>
      </c>
      <c r="I406" s="15" t="s">
        <v>38</v>
      </c>
      <c r="J406" s="15" t="s">
        <v>39</v>
      </c>
      <c r="K406" s="74" t="s">
        <v>29</v>
      </c>
      <c r="L406" s="16">
        <v>1730517</v>
      </c>
      <c r="M406" s="16">
        <v>54962</v>
      </c>
      <c r="N406" s="16">
        <v>0</v>
      </c>
      <c r="O406" s="16">
        <v>1673660</v>
      </c>
      <c r="P406" s="16">
        <v>1467454</v>
      </c>
      <c r="Q406" s="16">
        <v>56857</v>
      </c>
      <c r="R406" s="16">
        <v>-9420</v>
      </c>
      <c r="S406" s="16">
        <v>2</v>
      </c>
      <c r="T406" s="16">
        <v>0</v>
      </c>
      <c r="U406" s="15" t="str">
        <f t="shared" si="24"/>
        <v>Privado Nacional</v>
      </c>
      <c r="V406" s="17">
        <f t="shared" si="25"/>
        <v>3.1760450778582354E-2</v>
      </c>
      <c r="W406" s="17">
        <f t="shared" si="26"/>
        <v>-0.16567880823821166</v>
      </c>
      <c r="X406" s="15" t="str">
        <f t="shared" si="27"/>
        <v>Média/Pequena</v>
      </c>
      <c r="Y406" s="121" t="str" cm="1">
        <f t="array" ref="Y406">_xlfn.IFS(ISNUMBER(W406)=FALSE,"Sem dado",W406&gt;0.075,"Excelente",W406&gt;0.04,"Bom",W406&gt;0,"Fraco",TRUE,"Prejuízo")</f>
        <v>Prejuízo</v>
      </c>
    </row>
    <row r="407" spans="1:25" ht="15" customHeight="1" x14ac:dyDescent="0.2">
      <c r="A407" s="12" t="s">
        <v>962</v>
      </c>
      <c r="B407" s="56">
        <v>22656789</v>
      </c>
      <c r="C407" s="12"/>
      <c r="D407" s="12"/>
      <c r="E407" s="12"/>
      <c r="F407" s="12" t="s">
        <v>265</v>
      </c>
      <c r="G407" s="33">
        <v>2</v>
      </c>
      <c r="H407" s="33">
        <v>9</v>
      </c>
      <c r="I407" s="12" t="s">
        <v>963</v>
      </c>
      <c r="J407" s="12" t="s">
        <v>120</v>
      </c>
      <c r="K407" s="73" t="s">
        <v>29</v>
      </c>
      <c r="L407" s="13">
        <v>1721434</v>
      </c>
      <c r="M407" s="13">
        <v>757798</v>
      </c>
      <c r="N407" s="13">
        <v>53462</v>
      </c>
      <c r="O407" s="13">
        <v>1548808</v>
      </c>
      <c r="P407" s="13">
        <v>1165440</v>
      </c>
      <c r="Q407" s="13">
        <v>172626</v>
      </c>
      <c r="R407" s="13">
        <v>6809</v>
      </c>
      <c r="S407" s="13">
        <v>0</v>
      </c>
      <c r="T407" s="13">
        <v>26</v>
      </c>
      <c r="U407" s="12" t="str">
        <f t="shared" si="24"/>
        <v>Privado Nacional</v>
      </c>
      <c r="V407" s="14">
        <f t="shared" si="25"/>
        <v>0.44021321758487403</v>
      </c>
      <c r="W407" s="14">
        <f t="shared" si="26"/>
        <v>3.9443652752192603E-2</v>
      </c>
      <c r="X407" s="12" t="str">
        <f t="shared" si="27"/>
        <v>Média/Pequena</v>
      </c>
      <c r="Y407" s="122" t="str" cm="1">
        <f t="array" ref="Y407">_xlfn.IFS(ISNUMBER(W407)=FALSE,"Sem dado",W407&gt;0.075,"Excelente",W407&gt;0.04,"Bom",W407&gt;0,"Fraco",TRUE,"Prejuízo")</f>
        <v>Fraco</v>
      </c>
    </row>
    <row r="408" spans="1:25" ht="15" customHeight="1" x14ac:dyDescent="0.2">
      <c r="A408" s="15" t="s">
        <v>964</v>
      </c>
      <c r="B408" s="60">
        <v>66463407</v>
      </c>
      <c r="C408" s="15"/>
      <c r="D408" s="15"/>
      <c r="E408" s="15"/>
      <c r="F408" s="15" t="s">
        <v>265</v>
      </c>
      <c r="G408" s="34">
        <v>2</v>
      </c>
      <c r="H408" s="34">
        <v>9</v>
      </c>
      <c r="I408" s="15" t="s">
        <v>965</v>
      </c>
      <c r="J408" s="15" t="s">
        <v>120</v>
      </c>
      <c r="K408" s="74" t="s">
        <v>29</v>
      </c>
      <c r="L408" s="16">
        <v>1702159</v>
      </c>
      <c r="M408" s="16">
        <v>821410</v>
      </c>
      <c r="N408" s="16">
        <v>26536</v>
      </c>
      <c r="O408" s="16">
        <v>1487011</v>
      </c>
      <c r="P408" s="16">
        <v>1450720</v>
      </c>
      <c r="Q408" s="16">
        <v>215148</v>
      </c>
      <c r="R408" s="16">
        <v>19097</v>
      </c>
      <c r="S408" s="16">
        <v>0</v>
      </c>
      <c r="T408" s="16">
        <v>9</v>
      </c>
      <c r="U408" s="15" t="str">
        <f t="shared" si="24"/>
        <v>Privado Nacional</v>
      </c>
      <c r="V408" s="17">
        <f t="shared" si="25"/>
        <v>0.4825694896892711</v>
      </c>
      <c r="W408" s="17">
        <f t="shared" si="26"/>
        <v>8.8762154423931428E-2</v>
      </c>
      <c r="X408" s="15" t="str">
        <f t="shared" si="27"/>
        <v>Média/Pequena</v>
      </c>
      <c r="Y408" s="121" t="str" cm="1">
        <f t="array" ref="Y408">_xlfn.IFS(ISNUMBER(W408)=FALSE,"Sem dado",W408&gt;0.075,"Excelente",W408&gt;0.04,"Bom",W408&gt;0,"Fraco",TRUE,"Prejuízo")</f>
        <v>Excelente</v>
      </c>
    </row>
    <row r="409" spans="1:25" ht="15" customHeight="1" x14ac:dyDescent="0.2">
      <c r="A409" s="12" t="s">
        <v>966</v>
      </c>
      <c r="B409" s="56">
        <v>10520232</v>
      </c>
      <c r="C409" s="12"/>
      <c r="D409" s="12"/>
      <c r="E409" s="12"/>
      <c r="F409" s="12" t="s">
        <v>265</v>
      </c>
      <c r="G409" s="33">
        <v>2</v>
      </c>
      <c r="H409" s="33">
        <v>9</v>
      </c>
      <c r="I409" s="12" t="s">
        <v>700</v>
      </c>
      <c r="J409" s="12" t="s">
        <v>432</v>
      </c>
      <c r="K409" s="73" t="s">
        <v>29</v>
      </c>
      <c r="L409" s="13">
        <v>1693136</v>
      </c>
      <c r="M409" s="13">
        <v>1323243</v>
      </c>
      <c r="N409" s="13">
        <v>31823</v>
      </c>
      <c r="O409" s="13">
        <v>1476608</v>
      </c>
      <c r="P409" s="13">
        <v>641190</v>
      </c>
      <c r="Q409" s="13">
        <v>216528</v>
      </c>
      <c r="R409" s="13">
        <v>19737</v>
      </c>
      <c r="S409" s="13">
        <v>0</v>
      </c>
      <c r="T409" s="13">
        <v>22</v>
      </c>
      <c r="U409" s="12" t="str">
        <f t="shared" si="24"/>
        <v>Privado Nacional</v>
      </c>
      <c r="V409" s="14">
        <f t="shared" si="25"/>
        <v>0.78153379291444991</v>
      </c>
      <c r="W409" s="14">
        <f t="shared" si="26"/>
        <v>9.1152183551319002E-2</v>
      </c>
      <c r="X409" s="12" t="str">
        <f t="shared" si="27"/>
        <v>Média/Pequena</v>
      </c>
      <c r="Y409" s="122" t="str" cm="1">
        <f t="array" ref="Y409">_xlfn.IFS(ISNUMBER(W409)=FALSE,"Sem dado",W409&gt;0.075,"Excelente",W409&gt;0.04,"Bom",W409&gt;0,"Fraco",TRUE,"Prejuízo")</f>
        <v>Excelente</v>
      </c>
    </row>
    <row r="410" spans="1:25" ht="15" customHeight="1" x14ac:dyDescent="0.2">
      <c r="A410" s="15" t="s">
        <v>967</v>
      </c>
      <c r="B410" s="60">
        <v>22724710</v>
      </c>
      <c r="C410" s="15"/>
      <c r="D410" s="15"/>
      <c r="E410" s="15"/>
      <c r="F410" s="15" t="s">
        <v>265</v>
      </c>
      <c r="G410" s="34">
        <v>2</v>
      </c>
      <c r="H410" s="34">
        <v>9</v>
      </c>
      <c r="I410" s="15" t="s">
        <v>968</v>
      </c>
      <c r="J410" s="15" t="s">
        <v>120</v>
      </c>
      <c r="K410" s="74" t="s">
        <v>29</v>
      </c>
      <c r="L410" s="16">
        <v>1681904</v>
      </c>
      <c r="M410" s="16">
        <v>628222</v>
      </c>
      <c r="N410" s="16">
        <v>26159</v>
      </c>
      <c r="O410" s="16">
        <v>1424090</v>
      </c>
      <c r="P410" s="16">
        <v>1368890</v>
      </c>
      <c r="Q410" s="16">
        <v>257814</v>
      </c>
      <c r="R410" s="16">
        <v>20705</v>
      </c>
      <c r="S410" s="16">
        <v>0</v>
      </c>
      <c r="T410" s="16">
        <v>22</v>
      </c>
      <c r="U410" s="15" t="str">
        <f t="shared" si="24"/>
        <v>Privado Nacional</v>
      </c>
      <c r="V410" s="17">
        <f t="shared" si="25"/>
        <v>0.37351834587467536</v>
      </c>
      <c r="W410" s="17">
        <f t="shared" si="26"/>
        <v>8.030983577307671E-2</v>
      </c>
      <c r="X410" s="15" t="str">
        <f t="shared" si="27"/>
        <v>Média/Pequena</v>
      </c>
      <c r="Y410" s="121" t="str" cm="1">
        <f t="array" ref="Y410">_xlfn.IFS(ISNUMBER(W410)=FALSE,"Sem dado",W410&gt;0.075,"Excelente",W410&gt;0.04,"Bom",W410&gt;0,"Fraco",TRUE,"Prejuízo")</f>
        <v>Excelente</v>
      </c>
    </row>
    <row r="411" spans="1:25" ht="15" customHeight="1" x14ac:dyDescent="0.2">
      <c r="A411" s="12" t="s">
        <v>969</v>
      </c>
      <c r="B411" s="56">
        <v>7268499</v>
      </c>
      <c r="C411" s="12"/>
      <c r="D411" s="12"/>
      <c r="E411" s="12"/>
      <c r="F411" s="12" t="s">
        <v>265</v>
      </c>
      <c r="G411" s="33">
        <v>2</v>
      </c>
      <c r="H411" s="33">
        <v>9</v>
      </c>
      <c r="I411" s="12" t="s">
        <v>670</v>
      </c>
      <c r="J411" s="12" t="s">
        <v>229</v>
      </c>
      <c r="K411" s="73" t="s">
        <v>29</v>
      </c>
      <c r="L411" s="13">
        <v>1672088</v>
      </c>
      <c r="M411" s="13">
        <v>1216772</v>
      </c>
      <c r="N411" s="13">
        <v>23228</v>
      </c>
      <c r="O411" s="13">
        <v>1454213</v>
      </c>
      <c r="P411" s="13">
        <v>874601</v>
      </c>
      <c r="Q411" s="13">
        <v>217875</v>
      </c>
      <c r="R411" s="13">
        <v>12298</v>
      </c>
      <c r="S411" s="13">
        <v>0</v>
      </c>
      <c r="T411" s="13">
        <v>31</v>
      </c>
      <c r="U411" s="12" t="str">
        <f t="shared" si="24"/>
        <v>Privado Nacional</v>
      </c>
      <c r="V411" s="14">
        <f t="shared" si="25"/>
        <v>0.72769614996339904</v>
      </c>
      <c r="W411" s="14">
        <f t="shared" si="26"/>
        <v>5.6445209409064834E-2</v>
      </c>
      <c r="X411" s="12" t="str">
        <f t="shared" si="27"/>
        <v>Média/Pequena</v>
      </c>
      <c r="Y411" s="122" t="str" cm="1">
        <f t="array" ref="Y411">_xlfn.IFS(ISNUMBER(W411)=FALSE,"Sem dado",W411&gt;0.075,"Excelente",W411&gt;0.04,"Bom",W411&gt;0,"Fraco",TRUE,"Prejuízo")</f>
        <v>Bom</v>
      </c>
    </row>
    <row r="412" spans="1:25" ht="15" customHeight="1" x14ac:dyDescent="0.2">
      <c r="A412" s="15" t="s">
        <v>970</v>
      </c>
      <c r="B412" s="60">
        <v>4529074</v>
      </c>
      <c r="C412" s="15"/>
      <c r="D412" s="15"/>
      <c r="E412" s="15"/>
      <c r="F412" s="15" t="s">
        <v>265</v>
      </c>
      <c r="G412" s="34">
        <v>2</v>
      </c>
      <c r="H412" s="34">
        <v>9</v>
      </c>
      <c r="I412" s="15" t="s">
        <v>971</v>
      </c>
      <c r="J412" s="15" t="s">
        <v>229</v>
      </c>
      <c r="K412" s="74" t="s">
        <v>29</v>
      </c>
      <c r="L412" s="16">
        <v>1670825</v>
      </c>
      <c r="M412" s="16">
        <v>983243</v>
      </c>
      <c r="N412" s="16">
        <v>36524</v>
      </c>
      <c r="O412" s="16">
        <v>1492294</v>
      </c>
      <c r="P412" s="16">
        <v>1222162</v>
      </c>
      <c r="Q412" s="16">
        <v>178532</v>
      </c>
      <c r="R412" s="16">
        <v>9144</v>
      </c>
      <c r="S412" s="16">
        <v>0</v>
      </c>
      <c r="T412" s="16">
        <v>25</v>
      </c>
      <c r="U412" s="15" t="str">
        <f t="shared" si="24"/>
        <v>Privado Nacional</v>
      </c>
      <c r="V412" s="17">
        <f t="shared" si="25"/>
        <v>0.5884775485164514</v>
      </c>
      <c r="W412" s="17">
        <f t="shared" si="26"/>
        <v>5.121770887011852E-2</v>
      </c>
      <c r="X412" s="15" t="str">
        <f t="shared" si="27"/>
        <v>Média/Pequena</v>
      </c>
      <c r="Y412" s="121" t="str" cm="1">
        <f t="array" ref="Y412">_xlfn.IFS(ISNUMBER(W412)=FALSE,"Sem dado",W412&gt;0.075,"Excelente",W412&gt;0.04,"Bom",W412&gt;0,"Fraco",TRUE,"Prejuízo")</f>
        <v>Bom</v>
      </c>
    </row>
    <row r="413" spans="1:25" ht="15" customHeight="1" x14ac:dyDescent="0.2">
      <c r="A413" s="12" t="s">
        <v>972</v>
      </c>
      <c r="B413" s="56">
        <v>21866694</v>
      </c>
      <c r="C413" s="12"/>
      <c r="D413" s="12"/>
      <c r="E413" s="12"/>
      <c r="F413" s="12" t="s">
        <v>265</v>
      </c>
      <c r="G413" s="33">
        <v>2</v>
      </c>
      <c r="H413" s="33">
        <v>9</v>
      </c>
      <c r="I413" s="12" t="s">
        <v>973</v>
      </c>
      <c r="J413" s="12" t="s">
        <v>120</v>
      </c>
      <c r="K413" s="73" t="s">
        <v>29</v>
      </c>
      <c r="L413" s="13">
        <v>1669355</v>
      </c>
      <c r="M413" s="13">
        <v>731713</v>
      </c>
      <c r="N413" s="13">
        <v>31195</v>
      </c>
      <c r="O413" s="13">
        <v>1425370</v>
      </c>
      <c r="P413" s="13">
        <v>1289864</v>
      </c>
      <c r="Q413" s="13">
        <v>243985</v>
      </c>
      <c r="R413" s="13">
        <v>27873</v>
      </c>
      <c r="S413" s="13">
        <v>0</v>
      </c>
      <c r="T413" s="13">
        <v>33</v>
      </c>
      <c r="U413" s="12" t="str">
        <f t="shared" si="24"/>
        <v>Privado Nacional</v>
      </c>
      <c r="V413" s="14">
        <f t="shared" si="25"/>
        <v>0.43832078856803974</v>
      </c>
      <c r="W413" s="14">
        <f t="shared" si="26"/>
        <v>0.11424062954689837</v>
      </c>
      <c r="X413" s="12" t="str">
        <f t="shared" si="27"/>
        <v>Média/Pequena</v>
      </c>
      <c r="Y413" s="122" t="str" cm="1">
        <f t="array" ref="Y413">_xlfn.IFS(ISNUMBER(W413)=FALSE,"Sem dado",W413&gt;0.075,"Excelente",W413&gt;0.04,"Bom",W413&gt;0,"Fraco",TRUE,"Prejuízo")</f>
        <v>Excelente</v>
      </c>
    </row>
    <row r="414" spans="1:25" ht="15" customHeight="1" x14ac:dyDescent="0.2">
      <c r="A414" s="15" t="s">
        <v>974</v>
      </c>
      <c r="B414" s="60">
        <v>25395435</v>
      </c>
      <c r="C414" s="15"/>
      <c r="D414" s="15"/>
      <c r="E414" s="15"/>
      <c r="F414" s="15" t="s">
        <v>265</v>
      </c>
      <c r="G414" s="34">
        <v>2</v>
      </c>
      <c r="H414" s="34">
        <v>9</v>
      </c>
      <c r="I414" s="15" t="s">
        <v>975</v>
      </c>
      <c r="J414" s="15" t="s">
        <v>120</v>
      </c>
      <c r="K414" s="74" t="s">
        <v>29</v>
      </c>
      <c r="L414" s="16">
        <v>1657422</v>
      </c>
      <c r="M414" s="16">
        <v>817459</v>
      </c>
      <c r="N414" s="16">
        <v>77650</v>
      </c>
      <c r="O414" s="16">
        <v>1410423</v>
      </c>
      <c r="P414" s="16">
        <v>1058012</v>
      </c>
      <c r="Q414" s="16">
        <v>246999</v>
      </c>
      <c r="R414" s="16">
        <v>16881</v>
      </c>
      <c r="S414" s="16">
        <v>0</v>
      </c>
      <c r="T414" s="16">
        <v>20</v>
      </c>
      <c r="U414" s="15" t="str">
        <f t="shared" si="24"/>
        <v>Privado Nacional</v>
      </c>
      <c r="V414" s="17">
        <f t="shared" si="25"/>
        <v>0.49321114357116053</v>
      </c>
      <c r="W414" s="17">
        <f t="shared" si="26"/>
        <v>6.8344406252656892E-2</v>
      </c>
      <c r="X414" s="15" t="str">
        <f t="shared" si="27"/>
        <v>Média/Pequena</v>
      </c>
      <c r="Y414" s="121" t="str" cm="1">
        <f t="array" ref="Y414">_xlfn.IFS(ISNUMBER(W414)=FALSE,"Sem dado",W414&gt;0.075,"Excelente",W414&gt;0.04,"Bom",W414&gt;0,"Fraco",TRUE,"Prejuízo")</f>
        <v>Bom</v>
      </c>
    </row>
    <row r="415" spans="1:25" ht="15" customHeight="1" x14ac:dyDescent="0.2">
      <c r="A415" s="12" t="s">
        <v>976</v>
      </c>
      <c r="B415" s="56">
        <v>61809182</v>
      </c>
      <c r="C415" s="12" t="s">
        <v>352</v>
      </c>
      <c r="D415" s="12" t="s">
        <v>353</v>
      </c>
      <c r="E415" s="12" t="s">
        <v>354</v>
      </c>
      <c r="F415" s="12" t="s">
        <v>98</v>
      </c>
      <c r="G415" s="33">
        <v>3</v>
      </c>
      <c r="H415" s="33">
        <v>15</v>
      </c>
      <c r="I415" s="12" t="s">
        <v>38</v>
      </c>
      <c r="J415" s="12" t="s">
        <v>39</v>
      </c>
      <c r="K415" s="73" t="s">
        <v>29</v>
      </c>
      <c r="L415" s="13">
        <v>1630451</v>
      </c>
      <c r="M415" s="13">
        <v>0</v>
      </c>
      <c r="N415" s="13">
        <v>18470</v>
      </c>
      <c r="O415" s="13">
        <v>1545353</v>
      </c>
      <c r="P415" s="13">
        <v>53244</v>
      </c>
      <c r="Q415" s="13">
        <v>85097</v>
      </c>
      <c r="R415" s="13">
        <v>-181332</v>
      </c>
      <c r="S415" s="13">
        <v>3</v>
      </c>
      <c r="T415" s="13">
        <v>0</v>
      </c>
      <c r="U415" s="12" t="str">
        <f t="shared" si="24"/>
        <v>Privado Estrangeiro</v>
      </c>
      <c r="V415" s="14">
        <f t="shared" si="25"/>
        <v>0</v>
      </c>
      <c r="W415" s="14">
        <f t="shared" si="26"/>
        <v>-2.1308859301738017</v>
      </c>
      <c r="X415" s="12" t="str">
        <f t="shared" si="27"/>
        <v>Média/Pequena</v>
      </c>
      <c r="Y415" s="122" t="str" cm="1">
        <f t="array" ref="Y415">_xlfn.IFS(ISNUMBER(W415)=FALSE,"Sem dado",W415&gt;0.075,"Excelente",W415&gt;0.04,"Bom",W415&gt;0,"Fraco",TRUE,"Prejuízo")</f>
        <v>Prejuízo</v>
      </c>
    </row>
    <row r="416" spans="1:25" ht="15" customHeight="1" x14ac:dyDescent="0.2">
      <c r="A416" s="15" t="s">
        <v>977</v>
      </c>
      <c r="B416" s="60">
        <v>694389</v>
      </c>
      <c r="C416" s="15"/>
      <c r="D416" s="15"/>
      <c r="E416" s="15"/>
      <c r="F416" s="15" t="s">
        <v>265</v>
      </c>
      <c r="G416" s="34">
        <v>2</v>
      </c>
      <c r="H416" s="34">
        <v>9</v>
      </c>
      <c r="I416" s="15" t="s">
        <v>978</v>
      </c>
      <c r="J416" s="15" t="s">
        <v>217</v>
      </c>
      <c r="K416" s="74" t="s">
        <v>29</v>
      </c>
      <c r="L416" s="16">
        <v>1624558</v>
      </c>
      <c r="M416" s="16">
        <v>1023198</v>
      </c>
      <c r="N416" s="16">
        <v>30484</v>
      </c>
      <c r="O416" s="16">
        <v>1342956</v>
      </c>
      <c r="P416" s="16">
        <v>884793</v>
      </c>
      <c r="Q416" s="16">
        <v>281602</v>
      </c>
      <c r="R416" s="16">
        <v>21808</v>
      </c>
      <c r="S416" s="16">
        <v>0</v>
      </c>
      <c r="T416" s="16">
        <v>16</v>
      </c>
      <c r="U416" s="15" t="str">
        <f t="shared" si="24"/>
        <v>Privado Nacional</v>
      </c>
      <c r="V416" s="17">
        <f t="shared" si="25"/>
        <v>0.62983162189346276</v>
      </c>
      <c r="W416" s="17">
        <f t="shared" si="26"/>
        <v>7.7442631799490055E-2</v>
      </c>
      <c r="X416" s="15" t="str">
        <f t="shared" si="27"/>
        <v>Média/Pequena</v>
      </c>
      <c r="Y416" s="121" t="str" cm="1">
        <f t="array" ref="Y416">_xlfn.IFS(ISNUMBER(W416)=FALSE,"Sem dado",W416&gt;0.075,"Excelente",W416&gt;0.04,"Bom",W416&gt;0,"Fraco",TRUE,"Prejuízo")</f>
        <v>Excelente</v>
      </c>
    </row>
    <row r="417" spans="1:25" ht="15" customHeight="1" x14ac:dyDescent="0.2">
      <c r="A417" s="12" t="s">
        <v>979</v>
      </c>
      <c r="B417" s="56">
        <v>2670590</v>
      </c>
      <c r="C417" s="12" t="s">
        <v>188</v>
      </c>
      <c r="D417" s="12" t="s">
        <v>189</v>
      </c>
      <c r="E417" s="12" t="s">
        <v>190</v>
      </c>
      <c r="F417" s="12" t="s">
        <v>98</v>
      </c>
      <c r="G417" s="33">
        <v>3</v>
      </c>
      <c r="H417" s="33">
        <v>15</v>
      </c>
      <c r="I417" s="12" t="s">
        <v>38</v>
      </c>
      <c r="J417" s="12" t="s">
        <v>39</v>
      </c>
      <c r="K417" s="73" t="s">
        <v>29</v>
      </c>
      <c r="L417" s="13">
        <v>1621402</v>
      </c>
      <c r="M417" s="13">
        <v>0</v>
      </c>
      <c r="N417" s="13">
        <v>32408</v>
      </c>
      <c r="O417" s="13">
        <v>914655</v>
      </c>
      <c r="P417" s="13">
        <v>0</v>
      </c>
      <c r="Q417" s="13">
        <v>706747</v>
      </c>
      <c r="R417" s="13">
        <v>85660</v>
      </c>
      <c r="S417" s="13">
        <v>1</v>
      </c>
      <c r="T417" s="13">
        <v>0</v>
      </c>
      <c r="U417" s="12" t="str">
        <f t="shared" si="24"/>
        <v>Privado Estrangeiro</v>
      </c>
      <c r="V417" s="14">
        <f t="shared" si="25"/>
        <v>0</v>
      </c>
      <c r="W417" s="14">
        <f t="shared" si="26"/>
        <v>0.12120320284345035</v>
      </c>
      <c r="X417" s="12" t="str">
        <f t="shared" si="27"/>
        <v>Média/Pequena</v>
      </c>
      <c r="Y417" s="122" t="str" cm="1">
        <f t="array" ref="Y417">_xlfn.IFS(ISNUMBER(W417)=FALSE,"Sem dado",W417&gt;0.075,"Excelente",W417&gt;0.04,"Bom",W417&gt;0,"Fraco",TRUE,"Prejuízo")</f>
        <v>Excelente</v>
      </c>
    </row>
    <row r="418" spans="1:25" ht="15" customHeight="1" x14ac:dyDescent="0.2">
      <c r="A418" s="15" t="s">
        <v>980</v>
      </c>
      <c r="B418" s="60">
        <v>18539102</v>
      </c>
      <c r="C418" s="15" t="s">
        <v>981</v>
      </c>
      <c r="D418" s="15"/>
      <c r="E418" s="15" t="s">
        <v>982</v>
      </c>
      <c r="F418" s="15" t="s">
        <v>65</v>
      </c>
      <c r="G418" s="34">
        <v>3</v>
      </c>
      <c r="H418" s="34">
        <v>19</v>
      </c>
      <c r="I418" s="15" t="s">
        <v>107</v>
      </c>
      <c r="J418" s="15" t="s">
        <v>39</v>
      </c>
      <c r="K418" s="74" t="s">
        <v>29</v>
      </c>
      <c r="L418" s="16">
        <v>1608279</v>
      </c>
      <c r="M418" s="16">
        <v>242680</v>
      </c>
      <c r="N418" s="16">
        <v>0</v>
      </c>
      <c r="O418" s="16">
        <v>1419794</v>
      </c>
      <c r="P418" s="16">
        <v>1015276</v>
      </c>
      <c r="Q418" s="16">
        <v>188485</v>
      </c>
      <c r="R418" s="16">
        <v>8874</v>
      </c>
      <c r="S418" s="16">
        <v>2</v>
      </c>
      <c r="T418" s="16">
        <v>0</v>
      </c>
      <c r="U418" s="15" t="str">
        <f t="shared" si="24"/>
        <v>Privado Estrangeiro</v>
      </c>
      <c r="V418" s="17">
        <f t="shared" si="25"/>
        <v>0.15089421673727008</v>
      </c>
      <c r="W418" s="17">
        <f t="shared" si="26"/>
        <v>4.7080669549301006E-2</v>
      </c>
      <c r="X418" s="15" t="str">
        <f t="shared" si="27"/>
        <v>Média/Pequena</v>
      </c>
      <c r="Y418" s="121" t="str" cm="1">
        <f t="array" ref="Y418">_xlfn.IFS(ISNUMBER(W418)=FALSE,"Sem dado",W418&gt;0.075,"Excelente",W418&gt;0.04,"Bom",W418&gt;0,"Fraco",TRUE,"Prejuízo")</f>
        <v>Bom</v>
      </c>
    </row>
    <row r="419" spans="1:25" ht="15" customHeight="1" x14ac:dyDescent="0.2">
      <c r="A419" s="12" t="s">
        <v>983</v>
      </c>
      <c r="B419" s="56">
        <v>17359351</v>
      </c>
      <c r="C419" s="12" t="s">
        <v>984</v>
      </c>
      <c r="D419" s="12"/>
      <c r="E419" s="12" t="s">
        <v>985</v>
      </c>
      <c r="F419" s="12" t="s">
        <v>65</v>
      </c>
      <c r="G419" s="33">
        <v>2</v>
      </c>
      <c r="H419" s="33">
        <v>14</v>
      </c>
      <c r="I419" s="12" t="s">
        <v>955</v>
      </c>
      <c r="J419" s="12" t="s">
        <v>74</v>
      </c>
      <c r="K419" s="73" t="s">
        <v>29</v>
      </c>
      <c r="L419" s="13">
        <v>1592151</v>
      </c>
      <c r="M419" s="13">
        <v>1371961</v>
      </c>
      <c r="N419" s="13">
        <v>190571</v>
      </c>
      <c r="O419" s="13">
        <v>1326848</v>
      </c>
      <c r="P419" s="13">
        <v>1309191</v>
      </c>
      <c r="Q419" s="13">
        <v>265302</v>
      </c>
      <c r="R419" s="13">
        <v>10434</v>
      </c>
      <c r="S419" s="13">
        <v>2</v>
      </c>
      <c r="T419" s="13">
        <v>0</v>
      </c>
      <c r="U419" s="12" t="str">
        <f t="shared" si="24"/>
        <v>Privado Nacional</v>
      </c>
      <c r="V419" s="14">
        <f t="shared" si="25"/>
        <v>0.8617028158761324</v>
      </c>
      <c r="W419" s="14">
        <f t="shared" si="26"/>
        <v>3.9328764954655447E-2</v>
      </c>
      <c r="X419" s="12" t="str">
        <f t="shared" si="27"/>
        <v>Média/Pequena</v>
      </c>
      <c r="Y419" s="122" t="str" cm="1">
        <f t="array" ref="Y419">_xlfn.IFS(ISNUMBER(W419)=FALSE,"Sem dado",W419&gt;0.075,"Excelente",W419&gt;0.04,"Bom",W419&gt;0,"Fraco",TRUE,"Prejuízo")</f>
        <v>Fraco</v>
      </c>
    </row>
    <row r="420" spans="1:25" ht="15" customHeight="1" x14ac:dyDescent="0.2">
      <c r="A420" s="15" t="s">
        <v>986</v>
      </c>
      <c r="B420" s="60">
        <v>24048910</v>
      </c>
      <c r="C420" s="15"/>
      <c r="D420" s="15"/>
      <c r="E420" s="15"/>
      <c r="F420" s="15" t="s">
        <v>265</v>
      </c>
      <c r="G420" s="34">
        <v>2</v>
      </c>
      <c r="H420" s="34">
        <v>9</v>
      </c>
      <c r="I420" s="15" t="s">
        <v>987</v>
      </c>
      <c r="J420" s="15" t="s">
        <v>120</v>
      </c>
      <c r="K420" s="74" t="s">
        <v>29</v>
      </c>
      <c r="L420" s="16">
        <v>1589987</v>
      </c>
      <c r="M420" s="16">
        <v>901034</v>
      </c>
      <c r="N420" s="16">
        <v>43167</v>
      </c>
      <c r="O420" s="16">
        <v>1379821</v>
      </c>
      <c r="P420" s="16">
        <v>1189256</v>
      </c>
      <c r="Q420" s="16">
        <v>210166</v>
      </c>
      <c r="R420" s="16">
        <v>197</v>
      </c>
      <c r="S420" s="16">
        <v>0</v>
      </c>
      <c r="T420" s="16">
        <v>19</v>
      </c>
      <c r="U420" s="15" t="str">
        <f t="shared" si="24"/>
        <v>Privado Nacional</v>
      </c>
      <c r="V420" s="17">
        <f t="shared" si="25"/>
        <v>0.56669268365087266</v>
      </c>
      <c r="W420" s="17">
        <f t="shared" si="26"/>
        <v>9.3735428185339213E-4</v>
      </c>
      <c r="X420" s="15" t="str">
        <f t="shared" si="27"/>
        <v>Média/Pequena</v>
      </c>
      <c r="Y420" s="121" t="str" cm="1">
        <f t="array" ref="Y420">_xlfn.IFS(ISNUMBER(W420)=FALSE,"Sem dado",W420&gt;0.075,"Excelente",W420&gt;0.04,"Bom",W420&gt;0,"Fraco",TRUE,"Prejuízo")</f>
        <v>Fraco</v>
      </c>
    </row>
    <row r="421" spans="1:25" ht="15" customHeight="1" x14ac:dyDescent="0.2">
      <c r="A421" s="12" t="s">
        <v>988</v>
      </c>
      <c r="B421" s="56">
        <v>3965737</v>
      </c>
      <c r="C421" s="12"/>
      <c r="D421" s="12"/>
      <c r="E421" s="12"/>
      <c r="F421" s="12" t="s">
        <v>265</v>
      </c>
      <c r="G421" s="33">
        <v>2</v>
      </c>
      <c r="H421" s="33">
        <v>9</v>
      </c>
      <c r="I421" s="12" t="s">
        <v>369</v>
      </c>
      <c r="J421" s="12" t="s">
        <v>217</v>
      </c>
      <c r="K421" s="73" t="s">
        <v>29</v>
      </c>
      <c r="L421" s="13">
        <v>1588362</v>
      </c>
      <c r="M421" s="13">
        <v>1234363</v>
      </c>
      <c r="N421" s="13">
        <v>24953</v>
      </c>
      <c r="O421" s="13">
        <v>1438507</v>
      </c>
      <c r="P421" s="13">
        <v>870431</v>
      </c>
      <c r="Q421" s="13">
        <v>149855</v>
      </c>
      <c r="R421" s="13">
        <v>4228</v>
      </c>
      <c r="S421" s="13">
        <v>0</v>
      </c>
      <c r="T421" s="13">
        <v>24</v>
      </c>
      <c r="U421" s="12" t="str">
        <f t="shared" si="24"/>
        <v>Privado Nacional</v>
      </c>
      <c r="V421" s="14">
        <f t="shared" si="25"/>
        <v>0.77712952085229936</v>
      </c>
      <c r="W421" s="14">
        <f t="shared" si="26"/>
        <v>2.8213940142137399E-2</v>
      </c>
      <c r="X421" s="12" t="str">
        <f t="shared" si="27"/>
        <v>Média/Pequena</v>
      </c>
      <c r="Y421" s="122" t="str" cm="1">
        <f t="array" ref="Y421">_xlfn.IFS(ISNUMBER(W421)=FALSE,"Sem dado",W421&gt;0.075,"Excelente",W421&gt;0.04,"Bom",W421&gt;0,"Fraco",TRUE,"Prejuízo")</f>
        <v>Fraco</v>
      </c>
    </row>
    <row r="422" spans="1:25" ht="15" customHeight="1" x14ac:dyDescent="0.2">
      <c r="A422" s="15" t="s">
        <v>989</v>
      </c>
      <c r="B422" s="60">
        <v>23623636</v>
      </c>
      <c r="C422" s="15"/>
      <c r="D422" s="15"/>
      <c r="E422" s="15"/>
      <c r="F422" s="15" t="s">
        <v>265</v>
      </c>
      <c r="G422" s="34">
        <v>2</v>
      </c>
      <c r="H422" s="34">
        <v>9</v>
      </c>
      <c r="I422" s="15" t="s">
        <v>990</v>
      </c>
      <c r="J422" s="15" t="s">
        <v>329</v>
      </c>
      <c r="K422" s="74" t="s">
        <v>29</v>
      </c>
      <c r="L422" s="16">
        <v>1575452</v>
      </c>
      <c r="M422" s="16">
        <v>972364</v>
      </c>
      <c r="N422" s="16">
        <v>38784</v>
      </c>
      <c r="O422" s="16">
        <v>1389027</v>
      </c>
      <c r="P422" s="16">
        <v>1274923</v>
      </c>
      <c r="Q422" s="16">
        <v>186425</v>
      </c>
      <c r="R422" s="16">
        <v>25589</v>
      </c>
      <c r="S422" s="16">
        <v>0</v>
      </c>
      <c r="T422" s="16">
        <v>27</v>
      </c>
      <c r="U422" s="15" t="str">
        <f t="shared" si="24"/>
        <v>Privado Nacional</v>
      </c>
      <c r="V422" s="17">
        <f t="shared" si="25"/>
        <v>0.61719684255692975</v>
      </c>
      <c r="W422" s="17">
        <f t="shared" si="26"/>
        <v>0.13726163336462385</v>
      </c>
      <c r="X422" s="15" t="str">
        <f t="shared" si="27"/>
        <v>Média/Pequena</v>
      </c>
      <c r="Y422" s="121" t="str" cm="1">
        <f t="array" ref="Y422">_xlfn.IFS(ISNUMBER(W422)=FALSE,"Sem dado",W422&gt;0.075,"Excelente",W422&gt;0.04,"Bom",W422&gt;0,"Fraco",TRUE,"Prejuízo")</f>
        <v>Excelente</v>
      </c>
    </row>
    <row r="423" spans="1:25" ht="15" customHeight="1" x14ac:dyDescent="0.2">
      <c r="A423" s="12" t="s">
        <v>991</v>
      </c>
      <c r="B423" s="56">
        <v>25606237</v>
      </c>
      <c r="C423" s="12"/>
      <c r="D423" s="12"/>
      <c r="E423" s="12"/>
      <c r="F423" s="12" t="s">
        <v>265</v>
      </c>
      <c r="G423" s="33">
        <v>2</v>
      </c>
      <c r="H423" s="33">
        <v>9</v>
      </c>
      <c r="I423" s="12" t="s">
        <v>992</v>
      </c>
      <c r="J423" s="12" t="s">
        <v>120</v>
      </c>
      <c r="K423" s="73" t="s">
        <v>29</v>
      </c>
      <c r="L423" s="13">
        <v>1568007</v>
      </c>
      <c r="M423" s="13">
        <v>490907</v>
      </c>
      <c r="N423" s="13">
        <v>28509</v>
      </c>
      <c r="O423" s="13">
        <v>1377728</v>
      </c>
      <c r="P423" s="13">
        <v>1277536</v>
      </c>
      <c r="Q423" s="13">
        <v>190279</v>
      </c>
      <c r="R423" s="13">
        <v>19690</v>
      </c>
      <c r="S423" s="13">
        <v>0</v>
      </c>
      <c r="T423" s="13">
        <v>28</v>
      </c>
      <c r="U423" s="12" t="str">
        <f t="shared" si="24"/>
        <v>Privado Nacional</v>
      </c>
      <c r="V423" s="14">
        <f t="shared" si="25"/>
        <v>0.31307704621216614</v>
      </c>
      <c r="W423" s="14">
        <f t="shared" si="26"/>
        <v>0.10347962728414591</v>
      </c>
      <c r="X423" s="12" t="str">
        <f t="shared" si="27"/>
        <v>Média/Pequena</v>
      </c>
      <c r="Y423" s="122" t="str" cm="1">
        <f t="array" ref="Y423">_xlfn.IFS(ISNUMBER(W423)=FALSE,"Sem dado",W423&gt;0.075,"Excelente",W423&gt;0.04,"Bom",W423&gt;0,"Fraco",TRUE,"Prejuízo")</f>
        <v>Excelente</v>
      </c>
    </row>
    <row r="424" spans="1:25" ht="15" customHeight="1" x14ac:dyDescent="0.2">
      <c r="A424" s="15" t="s">
        <v>993</v>
      </c>
      <c r="B424" s="60">
        <v>3323840</v>
      </c>
      <c r="C424" s="15" t="s">
        <v>67</v>
      </c>
      <c r="D424" s="15" t="s">
        <v>68</v>
      </c>
      <c r="E424" s="15" t="s">
        <v>69</v>
      </c>
      <c r="F424" s="15" t="s">
        <v>26</v>
      </c>
      <c r="G424" s="34">
        <v>2</v>
      </c>
      <c r="H424" s="34">
        <v>2</v>
      </c>
      <c r="I424" s="15" t="s">
        <v>38</v>
      </c>
      <c r="J424" s="15" t="s">
        <v>39</v>
      </c>
      <c r="K424" s="74" t="s">
        <v>29</v>
      </c>
      <c r="L424" s="16">
        <v>1543754</v>
      </c>
      <c r="M424" s="16">
        <v>1039881</v>
      </c>
      <c r="N424" s="16">
        <v>42357</v>
      </c>
      <c r="O424" s="16">
        <v>1408029</v>
      </c>
      <c r="P424" s="16">
        <v>1373656</v>
      </c>
      <c r="Q424" s="16">
        <v>135725</v>
      </c>
      <c r="R424" s="16">
        <v>16574</v>
      </c>
      <c r="S424" s="16">
        <v>10</v>
      </c>
      <c r="T424" s="16">
        <v>0</v>
      </c>
      <c r="U424" s="15" t="str">
        <f t="shared" si="24"/>
        <v>Privado Nacional</v>
      </c>
      <c r="V424" s="17">
        <f t="shared" si="25"/>
        <v>0.6736053801318086</v>
      </c>
      <c r="W424" s="17">
        <f t="shared" si="26"/>
        <v>0.12211456990237612</v>
      </c>
      <c r="X424" s="15" t="str">
        <f t="shared" si="27"/>
        <v>Média/Pequena</v>
      </c>
      <c r="Y424" s="121" t="str" cm="1">
        <f t="array" ref="Y424">_xlfn.IFS(ISNUMBER(W424)=FALSE,"Sem dado",W424&gt;0.075,"Excelente",W424&gt;0.04,"Bom",W424&gt;0,"Fraco",TRUE,"Prejuízo")</f>
        <v>Excelente</v>
      </c>
    </row>
    <row r="425" spans="1:25" ht="15" customHeight="1" x14ac:dyDescent="0.2">
      <c r="A425" s="12" t="s">
        <v>994</v>
      </c>
      <c r="B425" s="56">
        <v>1638542</v>
      </c>
      <c r="C425" s="12" t="s">
        <v>67</v>
      </c>
      <c r="D425" s="12" t="s">
        <v>68</v>
      </c>
      <c r="E425" s="12" t="s">
        <v>69</v>
      </c>
      <c r="F425" s="12" t="s">
        <v>98</v>
      </c>
      <c r="G425" s="33">
        <v>2</v>
      </c>
      <c r="H425" s="33">
        <v>16</v>
      </c>
      <c r="I425" s="12" t="s">
        <v>38</v>
      </c>
      <c r="J425" s="12" t="s">
        <v>39</v>
      </c>
      <c r="K425" s="73" t="s">
        <v>29</v>
      </c>
      <c r="L425" s="13">
        <v>1535603</v>
      </c>
      <c r="M425" s="13">
        <v>0</v>
      </c>
      <c r="N425" s="13">
        <v>690742</v>
      </c>
      <c r="O425" s="13">
        <v>856808</v>
      </c>
      <c r="P425" s="13">
        <v>408</v>
      </c>
      <c r="Q425" s="13">
        <v>678795</v>
      </c>
      <c r="R425" s="13">
        <v>129143</v>
      </c>
      <c r="S425" s="13">
        <v>2</v>
      </c>
      <c r="T425" s="13">
        <v>0</v>
      </c>
      <c r="U425" s="12" t="str">
        <f t="shared" si="24"/>
        <v>Privado Nacional</v>
      </c>
      <c r="V425" s="14">
        <f t="shared" si="25"/>
        <v>0</v>
      </c>
      <c r="W425" s="14">
        <f t="shared" si="26"/>
        <v>0.19025331653886668</v>
      </c>
      <c r="X425" s="12" t="str">
        <f t="shared" si="27"/>
        <v>Média/Pequena</v>
      </c>
      <c r="Y425" s="122" t="str" cm="1">
        <f t="array" ref="Y425">_xlfn.IFS(ISNUMBER(W425)=FALSE,"Sem dado",W425&gt;0.075,"Excelente",W425&gt;0.04,"Bom",W425&gt;0,"Fraco",TRUE,"Prejuízo")</f>
        <v>Excelente</v>
      </c>
    </row>
    <row r="426" spans="1:25" ht="15" customHeight="1" x14ac:dyDescent="0.2">
      <c r="A426" s="15" t="s">
        <v>995</v>
      </c>
      <c r="B426" s="60">
        <v>19449602</v>
      </c>
      <c r="C426" s="15"/>
      <c r="D426" s="15"/>
      <c r="E426" s="15"/>
      <c r="F426" s="15" t="s">
        <v>265</v>
      </c>
      <c r="G426" s="34">
        <v>2</v>
      </c>
      <c r="H426" s="34">
        <v>9</v>
      </c>
      <c r="I426" s="15" t="s">
        <v>996</v>
      </c>
      <c r="J426" s="15" t="s">
        <v>120</v>
      </c>
      <c r="K426" s="74" t="s">
        <v>29</v>
      </c>
      <c r="L426" s="16">
        <v>1524046</v>
      </c>
      <c r="M426" s="16">
        <v>670864</v>
      </c>
      <c r="N426" s="16">
        <v>45569</v>
      </c>
      <c r="O426" s="16">
        <v>1305880</v>
      </c>
      <c r="P426" s="16">
        <v>995237</v>
      </c>
      <c r="Q426" s="16">
        <v>218166</v>
      </c>
      <c r="R426" s="16">
        <v>15942</v>
      </c>
      <c r="S426" s="16">
        <v>0</v>
      </c>
      <c r="T426" s="16">
        <v>11</v>
      </c>
      <c r="U426" s="15" t="str">
        <f t="shared" si="24"/>
        <v>Privado Nacional</v>
      </c>
      <c r="V426" s="17">
        <f t="shared" si="25"/>
        <v>0.44018618860585573</v>
      </c>
      <c r="W426" s="17">
        <f t="shared" si="26"/>
        <v>7.3072797777838899E-2</v>
      </c>
      <c r="X426" s="15" t="str">
        <f t="shared" si="27"/>
        <v>Média/Pequena</v>
      </c>
      <c r="Y426" s="121" t="str" cm="1">
        <f t="array" ref="Y426">_xlfn.IFS(ISNUMBER(W426)=FALSE,"Sem dado",W426&gt;0.075,"Excelente",W426&gt;0.04,"Bom",W426&gt;0,"Fraco",TRUE,"Prejuízo")</f>
        <v>Bom</v>
      </c>
    </row>
    <row r="427" spans="1:25" ht="15" customHeight="1" x14ac:dyDescent="0.2">
      <c r="A427" s="12" t="s">
        <v>997</v>
      </c>
      <c r="B427" s="56">
        <v>40571694</v>
      </c>
      <c r="C427" s="12" t="s">
        <v>998</v>
      </c>
      <c r="D427" s="12"/>
      <c r="E427" s="12" t="s">
        <v>999</v>
      </c>
      <c r="F427" s="12" t="s">
        <v>84</v>
      </c>
      <c r="G427" s="33">
        <v>3</v>
      </c>
      <c r="H427" s="33">
        <v>41</v>
      </c>
      <c r="I427" s="12" t="s">
        <v>38</v>
      </c>
      <c r="J427" s="12" t="s">
        <v>39</v>
      </c>
      <c r="K427" s="73" t="s">
        <v>29</v>
      </c>
      <c r="L427" s="13">
        <v>1520686</v>
      </c>
      <c r="M427" s="13">
        <v>0</v>
      </c>
      <c r="N427" s="13">
        <v>4828</v>
      </c>
      <c r="O427" s="13">
        <v>1500625</v>
      </c>
      <c r="P427" s="13">
        <v>1048077</v>
      </c>
      <c r="Q427" s="13">
        <v>20062</v>
      </c>
      <c r="R427" s="13">
        <v>4018</v>
      </c>
      <c r="S427" s="13">
        <v>1</v>
      </c>
      <c r="T427" s="13">
        <v>0</v>
      </c>
      <c r="U427" s="12" t="str">
        <f t="shared" si="24"/>
        <v>Privado Estrangeiro</v>
      </c>
      <c r="V427" s="14">
        <f t="shared" si="25"/>
        <v>0</v>
      </c>
      <c r="W427" s="14">
        <f t="shared" si="26"/>
        <v>0.20027913468248429</v>
      </c>
      <c r="X427" s="12" t="str">
        <f t="shared" si="27"/>
        <v>Média/Pequena</v>
      </c>
      <c r="Y427" s="122" t="str" cm="1">
        <f t="array" ref="Y427">_xlfn.IFS(ISNUMBER(W427)=FALSE,"Sem dado",W427&gt;0.075,"Excelente",W427&gt;0.04,"Bom",W427&gt;0,"Fraco",TRUE,"Prejuízo")</f>
        <v>Excelente</v>
      </c>
    </row>
    <row r="428" spans="1:25" ht="15" customHeight="1" x14ac:dyDescent="0.2">
      <c r="A428" s="15" t="s">
        <v>1000</v>
      </c>
      <c r="B428" s="60">
        <v>23903068</v>
      </c>
      <c r="C428" s="15" t="s">
        <v>1001</v>
      </c>
      <c r="D428" s="15"/>
      <c r="E428" s="15" t="s">
        <v>1002</v>
      </c>
      <c r="F428" s="15" t="s">
        <v>60</v>
      </c>
      <c r="G428" s="34">
        <v>3</v>
      </c>
      <c r="H428" s="34">
        <v>8</v>
      </c>
      <c r="I428" s="15" t="s">
        <v>38</v>
      </c>
      <c r="J428" s="15" t="s">
        <v>39</v>
      </c>
      <c r="K428" s="74" t="s">
        <v>29</v>
      </c>
      <c r="L428" s="16">
        <v>1513067</v>
      </c>
      <c r="M428" s="16">
        <v>1238079</v>
      </c>
      <c r="N428" s="16">
        <v>205966</v>
      </c>
      <c r="O428" s="16">
        <v>1050087</v>
      </c>
      <c r="P428" s="16">
        <v>882157</v>
      </c>
      <c r="Q428" s="16">
        <v>462981</v>
      </c>
      <c r="R428" s="16">
        <v>19733</v>
      </c>
      <c r="S428" s="16">
        <v>2</v>
      </c>
      <c r="T428" s="16">
        <v>0</v>
      </c>
      <c r="U428" s="15" t="str">
        <f t="shared" si="24"/>
        <v>Privado Estrangeiro</v>
      </c>
      <c r="V428" s="17">
        <f t="shared" si="25"/>
        <v>0.81825788283003986</v>
      </c>
      <c r="W428" s="17">
        <f t="shared" si="26"/>
        <v>4.262161946170577E-2</v>
      </c>
      <c r="X428" s="15" t="str">
        <f t="shared" si="27"/>
        <v>Média/Pequena</v>
      </c>
      <c r="Y428" s="121" t="str" cm="1">
        <f t="array" ref="Y428">_xlfn.IFS(ISNUMBER(W428)=FALSE,"Sem dado",W428&gt;0.075,"Excelente",W428&gt;0.04,"Bom",W428&gt;0,"Fraco",TRUE,"Prejuízo")</f>
        <v>Bom</v>
      </c>
    </row>
    <row r="429" spans="1:25" ht="15" customHeight="1" x14ac:dyDescent="0.2">
      <c r="A429" s="12" t="s">
        <v>1003</v>
      </c>
      <c r="B429" s="56">
        <v>3065046</v>
      </c>
      <c r="C429" s="12"/>
      <c r="D429" s="12"/>
      <c r="E429" s="12"/>
      <c r="F429" s="12" t="s">
        <v>265</v>
      </c>
      <c r="G429" s="33">
        <v>2</v>
      </c>
      <c r="H429" s="33">
        <v>9</v>
      </c>
      <c r="I429" s="12" t="s">
        <v>1004</v>
      </c>
      <c r="J429" s="12" t="s">
        <v>39</v>
      </c>
      <c r="K429" s="73" t="s">
        <v>29</v>
      </c>
      <c r="L429" s="13">
        <v>1510770</v>
      </c>
      <c r="M429" s="13">
        <v>705477</v>
      </c>
      <c r="N429" s="13">
        <v>662007</v>
      </c>
      <c r="O429" s="13">
        <v>1362896</v>
      </c>
      <c r="P429" s="13">
        <v>1012348</v>
      </c>
      <c r="Q429" s="13">
        <v>147875</v>
      </c>
      <c r="R429" s="13">
        <v>19587</v>
      </c>
      <c r="S429" s="13">
        <v>0</v>
      </c>
      <c r="T429" s="13">
        <v>20</v>
      </c>
      <c r="U429" s="12" t="str">
        <f t="shared" si="24"/>
        <v>Privado Nacional</v>
      </c>
      <c r="V429" s="14">
        <f t="shared" si="25"/>
        <v>0.46696518993625769</v>
      </c>
      <c r="W429" s="14">
        <f t="shared" si="26"/>
        <v>0.13245646661031277</v>
      </c>
      <c r="X429" s="12" t="str">
        <f t="shared" si="27"/>
        <v>Média/Pequena</v>
      </c>
      <c r="Y429" s="122" t="str" cm="1">
        <f t="array" ref="Y429">_xlfn.IFS(ISNUMBER(W429)=FALSE,"Sem dado",W429&gt;0.075,"Excelente",W429&gt;0.04,"Bom",W429&gt;0,"Fraco",TRUE,"Prejuízo")</f>
        <v>Excelente</v>
      </c>
    </row>
    <row r="430" spans="1:25" ht="15" customHeight="1" x14ac:dyDescent="0.2">
      <c r="A430" s="15" t="s">
        <v>1005</v>
      </c>
      <c r="B430" s="60">
        <v>4876393</v>
      </c>
      <c r="C430" s="15"/>
      <c r="D430" s="15"/>
      <c r="E430" s="15"/>
      <c r="F430" s="15" t="s">
        <v>265</v>
      </c>
      <c r="G430" s="34">
        <v>2</v>
      </c>
      <c r="H430" s="34">
        <v>9</v>
      </c>
      <c r="I430" s="15" t="s">
        <v>1006</v>
      </c>
      <c r="J430" s="15" t="s">
        <v>229</v>
      </c>
      <c r="K430" s="74" t="s">
        <v>29</v>
      </c>
      <c r="L430" s="16">
        <v>1505398</v>
      </c>
      <c r="M430" s="16">
        <v>859572</v>
      </c>
      <c r="N430" s="16">
        <v>18515</v>
      </c>
      <c r="O430" s="16">
        <v>1353143</v>
      </c>
      <c r="P430" s="16">
        <v>1135535</v>
      </c>
      <c r="Q430" s="16">
        <v>152255</v>
      </c>
      <c r="R430" s="16">
        <v>12234</v>
      </c>
      <c r="S430" s="16">
        <v>0</v>
      </c>
      <c r="T430" s="16">
        <v>21</v>
      </c>
      <c r="U430" s="15" t="str">
        <f t="shared" si="24"/>
        <v>Privado Nacional</v>
      </c>
      <c r="V430" s="17">
        <f t="shared" si="25"/>
        <v>0.57099318585516923</v>
      </c>
      <c r="W430" s="17">
        <f t="shared" si="26"/>
        <v>8.035204098387573E-2</v>
      </c>
      <c r="X430" s="15" t="str">
        <f t="shared" si="27"/>
        <v>Média/Pequena</v>
      </c>
      <c r="Y430" s="121" t="str" cm="1">
        <f t="array" ref="Y430">_xlfn.IFS(ISNUMBER(W430)=FALSE,"Sem dado",W430&gt;0.075,"Excelente",W430&gt;0.04,"Bom",W430&gt;0,"Fraco",TRUE,"Prejuízo")</f>
        <v>Excelente</v>
      </c>
    </row>
    <row r="431" spans="1:25" ht="15" customHeight="1" x14ac:dyDescent="0.2">
      <c r="A431" s="12" t="s">
        <v>1007</v>
      </c>
      <c r="B431" s="56">
        <v>2318507</v>
      </c>
      <c r="C431" s="12" t="s">
        <v>1008</v>
      </c>
      <c r="D431" s="12"/>
      <c r="E431" s="12" t="s">
        <v>1009</v>
      </c>
      <c r="F431" s="12" t="s">
        <v>26</v>
      </c>
      <c r="G431" s="33">
        <v>3</v>
      </c>
      <c r="H431" s="33">
        <v>2</v>
      </c>
      <c r="I431" s="12" t="s">
        <v>38</v>
      </c>
      <c r="J431" s="12" t="s">
        <v>39</v>
      </c>
      <c r="K431" s="73" t="s">
        <v>29</v>
      </c>
      <c r="L431" s="13">
        <v>1505221</v>
      </c>
      <c r="M431" s="13">
        <v>172690</v>
      </c>
      <c r="N431" s="13">
        <v>330361</v>
      </c>
      <c r="O431" s="13">
        <v>1295003</v>
      </c>
      <c r="P431" s="13">
        <v>1267972</v>
      </c>
      <c r="Q431" s="13">
        <v>210219</v>
      </c>
      <c r="R431" s="13">
        <v>3040</v>
      </c>
      <c r="S431" s="13">
        <v>2</v>
      </c>
      <c r="T431" s="13">
        <v>0</v>
      </c>
      <c r="U431" s="12" t="str">
        <f t="shared" si="24"/>
        <v>Privado Estrangeiro</v>
      </c>
      <c r="V431" s="14">
        <f t="shared" si="25"/>
        <v>0.11472733904190813</v>
      </c>
      <c r="W431" s="14">
        <f t="shared" si="26"/>
        <v>1.4461109604745528E-2</v>
      </c>
      <c r="X431" s="12" t="str">
        <f t="shared" si="27"/>
        <v>Média/Pequena</v>
      </c>
      <c r="Y431" s="122" t="str" cm="1">
        <f t="array" ref="Y431">_xlfn.IFS(ISNUMBER(W431)=FALSE,"Sem dado",W431&gt;0.075,"Excelente",W431&gt;0.04,"Bom",W431&gt;0,"Fraco",TRUE,"Prejuízo")</f>
        <v>Fraco</v>
      </c>
    </row>
    <row r="432" spans="1:25" ht="15" customHeight="1" x14ac:dyDescent="0.2">
      <c r="A432" s="15" t="s">
        <v>1010</v>
      </c>
      <c r="B432" s="60">
        <v>78483310</v>
      </c>
      <c r="C432" s="15"/>
      <c r="D432" s="15"/>
      <c r="E432" s="15"/>
      <c r="F432" s="15" t="s">
        <v>265</v>
      </c>
      <c r="G432" s="34">
        <v>2</v>
      </c>
      <c r="H432" s="34">
        <v>9</v>
      </c>
      <c r="I432" s="15" t="s">
        <v>1011</v>
      </c>
      <c r="J432" s="15" t="s">
        <v>217</v>
      </c>
      <c r="K432" s="74" t="s">
        <v>29</v>
      </c>
      <c r="L432" s="16">
        <v>1501097</v>
      </c>
      <c r="M432" s="16">
        <v>847365</v>
      </c>
      <c r="N432" s="16">
        <v>21335</v>
      </c>
      <c r="O432" s="16">
        <v>1346821</v>
      </c>
      <c r="P432" s="16">
        <v>854731</v>
      </c>
      <c r="Q432" s="16">
        <v>154276</v>
      </c>
      <c r="R432" s="16">
        <v>9636</v>
      </c>
      <c r="S432" s="16">
        <v>0</v>
      </c>
      <c r="T432" s="16">
        <v>11</v>
      </c>
      <c r="U432" s="15" t="str">
        <f t="shared" si="24"/>
        <v>Privado Nacional</v>
      </c>
      <c r="V432" s="17">
        <f t="shared" si="25"/>
        <v>0.56449716440709696</v>
      </c>
      <c r="W432" s="17">
        <f t="shared" si="26"/>
        <v>6.245948818999715E-2</v>
      </c>
      <c r="X432" s="15" t="str">
        <f t="shared" si="27"/>
        <v>Média/Pequena</v>
      </c>
      <c r="Y432" s="121" t="str" cm="1">
        <f t="array" ref="Y432">_xlfn.IFS(ISNUMBER(W432)=FALSE,"Sem dado",W432&gt;0.075,"Excelente",W432&gt;0.04,"Bom",W432&gt;0,"Fraco",TRUE,"Prejuízo")</f>
        <v>Bom</v>
      </c>
    </row>
    <row r="433" spans="1:25" ht="15" customHeight="1" x14ac:dyDescent="0.2">
      <c r="A433" s="12" t="s">
        <v>1012</v>
      </c>
      <c r="B433" s="56">
        <v>54403563</v>
      </c>
      <c r="C433" s="12" t="s">
        <v>1013</v>
      </c>
      <c r="D433" s="12"/>
      <c r="E433" s="12" t="s">
        <v>1014</v>
      </c>
      <c r="F433" s="12" t="s">
        <v>26</v>
      </c>
      <c r="G433" s="33">
        <v>2</v>
      </c>
      <c r="H433" s="33">
        <v>2</v>
      </c>
      <c r="I433" s="12" t="s">
        <v>53</v>
      </c>
      <c r="J433" s="12" t="s">
        <v>54</v>
      </c>
      <c r="K433" s="73" t="s">
        <v>29</v>
      </c>
      <c r="L433" s="13">
        <v>1500558</v>
      </c>
      <c r="M433" s="13">
        <v>450758</v>
      </c>
      <c r="N433" s="13">
        <v>200106</v>
      </c>
      <c r="O433" s="13">
        <v>1402059</v>
      </c>
      <c r="P433" s="13">
        <v>1360818</v>
      </c>
      <c r="Q433" s="13">
        <v>98499</v>
      </c>
      <c r="R433" s="13">
        <v>-6808</v>
      </c>
      <c r="S433" s="13">
        <v>5</v>
      </c>
      <c r="T433" s="13">
        <v>0</v>
      </c>
      <c r="U433" s="12" t="str">
        <f t="shared" si="24"/>
        <v>Privado Nacional</v>
      </c>
      <c r="V433" s="14">
        <f t="shared" si="25"/>
        <v>0.30039358691899948</v>
      </c>
      <c r="W433" s="14">
        <f t="shared" si="26"/>
        <v>-6.9117452969065671E-2</v>
      </c>
      <c r="X433" s="12" t="str">
        <f t="shared" si="27"/>
        <v>Média/Pequena</v>
      </c>
      <c r="Y433" s="122" t="str" cm="1">
        <f t="array" ref="Y433">_xlfn.IFS(ISNUMBER(W433)=FALSE,"Sem dado",W433&gt;0.075,"Excelente",W433&gt;0.04,"Bom",W433&gt;0,"Fraco",TRUE,"Prejuízo")</f>
        <v>Prejuízo</v>
      </c>
    </row>
    <row r="434" spans="1:25" ht="15" customHeight="1" x14ac:dyDescent="0.2">
      <c r="A434" s="15" t="s">
        <v>1015</v>
      </c>
      <c r="B434" s="60">
        <v>2090126</v>
      </c>
      <c r="C434" s="15"/>
      <c r="D434" s="15"/>
      <c r="E434" s="15"/>
      <c r="F434" s="15" t="s">
        <v>265</v>
      </c>
      <c r="G434" s="34">
        <v>2</v>
      </c>
      <c r="H434" s="34">
        <v>9</v>
      </c>
      <c r="I434" s="15" t="s">
        <v>1016</v>
      </c>
      <c r="J434" s="15" t="s">
        <v>217</v>
      </c>
      <c r="K434" s="74" t="s">
        <v>29</v>
      </c>
      <c r="L434" s="16">
        <v>1494354</v>
      </c>
      <c r="M434" s="16">
        <v>1010283</v>
      </c>
      <c r="N434" s="16">
        <v>22071</v>
      </c>
      <c r="O434" s="16">
        <v>1351516</v>
      </c>
      <c r="P434" s="16">
        <v>1098960</v>
      </c>
      <c r="Q434" s="16">
        <v>142838</v>
      </c>
      <c r="R434" s="16">
        <v>7338</v>
      </c>
      <c r="S434" s="16">
        <v>0</v>
      </c>
      <c r="T434" s="16">
        <v>19</v>
      </c>
      <c r="U434" s="15" t="str">
        <f t="shared" si="24"/>
        <v>Privado Nacional</v>
      </c>
      <c r="V434" s="17">
        <f t="shared" si="25"/>
        <v>0.67606671511569549</v>
      </c>
      <c r="W434" s="17">
        <f t="shared" si="26"/>
        <v>5.1372883966451503E-2</v>
      </c>
      <c r="X434" s="15" t="str">
        <f t="shared" si="27"/>
        <v>Média/Pequena</v>
      </c>
      <c r="Y434" s="121" t="str" cm="1">
        <f t="array" ref="Y434">_xlfn.IFS(ISNUMBER(W434)=FALSE,"Sem dado",W434&gt;0.075,"Excelente",W434&gt;0.04,"Bom",W434&gt;0,"Fraco",TRUE,"Prejuízo")</f>
        <v>Bom</v>
      </c>
    </row>
    <row r="435" spans="1:25" ht="15" customHeight="1" x14ac:dyDescent="0.2">
      <c r="A435" s="12" t="s">
        <v>1017</v>
      </c>
      <c r="B435" s="56">
        <v>22760839</v>
      </c>
      <c r="C435" s="12"/>
      <c r="D435" s="12"/>
      <c r="E435" s="12"/>
      <c r="F435" s="12" t="s">
        <v>265</v>
      </c>
      <c r="G435" s="33">
        <v>2</v>
      </c>
      <c r="H435" s="33">
        <v>9</v>
      </c>
      <c r="I435" s="12" t="s">
        <v>1018</v>
      </c>
      <c r="J435" s="12" t="s">
        <v>120</v>
      </c>
      <c r="K435" s="73" t="s">
        <v>29</v>
      </c>
      <c r="L435" s="13">
        <v>1478240</v>
      </c>
      <c r="M435" s="13">
        <v>755817</v>
      </c>
      <c r="N435" s="13">
        <v>27121</v>
      </c>
      <c r="O435" s="13">
        <v>1248432</v>
      </c>
      <c r="P435" s="13">
        <v>1107060</v>
      </c>
      <c r="Q435" s="13">
        <v>229808</v>
      </c>
      <c r="R435" s="13">
        <v>21931</v>
      </c>
      <c r="S435" s="13">
        <v>0</v>
      </c>
      <c r="T435" s="13">
        <v>11</v>
      </c>
      <c r="U435" s="12" t="str">
        <f t="shared" si="24"/>
        <v>Privado Nacional</v>
      </c>
      <c r="V435" s="14">
        <f t="shared" si="25"/>
        <v>0.51129518887325465</v>
      </c>
      <c r="W435" s="14">
        <f t="shared" si="26"/>
        <v>9.5431838752349785E-2</v>
      </c>
      <c r="X435" s="12" t="str">
        <f t="shared" si="27"/>
        <v>Média/Pequena</v>
      </c>
      <c r="Y435" s="122" t="str" cm="1">
        <f t="array" ref="Y435">_xlfn.IFS(ISNUMBER(W435)=FALSE,"Sem dado",W435&gt;0.075,"Excelente",W435&gt;0.04,"Bom",W435&gt;0,"Fraco",TRUE,"Prejuízo")</f>
        <v>Excelente</v>
      </c>
    </row>
    <row r="436" spans="1:25" ht="15" customHeight="1" x14ac:dyDescent="0.2">
      <c r="A436" s="15" t="s">
        <v>1019</v>
      </c>
      <c r="B436" s="60">
        <v>43774196</v>
      </c>
      <c r="C436" s="15" t="s">
        <v>1020</v>
      </c>
      <c r="D436" s="15"/>
      <c r="E436" s="15" t="s">
        <v>1021</v>
      </c>
      <c r="F436" s="15" t="s">
        <v>65</v>
      </c>
      <c r="G436" s="34">
        <v>2</v>
      </c>
      <c r="H436" s="34">
        <v>14</v>
      </c>
      <c r="I436" s="15" t="s">
        <v>38</v>
      </c>
      <c r="J436" s="15" t="s">
        <v>39</v>
      </c>
      <c r="K436" s="74" t="s">
        <v>29</v>
      </c>
      <c r="L436" s="16">
        <v>1476596</v>
      </c>
      <c r="M436" s="16">
        <v>593370</v>
      </c>
      <c r="N436" s="16">
        <v>848230</v>
      </c>
      <c r="O436" s="16">
        <v>931262</v>
      </c>
      <c r="P436" s="16">
        <v>921250</v>
      </c>
      <c r="Q436" s="16">
        <v>545334</v>
      </c>
      <c r="R436" s="16">
        <v>43178</v>
      </c>
      <c r="S436" s="16">
        <v>2</v>
      </c>
      <c r="T436" s="16">
        <v>0</v>
      </c>
      <c r="U436" s="15" t="str">
        <f t="shared" si="24"/>
        <v>Privado Nacional</v>
      </c>
      <c r="V436" s="17">
        <f t="shared" si="25"/>
        <v>0.40184993051586215</v>
      </c>
      <c r="W436" s="17">
        <f t="shared" si="26"/>
        <v>7.9177164820091905E-2</v>
      </c>
      <c r="X436" s="15" t="str">
        <f t="shared" si="27"/>
        <v>Média/Pequena</v>
      </c>
      <c r="Y436" s="121" t="str" cm="1">
        <f t="array" ref="Y436">_xlfn.IFS(ISNUMBER(W436)=FALSE,"Sem dado",W436&gt;0.075,"Excelente",W436&gt;0.04,"Bom",W436&gt;0,"Fraco",TRUE,"Prejuízo")</f>
        <v>Excelente</v>
      </c>
    </row>
    <row r="437" spans="1:25" ht="15" customHeight="1" x14ac:dyDescent="0.2">
      <c r="A437" s="12" t="s">
        <v>1022</v>
      </c>
      <c r="B437" s="56">
        <v>2641969</v>
      </c>
      <c r="C437" s="12"/>
      <c r="D437" s="12"/>
      <c r="E437" s="12"/>
      <c r="F437" s="12" t="s">
        <v>265</v>
      </c>
      <c r="G437" s="33">
        <v>2</v>
      </c>
      <c r="H437" s="33">
        <v>9</v>
      </c>
      <c r="I437" s="12" t="s">
        <v>1023</v>
      </c>
      <c r="J437" s="12" t="s">
        <v>217</v>
      </c>
      <c r="K437" s="73" t="s">
        <v>29</v>
      </c>
      <c r="L437" s="13">
        <v>1471954</v>
      </c>
      <c r="M437" s="13">
        <v>772601</v>
      </c>
      <c r="N437" s="13">
        <v>128847</v>
      </c>
      <c r="O437" s="13">
        <v>1208709</v>
      </c>
      <c r="P437" s="13">
        <v>1181969</v>
      </c>
      <c r="Q437" s="13">
        <v>263245</v>
      </c>
      <c r="R437" s="13">
        <v>31253</v>
      </c>
      <c r="S437" s="13">
        <v>0</v>
      </c>
      <c r="T437" s="13">
        <v>17</v>
      </c>
      <c r="U437" s="12" t="str">
        <f t="shared" si="24"/>
        <v>Privado Nacional</v>
      </c>
      <c r="V437" s="14">
        <f t="shared" si="25"/>
        <v>0.52488121232049367</v>
      </c>
      <c r="W437" s="14">
        <f t="shared" si="26"/>
        <v>0.11872210298391232</v>
      </c>
      <c r="X437" s="12" t="str">
        <f t="shared" si="27"/>
        <v>Média/Pequena</v>
      </c>
      <c r="Y437" s="122" t="str" cm="1">
        <f t="array" ref="Y437">_xlfn.IFS(ISNUMBER(W437)=FALSE,"Sem dado",W437&gt;0.075,"Excelente",W437&gt;0.04,"Bom",W437&gt;0,"Fraco",TRUE,"Prejuízo")</f>
        <v>Excelente</v>
      </c>
    </row>
    <row r="438" spans="1:25" ht="15" customHeight="1" x14ac:dyDescent="0.2">
      <c r="A438" s="15" t="s">
        <v>1024</v>
      </c>
      <c r="B438" s="60">
        <v>5863726</v>
      </c>
      <c r="C438" s="15"/>
      <c r="D438" s="15"/>
      <c r="E438" s="15"/>
      <c r="F438" s="15" t="s">
        <v>265</v>
      </c>
      <c r="G438" s="34">
        <v>2</v>
      </c>
      <c r="H438" s="34">
        <v>9</v>
      </c>
      <c r="I438" s="15" t="s">
        <v>1025</v>
      </c>
      <c r="J438" s="15" t="s">
        <v>74</v>
      </c>
      <c r="K438" s="74" t="s">
        <v>29</v>
      </c>
      <c r="L438" s="16">
        <v>1471806</v>
      </c>
      <c r="M438" s="16">
        <v>998896</v>
      </c>
      <c r="N438" s="16">
        <v>46101</v>
      </c>
      <c r="O438" s="16">
        <v>1309420</v>
      </c>
      <c r="P438" s="16">
        <v>844009</v>
      </c>
      <c r="Q438" s="16">
        <v>162386</v>
      </c>
      <c r="R438" s="16">
        <v>9516</v>
      </c>
      <c r="S438" s="16">
        <v>0</v>
      </c>
      <c r="T438" s="16">
        <v>29</v>
      </c>
      <c r="U438" s="15" t="str">
        <f t="shared" si="24"/>
        <v>Privado Nacional</v>
      </c>
      <c r="V438" s="17">
        <f t="shared" si="25"/>
        <v>0.67868727264326956</v>
      </c>
      <c r="W438" s="17">
        <f t="shared" si="26"/>
        <v>5.8601110933208529E-2</v>
      </c>
      <c r="X438" s="15" t="str">
        <f t="shared" si="27"/>
        <v>Média/Pequena</v>
      </c>
      <c r="Y438" s="121" t="str" cm="1">
        <f t="array" ref="Y438">_xlfn.IFS(ISNUMBER(W438)=FALSE,"Sem dado",W438&gt;0.075,"Excelente",W438&gt;0.04,"Bom",W438&gt;0,"Fraco",TRUE,"Prejuízo")</f>
        <v>Bom</v>
      </c>
    </row>
    <row r="439" spans="1:25" ht="15" customHeight="1" x14ac:dyDescent="0.2">
      <c r="A439" s="12" t="s">
        <v>1026</v>
      </c>
      <c r="B439" s="56">
        <v>997185</v>
      </c>
      <c r="C439" s="12" t="s">
        <v>1027</v>
      </c>
      <c r="D439" s="12"/>
      <c r="E439" s="12" t="s">
        <v>1028</v>
      </c>
      <c r="F439" s="12" t="s">
        <v>26</v>
      </c>
      <c r="G439" s="33">
        <v>2</v>
      </c>
      <c r="H439" s="33">
        <v>2</v>
      </c>
      <c r="I439" s="12" t="s">
        <v>38</v>
      </c>
      <c r="J439" s="12" t="s">
        <v>39</v>
      </c>
      <c r="K439" s="73" t="s">
        <v>29</v>
      </c>
      <c r="L439" s="13">
        <v>1459235</v>
      </c>
      <c r="M439" s="13">
        <v>0</v>
      </c>
      <c r="N439" s="13">
        <v>211097</v>
      </c>
      <c r="O439" s="13">
        <v>1256919</v>
      </c>
      <c r="P439" s="13">
        <v>1162782</v>
      </c>
      <c r="Q439" s="13">
        <v>202316</v>
      </c>
      <c r="R439" s="13">
        <v>38823</v>
      </c>
      <c r="S439" s="13">
        <v>2</v>
      </c>
      <c r="T439" s="13">
        <v>0</v>
      </c>
      <c r="U439" s="12" t="str">
        <f t="shared" si="24"/>
        <v>Privado Nacional</v>
      </c>
      <c r="V439" s="14">
        <f t="shared" si="25"/>
        <v>0</v>
      </c>
      <c r="W439" s="14">
        <f t="shared" si="26"/>
        <v>0.19189288044445324</v>
      </c>
      <c r="X439" s="12" t="str">
        <f t="shared" si="27"/>
        <v>Média/Pequena</v>
      </c>
      <c r="Y439" s="122" t="str" cm="1">
        <f t="array" ref="Y439">_xlfn.IFS(ISNUMBER(W439)=FALSE,"Sem dado",W439&gt;0.075,"Excelente",W439&gt;0.04,"Bom",W439&gt;0,"Fraco",TRUE,"Prejuízo")</f>
        <v>Excelente</v>
      </c>
    </row>
    <row r="440" spans="1:25" ht="15" customHeight="1" x14ac:dyDescent="0.2">
      <c r="A440" s="15" t="s">
        <v>1029</v>
      </c>
      <c r="B440" s="60">
        <v>8560508</v>
      </c>
      <c r="C440" s="15"/>
      <c r="D440" s="15"/>
      <c r="E440" s="15"/>
      <c r="F440" s="15" t="s">
        <v>265</v>
      </c>
      <c r="G440" s="34">
        <v>2</v>
      </c>
      <c r="H440" s="34">
        <v>9</v>
      </c>
      <c r="I440" s="15" t="s">
        <v>1030</v>
      </c>
      <c r="J440" s="15" t="s">
        <v>229</v>
      </c>
      <c r="K440" s="74" t="s">
        <v>29</v>
      </c>
      <c r="L440" s="16">
        <v>1438349</v>
      </c>
      <c r="M440" s="16">
        <v>985857</v>
      </c>
      <c r="N440" s="16">
        <v>17526</v>
      </c>
      <c r="O440" s="16">
        <v>1292353</v>
      </c>
      <c r="P440" s="16">
        <v>945541</v>
      </c>
      <c r="Q440" s="16">
        <v>145995</v>
      </c>
      <c r="R440" s="16">
        <v>14508</v>
      </c>
      <c r="S440" s="16">
        <v>0</v>
      </c>
      <c r="T440" s="16">
        <v>15</v>
      </c>
      <c r="U440" s="15" t="str">
        <f t="shared" si="24"/>
        <v>Privado Nacional</v>
      </c>
      <c r="V440" s="17">
        <f t="shared" si="25"/>
        <v>0.68540875684552216</v>
      </c>
      <c r="W440" s="17">
        <f t="shared" si="26"/>
        <v>9.9373266207746835E-2</v>
      </c>
      <c r="X440" s="15" t="str">
        <f t="shared" si="27"/>
        <v>Média/Pequena</v>
      </c>
      <c r="Y440" s="121" t="str" cm="1">
        <f t="array" ref="Y440">_xlfn.IFS(ISNUMBER(W440)=FALSE,"Sem dado",W440&gt;0.075,"Excelente",W440&gt;0.04,"Bom",W440&gt;0,"Fraco",TRUE,"Prejuízo")</f>
        <v>Excelente</v>
      </c>
    </row>
    <row r="441" spans="1:25" ht="15" customHeight="1" x14ac:dyDescent="0.2">
      <c r="A441" s="12" t="s">
        <v>1031</v>
      </c>
      <c r="B441" s="56">
        <v>64237530</v>
      </c>
      <c r="C441" s="12"/>
      <c r="D441" s="12"/>
      <c r="E441" s="12"/>
      <c r="F441" s="12" t="s">
        <v>265</v>
      </c>
      <c r="G441" s="33">
        <v>2</v>
      </c>
      <c r="H441" s="33">
        <v>9</v>
      </c>
      <c r="I441" s="12" t="s">
        <v>965</v>
      </c>
      <c r="J441" s="12" t="s">
        <v>120</v>
      </c>
      <c r="K441" s="73" t="s">
        <v>29</v>
      </c>
      <c r="L441" s="13">
        <v>1437606</v>
      </c>
      <c r="M441" s="13">
        <v>521657</v>
      </c>
      <c r="N441" s="13">
        <v>30173</v>
      </c>
      <c r="O441" s="13">
        <v>1186812</v>
      </c>
      <c r="P441" s="13">
        <v>1080592</v>
      </c>
      <c r="Q441" s="13">
        <v>250794</v>
      </c>
      <c r="R441" s="13">
        <v>33202</v>
      </c>
      <c r="S441" s="13">
        <v>0</v>
      </c>
      <c r="T441" s="13">
        <v>10</v>
      </c>
      <c r="U441" s="12" t="str">
        <f t="shared" si="24"/>
        <v>Privado Nacional</v>
      </c>
      <c r="V441" s="14">
        <f t="shared" si="25"/>
        <v>0.36286506873232305</v>
      </c>
      <c r="W441" s="14">
        <f t="shared" si="26"/>
        <v>0.13238753718191026</v>
      </c>
      <c r="X441" s="12" t="str">
        <f t="shared" si="27"/>
        <v>Média/Pequena</v>
      </c>
      <c r="Y441" s="122" t="str" cm="1">
        <f t="array" ref="Y441">_xlfn.IFS(ISNUMBER(W441)=FALSE,"Sem dado",W441&gt;0.075,"Excelente",W441&gt;0.04,"Bom",W441&gt;0,"Fraco",TRUE,"Prejuízo")</f>
        <v>Excelente</v>
      </c>
    </row>
    <row r="442" spans="1:25" ht="15" customHeight="1" x14ac:dyDescent="0.2">
      <c r="A442" s="15" t="s">
        <v>1032</v>
      </c>
      <c r="B442" s="60">
        <v>8624548</v>
      </c>
      <c r="C442" s="15"/>
      <c r="D442" s="15"/>
      <c r="E442" s="15"/>
      <c r="F442" s="15" t="s">
        <v>265</v>
      </c>
      <c r="G442" s="34">
        <v>2</v>
      </c>
      <c r="H442" s="34">
        <v>9</v>
      </c>
      <c r="I442" s="15" t="s">
        <v>963</v>
      </c>
      <c r="J442" s="15" t="s">
        <v>120</v>
      </c>
      <c r="K442" s="74" t="s">
        <v>29</v>
      </c>
      <c r="L442" s="16">
        <v>1437278</v>
      </c>
      <c r="M442" s="16">
        <v>1048192</v>
      </c>
      <c r="N442" s="16">
        <v>21830</v>
      </c>
      <c r="O442" s="16">
        <v>1279130</v>
      </c>
      <c r="P442" s="16">
        <v>869470</v>
      </c>
      <c r="Q442" s="16">
        <v>158148</v>
      </c>
      <c r="R442" s="16">
        <v>9894</v>
      </c>
      <c r="S442" s="16">
        <v>0</v>
      </c>
      <c r="T442" s="16">
        <v>31</v>
      </c>
      <c r="U442" s="15" t="str">
        <f t="shared" si="24"/>
        <v>Privado Nacional</v>
      </c>
      <c r="V442" s="17">
        <f t="shared" si="25"/>
        <v>0.72928967117008681</v>
      </c>
      <c r="W442" s="17">
        <f t="shared" si="26"/>
        <v>6.2561651111616962E-2</v>
      </c>
      <c r="X442" s="15" t="str">
        <f t="shared" si="27"/>
        <v>Média/Pequena</v>
      </c>
      <c r="Y442" s="121" t="str" cm="1">
        <f t="array" ref="Y442">_xlfn.IFS(ISNUMBER(W442)=FALSE,"Sem dado",W442&gt;0.075,"Excelente",W442&gt;0.04,"Bom",W442&gt;0,"Fraco",TRUE,"Prejuízo")</f>
        <v>Bom</v>
      </c>
    </row>
    <row r="443" spans="1:25" ht="15" customHeight="1" x14ac:dyDescent="0.2">
      <c r="A443" s="12" t="s">
        <v>1033</v>
      </c>
      <c r="B443" s="56">
        <v>33449007</v>
      </c>
      <c r="C443" s="12" t="s">
        <v>1034</v>
      </c>
      <c r="D443" s="12"/>
      <c r="E443" s="12" t="s">
        <v>1035</v>
      </c>
      <c r="F443" s="12" t="s">
        <v>84</v>
      </c>
      <c r="G443" s="33">
        <v>2</v>
      </c>
      <c r="H443" s="33">
        <v>41</v>
      </c>
      <c r="I443" s="12" t="s">
        <v>38</v>
      </c>
      <c r="J443" s="12" t="s">
        <v>39</v>
      </c>
      <c r="K443" s="73" t="s">
        <v>29</v>
      </c>
      <c r="L443" s="13">
        <v>1435335</v>
      </c>
      <c r="M443" s="13">
        <v>28962</v>
      </c>
      <c r="N443" s="13">
        <v>1317631</v>
      </c>
      <c r="O443" s="13">
        <v>1365667</v>
      </c>
      <c r="P443" s="13">
        <v>571257</v>
      </c>
      <c r="Q443" s="13">
        <v>69668</v>
      </c>
      <c r="R443" s="13">
        <v>-3190</v>
      </c>
      <c r="S443" s="13">
        <v>1</v>
      </c>
      <c r="T443" s="13">
        <v>0</v>
      </c>
      <c r="U443" s="12" t="str">
        <f t="shared" si="24"/>
        <v>Privado Nacional</v>
      </c>
      <c r="V443" s="14">
        <f t="shared" si="25"/>
        <v>2.0177867884500832E-2</v>
      </c>
      <c r="W443" s="14">
        <f t="shared" si="26"/>
        <v>-4.5788597347419191E-2</v>
      </c>
      <c r="X443" s="12" t="str">
        <f t="shared" si="27"/>
        <v>Média/Pequena</v>
      </c>
      <c r="Y443" s="122" t="str" cm="1">
        <f t="array" ref="Y443">_xlfn.IFS(ISNUMBER(W443)=FALSE,"Sem dado",W443&gt;0.075,"Excelente",W443&gt;0.04,"Bom",W443&gt;0,"Fraco",TRUE,"Prejuízo")</f>
        <v>Prejuízo</v>
      </c>
    </row>
    <row r="444" spans="1:25" ht="15" customHeight="1" x14ac:dyDescent="0.2">
      <c r="A444" s="15" t="s">
        <v>1036</v>
      </c>
      <c r="B444" s="60">
        <v>49389307</v>
      </c>
      <c r="C444" s="15"/>
      <c r="D444" s="15"/>
      <c r="E444" s="15"/>
      <c r="F444" s="15" t="s">
        <v>265</v>
      </c>
      <c r="G444" s="34">
        <v>2</v>
      </c>
      <c r="H444" s="34">
        <v>9</v>
      </c>
      <c r="I444" s="15" t="s">
        <v>1037</v>
      </c>
      <c r="J444" s="15" t="s">
        <v>39</v>
      </c>
      <c r="K444" s="74" t="s">
        <v>29</v>
      </c>
      <c r="L444" s="16">
        <v>1434578</v>
      </c>
      <c r="M444" s="16">
        <v>666768</v>
      </c>
      <c r="N444" s="16">
        <v>49647</v>
      </c>
      <c r="O444" s="16">
        <v>1247973</v>
      </c>
      <c r="P444" s="16">
        <v>1128385</v>
      </c>
      <c r="Q444" s="16">
        <v>186605</v>
      </c>
      <c r="R444" s="16">
        <v>12781</v>
      </c>
      <c r="S444" s="16">
        <v>0</v>
      </c>
      <c r="T444" s="16">
        <v>21</v>
      </c>
      <c r="U444" s="15" t="str">
        <f t="shared" si="24"/>
        <v>Privado Nacional</v>
      </c>
      <c r="V444" s="17">
        <f t="shared" si="25"/>
        <v>0.46478337183478347</v>
      </c>
      <c r="W444" s="17">
        <f t="shared" si="26"/>
        <v>6.8492269767691114E-2</v>
      </c>
      <c r="X444" s="15" t="str">
        <f t="shared" si="27"/>
        <v>Média/Pequena</v>
      </c>
      <c r="Y444" s="121" t="str" cm="1">
        <f t="array" ref="Y444">_xlfn.IFS(ISNUMBER(W444)=FALSE,"Sem dado",W444&gt;0.075,"Excelente",W444&gt;0.04,"Bom",W444&gt;0,"Fraco",TRUE,"Prejuízo")</f>
        <v>Bom</v>
      </c>
    </row>
    <row r="445" spans="1:25" ht="15" customHeight="1" x14ac:dyDescent="0.2">
      <c r="A445" s="12" t="s">
        <v>1038</v>
      </c>
      <c r="B445" s="56">
        <v>2819125</v>
      </c>
      <c r="C445" s="12" t="s">
        <v>352</v>
      </c>
      <c r="D445" s="12" t="s">
        <v>353</v>
      </c>
      <c r="E445" s="12" t="s">
        <v>354</v>
      </c>
      <c r="F445" s="12" t="s">
        <v>98</v>
      </c>
      <c r="G445" s="33">
        <v>3</v>
      </c>
      <c r="H445" s="33">
        <v>15</v>
      </c>
      <c r="I445" s="12" t="s">
        <v>38</v>
      </c>
      <c r="J445" s="12" t="s">
        <v>39</v>
      </c>
      <c r="K445" s="73" t="s">
        <v>29</v>
      </c>
      <c r="L445" s="13">
        <v>1414240</v>
      </c>
      <c r="M445" s="13">
        <v>0</v>
      </c>
      <c r="N445" s="13">
        <v>589608</v>
      </c>
      <c r="O445" s="13">
        <v>786770</v>
      </c>
      <c r="P445" s="13">
        <v>352</v>
      </c>
      <c r="Q445" s="13">
        <v>627470</v>
      </c>
      <c r="R445" s="13">
        <v>13552</v>
      </c>
      <c r="S445" s="13">
        <v>3</v>
      </c>
      <c r="T445" s="13">
        <v>0</v>
      </c>
      <c r="U445" s="12" t="str">
        <f t="shared" si="24"/>
        <v>Privado Estrangeiro</v>
      </c>
      <c r="V445" s="14">
        <f t="shared" si="25"/>
        <v>0</v>
      </c>
      <c r="W445" s="14">
        <f t="shared" si="26"/>
        <v>2.159784531531388E-2</v>
      </c>
      <c r="X445" s="12" t="str">
        <f t="shared" si="27"/>
        <v>Média/Pequena</v>
      </c>
      <c r="Y445" s="122" t="str" cm="1">
        <f t="array" ref="Y445">_xlfn.IFS(ISNUMBER(W445)=FALSE,"Sem dado",W445&gt;0.075,"Excelente",W445&gt;0.04,"Bom",W445&gt;0,"Fraco",TRUE,"Prejuízo")</f>
        <v>Fraco</v>
      </c>
    </row>
    <row r="446" spans="1:25" ht="15" customHeight="1" x14ac:dyDescent="0.2">
      <c r="A446" s="15" t="s">
        <v>1039</v>
      </c>
      <c r="B446" s="60">
        <v>70937271</v>
      </c>
      <c r="C446" s="15"/>
      <c r="D446" s="15"/>
      <c r="E446" s="15"/>
      <c r="F446" s="15" t="s">
        <v>265</v>
      </c>
      <c r="G446" s="34">
        <v>2</v>
      </c>
      <c r="H446" s="34">
        <v>9</v>
      </c>
      <c r="I446" s="15" t="s">
        <v>564</v>
      </c>
      <c r="J446" s="15" t="s">
        <v>120</v>
      </c>
      <c r="K446" s="74" t="s">
        <v>29</v>
      </c>
      <c r="L446" s="16">
        <v>1406046</v>
      </c>
      <c r="M446" s="16">
        <v>813634</v>
      </c>
      <c r="N446" s="16">
        <v>24751</v>
      </c>
      <c r="O446" s="16">
        <v>1275825</v>
      </c>
      <c r="P446" s="16">
        <v>1147635</v>
      </c>
      <c r="Q446" s="16">
        <v>130221</v>
      </c>
      <c r="R446" s="16">
        <v>14696</v>
      </c>
      <c r="S446" s="16">
        <v>0</v>
      </c>
      <c r="T446" s="16">
        <v>27</v>
      </c>
      <c r="U446" s="15" t="str">
        <f t="shared" si="24"/>
        <v>Privado Nacional</v>
      </c>
      <c r="V446" s="17">
        <f t="shared" si="25"/>
        <v>0.57866812323352157</v>
      </c>
      <c r="W446" s="17">
        <f t="shared" si="26"/>
        <v>0.11285430153354682</v>
      </c>
      <c r="X446" s="15" t="str">
        <f t="shared" si="27"/>
        <v>Média/Pequena</v>
      </c>
      <c r="Y446" s="121" t="str" cm="1">
        <f t="array" ref="Y446">_xlfn.IFS(ISNUMBER(W446)=FALSE,"Sem dado",W446&gt;0.075,"Excelente",W446&gt;0.04,"Bom",W446&gt;0,"Fraco",TRUE,"Prejuízo")</f>
        <v>Excelente</v>
      </c>
    </row>
    <row r="447" spans="1:25" ht="15" customHeight="1" x14ac:dyDescent="0.2">
      <c r="A447" s="12" t="s">
        <v>1040</v>
      </c>
      <c r="B447" s="56">
        <v>33667205</v>
      </c>
      <c r="C447" s="12"/>
      <c r="D447" s="12"/>
      <c r="E447" s="12"/>
      <c r="F447" s="12" t="s">
        <v>199</v>
      </c>
      <c r="G447" s="33">
        <v>2</v>
      </c>
      <c r="H447" s="33">
        <v>9</v>
      </c>
      <c r="I447" s="12" t="s">
        <v>803</v>
      </c>
      <c r="J447" s="12" t="s">
        <v>329</v>
      </c>
      <c r="K447" s="73" t="s">
        <v>29</v>
      </c>
      <c r="L447" s="13">
        <v>1399122</v>
      </c>
      <c r="M447" s="13">
        <v>0</v>
      </c>
      <c r="N447" s="13">
        <v>471356</v>
      </c>
      <c r="O447" s="13">
        <v>129846</v>
      </c>
      <c r="P447" s="13">
        <v>0</v>
      </c>
      <c r="Q447" s="13">
        <v>1269276</v>
      </c>
      <c r="R447" s="13">
        <v>9699</v>
      </c>
      <c r="S447" s="13">
        <v>0</v>
      </c>
      <c r="T447" s="13">
        <v>0</v>
      </c>
      <c r="U447" s="12" t="str">
        <f t="shared" si="24"/>
        <v>Privado Nacional</v>
      </c>
      <c r="V447" s="14">
        <f t="shared" si="25"/>
        <v>0</v>
      </c>
      <c r="W447" s="14">
        <f t="shared" si="26"/>
        <v>7.6413640532082853E-3</v>
      </c>
      <c r="X447" s="12" t="str">
        <f t="shared" si="27"/>
        <v>Média/Pequena</v>
      </c>
      <c r="Y447" s="122" t="str" cm="1">
        <f t="array" ref="Y447">_xlfn.IFS(ISNUMBER(W447)=FALSE,"Sem dado",W447&gt;0.075,"Excelente",W447&gt;0.04,"Bom",W447&gt;0,"Fraco",TRUE,"Prejuízo")</f>
        <v>Fraco</v>
      </c>
    </row>
    <row r="448" spans="1:25" ht="15" customHeight="1" x14ac:dyDescent="0.2">
      <c r="A448" s="15" t="s">
        <v>1041</v>
      </c>
      <c r="B448" s="60">
        <v>22753982</v>
      </c>
      <c r="C448" s="15"/>
      <c r="D448" s="15"/>
      <c r="E448" s="15"/>
      <c r="F448" s="15" t="s">
        <v>265</v>
      </c>
      <c r="G448" s="34">
        <v>2</v>
      </c>
      <c r="H448" s="34">
        <v>9</v>
      </c>
      <c r="I448" s="15" t="s">
        <v>1042</v>
      </c>
      <c r="J448" s="15" t="s">
        <v>120</v>
      </c>
      <c r="K448" s="74" t="s">
        <v>29</v>
      </c>
      <c r="L448" s="16">
        <v>1368933</v>
      </c>
      <c r="M448" s="16">
        <v>459019</v>
      </c>
      <c r="N448" s="16">
        <v>23283</v>
      </c>
      <c r="O448" s="16">
        <v>1213771</v>
      </c>
      <c r="P448" s="16">
        <v>1172945</v>
      </c>
      <c r="Q448" s="16">
        <v>155162</v>
      </c>
      <c r="R448" s="16">
        <v>6529</v>
      </c>
      <c r="S448" s="16">
        <v>0</v>
      </c>
      <c r="T448" s="16">
        <v>15</v>
      </c>
      <c r="U448" s="15" t="str">
        <f t="shared" si="24"/>
        <v>Privado Nacional</v>
      </c>
      <c r="V448" s="17">
        <f t="shared" si="25"/>
        <v>0.33531151634155942</v>
      </c>
      <c r="W448" s="17">
        <f t="shared" si="26"/>
        <v>4.2078601719493174E-2</v>
      </c>
      <c r="X448" s="15" t="str">
        <f t="shared" si="27"/>
        <v>Média/Pequena</v>
      </c>
      <c r="Y448" s="121" t="str" cm="1">
        <f t="array" ref="Y448">_xlfn.IFS(ISNUMBER(W448)=FALSE,"Sem dado",W448&gt;0.075,"Excelente",W448&gt;0.04,"Bom",W448&gt;0,"Fraco",TRUE,"Prejuízo")</f>
        <v>Bom</v>
      </c>
    </row>
    <row r="449" spans="1:25" ht="15" customHeight="1" x14ac:dyDescent="0.2">
      <c r="A449" s="12" t="s">
        <v>1043</v>
      </c>
      <c r="B449" s="56">
        <v>6031727</v>
      </c>
      <c r="C449" s="12"/>
      <c r="D449" s="12"/>
      <c r="E449" s="12"/>
      <c r="F449" s="12" t="s">
        <v>265</v>
      </c>
      <c r="G449" s="33">
        <v>2</v>
      </c>
      <c r="H449" s="33">
        <v>9</v>
      </c>
      <c r="I449" s="12" t="s">
        <v>1044</v>
      </c>
      <c r="J449" s="12" t="s">
        <v>74</v>
      </c>
      <c r="K449" s="73" t="s">
        <v>29</v>
      </c>
      <c r="L449" s="13">
        <v>1363081</v>
      </c>
      <c r="M449" s="13">
        <v>914876</v>
      </c>
      <c r="N449" s="13">
        <v>25326</v>
      </c>
      <c r="O449" s="13">
        <v>1214076</v>
      </c>
      <c r="P449" s="13">
        <v>791302</v>
      </c>
      <c r="Q449" s="13">
        <v>149005</v>
      </c>
      <c r="R449" s="13">
        <v>5743</v>
      </c>
      <c r="S449" s="13">
        <v>0</v>
      </c>
      <c r="T449" s="13">
        <v>23</v>
      </c>
      <c r="U449" s="12" t="str">
        <f t="shared" si="24"/>
        <v>Privado Nacional</v>
      </c>
      <c r="V449" s="14">
        <f t="shared" si="25"/>
        <v>0.67118241689231972</v>
      </c>
      <c r="W449" s="14">
        <f t="shared" si="26"/>
        <v>3.854233079426865E-2</v>
      </c>
      <c r="X449" s="12" t="str">
        <f t="shared" si="27"/>
        <v>Média/Pequena</v>
      </c>
      <c r="Y449" s="122" t="str" cm="1">
        <f t="array" ref="Y449">_xlfn.IFS(ISNUMBER(W449)=FALSE,"Sem dado",W449&gt;0.075,"Excelente",W449&gt;0.04,"Bom",W449&gt;0,"Fraco",TRUE,"Prejuízo")</f>
        <v>Fraco</v>
      </c>
    </row>
    <row r="450" spans="1:25" ht="15" customHeight="1" x14ac:dyDescent="0.2">
      <c r="A450" s="15" t="s">
        <v>1045</v>
      </c>
      <c r="B450" s="60">
        <v>39519944</v>
      </c>
      <c r="C450" s="15" t="s">
        <v>1046</v>
      </c>
      <c r="D450" s="15"/>
      <c r="E450" s="15" t="s">
        <v>1047</v>
      </c>
      <c r="F450" s="15" t="s">
        <v>65</v>
      </c>
      <c r="G450" s="34">
        <v>3</v>
      </c>
      <c r="H450" s="34">
        <v>43</v>
      </c>
      <c r="I450" s="15" t="s">
        <v>38</v>
      </c>
      <c r="J450" s="15" t="s">
        <v>39</v>
      </c>
      <c r="K450" s="74" t="s">
        <v>29</v>
      </c>
      <c r="L450" s="16">
        <v>1332663</v>
      </c>
      <c r="M450" s="16">
        <v>0</v>
      </c>
      <c r="N450" s="16">
        <v>27491</v>
      </c>
      <c r="O450" s="16">
        <v>1306507</v>
      </c>
      <c r="P450" s="16">
        <v>1302541</v>
      </c>
      <c r="Q450" s="16">
        <v>26156</v>
      </c>
      <c r="R450" s="16">
        <v>866</v>
      </c>
      <c r="S450" s="16">
        <v>2</v>
      </c>
      <c r="T450" s="16">
        <v>0</v>
      </c>
      <c r="U450" s="15" t="str">
        <f t="shared" si="24"/>
        <v>Privado Estrangeiro</v>
      </c>
      <c r="V450" s="17">
        <f t="shared" si="25"/>
        <v>0</v>
      </c>
      <c r="W450" s="17">
        <f t="shared" si="26"/>
        <v>3.3109038079217008E-2</v>
      </c>
      <c r="X450" s="15" t="str">
        <f t="shared" si="27"/>
        <v>Média/Pequena</v>
      </c>
      <c r="Y450" s="121" t="str" cm="1">
        <f t="array" ref="Y450">_xlfn.IFS(ISNUMBER(W450)=FALSE,"Sem dado",W450&gt;0.075,"Excelente",W450&gt;0.04,"Bom",W450&gt;0,"Fraco",TRUE,"Prejuízo")</f>
        <v>Fraco</v>
      </c>
    </row>
    <row r="451" spans="1:25" ht="15" customHeight="1" x14ac:dyDescent="0.2">
      <c r="A451" s="12" t="s">
        <v>1048</v>
      </c>
      <c r="B451" s="56">
        <v>10262276</v>
      </c>
      <c r="C451" s="12"/>
      <c r="D451" s="12"/>
      <c r="E451" s="12"/>
      <c r="F451" s="12" t="s">
        <v>265</v>
      </c>
      <c r="G451" s="33">
        <v>2</v>
      </c>
      <c r="H451" s="33">
        <v>9</v>
      </c>
      <c r="I451" s="12" t="s">
        <v>1049</v>
      </c>
      <c r="J451" s="12" t="s">
        <v>39</v>
      </c>
      <c r="K451" s="73" t="s">
        <v>29</v>
      </c>
      <c r="L451" s="13">
        <v>1332295</v>
      </c>
      <c r="M451" s="13">
        <v>852010</v>
      </c>
      <c r="N451" s="13">
        <v>28784</v>
      </c>
      <c r="O451" s="13">
        <v>1196336</v>
      </c>
      <c r="P451" s="13">
        <v>1106512</v>
      </c>
      <c r="Q451" s="13">
        <v>135959</v>
      </c>
      <c r="R451" s="13">
        <v>15686</v>
      </c>
      <c r="S451" s="13">
        <v>0</v>
      </c>
      <c r="T451" s="13">
        <v>22</v>
      </c>
      <c r="U451" s="12" t="str">
        <f t="shared" si="24"/>
        <v>Privado Nacional</v>
      </c>
      <c r="V451" s="14">
        <f t="shared" si="25"/>
        <v>0.63950551491974372</v>
      </c>
      <c r="W451" s="14">
        <f t="shared" si="26"/>
        <v>0.11537301686537853</v>
      </c>
      <c r="X451" s="12" t="str">
        <f t="shared" si="27"/>
        <v>Média/Pequena</v>
      </c>
      <c r="Y451" s="122" t="str" cm="1">
        <f t="array" ref="Y451">_xlfn.IFS(ISNUMBER(W451)=FALSE,"Sem dado",W451&gt;0.075,"Excelente",W451&gt;0.04,"Bom",W451&gt;0,"Fraco",TRUE,"Prejuízo")</f>
        <v>Excelente</v>
      </c>
    </row>
    <row r="452" spans="1:25" ht="15" customHeight="1" x14ac:dyDescent="0.2">
      <c r="A452" s="15" t="s">
        <v>1050</v>
      </c>
      <c r="B452" s="60">
        <v>9512539</v>
      </c>
      <c r="C452" s="15"/>
      <c r="D452" s="15"/>
      <c r="E452" s="15"/>
      <c r="F452" s="15" t="s">
        <v>265</v>
      </c>
      <c r="G452" s="34">
        <v>2</v>
      </c>
      <c r="H452" s="34">
        <v>9</v>
      </c>
      <c r="I452" s="15" t="s">
        <v>575</v>
      </c>
      <c r="J452" s="15" t="s">
        <v>217</v>
      </c>
      <c r="K452" s="74" t="s">
        <v>29</v>
      </c>
      <c r="L452" s="16">
        <v>1329147</v>
      </c>
      <c r="M452" s="16">
        <v>979796</v>
      </c>
      <c r="N452" s="16">
        <v>44629</v>
      </c>
      <c r="O452" s="16">
        <v>1103127</v>
      </c>
      <c r="P452" s="16">
        <v>930015</v>
      </c>
      <c r="Q452" s="16">
        <v>226019</v>
      </c>
      <c r="R452" s="16">
        <v>12224</v>
      </c>
      <c r="S452" s="16">
        <v>0</v>
      </c>
      <c r="T452" s="16">
        <v>26</v>
      </c>
      <c r="U452" s="15" t="str">
        <f t="shared" si="24"/>
        <v>Privado Nacional</v>
      </c>
      <c r="V452" s="17">
        <f t="shared" si="25"/>
        <v>0.73716150282850579</v>
      </c>
      <c r="W452" s="17">
        <f t="shared" si="26"/>
        <v>5.4083948694578776E-2</v>
      </c>
      <c r="X452" s="15" t="str">
        <f t="shared" si="27"/>
        <v>Média/Pequena</v>
      </c>
      <c r="Y452" s="121" t="str" cm="1">
        <f t="array" ref="Y452">_xlfn.IFS(ISNUMBER(W452)=FALSE,"Sem dado",W452&gt;0.075,"Excelente",W452&gt;0.04,"Bom",W452&gt;0,"Fraco",TRUE,"Prejuízo")</f>
        <v>Bom</v>
      </c>
    </row>
    <row r="453" spans="1:25" ht="15" customHeight="1" x14ac:dyDescent="0.2">
      <c r="A453" s="12" t="s">
        <v>1051</v>
      </c>
      <c r="B453" s="56">
        <v>11970623</v>
      </c>
      <c r="C453" s="12" t="s">
        <v>1052</v>
      </c>
      <c r="D453" s="12"/>
      <c r="E453" s="12" t="s">
        <v>1053</v>
      </c>
      <c r="F453" s="12" t="s">
        <v>26</v>
      </c>
      <c r="G453" s="33">
        <v>2</v>
      </c>
      <c r="H453" s="33">
        <v>8</v>
      </c>
      <c r="I453" s="12" t="s">
        <v>228</v>
      </c>
      <c r="J453" s="12" t="s">
        <v>229</v>
      </c>
      <c r="K453" s="73" t="s">
        <v>29</v>
      </c>
      <c r="L453" s="13">
        <v>1325349</v>
      </c>
      <c r="M453" s="13">
        <v>989412</v>
      </c>
      <c r="N453" s="13">
        <v>96641</v>
      </c>
      <c r="O453" s="13">
        <v>1167776</v>
      </c>
      <c r="P453" s="13">
        <v>1135374</v>
      </c>
      <c r="Q453" s="13">
        <v>157573</v>
      </c>
      <c r="R453" s="13">
        <v>12532</v>
      </c>
      <c r="S453" s="13">
        <v>2</v>
      </c>
      <c r="T453" s="13">
        <v>0</v>
      </c>
      <c r="U453" s="12" t="str">
        <f t="shared" ref="U453:U516" si="28">IFERROR(CHOOSE(G453,"Público","Privado Nacional","Privado Estrangeiro"),"n.d.")</f>
        <v>Privado Nacional</v>
      </c>
      <c r="V453" s="14">
        <f t="shared" ref="V453:V516" si="29">IF(AND(ISNUMBER(M453),ISNUMBER(L453)),IF(L453&gt;0,M453/L453,"n.d."),"NI")</f>
        <v>0.7465294047077411</v>
      </c>
      <c r="W453" s="14">
        <f t="shared" ref="W453:W516" si="30">IF(AND(ISNUMBER(R453),ISNUMBER(Q453)),IF(Q453&gt;0,R453/Q453,"n.d."),"NI")</f>
        <v>7.9531391799356491E-2</v>
      </c>
      <c r="X453" s="12" t="str">
        <f t="shared" ref="X453:X516" si="31">IF(ISNUMBER(L453),IF(L453&gt;100000000,"Grande","Média/Pequena"),"Sem dado")</f>
        <v>Média/Pequena</v>
      </c>
      <c r="Y453" s="122" t="str" cm="1">
        <f t="array" ref="Y453">_xlfn.IFS(ISNUMBER(W453)=FALSE,"Sem dado",W453&gt;0.075,"Excelente",W453&gt;0.04,"Bom",W453&gt;0,"Fraco",TRUE,"Prejuízo")</f>
        <v>Excelente</v>
      </c>
    </row>
    <row r="454" spans="1:25" ht="15" customHeight="1" x14ac:dyDescent="0.2">
      <c r="A454" s="15" t="s">
        <v>1054</v>
      </c>
      <c r="B454" s="60">
        <v>3751794</v>
      </c>
      <c r="C454" s="15" t="s">
        <v>1055</v>
      </c>
      <c r="D454" s="15" t="s">
        <v>1056</v>
      </c>
      <c r="E454" s="15" t="s">
        <v>1056</v>
      </c>
      <c r="F454" s="15" t="s">
        <v>98</v>
      </c>
      <c r="G454" s="34">
        <v>2</v>
      </c>
      <c r="H454" s="34">
        <v>16</v>
      </c>
      <c r="I454" s="15" t="s">
        <v>38</v>
      </c>
      <c r="J454" s="15" t="s">
        <v>39</v>
      </c>
      <c r="K454" s="74" t="s">
        <v>29</v>
      </c>
      <c r="L454" s="16">
        <v>1324724</v>
      </c>
      <c r="M454" s="16">
        <v>0</v>
      </c>
      <c r="N454" s="16">
        <v>163569</v>
      </c>
      <c r="O454" s="16">
        <v>1225021</v>
      </c>
      <c r="P454" s="16">
        <v>1137345</v>
      </c>
      <c r="Q454" s="16">
        <v>99704</v>
      </c>
      <c r="R454" s="16">
        <v>8106</v>
      </c>
      <c r="S454" s="16">
        <v>4</v>
      </c>
      <c r="T454" s="16">
        <v>0</v>
      </c>
      <c r="U454" s="15" t="str">
        <f t="shared" si="28"/>
        <v>Privado Nacional</v>
      </c>
      <c r="V454" s="17">
        <f t="shared" si="29"/>
        <v>0</v>
      </c>
      <c r="W454" s="17">
        <f t="shared" si="30"/>
        <v>8.1300649923774379E-2</v>
      </c>
      <c r="X454" s="15" t="str">
        <f t="shared" si="31"/>
        <v>Média/Pequena</v>
      </c>
      <c r="Y454" s="121" t="str" cm="1">
        <f t="array" ref="Y454">_xlfn.IFS(ISNUMBER(W454)=FALSE,"Sem dado",W454&gt;0.075,"Excelente",W454&gt;0.04,"Bom",W454&gt;0,"Fraco",TRUE,"Prejuízo")</f>
        <v>Excelente</v>
      </c>
    </row>
    <row r="455" spans="1:25" ht="15" customHeight="1" x14ac:dyDescent="0.2">
      <c r="A455" s="12" t="s">
        <v>1057</v>
      </c>
      <c r="B455" s="56">
        <v>31680151</v>
      </c>
      <c r="C455" s="12" t="s">
        <v>1058</v>
      </c>
      <c r="D455" s="12"/>
      <c r="E455" s="12" t="s">
        <v>1059</v>
      </c>
      <c r="F455" s="12" t="s">
        <v>84</v>
      </c>
      <c r="G455" s="33">
        <v>3</v>
      </c>
      <c r="H455" s="33">
        <v>41</v>
      </c>
      <c r="I455" s="12" t="s">
        <v>38</v>
      </c>
      <c r="J455" s="12" t="s">
        <v>39</v>
      </c>
      <c r="K455" s="73" t="s">
        <v>29</v>
      </c>
      <c r="L455" s="13">
        <v>1320401</v>
      </c>
      <c r="M455" s="13">
        <v>60742</v>
      </c>
      <c r="N455" s="13">
        <v>186971</v>
      </c>
      <c r="O455" s="13">
        <v>1213925</v>
      </c>
      <c r="P455" s="13">
        <v>650545</v>
      </c>
      <c r="Q455" s="13">
        <v>106477</v>
      </c>
      <c r="R455" s="13">
        <v>8395</v>
      </c>
      <c r="S455" s="13">
        <v>1</v>
      </c>
      <c r="T455" s="13">
        <v>0</v>
      </c>
      <c r="U455" s="12" t="str">
        <f t="shared" si="28"/>
        <v>Privado Estrangeiro</v>
      </c>
      <c r="V455" s="14">
        <f t="shared" si="29"/>
        <v>4.6002691606564977E-2</v>
      </c>
      <c r="W455" s="14">
        <f t="shared" si="30"/>
        <v>7.8843318275308286E-2</v>
      </c>
      <c r="X455" s="12" t="str">
        <f t="shared" si="31"/>
        <v>Média/Pequena</v>
      </c>
      <c r="Y455" s="122" t="str" cm="1">
        <f t="array" ref="Y455">_xlfn.IFS(ISNUMBER(W455)=FALSE,"Sem dado",W455&gt;0.075,"Excelente",W455&gt;0.04,"Bom",W455&gt;0,"Fraco",TRUE,"Prejuízo")</f>
        <v>Excelente</v>
      </c>
    </row>
    <row r="456" spans="1:25" ht="15" customHeight="1" x14ac:dyDescent="0.2">
      <c r="A456" s="15" t="s">
        <v>1060</v>
      </c>
      <c r="B456" s="60">
        <v>73113243</v>
      </c>
      <c r="C456" s="15"/>
      <c r="D456" s="15"/>
      <c r="E456" s="15"/>
      <c r="F456" s="15" t="s">
        <v>265</v>
      </c>
      <c r="G456" s="34">
        <v>2</v>
      </c>
      <c r="H456" s="34">
        <v>9</v>
      </c>
      <c r="I456" s="15" t="s">
        <v>1061</v>
      </c>
      <c r="J456" s="15" t="s">
        <v>39</v>
      </c>
      <c r="K456" s="74" t="s">
        <v>29</v>
      </c>
      <c r="L456" s="16">
        <v>1315747</v>
      </c>
      <c r="M456" s="16">
        <v>713183</v>
      </c>
      <c r="N456" s="16">
        <v>525132</v>
      </c>
      <c r="O456" s="16">
        <v>1202027</v>
      </c>
      <c r="P456" s="16">
        <v>921306</v>
      </c>
      <c r="Q456" s="16">
        <v>113720</v>
      </c>
      <c r="R456" s="16">
        <v>7058</v>
      </c>
      <c r="S456" s="16">
        <v>0</v>
      </c>
      <c r="T456" s="16">
        <v>11</v>
      </c>
      <c r="U456" s="15" t="str">
        <f t="shared" si="28"/>
        <v>Privado Nacional</v>
      </c>
      <c r="V456" s="17">
        <f t="shared" si="29"/>
        <v>0.54203657694070362</v>
      </c>
      <c r="W456" s="17">
        <f t="shared" si="30"/>
        <v>6.206472036581076E-2</v>
      </c>
      <c r="X456" s="15" t="str">
        <f t="shared" si="31"/>
        <v>Média/Pequena</v>
      </c>
      <c r="Y456" s="121" t="str" cm="1">
        <f t="array" ref="Y456">_xlfn.IFS(ISNUMBER(W456)=FALSE,"Sem dado",W456&gt;0.075,"Excelente",W456&gt;0.04,"Bom",W456&gt;0,"Fraco",TRUE,"Prejuízo")</f>
        <v>Bom</v>
      </c>
    </row>
    <row r="457" spans="1:25" ht="15" customHeight="1" x14ac:dyDescent="0.2">
      <c r="A457" s="12" t="s">
        <v>1062</v>
      </c>
      <c r="B457" s="56">
        <v>2309070</v>
      </c>
      <c r="C457" s="12"/>
      <c r="D457" s="12"/>
      <c r="E457" s="12"/>
      <c r="F457" s="12" t="s">
        <v>265</v>
      </c>
      <c r="G457" s="33">
        <v>2</v>
      </c>
      <c r="H457" s="33">
        <v>9</v>
      </c>
      <c r="I457" s="12" t="s">
        <v>700</v>
      </c>
      <c r="J457" s="12" t="s">
        <v>432</v>
      </c>
      <c r="K457" s="73" t="s">
        <v>29</v>
      </c>
      <c r="L457" s="13">
        <v>1311054</v>
      </c>
      <c r="M457" s="13">
        <v>706068</v>
      </c>
      <c r="N457" s="13">
        <v>42107</v>
      </c>
      <c r="O457" s="13">
        <v>1097271</v>
      </c>
      <c r="P457" s="13">
        <v>942525</v>
      </c>
      <c r="Q457" s="13">
        <v>213783</v>
      </c>
      <c r="R457" s="13">
        <v>14733</v>
      </c>
      <c r="S457" s="13">
        <v>0</v>
      </c>
      <c r="T457" s="13">
        <v>26</v>
      </c>
      <c r="U457" s="12" t="str">
        <f t="shared" si="28"/>
        <v>Privado Nacional</v>
      </c>
      <c r="V457" s="14">
        <f t="shared" si="29"/>
        <v>0.53854989954647181</v>
      </c>
      <c r="W457" s="14">
        <f t="shared" si="30"/>
        <v>6.8915676176309629E-2</v>
      </c>
      <c r="X457" s="12" t="str">
        <f t="shared" si="31"/>
        <v>Média/Pequena</v>
      </c>
      <c r="Y457" s="122" t="str" cm="1">
        <f t="array" ref="Y457">_xlfn.IFS(ISNUMBER(W457)=FALSE,"Sem dado",W457&gt;0.075,"Excelente",W457&gt;0.04,"Bom",W457&gt;0,"Fraco",TRUE,"Prejuízo")</f>
        <v>Bom</v>
      </c>
    </row>
    <row r="458" spans="1:25" ht="15" customHeight="1" x14ac:dyDescent="0.2">
      <c r="A458" s="15" t="s">
        <v>1063</v>
      </c>
      <c r="B458" s="60">
        <v>23949522</v>
      </c>
      <c r="C458" s="15"/>
      <c r="D458" s="15"/>
      <c r="E458" s="15"/>
      <c r="F458" s="15" t="s">
        <v>265</v>
      </c>
      <c r="G458" s="34">
        <v>2</v>
      </c>
      <c r="H458" s="34">
        <v>9</v>
      </c>
      <c r="I458" s="15" t="s">
        <v>1064</v>
      </c>
      <c r="J458" s="15" t="s">
        <v>120</v>
      </c>
      <c r="K458" s="74" t="s">
        <v>29</v>
      </c>
      <c r="L458" s="16">
        <v>1310490</v>
      </c>
      <c r="M458" s="16">
        <v>680818</v>
      </c>
      <c r="N458" s="16">
        <v>39289</v>
      </c>
      <c r="O458" s="16">
        <v>1079225</v>
      </c>
      <c r="P458" s="16">
        <v>802076</v>
      </c>
      <c r="Q458" s="16">
        <v>231264</v>
      </c>
      <c r="R458" s="16">
        <v>5665</v>
      </c>
      <c r="S458" s="16">
        <v>0</v>
      </c>
      <c r="T458" s="16">
        <v>5</v>
      </c>
      <c r="U458" s="15" t="str">
        <f t="shared" si="28"/>
        <v>Privado Nacional</v>
      </c>
      <c r="V458" s="17">
        <f t="shared" si="29"/>
        <v>0.51951407488801904</v>
      </c>
      <c r="W458" s="17">
        <f t="shared" si="30"/>
        <v>2.4495814307458143E-2</v>
      </c>
      <c r="X458" s="15" t="str">
        <f t="shared" si="31"/>
        <v>Média/Pequena</v>
      </c>
      <c r="Y458" s="121" t="str" cm="1">
        <f t="array" ref="Y458">_xlfn.IFS(ISNUMBER(W458)=FALSE,"Sem dado",W458&gt;0.075,"Excelente",W458&gt;0.04,"Bom",W458&gt;0,"Fraco",TRUE,"Prejuízo")</f>
        <v>Fraco</v>
      </c>
    </row>
    <row r="459" spans="1:25" ht="15" customHeight="1" x14ac:dyDescent="0.2">
      <c r="A459" s="12" t="s">
        <v>1065</v>
      </c>
      <c r="B459" s="56">
        <v>4261151</v>
      </c>
      <c r="C459" s="12"/>
      <c r="D459" s="12"/>
      <c r="E459" s="12"/>
      <c r="F459" s="12" t="s">
        <v>265</v>
      </c>
      <c r="G459" s="33">
        <v>2</v>
      </c>
      <c r="H459" s="33">
        <v>9</v>
      </c>
      <c r="I459" s="12" t="s">
        <v>1066</v>
      </c>
      <c r="J459" s="12" t="s">
        <v>217</v>
      </c>
      <c r="K459" s="73" t="s">
        <v>29</v>
      </c>
      <c r="L459" s="13">
        <v>1296552</v>
      </c>
      <c r="M459" s="13">
        <v>892658</v>
      </c>
      <c r="N459" s="13">
        <v>21399</v>
      </c>
      <c r="O459" s="13">
        <v>1147954</v>
      </c>
      <c r="P459" s="13">
        <v>781016</v>
      </c>
      <c r="Q459" s="13">
        <v>148599</v>
      </c>
      <c r="R459" s="13">
        <v>1631</v>
      </c>
      <c r="S459" s="13">
        <v>0</v>
      </c>
      <c r="T459" s="13">
        <v>30</v>
      </c>
      <c r="U459" s="12" t="str">
        <f t="shared" si="28"/>
        <v>Privado Nacional</v>
      </c>
      <c r="V459" s="14">
        <f t="shared" si="29"/>
        <v>0.68848607691785602</v>
      </c>
      <c r="W459" s="14">
        <f t="shared" si="30"/>
        <v>1.0975847751330762E-2</v>
      </c>
      <c r="X459" s="12" t="str">
        <f t="shared" si="31"/>
        <v>Média/Pequena</v>
      </c>
      <c r="Y459" s="122" t="str" cm="1">
        <f t="array" ref="Y459">_xlfn.IFS(ISNUMBER(W459)=FALSE,"Sem dado",W459&gt;0.075,"Excelente",W459&gt;0.04,"Bom",W459&gt;0,"Fraco",TRUE,"Prejuízo")</f>
        <v>Fraco</v>
      </c>
    </row>
    <row r="460" spans="1:25" ht="15" customHeight="1" x14ac:dyDescent="0.2">
      <c r="A460" s="15" t="s">
        <v>1067</v>
      </c>
      <c r="B460" s="60">
        <v>21670187</v>
      </c>
      <c r="C460" s="15"/>
      <c r="D460" s="15"/>
      <c r="E460" s="15"/>
      <c r="F460" s="15" t="s">
        <v>265</v>
      </c>
      <c r="G460" s="34">
        <v>2</v>
      </c>
      <c r="H460" s="34">
        <v>9</v>
      </c>
      <c r="I460" s="15" t="s">
        <v>1068</v>
      </c>
      <c r="J460" s="15" t="s">
        <v>120</v>
      </c>
      <c r="K460" s="74" t="s">
        <v>29</v>
      </c>
      <c r="L460" s="16">
        <v>1291374</v>
      </c>
      <c r="M460" s="16">
        <v>463429</v>
      </c>
      <c r="N460" s="16">
        <v>29633</v>
      </c>
      <c r="O460" s="16">
        <v>1102048</v>
      </c>
      <c r="P460" s="16">
        <v>1017855</v>
      </c>
      <c r="Q460" s="16">
        <v>189326</v>
      </c>
      <c r="R460" s="16">
        <v>20339</v>
      </c>
      <c r="S460" s="16">
        <v>0</v>
      </c>
      <c r="T460" s="16">
        <v>7</v>
      </c>
      <c r="U460" s="15" t="str">
        <f t="shared" si="28"/>
        <v>Privado Nacional</v>
      </c>
      <c r="V460" s="17">
        <f t="shared" si="29"/>
        <v>0.35886505381090217</v>
      </c>
      <c r="W460" s="17">
        <f t="shared" si="30"/>
        <v>0.10742845673600034</v>
      </c>
      <c r="X460" s="15" t="str">
        <f t="shared" si="31"/>
        <v>Média/Pequena</v>
      </c>
      <c r="Y460" s="121" t="str" cm="1">
        <f t="array" ref="Y460">_xlfn.IFS(ISNUMBER(W460)=FALSE,"Sem dado",W460&gt;0.075,"Excelente",W460&gt;0.04,"Bom",W460&gt;0,"Fraco",TRUE,"Prejuízo")</f>
        <v>Excelente</v>
      </c>
    </row>
    <row r="461" spans="1:25" ht="15" customHeight="1" x14ac:dyDescent="0.2">
      <c r="A461" s="12" t="s">
        <v>1069</v>
      </c>
      <c r="B461" s="56">
        <v>78865995</v>
      </c>
      <c r="C461" s="12"/>
      <c r="D461" s="12"/>
      <c r="E461" s="12"/>
      <c r="F461" s="12" t="s">
        <v>265</v>
      </c>
      <c r="G461" s="33">
        <v>2</v>
      </c>
      <c r="H461" s="33">
        <v>9</v>
      </c>
      <c r="I461" s="12" t="s">
        <v>1070</v>
      </c>
      <c r="J461" s="12" t="s">
        <v>217</v>
      </c>
      <c r="K461" s="73" t="s">
        <v>29</v>
      </c>
      <c r="L461" s="13">
        <v>1280529</v>
      </c>
      <c r="M461" s="13">
        <v>597926</v>
      </c>
      <c r="N461" s="13">
        <v>17868</v>
      </c>
      <c r="O461" s="13">
        <v>1165763</v>
      </c>
      <c r="P461" s="13">
        <v>981581</v>
      </c>
      <c r="Q461" s="13">
        <v>114766</v>
      </c>
      <c r="R461" s="13">
        <v>-1292</v>
      </c>
      <c r="S461" s="13">
        <v>0</v>
      </c>
      <c r="T461" s="13">
        <v>10</v>
      </c>
      <c r="U461" s="12" t="str">
        <f t="shared" si="28"/>
        <v>Privado Nacional</v>
      </c>
      <c r="V461" s="14">
        <f t="shared" si="29"/>
        <v>0.46693671131227799</v>
      </c>
      <c r="W461" s="14">
        <f t="shared" si="30"/>
        <v>-1.1257689559625673E-2</v>
      </c>
      <c r="X461" s="12" t="str">
        <f t="shared" si="31"/>
        <v>Média/Pequena</v>
      </c>
      <c r="Y461" s="122" t="str" cm="1">
        <f t="array" ref="Y461">_xlfn.IFS(ISNUMBER(W461)=FALSE,"Sem dado",W461&gt;0.075,"Excelente",W461&gt;0.04,"Bom",W461&gt;0,"Fraco",TRUE,"Prejuízo")</f>
        <v>Prejuízo</v>
      </c>
    </row>
    <row r="462" spans="1:25" ht="15" customHeight="1" x14ac:dyDescent="0.2">
      <c r="A462" s="15" t="s">
        <v>1071</v>
      </c>
      <c r="B462" s="60">
        <v>3222753</v>
      </c>
      <c r="C462" s="15"/>
      <c r="D462" s="15"/>
      <c r="E462" s="15"/>
      <c r="F462" s="15" t="s">
        <v>265</v>
      </c>
      <c r="G462" s="34">
        <v>2</v>
      </c>
      <c r="H462" s="34">
        <v>9</v>
      </c>
      <c r="I462" s="15" t="s">
        <v>1072</v>
      </c>
      <c r="J462" s="15" t="s">
        <v>432</v>
      </c>
      <c r="K462" s="74" t="s">
        <v>29</v>
      </c>
      <c r="L462" s="16">
        <v>1278284</v>
      </c>
      <c r="M462" s="16">
        <v>750136</v>
      </c>
      <c r="N462" s="16">
        <v>61828</v>
      </c>
      <c r="O462" s="16">
        <v>917890</v>
      </c>
      <c r="P462" s="16">
        <v>848366</v>
      </c>
      <c r="Q462" s="16">
        <v>360394</v>
      </c>
      <c r="R462" s="16">
        <v>10167</v>
      </c>
      <c r="S462" s="16">
        <v>0</v>
      </c>
      <c r="T462" s="16">
        <v>18</v>
      </c>
      <c r="U462" s="15" t="str">
        <f t="shared" si="28"/>
        <v>Privado Nacional</v>
      </c>
      <c r="V462" s="17">
        <f t="shared" si="29"/>
        <v>0.5868304695983052</v>
      </c>
      <c r="W462" s="17">
        <f t="shared" si="30"/>
        <v>2.8210791522611363E-2</v>
      </c>
      <c r="X462" s="15" t="str">
        <f t="shared" si="31"/>
        <v>Média/Pequena</v>
      </c>
      <c r="Y462" s="121" t="str" cm="1">
        <f t="array" ref="Y462">_xlfn.IFS(ISNUMBER(W462)=FALSE,"Sem dado",W462&gt;0.075,"Excelente",W462&gt;0.04,"Bom",W462&gt;0,"Fraco",TRUE,"Prejuízo")</f>
        <v>Fraco</v>
      </c>
    </row>
    <row r="463" spans="1:25" ht="15" customHeight="1" x14ac:dyDescent="0.2">
      <c r="A463" s="12" t="s">
        <v>1073</v>
      </c>
      <c r="B463" s="56">
        <v>15111975</v>
      </c>
      <c r="C463" s="12" t="s">
        <v>1074</v>
      </c>
      <c r="D463" s="12"/>
      <c r="E463" s="12" t="s">
        <v>1075</v>
      </c>
      <c r="F463" s="12" t="s">
        <v>84</v>
      </c>
      <c r="G463" s="33">
        <v>2</v>
      </c>
      <c r="H463" s="33">
        <v>41</v>
      </c>
      <c r="I463" s="12" t="s">
        <v>38</v>
      </c>
      <c r="J463" s="12" t="s">
        <v>39</v>
      </c>
      <c r="K463" s="73" t="s">
        <v>29</v>
      </c>
      <c r="L463" s="13">
        <v>1273180</v>
      </c>
      <c r="M463" s="13">
        <v>0</v>
      </c>
      <c r="N463" s="13">
        <v>57555</v>
      </c>
      <c r="O463" s="13">
        <v>1223611</v>
      </c>
      <c r="P463" s="13">
        <v>420849</v>
      </c>
      <c r="Q463" s="13">
        <v>49569</v>
      </c>
      <c r="R463" s="13">
        <v>-9329</v>
      </c>
      <c r="S463" s="13">
        <v>1</v>
      </c>
      <c r="T463" s="13">
        <v>0</v>
      </c>
      <c r="U463" s="12" t="str">
        <f t="shared" si="28"/>
        <v>Privado Nacional</v>
      </c>
      <c r="V463" s="14">
        <f t="shared" si="29"/>
        <v>0</v>
      </c>
      <c r="W463" s="14">
        <f t="shared" si="30"/>
        <v>-0.18820230385926687</v>
      </c>
      <c r="X463" s="12" t="str">
        <f t="shared" si="31"/>
        <v>Média/Pequena</v>
      </c>
      <c r="Y463" s="122" t="str" cm="1">
        <f t="array" ref="Y463">_xlfn.IFS(ISNUMBER(W463)=FALSE,"Sem dado",W463&gt;0.075,"Excelente",W463&gt;0.04,"Bom",W463&gt;0,"Fraco",TRUE,"Prejuízo")</f>
        <v>Prejuízo</v>
      </c>
    </row>
    <row r="464" spans="1:25" ht="15" customHeight="1" x14ac:dyDescent="0.2">
      <c r="A464" s="15" t="s">
        <v>1076</v>
      </c>
      <c r="B464" s="60">
        <v>3732359</v>
      </c>
      <c r="C464" s="15"/>
      <c r="D464" s="15"/>
      <c r="E464" s="15"/>
      <c r="F464" s="15" t="s">
        <v>265</v>
      </c>
      <c r="G464" s="34">
        <v>2</v>
      </c>
      <c r="H464" s="34">
        <v>9</v>
      </c>
      <c r="I464" s="15" t="s">
        <v>1077</v>
      </c>
      <c r="J464" s="15" t="s">
        <v>1078</v>
      </c>
      <c r="K464" s="74" t="s">
        <v>29</v>
      </c>
      <c r="L464" s="16">
        <v>1270991</v>
      </c>
      <c r="M464" s="16">
        <v>910200</v>
      </c>
      <c r="N464" s="16">
        <v>42408</v>
      </c>
      <c r="O464" s="16">
        <v>1118569</v>
      </c>
      <c r="P464" s="16">
        <v>989949</v>
      </c>
      <c r="Q464" s="16">
        <v>152421</v>
      </c>
      <c r="R464" s="16">
        <v>16707</v>
      </c>
      <c r="S464" s="16">
        <v>0</v>
      </c>
      <c r="T464" s="16">
        <v>44</v>
      </c>
      <c r="U464" s="15" t="str">
        <f t="shared" si="28"/>
        <v>Privado Nacional</v>
      </c>
      <c r="V464" s="17">
        <f t="shared" si="29"/>
        <v>0.71613410323125815</v>
      </c>
      <c r="W464" s="17">
        <f t="shared" si="30"/>
        <v>0.10961088039049738</v>
      </c>
      <c r="X464" s="15" t="str">
        <f t="shared" si="31"/>
        <v>Média/Pequena</v>
      </c>
      <c r="Y464" s="121" t="str" cm="1">
        <f t="array" ref="Y464">_xlfn.IFS(ISNUMBER(W464)=FALSE,"Sem dado",W464&gt;0.075,"Excelente",W464&gt;0.04,"Bom",W464&gt;0,"Fraco",TRUE,"Prejuízo")</f>
        <v>Excelente</v>
      </c>
    </row>
    <row r="465" spans="1:25" ht="15" customHeight="1" x14ac:dyDescent="0.2">
      <c r="A465" s="12" t="s">
        <v>1079</v>
      </c>
      <c r="B465" s="56">
        <v>41931445</v>
      </c>
      <c r="C465" s="12"/>
      <c r="D465" s="12"/>
      <c r="E465" s="12"/>
      <c r="F465" s="12" t="s">
        <v>265</v>
      </c>
      <c r="G465" s="33">
        <v>2</v>
      </c>
      <c r="H465" s="33">
        <v>9</v>
      </c>
      <c r="I465" s="12" t="s">
        <v>1080</v>
      </c>
      <c r="J465" s="12" t="s">
        <v>120</v>
      </c>
      <c r="K465" s="73" t="s">
        <v>29</v>
      </c>
      <c r="L465" s="13">
        <v>1268291</v>
      </c>
      <c r="M465" s="13">
        <v>425273</v>
      </c>
      <c r="N465" s="13">
        <v>228234</v>
      </c>
      <c r="O465" s="13">
        <v>1155215</v>
      </c>
      <c r="P465" s="13">
        <v>1068279</v>
      </c>
      <c r="Q465" s="13">
        <v>113075</v>
      </c>
      <c r="R465" s="13">
        <v>6438</v>
      </c>
      <c r="S465" s="13">
        <v>0</v>
      </c>
      <c r="T465" s="13">
        <v>8</v>
      </c>
      <c r="U465" s="12" t="str">
        <f t="shared" si="28"/>
        <v>Privado Nacional</v>
      </c>
      <c r="V465" s="14">
        <f t="shared" si="29"/>
        <v>0.33531184877918396</v>
      </c>
      <c r="W465" s="14">
        <f t="shared" si="30"/>
        <v>5.6935662171125362E-2</v>
      </c>
      <c r="X465" s="12" t="str">
        <f t="shared" si="31"/>
        <v>Média/Pequena</v>
      </c>
      <c r="Y465" s="122" t="str" cm="1">
        <f t="array" ref="Y465">_xlfn.IFS(ISNUMBER(W465)=FALSE,"Sem dado",W465&gt;0.075,"Excelente",W465&gt;0.04,"Bom",W465&gt;0,"Fraco",TRUE,"Prejuízo")</f>
        <v>Bom</v>
      </c>
    </row>
    <row r="466" spans="1:25" ht="15" customHeight="1" x14ac:dyDescent="0.2">
      <c r="A466" s="15" t="s">
        <v>1081</v>
      </c>
      <c r="B466" s="60">
        <v>2448310</v>
      </c>
      <c r="C466" s="15"/>
      <c r="D466" s="15"/>
      <c r="E466" s="15"/>
      <c r="F466" s="15" t="s">
        <v>265</v>
      </c>
      <c r="G466" s="34">
        <v>2</v>
      </c>
      <c r="H466" s="34">
        <v>9</v>
      </c>
      <c r="I466" s="15" t="s">
        <v>971</v>
      </c>
      <c r="J466" s="15" t="s">
        <v>229</v>
      </c>
      <c r="K466" s="74" t="s">
        <v>29</v>
      </c>
      <c r="L466" s="16">
        <v>1261589</v>
      </c>
      <c r="M466" s="16">
        <v>988692</v>
      </c>
      <c r="N466" s="16">
        <v>16720</v>
      </c>
      <c r="O466" s="16">
        <v>1108259</v>
      </c>
      <c r="P466" s="16">
        <v>693066</v>
      </c>
      <c r="Q466" s="16">
        <v>153330</v>
      </c>
      <c r="R466" s="16">
        <v>7521</v>
      </c>
      <c r="S466" s="16">
        <v>0</v>
      </c>
      <c r="T466" s="16">
        <v>17</v>
      </c>
      <c r="U466" s="15" t="str">
        <f t="shared" si="28"/>
        <v>Privado Nacional</v>
      </c>
      <c r="V466" s="17">
        <f t="shared" si="29"/>
        <v>0.78368787299191733</v>
      </c>
      <c r="W466" s="17">
        <f t="shared" si="30"/>
        <v>4.9051066327528862E-2</v>
      </c>
      <c r="X466" s="15" t="str">
        <f t="shared" si="31"/>
        <v>Média/Pequena</v>
      </c>
      <c r="Y466" s="121" t="str" cm="1">
        <f t="array" ref="Y466">_xlfn.IFS(ISNUMBER(W466)=FALSE,"Sem dado",W466&gt;0.075,"Excelente",W466&gt;0.04,"Bom",W466&gt;0,"Fraco",TRUE,"Prejuízo")</f>
        <v>Bom</v>
      </c>
    </row>
    <row r="467" spans="1:25" ht="15" customHeight="1" x14ac:dyDescent="0.2">
      <c r="A467" s="12" t="s">
        <v>1082</v>
      </c>
      <c r="B467" s="56">
        <v>8742188</v>
      </c>
      <c r="C467" s="12"/>
      <c r="D467" s="12"/>
      <c r="E467" s="12"/>
      <c r="F467" s="12" t="s">
        <v>265</v>
      </c>
      <c r="G467" s="33">
        <v>2</v>
      </c>
      <c r="H467" s="33">
        <v>9</v>
      </c>
      <c r="I467" s="12" t="s">
        <v>803</v>
      </c>
      <c r="J467" s="12" t="s">
        <v>329</v>
      </c>
      <c r="K467" s="73" t="s">
        <v>29</v>
      </c>
      <c r="L467" s="13">
        <v>1258416</v>
      </c>
      <c r="M467" s="13">
        <v>793839</v>
      </c>
      <c r="N467" s="13">
        <v>21570</v>
      </c>
      <c r="O467" s="13">
        <v>1128225</v>
      </c>
      <c r="P467" s="13">
        <v>1027809</v>
      </c>
      <c r="Q467" s="13">
        <v>130191</v>
      </c>
      <c r="R467" s="13">
        <v>1457</v>
      </c>
      <c r="S467" s="13">
        <v>0</v>
      </c>
      <c r="T467" s="13">
        <v>25</v>
      </c>
      <c r="U467" s="12" t="str">
        <f t="shared" si="28"/>
        <v>Privado Nacional</v>
      </c>
      <c r="V467" s="14">
        <f t="shared" si="29"/>
        <v>0.63082398825189767</v>
      </c>
      <c r="W467" s="14">
        <f t="shared" si="30"/>
        <v>1.1191249779170603E-2</v>
      </c>
      <c r="X467" s="12" t="str">
        <f t="shared" si="31"/>
        <v>Média/Pequena</v>
      </c>
      <c r="Y467" s="122" t="str" cm="1">
        <f t="array" ref="Y467">_xlfn.IFS(ISNUMBER(W467)=FALSE,"Sem dado",W467&gt;0.075,"Excelente",W467&gt;0.04,"Bom",W467&gt;0,"Fraco",TRUE,"Prejuízo")</f>
        <v>Fraco</v>
      </c>
    </row>
    <row r="468" spans="1:25" ht="15" customHeight="1" x14ac:dyDescent="0.2">
      <c r="A468" s="15" t="s">
        <v>1083</v>
      </c>
      <c r="B468" s="60">
        <v>62418140</v>
      </c>
      <c r="C468" s="15" t="s">
        <v>35</v>
      </c>
      <c r="D468" s="15" t="s">
        <v>36</v>
      </c>
      <c r="E468" s="15" t="s">
        <v>37</v>
      </c>
      <c r="F468" s="15" t="s">
        <v>98</v>
      </c>
      <c r="G468" s="34">
        <v>2</v>
      </c>
      <c r="H468" s="34">
        <v>16</v>
      </c>
      <c r="I468" s="15" t="s">
        <v>38</v>
      </c>
      <c r="J468" s="15" t="s">
        <v>39</v>
      </c>
      <c r="K468" s="74" t="s">
        <v>29</v>
      </c>
      <c r="L468" s="16">
        <v>1244951</v>
      </c>
      <c r="M468" s="16">
        <v>0</v>
      </c>
      <c r="N468" s="16">
        <v>0</v>
      </c>
      <c r="O468" s="16">
        <v>632289</v>
      </c>
      <c r="P468" s="16">
        <v>0</v>
      </c>
      <c r="Q468" s="16">
        <v>612661</v>
      </c>
      <c r="R468" s="16">
        <v>123778</v>
      </c>
      <c r="S468" s="16">
        <v>2</v>
      </c>
      <c r="T468" s="16">
        <v>0</v>
      </c>
      <c r="U468" s="15" t="str">
        <f t="shared" si="28"/>
        <v>Privado Nacional</v>
      </c>
      <c r="V468" s="17">
        <f t="shared" si="29"/>
        <v>0</v>
      </c>
      <c r="W468" s="17">
        <f t="shared" si="30"/>
        <v>0.20203342468347096</v>
      </c>
      <c r="X468" s="15" t="str">
        <f t="shared" si="31"/>
        <v>Média/Pequena</v>
      </c>
      <c r="Y468" s="121" t="str" cm="1">
        <f t="array" ref="Y468">_xlfn.IFS(ISNUMBER(W468)=FALSE,"Sem dado",W468&gt;0.075,"Excelente",W468&gt;0.04,"Bom",W468&gt;0,"Fraco",TRUE,"Prejuízo")</f>
        <v>Excelente</v>
      </c>
    </row>
    <row r="469" spans="1:25" ht="15" customHeight="1" x14ac:dyDescent="0.2">
      <c r="A469" s="12" t="s">
        <v>1084</v>
      </c>
      <c r="B469" s="56">
        <v>3645752</v>
      </c>
      <c r="C469" s="12"/>
      <c r="D469" s="12"/>
      <c r="E469" s="12"/>
      <c r="F469" s="12" t="s">
        <v>265</v>
      </c>
      <c r="G469" s="33">
        <v>2</v>
      </c>
      <c r="H469" s="33">
        <v>9</v>
      </c>
      <c r="I469" s="12" t="s">
        <v>1085</v>
      </c>
      <c r="J469" s="12" t="s">
        <v>120</v>
      </c>
      <c r="K469" s="73" t="s">
        <v>29</v>
      </c>
      <c r="L469" s="13">
        <v>1239176</v>
      </c>
      <c r="M469" s="13">
        <v>695948</v>
      </c>
      <c r="N469" s="13">
        <v>44507</v>
      </c>
      <c r="O469" s="13">
        <v>1000901</v>
      </c>
      <c r="P469" s="13">
        <v>630409</v>
      </c>
      <c r="Q469" s="13">
        <v>238275</v>
      </c>
      <c r="R469" s="13">
        <v>5325</v>
      </c>
      <c r="S469" s="13">
        <v>0</v>
      </c>
      <c r="T469" s="13">
        <v>2</v>
      </c>
      <c r="U469" s="12" t="str">
        <f t="shared" si="28"/>
        <v>Privado Nacional</v>
      </c>
      <c r="V469" s="14">
        <f t="shared" si="29"/>
        <v>0.56162159370420339</v>
      </c>
      <c r="W469" s="14">
        <f t="shared" si="30"/>
        <v>2.2348127163991188E-2</v>
      </c>
      <c r="X469" s="12" t="str">
        <f t="shared" si="31"/>
        <v>Média/Pequena</v>
      </c>
      <c r="Y469" s="122" t="str" cm="1">
        <f t="array" ref="Y469">_xlfn.IFS(ISNUMBER(W469)=FALSE,"Sem dado",W469&gt;0.075,"Excelente",W469&gt;0.04,"Bom",W469&gt;0,"Fraco",TRUE,"Prejuízo")</f>
        <v>Fraco</v>
      </c>
    </row>
    <row r="470" spans="1:25" ht="15" customHeight="1" x14ac:dyDescent="0.2">
      <c r="A470" s="15" t="s">
        <v>1086</v>
      </c>
      <c r="B470" s="60">
        <v>25387655</v>
      </c>
      <c r="C470" s="15"/>
      <c r="D470" s="15"/>
      <c r="E470" s="15"/>
      <c r="F470" s="15" t="s">
        <v>265</v>
      </c>
      <c r="G470" s="34">
        <v>2</v>
      </c>
      <c r="H470" s="34">
        <v>9</v>
      </c>
      <c r="I470" s="15" t="s">
        <v>1087</v>
      </c>
      <c r="J470" s="15" t="s">
        <v>120</v>
      </c>
      <c r="K470" s="74" t="s">
        <v>29</v>
      </c>
      <c r="L470" s="16">
        <v>1231700</v>
      </c>
      <c r="M470" s="16">
        <v>383346</v>
      </c>
      <c r="N470" s="16">
        <v>27483</v>
      </c>
      <c r="O470" s="16">
        <v>1055346</v>
      </c>
      <c r="P470" s="16">
        <v>958917</v>
      </c>
      <c r="Q470" s="16">
        <v>176354</v>
      </c>
      <c r="R470" s="16">
        <v>19046</v>
      </c>
      <c r="S470" s="16">
        <v>0</v>
      </c>
      <c r="T470" s="16">
        <v>28</v>
      </c>
      <c r="U470" s="15" t="str">
        <f t="shared" si="28"/>
        <v>Privado Nacional</v>
      </c>
      <c r="V470" s="17">
        <f t="shared" si="29"/>
        <v>0.31123325485101894</v>
      </c>
      <c r="W470" s="17">
        <f t="shared" si="30"/>
        <v>0.10799868446420269</v>
      </c>
      <c r="X470" s="15" t="str">
        <f t="shared" si="31"/>
        <v>Média/Pequena</v>
      </c>
      <c r="Y470" s="121" t="str" cm="1">
        <f t="array" ref="Y470">_xlfn.IFS(ISNUMBER(W470)=FALSE,"Sem dado",W470&gt;0.075,"Excelente",W470&gt;0.04,"Bom",W470&gt;0,"Fraco",TRUE,"Prejuízo")</f>
        <v>Excelente</v>
      </c>
    </row>
    <row r="471" spans="1:25" ht="15" customHeight="1" x14ac:dyDescent="0.2">
      <c r="A471" s="12" t="s">
        <v>1088</v>
      </c>
      <c r="B471" s="56">
        <v>62816426</v>
      </c>
      <c r="C471" s="12" t="s">
        <v>1089</v>
      </c>
      <c r="D471" s="12"/>
      <c r="E471" s="12" t="s">
        <v>1090</v>
      </c>
      <c r="F471" s="12" t="s">
        <v>65</v>
      </c>
      <c r="G471" s="33">
        <v>3</v>
      </c>
      <c r="H471" s="33">
        <v>19</v>
      </c>
      <c r="I471" s="12" t="s">
        <v>107</v>
      </c>
      <c r="J471" s="12" t="s">
        <v>39</v>
      </c>
      <c r="K471" s="73" t="s">
        <v>29</v>
      </c>
      <c r="L471" s="13">
        <v>1228780</v>
      </c>
      <c r="M471" s="13">
        <v>981109</v>
      </c>
      <c r="N471" s="13">
        <v>193485</v>
      </c>
      <c r="O471" s="13">
        <v>928467</v>
      </c>
      <c r="P471" s="13">
        <v>795774</v>
      </c>
      <c r="Q471" s="13">
        <v>300314</v>
      </c>
      <c r="R471" s="13">
        <v>-1005</v>
      </c>
      <c r="S471" s="13">
        <v>2</v>
      </c>
      <c r="T471" s="13">
        <v>0</v>
      </c>
      <c r="U471" s="12" t="str">
        <f t="shared" si="28"/>
        <v>Privado Estrangeiro</v>
      </c>
      <c r="V471" s="14">
        <f t="shared" si="29"/>
        <v>0.79844154364491604</v>
      </c>
      <c r="W471" s="14">
        <f t="shared" si="30"/>
        <v>-3.3464973327916783E-3</v>
      </c>
      <c r="X471" s="12" t="str">
        <f t="shared" si="31"/>
        <v>Média/Pequena</v>
      </c>
      <c r="Y471" s="122" t="str" cm="1">
        <f t="array" ref="Y471">_xlfn.IFS(ISNUMBER(W471)=FALSE,"Sem dado",W471&gt;0.075,"Excelente",W471&gt;0.04,"Bom",W471&gt;0,"Fraco",TRUE,"Prejuízo")</f>
        <v>Prejuízo</v>
      </c>
    </row>
    <row r="472" spans="1:25" ht="15" customHeight="1" x14ac:dyDescent="0.2">
      <c r="A472" s="15" t="s">
        <v>1091</v>
      </c>
      <c r="B472" s="60">
        <v>20520298</v>
      </c>
      <c r="C472" s="15" t="s">
        <v>406</v>
      </c>
      <c r="D472" s="15"/>
      <c r="E472" s="15" t="s">
        <v>407</v>
      </c>
      <c r="F472" s="15" t="s">
        <v>84</v>
      </c>
      <c r="G472" s="34">
        <v>2</v>
      </c>
      <c r="H472" s="34">
        <v>41</v>
      </c>
      <c r="I472" s="15" t="s">
        <v>119</v>
      </c>
      <c r="J472" s="15" t="s">
        <v>120</v>
      </c>
      <c r="K472" s="74" t="s">
        <v>29</v>
      </c>
      <c r="L472" s="16">
        <v>1226884</v>
      </c>
      <c r="M472" s="16">
        <v>0</v>
      </c>
      <c r="N472" s="16">
        <v>88993</v>
      </c>
      <c r="O472" s="16">
        <v>833159</v>
      </c>
      <c r="P472" s="16">
        <v>59563</v>
      </c>
      <c r="Q472" s="16">
        <v>393725</v>
      </c>
      <c r="R472" s="16">
        <v>-2841</v>
      </c>
      <c r="S472" s="16">
        <v>1</v>
      </c>
      <c r="T472" s="16">
        <v>0</v>
      </c>
      <c r="U472" s="15" t="str">
        <f t="shared" si="28"/>
        <v>Privado Nacional</v>
      </c>
      <c r="V472" s="17">
        <f t="shared" si="29"/>
        <v>0</v>
      </c>
      <c r="W472" s="17">
        <f t="shared" si="30"/>
        <v>-7.2156962346815673E-3</v>
      </c>
      <c r="X472" s="15" t="str">
        <f t="shared" si="31"/>
        <v>Média/Pequena</v>
      </c>
      <c r="Y472" s="121" t="str" cm="1">
        <f t="array" ref="Y472">_xlfn.IFS(ISNUMBER(W472)=FALSE,"Sem dado",W472&gt;0.075,"Excelente",W472&gt;0.04,"Bom",W472&gt;0,"Fraco",TRUE,"Prejuízo")</f>
        <v>Prejuízo</v>
      </c>
    </row>
    <row r="473" spans="1:25" ht="15" customHeight="1" x14ac:dyDescent="0.2">
      <c r="A473" s="12" t="s">
        <v>1092</v>
      </c>
      <c r="B473" s="56">
        <v>34270520</v>
      </c>
      <c r="C473" s="12" t="s">
        <v>1093</v>
      </c>
      <c r="D473" s="12"/>
      <c r="E473" s="12" t="s">
        <v>1094</v>
      </c>
      <c r="F473" s="12" t="s">
        <v>60</v>
      </c>
      <c r="G473" s="33">
        <v>2</v>
      </c>
      <c r="H473" s="33">
        <v>8</v>
      </c>
      <c r="I473" s="12" t="s">
        <v>53</v>
      </c>
      <c r="J473" s="12" t="s">
        <v>54</v>
      </c>
      <c r="K473" s="73" t="s">
        <v>29</v>
      </c>
      <c r="L473" s="13">
        <v>1225612</v>
      </c>
      <c r="M473" s="13">
        <v>577335</v>
      </c>
      <c r="N473" s="13">
        <v>0</v>
      </c>
      <c r="O473" s="13">
        <v>698625</v>
      </c>
      <c r="P473" s="13">
        <v>387309</v>
      </c>
      <c r="Q473" s="13">
        <v>526987</v>
      </c>
      <c r="R473" s="13">
        <v>11933</v>
      </c>
      <c r="S473" s="13">
        <v>2</v>
      </c>
      <c r="T473" s="13">
        <v>0</v>
      </c>
      <c r="U473" s="12" t="str">
        <f t="shared" si="28"/>
        <v>Privado Nacional</v>
      </c>
      <c r="V473" s="14">
        <f t="shared" si="29"/>
        <v>0.47105854054953772</v>
      </c>
      <c r="W473" s="14">
        <f t="shared" si="30"/>
        <v>2.2643822333378243E-2</v>
      </c>
      <c r="X473" s="12" t="str">
        <f t="shared" si="31"/>
        <v>Média/Pequena</v>
      </c>
      <c r="Y473" s="122" t="str" cm="1">
        <f t="array" ref="Y473">_xlfn.IFS(ISNUMBER(W473)=FALSE,"Sem dado",W473&gt;0.075,"Excelente",W473&gt;0.04,"Bom",W473&gt;0,"Fraco",TRUE,"Prejuízo")</f>
        <v>Fraco</v>
      </c>
    </row>
    <row r="474" spans="1:25" ht="15" customHeight="1" x14ac:dyDescent="0.2">
      <c r="A474" s="15" t="s">
        <v>1095</v>
      </c>
      <c r="B474" s="60">
        <v>2923389</v>
      </c>
      <c r="C474" s="15"/>
      <c r="D474" s="15"/>
      <c r="E474" s="15"/>
      <c r="F474" s="15" t="s">
        <v>265</v>
      </c>
      <c r="G474" s="34">
        <v>2</v>
      </c>
      <c r="H474" s="34">
        <v>9</v>
      </c>
      <c r="I474" s="15" t="s">
        <v>346</v>
      </c>
      <c r="J474" s="15" t="s">
        <v>347</v>
      </c>
      <c r="K474" s="74" t="s">
        <v>29</v>
      </c>
      <c r="L474" s="16">
        <v>1215106</v>
      </c>
      <c r="M474" s="16">
        <v>420988</v>
      </c>
      <c r="N474" s="16">
        <v>647927</v>
      </c>
      <c r="O474" s="16">
        <v>1084696</v>
      </c>
      <c r="P474" s="16">
        <v>957034</v>
      </c>
      <c r="Q474" s="16">
        <v>130411</v>
      </c>
      <c r="R474" s="16">
        <v>9850</v>
      </c>
      <c r="S474" s="16">
        <v>0</v>
      </c>
      <c r="T474" s="16">
        <v>13</v>
      </c>
      <c r="U474" s="15" t="str">
        <f t="shared" si="28"/>
        <v>Privado Nacional</v>
      </c>
      <c r="V474" s="17">
        <f t="shared" si="29"/>
        <v>0.34646195475950248</v>
      </c>
      <c r="W474" s="17">
        <f t="shared" si="30"/>
        <v>7.5530438383265217E-2</v>
      </c>
      <c r="X474" s="15" t="str">
        <f t="shared" si="31"/>
        <v>Média/Pequena</v>
      </c>
      <c r="Y474" s="121" t="str" cm="1">
        <f t="array" ref="Y474">_xlfn.IFS(ISNUMBER(W474)=FALSE,"Sem dado",W474&gt;0.075,"Excelente",W474&gt;0.04,"Bom",W474&gt;0,"Fraco",TRUE,"Prejuízo")</f>
        <v>Excelente</v>
      </c>
    </row>
    <row r="475" spans="1:25" ht="15" customHeight="1" x14ac:dyDescent="0.2">
      <c r="A475" s="12" t="s">
        <v>1096</v>
      </c>
      <c r="B475" s="56">
        <v>15163587</v>
      </c>
      <c r="C475" s="12" t="s">
        <v>1097</v>
      </c>
      <c r="D475" s="12"/>
      <c r="E475" s="12" t="s">
        <v>1098</v>
      </c>
      <c r="F475" s="12" t="s">
        <v>65</v>
      </c>
      <c r="G475" s="33">
        <v>1</v>
      </c>
      <c r="H475" s="33">
        <v>30</v>
      </c>
      <c r="I475" s="12" t="s">
        <v>210</v>
      </c>
      <c r="J475" s="12" t="s">
        <v>211</v>
      </c>
      <c r="K475" s="73" t="s">
        <v>29</v>
      </c>
      <c r="L475" s="13">
        <v>1197219</v>
      </c>
      <c r="M475" s="13">
        <v>624999</v>
      </c>
      <c r="N475" s="13">
        <v>432741</v>
      </c>
      <c r="O475" s="13">
        <v>330226</v>
      </c>
      <c r="P475" s="13">
        <v>217963</v>
      </c>
      <c r="Q475" s="13">
        <v>866993</v>
      </c>
      <c r="R475" s="13">
        <v>26004</v>
      </c>
      <c r="S475" s="13">
        <v>2</v>
      </c>
      <c r="T475" s="13">
        <v>0</v>
      </c>
      <c r="U475" s="12" t="str">
        <f t="shared" si="28"/>
        <v>Público</v>
      </c>
      <c r="V475" s="14">
        <f t="shared" si="29"/>
        <v>0.52204233310697545</v>
      </c>
      <c r="W475" s="14">
        <f t="shared" si="30"/>
        <v>2.9993321745388948E-2</v>
      </c>
      <c r="X475" s="12" t="str">
        <f t="shared" si="31"/>
        <v>Média/Pequena</v>
      </c>
      <c r="Y475" s="122" t="str" cm="1">
        <f t="array" ref="Y475">_xlfn.IFS(ISNUMBER(W475)=FALSE,"Sem dado",W475&gt;0.075,"Excelente",W475&gt;0.04,"Bom",W475&gt;0,"Fraco",TRUE,"Prejuízo")</f>
        <v>Fraco</v>
      </c>
    </row>
    <row r="476" spans="1:25" ht="15" customHeight="1" x14ac:dyDescent="0.2">
      <c r="A476" s="15" t="s">
        <v>1099</v>
      </c>
      <c r="B476" s="60">
        <v>4484490</v>
      </c>
      <c r="C476" s="15"/>
      <c r="D476" s="15"/>
      <c r="E476" s="15"/>
      <c r="F476" s="15" t="s">
        <v>265</v>
      </c>
      <c r="G476" s="34">
        <v>2</v>
      </c>
      <c r="H476" s="34">
        <v>9</v>
      </c>
      <c r="I476" s="15" t="s">
        <v>1100</v>
      </c>
      <c r="J476" s="15" t="s">
        <v>39</v>
      </c>
      <c r="K476" s="74" t="s">
        <v>29</v>
      </c>
      <c r="L476" s="16">
        <v>1187220</v>
      </c>
      <c r="M476" s="16">
        <v>587888</v>
      </c>
      <c r="N476" s="16">
        <v>501541</v>
      </c>
      <c r="O476" s="16">
        <v>1093652</v>
      </c>
      <c r="P476" s="16">
        <v>909812</v>
      </c>
      <c r="Q476" s="16">
        <v>93568</v>
      </c>
      <c r="R476" s="16">
        <v>-2348</v>
      </c>
      <c r="S476" s="16">
        <v>0</v>
      </c>
      <c r="T476" s="16">
        <v>13</v>
      </c>
      <c r="U476" s="15" t="str">
        <f t="shared" si="28"/>
        <v>Privado Nacional</v>
      </c>
      <c r="V476" s="17">
        <f t="shared" si="29"/>
        <v>0.49518033725846938</v>
      </c>
      <c r="W476" s="17">
        <f t="shared" si="30"/>
        <v>-2.5094049247606019E-2</v>
      </c>
      <c r="X476" s="15" t="str">
        <f t="shared" si="31"/>
        <v>Média/Pequena</v>
      </c>
      <c r="Y476" s="121" t="str" cm="1">
        <f t="array" ref="Y476">_xlfn.IFS(ISNUMBER(W476)=FALSE,"Sem dado",W476&gt;0.075,"Excelente",W476&gt;0.04,"Bom",W476&gt;0,"Fraco",TRUE,"Prejuízo")</f>
        <v>Prejuízo</v>
      </c>
    </row>
    <row r="477" spans="1:25" ht="15" customHeight="1" x14ac:dyDescent="0.2">
      <c r="A477" s="12" t="s">
        <v>1101</v>
      </c>
      <c r="B477" s="56">
        <v>59869560</v>
      </c>
      <c r="C477" s="12"/>
      <c r="D477" s="12"/>
      <c r="E477" s="12"/>
      <c r="F477" s="12" t="s">
        <v>265</v>
      </c>
      <c r="G477" s="33">
        <v>2</v>
      </c>
      <c r="H477" s="33">
        <v>9</v>
      </c>
      <c r="I477" s="12" t="s">
        <v>1102</v>
      </c>
      <c r="J477" s="12" t="s">
        <v>39</v>
      </c>
      <c r="K477" s="73" t="s">
        <v>29</v>
      </c>
      <c r="L477" s="13">
        <v>1179966</v>
      </c>
      <c r="M477" s="13">
        <v>431164</v>
      </c>
      <c r="N477" s="13">
        <v>37581</v>
      </c>
      <c r="O477" s="13">
        <v>1043208</v>
      </c>
      <c r="P477" s="13">
        <v>945011</v>
      </c>
      <c r="Q477" s="13">
        <v>136759</v>
      </c>
      <c r="R477" s="13">
        <v>5561</v>
      </c>
      <c r="S477" s="13">
        <v>0</v>
      </c>
      <c r="T477" s="13">
        <v>19</v>
      </c>
      <c r="U477" s="12" t="str">
        <f t="shared" si="28"/>
        <v>Privado Nacional</v>
      </c>
      <c r="V477" s="14">
        <f t="shared" si="29"/>
        <v>0.36540374892157912</v>
      </c>
      <c r="W477" s="14">
        <f t="shared" si="30"/>
        <v>4.0662771737143444E-2</v>
      </c>
      <c r="X477" s="12" t="str">
        <f t="shared" si="31"/>
        <v>Média/Pequena</v>
      </c>
      <c r="Y477" s="122" t="str" cm="1">
        <f t="array" ref="Y477">_xlfn.IFS(ISNUMBER(W477)=FALSE,"Sem dado",W477&gt;0.075,"Excelente",W477&gt;0.04,"Bom",W477&gt;0,"Fraco",TRUE,"Prejuízo")</f>
        <v>Bom</v>
      </c>
    </row>
    <row r="478" spans="1:25" ht="15" customHeight="1" x14ac:dyDescent="0.2">
      <c r="A478" s="15" t="s">
        <v>1103</v>
      </c>
      <c r="B478" s="60">
        <v>20018183</v>
      </c>
      <c r="C478" s="15" t="s">
        <v>1104</v>
      </c>
      <c r="D478" s="15"/>
      <c r="E478" s="15" t="s">
        <v>1105</v>
      </c>
      <c r="F478" s="15" t="s">
        <v>84</v>
      </c>
      <c r="G478" s="34">
        <v>2</v>
      </c>
      <c r="H478" s="34">
        <v>41</v>
      </c>
      <c r="I478" s="15" t="s">
        <v>38</v>
      </c>
      <c r="J478" s="15" t="s">
        <v>39</v>
      </c>
      <c r="K478" s="74" t="s">
        <v>29</v>
      </c>
      <c r="L478" s="16">
        <v>1176868</v>
      </c>
      <c r="M478" s="16">
        <v>42392</v>
      </c>
      <c r="N478" s="16">
        <v>36589</v>
      </c>
      <c r="O478" s="16">
        <v>1044753</v>
      </c>
      <c r="P478" s="16">
        <v>931490</v>
      </c>
      <c r="Q478" s="16">
        <v>132115</v>
      </c>
      <c r="R478" s="16">
        <v>-13961</v>
      </c>
      <c r="S478" s="16">
        <v>1</v>
      </c>
      <c r="T478" s="16">
        <v>0</v>
      </c>
      <c r="U478" s="15" t="str">
        <f t="shared" si="28"/>
        <v>Privado Nacional</v>
      </c>
      <c r="V478" s="17">
        <f t="shared" si="29"/>
        <v>3.6021032095358188E-2</v>
      </c>
      <c r="W478" s="17">
        <f t="shared" si="30"/>
        <v>-0.10567308784013928</v>
      </c>
      <c r="X478" s="15" t="str">
        <f t="shared" si="31"/>
        <v>Média/Pequena</v>
      </c>
      <c r="Y478" s="121" t="str" cm="1">
        <f t="array" ref="Y478">_xlfn.IFS(ISNUMBER(W478)=FALSE,"Sem dado",W478&gt;0.075,"Excelente",W478&gt;0.04,"Bom",W478&gt;0,"Fraco",TRUE,"Prejuízo")</f>
        <v>Prejuízo</v>
      </c>
    </row>
    <row r="479" spans="1:25" ht="15" customHeight="1" x14ac:dyDescent="0.2">
      <c r="A479" s="12" t="s">
        <v>1106</v>
      </c>
      <c r="B479" s="56">
        <v>7925729</v>
      </c>
      <c r="C479" s="12"/>
      <c r="D479" s="12"/>
      <c r="E479" s="12"/>
      <c r="F479" s="12" t="s">
        <v>265</v>
      </c>
      <c r="G479" s="33">
        <v>2</v>
      </c>
      <c r="H479" s="33">
        <v>9</v>
      </c>
      <c r="I479" s="12" t="s">
        <v>372</v>
      </c>
      <c r="J479" s="12" t="s">
        <v>229</v>
      </c>
      <c r="K479" s="73" t="s">
        <v>29</v>
      </c>
      <c r="L479" s="13">
        <v>1174152</v>
      </c>
      <c r="M479" s="13">
        <v>861470</v>
      </c>
      <c r="N479" s="13">
        <v>11890</v>
      </c>
      <c r="O479" s="13">
        <v>1035222</v>
      </c>
      <c r="P479" s="13">
        <v>783904</v>
      </c>
      <c r="Q479" s="13">
        <v>138930</v>
      </c>
      <c r="R479" s="13">
        <v>6145</v>
      </c>
      <c r="S479" s="13">
        <v>0</v>
      </c>
      <c r="T479" s="13">
        <v>20</v>
      </c>
      <c r="U479" s="12" t="str">
        <f t="shared" si="28"/>
        <v>Privado Nacional</v>
      </c>
      <c r="V479" s="14">
        <f t="shared" si="29"/>
        <v>0.73369546702641564</v>
      </c>
      <c r="W479" s="14">
        <f t="shared" si="30"/>
        <v>4.4230907651335208E-2</v>
      </c>
      <c r="X479" s="12" t="str">
        <f t="shared" si="31"/>
        <v>Média/Pequena</v>
      </c>
      <c r="Y479" s="122" t="str" cm="1">
        <f t="array" ref="Y479">_xlfn.IFS(ISNUMBER(W479)=FALSE,"Sem dado",W479&gt;0.075,"Excelente",W479&gt;0.04,"Bom",W479&gt;0,"Fraco",TRUE,"Prejuízo")</f>
        <v>Bom</v>
      </c>
    </row>
    <row r="480" spans="1:25" ht="15" customHeight="1" x14ac:dyDescent="0.2">
      <c r="A480" s="15" t="s">
        <v>1107</v>
      </c>
      <c r="B480" s="60">
        <v>1637949</v>
      </c>
      <c r="C480" s="15"/>
      <c r="D480" s="15"/>
      <c r="E480" s="15"/>
      <c r="F480" s="15" t="s">
        <v>265</v>
      </c>
      <c r="G480" s="34">
        <v>2</v>
      </c>
      <c r="H480" s="34">
        <v>9</v>
      </c>
      <c r="I480" s="15" t="s">
        <v>1049</v>
      </c>
      <c r="J480" s="15" t="s">
        <v>39</v>
      </c>
      <c r="K480" s="74" t="s">
        <v>29</v>
      </c>
      <c r="L480" s="16">
        <v>1158420</v>
      </c>
      <c r="M480" s="16">
        <v>332423</v>
      </c>
      <c r="N480" s="16">
        <v>63990</v>
      </c>
      <c r="O480" s="16">
        <v>989483</v>
      </c>
      <c r="P480" s="16">
        <v>906480</v>
      </c>
      <c r="Q480" s="16">
        <v>168937</v>
      </c>
      <c r="R480" s="16">
        <v>10043</v>
      </c>
      <c r="S480" s="16">
        <v>0</v>
      </c>
      <c r="T480" s="16">
        <v>15</v>
      </c>
      <c r="U480" s="15" t="str">
        <f t="shared" si="28"/>
        <v>Privado Nacional</v>
      </c>
      <c r="V480" s="17">
        <f t="shared" si="29"/>
        <v>0.2869624143229571</v>
      </c>
      <c r="W480" s="17">
        <f t="shared" si="30"/>
        <v>5.9448196665028978E-2</v>
      </c>
      <c r="X480" s="15" t="str">
        <f t="shared" si="31"/>
        <v>Média/Pequena</v>
      </c>
      <c r="Y480" s="121" t="str" cm="1">
        <f t="array" ref="Y480">_xlfn.IFS(ISNUMBER(W480)=FALSE,"Sem dado",W480&gt;0.075,"Excelente",W480&gt;0.04,"Bom",W480&gt;0,"Fraco",TRUE,"Prejuízo")</f>
        <v>Bom</v>
      </c>
    </row>
    <row r="481" spans="1:25" ht="15" customHeight="1" x14ac:dyDescent="0.2">
      <c r="A481" s="12" t="s">
        <v>1108</v>
      </c>
      <c r="B481" s="56">
        <v>10311218</v>
      </c>
      <c r="C481" s="12"/>
      <c r="D481" s="12"/>
      <c r="E481" s="12"/>
      <c r="F481" s="12" t="s">
        <v>265</v>
      </c>
      <c r="G481" s="33">
        <v>2</v>
      </c>
      <c r="H481" s="33">
        <v>9</v>
      </c>
      <c r="I481" s="12" t="s">
        <v>278</v>
      </c>
      <c r="J481" s="12" t="s">
        <v>229</v>
      </c>
      <c r="K481" s="73" t="s">
        <v>29</v>
      </c>
      <c r="L481" s="13">
        <v>1157884</v>
      </c>
      <c r="M481" s="13">
        <v>900280</v>
      </c>
      <c r="N481" s="13">
        <v>28837</v>
      </c>
      <c r="O481" s="13">
        <v>1015601</v>
      </c>
      <c r="P481" s="13">
        <v>673997</v>
      </c>
      <c r="Q481" s="13">
        <v>142283</v>
      </c>
      <c r="R481" s="13">
        <v>-4098</v>
      </c>
      <c r="S481" s="13">
        <v>0</v>
      </c>
      <c r="T481" s="13">
        <v>20</v>
      </c>
      <c r="U481" s="12" t="str">
        <f t="shared" si="28"/>
        <v>Privado Nacional</v>
      </c>
      <c r="V481" s="14">
        <f t="shared" si="29"/>
        <v>0.77752175520173006</v>
      </c>
      <c r="W481" s="14">
        <f t="shared" si="30"/>
        <v>-2.8801754250332084E-2</v>
      </c>
      <c r="X481" s="12" t="str">
        <f t="shared" si="31"/>
        <v>Média/Pequena</v>
      </c>
      <c r="Y481" s="122" t="str" cm="1">
        <f t="array" ref="Y481">_xlfn.IFS(ISNUMBER(W481)=FALSE,"Sem dado",W481&gt;0.075,"Excelente",W481&gt;0.04,"Bom",W481&gt;0,"Fraco",TRUE,"Prejuízo")</f>
        <v>Prejuízo</v>
      </c>
    </row>
    <row r="482" spans="1:25" ht="15" customHeight="1" x14ac:dyDescent="0.2">
      <c r="A482" s="15" t="s">
        <v>1109</v>
      </c>
      <c r="B482" s="60">
        <v>991143</v>
      </c>
      <c r="C482" s="15" t="s">
        <v>1110</v>
      </c>
      <c r="D482" s="15"/>
      <c r="E482" s="15" t="s">
        <v>1111</v>
      </c>
      <c r="F482" s="15" t="s">
        <v>84</v>
      </c>
      <c r="G482" s="34">
        <v>3</v>
      </c>
      <c r="H482" s="34">
        <v>41</v>
      </c>
      <c r="I482" s="15" t="s">
        <v>38</v>
      </c>
      <c r="J482" s="15" t="s">
        <v>39</v>
      </c>
      <c r="K482" s="74" t="s">
        <v>29</v>
      </c>
      <c r="L482" s="16">
        <v>1157797</v>
      </c>
      <c r="M482" s="16">
        <v>0</v>
      </c>
      <c r="N482" s="16">
        <v>94315</v>
      </c>
      <c r="O482" s="16">
        <v>830408</v>
      </c>
      <c r="P482" s="16">
        <v>0</v>
      </c>
      <c r="Q482" s="16">
        <v>327389</v>
      </c>
      <c r="R482" s="16">
        <v>27167</v>
      </c>
      <c r="S482" s="16">
        <v>1</v>
      </c>
      <c r="T482" s="16">
        <v>0</v>
      </c>
      <c r="U482" s="15" t="str">
        <f t="shared" si="28"/>
        <v>Privado Estrangeiro</v>
      </c>
      <c r="V482" s="17">
        <f t="shared" si="29"/>
        <v>0</v>
      </c>
      <c r="W482" s="17">
        <f t="shared" si="30"/>
        <v>8.2980796544783117E-2</v>
      </c>
      <c r="X482" s="15" t="str">
        <f t="shared" si="31"/>
        <v>Média/Pequena</v>
      </c>
      <c r="Y482" s="121" t="str" cm="1">
        <f t="array" ref="Y482">_xlfn.IFS(ISNUMBER(W482)=FALSE,"Sem dado",W482&gt;0.075,"Excelente",W482&gt;0.04,"Bom",W482&gt;0,"Fraco",TRUE,"Prejuízo")</f>
        <v>Excelente</v>
      </c>
    </row>
    <row r="483" spans="1:25" ht="15" customHeight="1" x14ac:dyDescent="0.2">
      <c r="A483" s="12" t="s">
        <v>1112</v>
      </c>
      <c r="B483" s="56">
        <v>69346856</v>
      </c>
      <c r="C483" s="12"/>
      <c r="D483" s="12"/>
      <c r="E483" s="12"/>
      <c r="F483" s="12" t="s">
        <v>265</v>
      </c>
      <c r="G483" s="33">
        <v>2</v>
      </c>
      <c r="H483" s="33">
        <v>9</v>
      </c>
      <c r="I483" s="12" t="s">
        <v>934</v>
      </c>
      <c r="J483" s="12" t="s">
        <v>39</v>
      </c>
      <c r="K483" s="73" t="s">
        <v>29</v>
      </c>
      <c r="L483" s="13">
        <v>1155752</v>
      </c>
      <c r="M483" s="13">
        <v>805851</v>
      </c>
      <c r="N483" s="13">
        <v>245330</v>
      </c>
      <c r="O483" s="13">
        <v>1033047</v>
      </c>
      <c r="P483" s="13">
        <v>934036</v>
      </c>
      <c r="Q483" s="13">
        <v>122705</v>
      </c>
      <c r="R483" s="13">
        <v>-3005</v>
      </c>
      <c r="S483" s="13">
        <v>0</v>
      </c>
      <c r="T483" s="13">
        <v>9</v>
      </c>
      <c r="U483" s="12" t="str">
        <f t="shared" si="28"/>
        <v>Privado Nacional</v>
      </c>
      <c r="V483" s="14">
        <f t="shared" si="29"/>
        <v>0.69725252476309796</v>
      </c>
      <c r="W483" s="14">
        <f t="shared" si="30"/>
        <v>-2.4489629599445825E-2</v>
      </c>
      <c r="X483" s="12" t="str">
        <f t="shared" si="31"/>
        <v>Média/Pequena</v>
      </c>
      <c r="Y483" s="122" t="str" cm="1">
        <f t="array" ref="Y483">_xlfn.IFS(ISNUMBER(W483)=FALSE,"Sem dado",W483&gt;0.075,"Excelente",W483&gt;0.04,"Bom",W483&gt;0,"Fraco",TRUE,"Prejuízo")</f>
        <v>Prejuízo</v>
      </c>
    </row>
    <row r="484" spans="1:25" ht="15" customHeight="1" x14ac:dyDescent="0.2">
      <c r="A484" s="15" t="s">
        <v>1113</v>
      </c>
      <c r="B484" s="60">
        <v>9313766</v>
      </c>
      <c r="C484" s="15" t="s">
        <v>1114</v>
      </c>
      <c r="D484" s="15"/>
      <c r="E484" s="15" t="s">
        <v>1115</v>
      </c>
      <c r="F484" s="15" t="s">
        <v>65</v>
      </c>
      <c r="G484" s="34">
        <v>2</v>
      </c>
      <c r="H484" s="34">
        <v>14</v>
      </c>
      <c r="I484" s="15" t="s">
        <v>38</v>
      </c>
      <c r="J484" s="15" t="s">
        <v>39</v>
      </c>
      <c r="K484" s="74" t="s">
        <v>29</v>
      </c>
      <c r="L484" s="16">
        <v>1152355</v>
      </c>
      <c r="M484" s="16">
        <v>848535</v>
      </c>
      <c r="N484" s="16">
        <v>19582</v>
      </c>
      <c r="O484" s="16">
        <v>1017141</v>
      </c>
      <c r="P484" s="16">
        <v>1006711</v>
      </c>
      <c r="Q484" s="16">
        <v>135213</v>
      </c>
      <c r="R484" s="16">
        <v>6354</v>
      </c>
      <c r="S484" s="16">
        <v>2</v>
      </c>
      <c r="T484" s="16">
        <v>0</v>
      </c>
      <c r="U484" s="15" t="str">
        <f t="shared" si="28"/>
        <v>Privado Nacional</v>
      </c>
      <c r="V484" s="17">
        <f t="shared" si="29"/>
        <v>0.7363486078508793</v>
      </c>
      <c r="W484" s="17">
        <f t="shared" si="30"/>
        <v>4.6992522908300235E-2</v>
      </c>
      <c r="X484" s="15" t="str">
        <f t="shared" si="31"/>
        <v>Média/Pequena</v>
      </c>
      <c r="Y484" s="121" t="str" cm="1">
        <f t="array" ref="Y484">_xlfn.IFS(ISNUMBER(W484)=FALSE,"Sem dado",W484&gt;0.075,"Excelente",W484&gt;0.04,"Bom",W484&gt;0,"Fraco",TRUE,"Prejuízo")</f>
        <v>Bom</v>
      </c>
    </row>
    <row r="485" spans="1:25" ht="15" customHeight="1" x14ac:dyDescent="0.2">
      <c r="A485" s="12" t="s">
        <v>1116</v>
      </c>
      <c r="B485" s="56">
        <v>65697260</v>
      </c>
      <c r="C485" s="12" t="s">
        <v>1117</v>
      </c>
      <c r="D485" s="12"/>
      <c r="E485" s="12" t="s">
        <v>1118</v>
      </c>
      <c r="F485" s="12" t="s">
        <v>84</v>
      </c>
      <c r="G485" s="33">
        <v>3</v>
      </c>
      <c r="H485" s="33">
        <v>41</v>
      </c>
      <c r="I485" s="12" t="s">
        <v>107</v>
      </c>
      <c r="J485" s="12" t="s">
        <v>39</v>
      </c>
      <c r="K485" s="73" t="s">
        <v>29</v>
      </c>
      <c r="L485" s="13">
        <v>1151799</v>
      </c>
      <c r="M485" s="13">
        <v>693580</v>
      </c>
      <c r="N485" s="13">
        <v>6246</v>
      </c>
      <c r="O485" s="13">
        <v>1014838</v>
      </c>
      <c r="P485" s="13">
        <v>113836</v>
      </c>
      <c r="Q485" s="13">
        <v>136961</v>
      </c>
      <c r="R485" s="13">
        <v>4062</v>
      </c>
      <c r="S485" s="13">
        <v>1</v>
      </c>
      <c r="T485" s="13">
        <v>0</v>
      </c>
      <c r="U485" s="12" t="str">
        <f t="shared" si="28"/>
        <v>Privado Estrangeiro</v>
      </c>
      <c r="V485" s="14">
        <f t="shared" si="29"/>
        <v>0.60217103852321452</v>
      </c>
      <c r="W485" s="14">
        <f t="shared" si="30"/>
        <v>2.9658077846978336E-2</v>
      </c>
      <c r="X485" s="12" t="str">
        <f t="shared" si="31"/>
        <v>Média/Pequena</v>
      </c>
      <c r="Y485" s="122" t="str" cm="1">
        <f t="array" ref="Y485">_xlfn.IFS(ISNUMBER(W485)=FALSE,"Sem dado",W485&gt;0.075,"Excelente",W485&gt;0.04,"Bom",W485&gt;0,"Fraco",TRUE,"Prejuízo")</f>
        <v>Fraco</v>
      </c>
    </row>
    <row r="486" spans="1:25" ht="15" customHeight="1" x14ac:dyDescent="0.2">
      <c r="A486" s="15" t="s">
        <v>1119</v>
      </c>
      <c r="B486" s="60">
        <v>86564051</v>
      </c>
      <c r="C486" s="15"/>
      <c r="D486" s="15"/>
      <c r="E486" s="15"/>
      <c r="F486" s="15" t="s">
        <v>265</v>
      </c>
      <c r="G486" s="34">
        <v>2</v>
      </c>
      <c r="H486" s="34">
        <v>9</v>
      </c>
      <c r="I486" s="15" t="s">
        <v>1120</v>
      </c>
      <c r="J486" s="15" t="s">
        <v>120</v>
      </c>
      <c r="K486" s="74" t="s">
        <v>29</v>
      </c>
      <c r="L486" s="16">
        <v>1149220</v>
      </c>
      <c r="M486" s="16">
        <v>664273</v>
      </c>
      <c r="N486" s="16">
        <v>64458</v>
      </c>
      <c r="O486" s="16">
        <v>991732</v>
      </c>
      <c r="P486" s="16">
        <v>784342</v>
      </c>
      <c r="Q486" s="16">
        <v>157488</v>
      </c>
      <c r="R486" s="16">
        <v>15869</v>
      </c>
      <c r="S486" s="16">
        <v>0</v>
      </c>
      <c r="T486" s="16">
        <v>6</v>
      </c>
      <c r="U486" s="15" t="str">
        <f t="shared" si="28"/>
        <v>Privado Nacional</v>
      </c>
      <c r="V486" s="17">
        <f t="shared" si="29"/>
        <v>0.57802074450496854</v>
      </c>
      <c r="W486" s="17">
        <f t="shared" si="30"/>
        <v>0.10076323275424159</v>
      </c>
      <c r="X486" s="15" t="str">
        <f t="shared" si="31"/>
        <v>Média/Pequena</v>
      </c>
      <c r="Y486" s="121" t="str" cm="1">
        <f t="array" ref="Y486">_xlfn.IFS(ISNUMBER(W486)=FALSE,"Sem dado",W486&gt;0.075,"Excelente",W486&gt;0.04,"Bom",W486&gt;0,"Fraco",TRUE,"Prejuízo")</f>
        <v>Excelente</v>
      </c>
    </row>
    <row r="487" spans="1:25" ht="15" customHeight="1" x14ac:dyDescent="0.2">
      <c r="A487" s="12" t="s">
        <v>1121</v>
      </c>
      <c r="B487" s="56">
        <v>6126780</v>
      </c>
      <c r="C487" s="12"/>
      <c r="D487" s="12"/>
      <c r="E487" s="12"/>
      <c r="F487" s="12" t="s">
        <v>265</v>
      </c>
      <c r="G487" s="33">
        <v>2</v>
      </c>
      <c r="H487" s="33">
        <v>9</v>
      </c>
      <c r="I487" s="12" t="s">
        <v>720</v>
      </c>
      <c r="J487" s="12" t="s">
        <v>229</v>
      </c>
      <c r="K487" s="73" t="s">
        <v>29</v>
      </c>
      <c r="L487" s="13">
        <v>1145826</v>
      </c>
      <c r="M487" s="13">
        <v>853478</v>
      </c>
      <c r="N487" s="13">
        <v>15981</v>
      </c>
      <c r="O487" s="13">
        <v>1020288</v>
      </c>
      <c r="P487" s="13">
        <v>687189</v>
      </c>
      <c r="Q487" s="13">
        <v>125538</v>
      </c>
      <c r="R487" s="13">
        <v>5895</v>
      </c>
      <c r="S487" s="13">
        <v>0</v>
      </c>
      <c r="T487" s="13">
        <v>18</v>
      </c>
      <c r="U487" s="12" t="str">
        <f t="shared" si="28"/>
        <v>Privado Nacional</v>
      </c>
      <c r="V487" s="14">
        <f t="shared" si="29"/>
        <v>0.74485829436581119</v>
      </c>
      <c r="W487" s="14">
        <f t="shared" si="30"/>
        <v>4.6957893227548633E-2</v>
      </c>
      <c r="X487" s="12" t="str">
        <f t="shared" si="31"/>
        <v>Média/Pequena</v>
      </c>
      <c r="Y487" s="122" t="str" cm="1">
        <f t="array" ref="Y487">_xlfn.IFS(ISNUMBER(W487)=FALSE,"Sem dado",W487&gt;0.075,"Excelente",W487&gt;0.04,"Bom",W487&gt;0,"Fraco",TRUE,"Prejuízo")</f>
        <v>Bom</v>
      </c>
    </row>
    <row r="488" spans="1:25" ht="15" customHeight="1" x14ac:dyDescent="0.2">
      <c r="A488" s="15" t="s">
        <v>1122</v>
      </c>
      <c r="B488" s="60">
        <v>7789195</v>
      </c>
      <c r="C488" s="15"/>
      <c r="D488" s="15"/>
      <c r="E488" s="15"/>
      <c r="F488" s="15" t="s">
        <v>265</v>
      </c>
      <c r="G488" s="34">
        <v>2</v>
      </c>
      <c r="H488" s="34">
        <v>9</v>
      </c>
      <c r="I488" s="15" t="s">
        <v>255</v>
      </c>
      <c r="J488" s="15" t="s">
        <v>39</v>
      </c>
      <c r="K488" s="74" t="s">
        <v>29</v>
      </c>
      <c r="L488" s="16">
        <v>1145772</v>
      </c>
      <c r="M488" s="16">
        <v>658943</v>
      </c>
      <c r="N488" s="16">
        <v>475642</v>
      </c>
      <c r="O488" s="16">
        <v>939373</v>
      </c>
      <c r="P488" s="16">
        <v>924247</v>
      </c>
      <c r="Q488" s="16">
        <v>206398</v>
      </c>
      <c r="R488" s="16">
        <v>25614</v>
      </c>
      <c r="S488" s="16">
        <v>0</v>
      </c>
      <c r="T488" s="16">
        <v>2</v>
      </c>
      <c r="U488" s="15" t="str">
        <f t="shared" si="28"/>
        <v>Privado Nacional</v>
      </c>
      <c r="V488" s="17">
        <f t="shared" si="29"/>
        <v>0.57510831125215134</v>
      </c>
      <c r="W488" s="17">
        <f t="shared" si="30"/>
        <v>0.12410003972906714</v>
      </c>
      <c r="X488" s="15" t="str">
        <f t="shared" si="31"/>
        <v>Média/Pequena</v>
      </c>
      <c r="Y488" s="121" t="str" cm="1">
        <f t="array" ref="Y488">_xlfn.IFS(ISNUMBER(W488)=FALSE,"Sem dado",W488&gt;0.075,"Excelente",W488&gt;0.04,"Bom",W488&gt;0,"Fraco",TRUE,"Prejuízo")</f>
        <v>Excelente</v>
      </c>
    </row>
    <row r="489" spans="1:25" ht="15" customHeight="1" x14ac:dyDescent="0.2">
      <c r="A489" s="12" t="s">
        <v>1123</v>
      </c>
      <c r="B489" s="56">
        <v>62421979</v>
      </c>
      <c r="C489" s="12" t="s">
        <v>167</v>
      </c>
      <c r="D489" s="12" t="s">
        <v>168</v>
      </c>
      <c r="E489" s="12" t="s">
        <v>169</v>
      </c>
      <c r="F489" s="12" t="s">
        <v>26</v>
      </c>
      <c r="G489" s="33">
        <v>2</v>
      </c>
      <c r="H489" s="33">
        <v>8</v>
      </c>
      <c r="I489" s="12" t="s">
        <v>38</v>
      </c>
      <c r="J489" s="12" t="s">
        <v>39</v>
      </c>
      <c r="K489" s="73" t="s">
        <v>29</v>
      </c>
      <c r="L489" s="13">
        <v>1145202</v>
      </c>
      <c r="M489" s="13">
        <v>101907</v>
      </c>
      <c r="N489" s="13">
        <v>525400</v>
      </c>
      <c r="O489" s="13">
        <v>134524</v>
      </c>
      <c r="P489" s="13">
        <v>0</v>
      </c>
      <c r="Q489" s="13">
        <v>1010678</v>
      </c>
      <c r="R489" s="13">
        <v>62083</v>
      </c>
      <c r="S489" s="13">
        <v>2</v>
      </c>
      <c r="T489" s="13">
        <v>0</v>
      </c>
      <c r="U489" s="12" t="str">
        <f t="shared" si="28"/>
        <v>Privado Nacional</v>
      </c>
      <c r="V489" s="14">
        <f t="shared" si="29"/>
        <v>8.8986047876269861E-2</v>
      </c>
      <c r="W489" s="14">
        <f t="shared" si="30"/>
        <v>6.1427081622435632E-2</v>
      </c>
      <c r="X489" s="12" t="str">
        <f t="shared" si="31"/>
        <v>Média/Pequena</v>
      </c>
      <c r="Y489" s="122" t="str" cm="1">
        <f t="array" ref="Y489">_xlfn.IFS(ISNUMBER(W489)=FALSE,"Sem dado",W489&gt;0.075,"Excelente",W489&gt;0.04,"Bom",W489&gt;0,"Fraco",TRUE,"Prejuízo")</f>
        <v>Bom</v>
      </c>
    </row>
    <row r="490" spans="1:25" ht="15" customHeight="1" x14ac:dyDescent="0.2">
      <c r="A490" s="15" t="s">
        <v>1124</v>
      </c>
      <c r="B490" s="60">
        <v>71419600</v>
      </c>
      <c r="C490" s="15"/>
      <c r="D490" s="15"/>
      <c r="E490" s="15"/>
      <c r="F490" s="15" t="s">
        <v>265</v>
      </c>
      <c r="G490" s="34">
        <v>2</v>
      </c>
      <c r="H490" s="34">
        <v>9</v>
      </c>
      <c r="I490" s="15" t="s">
        <v>1125</v>
      </c>
      <c r="J490" s="15" t="s">
        <v>120</v>
      </c>
      <c r="K490" s="74" t="s">
        <v>29</v>
      </c>
      <c r="L490" s="16">
        <v>1144431</v>
      </c>
      <c r="M490" s="16">
        <v>746640</v>
      </c>
      <c r="N490" s="16">
        <v>41707</v>
      </c>
      <c r="O490" s="16">
        <v>954224</v>
      </c>
      <c r="P490" s="16">
        <v>682872</v>
      </c>
      <c r="Q490" s="16">
        <v>190207</v>
      </c>
      <c r="R490" s="16">
        <v>14651</v>
      </c>
      <c r="S490" s="16">
        <v>0</v>
      </c>
      <c r="T490" s="16">
        <v>8</v>
      </c>
      <c r="U490" s="15" t="str">
        <f t="shared" si="28"/>
        <v>Privado Nacional</v>
      </c>
      <c r="V490" s="17">
        <f t="shared" si="29"/>
        <v>0.65241154774730847</v>
      </c>
      <c r="W490" s="17">
        <f t="shared" si="30"/>
        <v>7.7026607853549034E-2</v>
      </c>
      <c r="X490" s="15" t="str">
        <f t="shared" si="31"/>
        <v>Média/Pequena</v>
      </c>
      <c r="Y490" s="121" t="str" cm="1">
        <f t="array" ref="Y490">_xlfn.IFS(ISNUMBER(W490)=FALSE,"Sem dado",W490&gt;0.075,"Excelente",W490&gt;0.04,"Bom",W490&gt;0,"Fraco",TRUE,"Prejuízo")</f>
        <v>Excelente</v>
      </c>
    </row>
    <row r="491" spans="1:25" ht="15" customHeight="1" x14ac:dyDescent="0.2">
      <c r="A491" s="12" t="s">
        <v>1126</v>
      </c>
      <c r="B491" s="56">
        <v>2173447</v>
      </c>
      <c r="C491" s="12"/>
      <c r="D491" s="12"/>
      <c r="E491" s="12"/>
      <c r="F491" s="12" t="s">
        <v>265</v>
      </c>
      <c r="G491" s="33">
        <v>2</v>
      </c>
      <c r="H491" s="33">
        <v>9</v>
      </c>
      <c r="I491" s="12" t="s">
        <v>1127</v>
      </c>
      <c r="J491" s="12" t="s">
        <v>120</v>
      </c>
      <c r="K491" s="73" t="s">
        <v>29</v>
      </c>
      <c r="L491" s="13">
        <v>1143250</v>
      </c>
      <c r="M491" s="13">
        <v>378598</v>
      </c>
      <c r="N491" s="13">
        <v>14238</v>
      </c>
      <c r="O491" s="13">
        <v>1005020</v>
      </c>
      <c r="P491" s="13">
        <v>977179</v>
      </c>
      <c r="Q491" s="13">
        <v>138230</v>
      </c>
      <c r="R491" s="13">
        <v>14844</v>
      </c>
      <c r="S491" s="13">
        <v>0</v>
      </c>
      <c r="T491" s="13">
        <v>25</v>
      </c>
      <c r="U491" s="12" t="str">
        <f t="shared" si="28"/>
        <v>Privado Nacional</v>
      </c>
      <c r="V491" s="14">
        <f t="shared" si="29"/>
        <v>0.33115941395145421</v>
      </c>
      <c r="W491" s="14">
        <f t="shared" si="30"/>
        <v>0.10738624032409752</v>
      </c>
      <c r="X491" s="12" t="str">
        <f t="shared" si="31"/>
        <v>Média/Pequena</v>
      </c>
      <c r="Y491" s="122" t="str" cm="1">
        <f t="array" ref="Y491">_xlfn.IFS(ISNUMBER(W491)=FALSE,"Sem dado",W491&gt;0.075,"Excelente",W491&gt;0.04,"Bom",W491&gt;0,"Fraco",TRUE,"Prejuízo")</f>
        <v>Excelente</v>
      </c>
    </row>
    <row r="492" spans="1:25" ht="15" customHeight="1" x14ac:dyDescent="0.2">
      <c r="A492" s="15" t="s">
        <v>1128</v>
      </c>
      <c r="B492" s="60">
        <v>45879000</v>
      </c>
      <c r="C492" s="15" t="s">
        <v>378</v>
      </c>
      <c r="D492" s="15"/>
      <c r="E492" s="15" t="s">
        <v>379</v>
      </c>
      <c r="F492" s="15" t="s">
        <v>65</v>
      </c>
      <c r="G492" s="34">
        <v>3</v>
      </c>
      <c r="H492" s="34">
        <v>43</v>
      </c>
      <c r="I492" s="15" t="s">
        <v>38</v>
      </c>
      <c r="J492" s="15" t="s">
        <v>39</v>
      </c>
      <c r="K492" s="74" t="s">
        <v>29</v>
      </c>
      <c r="L492" s="16">
        <v>1120777</v>
      </c>
      <c r="M492" s="16">
        <v>156003</v>
      </c>
      <c r="N492" s="16">
        <v>824700</v>
      </c>
      <c r="O492" s="16">
        <v>26080</v>
      </c>
      <c r="P492" s="16">
        <v>0</v>
      </c>
      <c r="Q492" s="16">
        <v>1094698</v>
      </c>
      <c r="R492" s="16">
        <v>4396</v>
      </c>
      <c r="S492" s="16">
        <v>2</v>
      </c>
      <c r="T492" s="16">
        <v>0</v>
      </c>
      <c r="U492" s="15" t="str">
        <f t="shared" si="28"/>
        <v>Privado Estrangeiro</v>
      </c>
      <c r="V492" s="17">
        <f t="shared" si="29"/>
        <v>0.13919182852610287</v>
      </c>
      <c r="W492" s="17">
        <f t="shared" si="30"/>
        <v>4.0157194038903882E-3</v>
      </c>
      <c r="X492" s="15" t="str">
        <f t="shared" si="31"/>
        <v>Média/Pequena</v>
      </c>
      <c r="Y492" s="121" t="str" cm="1">
        <f t="array" ref="Y492">_xlfn.IFS(ISNUMBER(W492)=FALSE,"Sem dado",W492&gt;0.075,"Excelente",W492&gt;0.04,"Bom",W492&gt;0,"Fraco",TRUE,"Prejuízo")</f>
        <v>Fraco</v>
      </c>
    </row>
    <row r="493" spans="1:25" ht="15" customHeight="1" x14ac:dyDescent="0.2">
      <c r="A493" s="12" t="s">
        <v>1129</v>
      </c>
      <c r="B493" s="56">
        <v>3847413</v>
      </c>
      <c r="C493" s="12" t="s">
        <v>344</v>
      </c>
      <c r="D493" s="12"/>
      <c r="E493" s="12" t="s">
        <v>345</v>
      </c>
      <c r="F493" s="12" t="s">
        <v>84</v>
      </c>
      <c r="G493" s="33">
        <v>1</v>
      </c>
      <c r="H493" s="33">
        <v>41</v>
      </c>
      <c r="I493" s="12" t="s">
        <v>346</v>
      </c>
      <c r="J493" s="12" t="s">
        <v>347</v>
      </c>
      <c r="K493" s="73" t="s">
        <v>29</v>
      </c>
      <c r="L493" s="13">
        <v>1115323</v>
      </c>
      <c r="M493" s="13">
        <v>590507</v>
      </c>
      <c r="N493" s="13">
        <v>52918</v>
      </c>
      <c r="O493" s="13">
        <v>1051267</v>
      </c>
      <c r="P493" s="13">
        <v>8642</v>
      </c>
      <c r="Q493" s="13">
        <v>64056</v>
      </c>
      <c r="R493" s="13">
        <v>-11436</v>
      </c>
      <c r="S493" s="13">
        <v>1</v>
      </c>
      <c r="T493" s="13">
        <v>0</v>
      </c>
      <c r="U493" s="12" t="str">
        <f t="shared" si="28"/>
        <v>Público</v>
      </c>
      <c r="V493" s="14">
        <f t="shared" si="29"/>
        <v>0.52944931647603433</v>
      </c>
      <c r="W493" s="14">
        <f t="shared" si="30"/>
        <v>-0.17853128512551517</v>
      </c>
      <c r="X493" s="12" t="str">
        <f t="shared" si="31"/>
        <v>Média/Pequena</v>
      </c>
      <c r="Y493" s="122" t="str" cm="1">
        <f t="array" ref="Y493">_xlfn.IFS(ISNUMBER(W493)=FALSE,"Sem dado",W493&gt;0.075,"Excelente",W493&gt;0.04,"Bom",W493&gt;0,"Fraco",TRUE,"Prejuízo")</f>
        <v>Prejuízo</v>
      </c>
    </row>
    <row r="494" spans="1:25" ht="15" customHeight="1" x14ac:dyDescent="0.2">
      <c r="A494" s="15" t="s">
        <v>1130</v>
      </c>
      <c r="B494" s="60">
        <v>5277312</v>
      </c>
      <c r="C494" s="15"/>
      <c r="D494" s="15"/>
      <c r="E494" s="15"/>
      <c r="F494" s="15" t="s">
        <v>265</v>
      </c>
      <c r="G494" s="34">
        <v>2</v>
      </c>
      <c r="H494" s="34">
        <v>9</v>
      </c>
      <c r="I494" s="15" t="s">
        <v>1131</v>
      </c>
      <c r="J494" s="15" t="s">
        <v>229</v>
      </c>
      <c r="K494" s="74" t="s">
        <v>29</v>
      </c>
      <c r="L494" s="16">
        <v>1111763</v>
      </c>
      <c r="M494" s="16">
        <v>801767</v>
      </c>
      <c r="N494" s="16">
        <v>12612</v>
      </c>
      <c r="O494" s="16">
        <v>969690</v>
      </c>
      <c r="P494" s="16">
        <v>688578</v>
      </c>
      <c r="Q494" s="16">
        <v>142072</v>
      </c>
      <c r="R494" s="16">
        <v>3882</v>
      </c>
      <c r="S494" s="16">
        <v>0</v>
      </c>
      <c r="T494" s="16">
        <v>23</v>
      </c>
      <c r="U494" s="15" t="str">
        <f t="shared" si="28"/>
        <v>Privado Nacional</v>
      </c>
      <c r="V494" s="17">
        <f t="shared" si="29"/>
        <v>0.7211671912089177</v>
      </c>
      <c r="W494" s="17">
        <f t="shared" si="30"/>
        <v>2.7324173658426713E-2</v>
      </c>
      <c r="X494" s="15" t="str">
        <f t="shared" si="31"/>
        <v>Média/Pequena</v>
      </c>
      <c r="Y494" s="121" t="str" cm="1">
        <f t="array" ref="Y494">_xlfn.IFS(ISNUMBER(W494)=FALSE,"Sem dado",W494&gt;0.075,"Excelente",W494&gt;0.04,"Bom",W494&gt;0,"Fraco",TRUE,"Prejuízo")</f>
        <v>Fraco</v>
      </c>
    </row>
    <row r="495" spans="1:25" ht="15" customHeight="1" x14ac:dyDescent="0.2">
      <c r="A495" s="12" t="s">
        <v>1132</v>
      </c>
      <c r="B495" s="56">
        <v>70241658</v>
      </c>
      <c r="C495" s="12"/>
      <c r="D495" s="12"/>
      <c r="E495" s="12"/>
      <c r="F495" s="12" t="s">
        <v>265</v>
      </c>
      <c r="G495" s="33">
        <v>2</v>
      </c>
      <c r="H495" s="33">
        <v>9</v>
      </c>
      <c r="I495" s="12" t="s">
        <v>1133</v>
      </c>
      <c r="J495" s="12" t="s">
        <v>1078</v>
      </c>
      <c r="K495" s="73" t="s">
        <v>29</v>
      </c>
      <c r="L495" s="13">
        <v>1109120</v>
      </c>
      <c r="M495" s="13">
        <v>472544</v>
      </c>
      <c r="N495" s="13">
        <v>510415</v>
      </c>
      <c r="O495" s="13">
        <v>1003872</v>
      </c>
      <c r="P495" s="13">
        <v>817657</v>
      </c>
      <c r="Q495" s="13">
        <v>105247</v>
      </c>
      <c r="R495" s="13">
        <v>1606</v>
      </c>
      <c r="S495" s="13">
        <v>0</v>
      </c>
      <c r="T495" s="13">
        <v>6</v>
      </c>
      <c r="U495" s="12" t="str">
        <f t="shared" si="28"/>
        <v>Privado Nacional</v>
      </c>
      <c r="V495" s="14">
        <f t="shared" si="29"/>
        <v>0.4260530871321408</v>
      </c>
      <c r="W495" s="14">
        <f t="shared" si="30"/>
        <v>1.5259342309044438E-2</v>
      </c>
      <c r="X495" s="12" t="str">
        <f t="shared" si="31"/>
        <v>Média/Pequena</v>
      </c>
      <c r="Y495" s="122" t="str" cm="1">
        <f t="array" ref="Y495">_xlfn.IFS(ISNUMBER(W495)=FALSE,"Sem dado",W495&gt;0.075,"Excelente",W495&gt;0.04,"Bom",W495&gt;0,"Fraco",TRUE,"Prejuízo")</f>
        <v>Fraco</v>
      </c>
    </row>
    <row r="496" spans="1:25" ht="15" customHeight="1" x14ac:dyDescent="0.2">
      <c r="A496" s="15" t="s">
        <v>1134</v>
      </c>
      <c r="B496" s="60">
        <v>2934201</v>
      </c>
      <c r="C496" s="15"/>
      <c r="D496" s="15"/>
      <c r="E496" s="15"/>
      <c r="F496" s="15" t="s">
        <v>265</v>
      </c>
      <c r="G496" s="34">
        <v>2</v>
      </c>
      <c r="H496" s="34">
        <v>9</v>
      </c>
      <c r="I496" s="15" t="s">
        <v>1135</v>
      </c>
      <c r="J496" s="15" t="s">
        <v>229</v>
      </c>
      <c r="K496" s="74" t="s">
        <v>29</v>
      </c>
      <c r="L496" s="16">
        <v>1106286</v>
      </c>
      <c r="M496" s="16">
        <v>828544</v>
      </c>
      <c r="N496" s="16">
        <v>20396</v>
      </c>
      <c r="O496" s="16">
        <v>935176</v>
      </c>
      <c r="P496" s="16">
        <v>522857</v>
      </c>
      <c r="Q496" s="16">
        <v>171110</v>
      </c>
      <c r="R496" s="16">
        <v>2309</v>
      </c>
      <c r="S496" s="16">
        <v>0</v>
      </c>
      <c r="T496" s="16">
        <v>19</v>
      </c>
      <c r="U496" s="15" t="str">
        <f t="shared" si="28"/>
        <v>Privado Nacional</v>
      </c>
      <c r="V496" s="17">
        <f t="shared" si="29"/>
        <v>0.74894195533523877</v>
      </c>
      <c r="W496" s="17">
        <f t="shared" si="30"/>
        <v>1.3494243469113435E-2</v>
      </c>
      <c r="X496" s="15" t="str">
        <f t="shared" si="31"/>
        <v>Média/Pequena</v>
      </c>
      <c r="Y496" s="121" t="str" cm="1">
        <f t="array" ref="Y496">_xlfn.IFS(ISNUMBER(W496)=FALSE,"Sem dado",W496&gt;0.075,"Excelente",W496&gt;0.04,"Bom",W496&gt;0,"Fraco",TRUE,"Prejuízo")</f>
        <v>Fraco</v>
      </c>
    </row>
    <row r="497" spans="1:25" ht="15" customHeight="1" x14ac:dyDescent="0.2">
      <c r="A497" s="12" t="s">
        <v>1136</v>
      </c>
      <c r="B497" s="56">
        <v>795423</v>
      </c>
      <c r="C497" s="12" t="s">
        <v>1137</v>
      </c>
      <c r="D497" s="12"/>
      <c r="E497" s="12" t="s">
        <v>1138</v>
      </c>
      <c r="F497" s="12" t="s">
        <v>26</v>
      </c>
      <c r="G497" s="33">
        <v>2</v>
      </c>
      <c r="H497" s="33">
        <v>8</v>
      </c>
      <c r="I497" s="12" t="s">
        <v>119</v>
      </c>
      <c r="J497" s="12" t="s">
        <v>120</v>
      </c>
      <c r="K497" s="73" t="s">
        <v>29</v>
      </c>
      <c r="L497" s="13">
        <v>1105535</v>
      </c>
      <c r="M497" s="13">
        <v>621055</v>
      </c>
      <c r="N497" s="13">
        <v>105529</v>
      </c>
      <c r="O497" s="13">
        <v>996547</v>
      </c>
      <c r="P497" s="13">
        <v>961953</v>
      </c>
      <c r="Q497" s="13">
        <v>108988</v>
      </c>
      <c r="R497" s="13">
        <v>-1585</v>
      </c>
      <c r="S497" s="13">
        <v>2</v>
      </c>
      <c r="T497" s="13">
        <v>0</v>
      </c>
      <c r="U497" s="12" t="str">
        <f t="shared" si="28"/>
        <v>Privado Nacional</v>
      </c>
      <c r="V497" s="14">
        <f t="shared" si="29"/>
        <v>0.56176873640364167</v>
      </c>
      <c r="W497" s="14">
        <f t="shared" si="30"/>
        <v>-1.4542885455279481E-2</v>
      </c>
      <c r="X497" s="12" t="str">
        <f t="shared" si="31"/>
        <v>Média/Pequena</v>
      </c>
      <c r="Y497" s="122" t="str" cm="1">
        <f t="array" ref="Y497">_xlfn.IFS(ISNUMBER(W497)=FALSE,"Sem dado",W497&gt;0.075,"Excelente",W497&gt;0.04,"Bom",W497&gt;0,"Fraco",TRUE,"Prejuízo")</f>
        <v>Prejuízo</v>
      </c>
    </row>
    <row r="498" spans="1:25" ht="15" customHeight="1" x14ac:dyDescent="0.2">
      <c r="A498" s="15" t="s">
        <v>1139</v>
      </c>
      <c r="B498" s="60">
        <v>73647935</v>
      </c>
      <c r="C498" s="15"/>
      <c r="D498" s="15"/>
      <c r="E498" s="15"/>
      <c r="F498" s="15" t="s">
        <v>265</v>
      </c>
      <c r="G498" s="34">
        <v>2</v>
      </c>
      <c r="H498" s="34">
        <v>9</v>
      </c>
      <c r="I498" s="15" t="s">
        <v>404</v>
      </c>
      <c r="J498" s="15" t="s">
        <v>401</v>
      </c>
      <c r="K498" s="74" t="s">
        <v>29</v>
      </c>
      <c r="L498" s="16">
        <v>1104137</v>
      </c>
      <c r="M498" s="16">
        <v>696570</v>
      </c>
      <c r="N498" s="16">
        <v>12464</v>
      </c>
      <c r="O498" s="16">
        <v>937111</v>
      </c>
      <c r="P498" s="16">
        <v>887169</v>
      </c>
      <c r="Q498" s="16">
        <v>167026</v>
      </c>
      <c r="R498" s="16">
        <v>912</v>
      </c>
      <c r="S498" s="16">
        <v>0</v>
      </c>
      <c r="T498" s="16">
        <v>14</v>
      </c>
      <c r="U498" s="15" t="str">
        <f t="shared" si="28"/>
        <v>Privado Nacional</v>
      </c>
      <c r="V498" s="17">
        <f t="shared" si="29"/>
        <v>0.63087279929936235</v>
      </c>
      <c r="W498" s="17">
        <f t="shared" si="30"/>
        <v>5.460227748973214E-3</v>
      </c>
      <c r="X498" s="15" t="str">
        <f t="shared" si="31"/>
        <v>Média/Pequena</v>
      </c>
      <c r="Y498" s="121" t="str" cm="1">
        <f t="array" ref="Y498">_xlfn.IFS(ISNUMBER(W498)=FALSE,"Sem dado",W498&gt;0.075,"Excelente",W498&gt;0.04,"Bom",W498&gt;0,"Fraco",TRUE,"Prejuízo")</f>
        <v>Fraco</v>
      </c>
    </row>
    <row r="499" spans="1:25" ht="15" customHeight="1" x14ac:dyDescent="0.2">
      <c r="A499" s="12" t="s">
        <v>1140</v>
      </c>
      <c r="B499" s="56">
        <v>3461243</v>
      </c>
      <c r="C499" s="12"/>
      <c r="D499" s="12"/>
      <c r="E499" s="12"/>
      <c r="F499" s="12" t="s">
        <v>265</v>
      </c>
      <c r="G499" s="33">
        <v>2</v>
      </c>
      <c r="H499" s="33">
        <v>9</v>
      </c>
      <c r="I499" s="12" t="s">
        <v>528</v>
      </c>
      <c r="J499" s="12" t="s">
        <v>217</v>
      </c>
      <c r="K499" s="73" t="s">
        <v>29</v>
      </c>
      <c r="L499" s="13">
        <v>1091799</v>
      </c>
      <c r="M499" s="13">
        <v>846434</v>
      </c>
      <c r="N499" s="13">
        <v>27277</v>
      </c>
      <c r="O499" s="13">
        <v>972867</v>
      </c>
      <c r="P499" s="13">
        <v>819612</v>
      </c>
      <c r="Q499" s="13">
        <v>118932</v>
      </c>
      <c r="R499" s="13">
        <v>-13566</v>
      </c>
      <c r="S499" s="13">
        <v>0</v>
      </c>
      <c r="T499" s="13">
        <v>23</v>
      </c>
      <c r="U499" s="12" t="str">
        <f t="shared" si="28"/>
        <v>Privado Nacional</v>
      </c>
      <c r="V499" s="14">
        <f t="shared" si="29"/>
        <v>0.77526541057465703</v>
      </c>
      <c r="W499" s="14">
        <f t="shared" si="30"/>
        <v>-0.11406518010291596</v>
      </c>
      <c r="X499" s="12" t="str">
        <f t="shared" si="31"/>
        <v>Média/Pequena</v>
      </c>
      <c r="Y499" s="122" t="str" cm="1">
        <f t="array" ref="Y499">_xlfn.IFS(ISNUMBER(W499)=FALSE,"Sem dado",W499&gt;0.075,"Excelente",W499&gt;0.04,"Bom",W499&gt;0,"Fraco",TRUE,"Prejuízo")</f>
        <v>Prejuízo</v>
      </c>
    </row>
    <row r="500" spans="1:25" ht="15" customHeight="1" x14ac:dyDescent="0.2">
      <c r="A500" s="15" t="s">
        <v>1141</v>
      </c>
      <c r="B500" s="60">
        <v>29162769</v>
      </c>
      <c r="C500" s="15" t="s">
        <v>46</v>
      </c>
      <c r="D500" s="15" t="s">
        <v>47</v>
      </c>
      <c r="E500" s="15" t="s">
        <v>48</v>
      </c>
      <c r="F500" s="15" t="s">
        <v>98</v>
      </c>
      <c r="G500" s="34">
        <v>3</v>
      </c>
      <c r="H500" s="34">
        <v>15</v>
      </c>
      <c r="I500" s="15" t="s">
        <v>38</v>
      </c>
      <c r="J500" s="15" t="s">
        <v>39</v>
      </c>
      <c r="K500" s="74" t="s">
        <v>29</v>
      </c>
      <c r="L500" s="16">
        <v>1088152</v>
      </c>
      <c r="M500" s="16">
        <v>0</v>
      </c>
      <c r="N500" s="16">
        <v>289029</v>
      </c>
      <c r="O500" s="16">
        <v>702492</v>
      </c>
      <c r="P500" s="16">
        <v>521308</v>
      </c>
      <c r="Q500" s="16">
        <v>385660</v>
      </c>
      <c r="R500" s="16">
        <v>7391</v>
      </c>
      <c r="S500" s="16">
        <v>2</v>
      </c>
      <c r="T500" s="16">
        <v>0</v>
      </c>
      <c r="U500" s="15" t="str">
        <f t="shared" si="28"/>
        <v>Privado Estrangeiro</v>
      </c>
      <c r="V500" s="17">
        <f t="shared" si="29"/>
        <v>0</v>
      </c>
      <c r="W500" s="17">
        <f t="shared" si="30"/>
        <v>1.9164549084685994E-2</v>
      </c>
      <c r="X500" s="15" t="str">
        <f t="shared" si="31"/>
        <v>Média/Pequena</v>
      </c>
      <c r="Y500" s="121" t="str" cm="1">
        <f t="array" ref="Y500">_xlfn.IFS(ISNUMBER(W500)=FALSE,"Sem dado",W500&gt;0.075,"Excelente",W500&gt;0.04,"Bom",W500&gt;0,"Fraco",TRUE,"Prejuízo")</f>
        <v>Fraco</v>
      </c>
    </row>
    <row r="501" spans="1:25" ht="15" customHeight="1" x14ac:dyDescent="0.2">
      <c r="A501" s="12" t="s">
        <v>1142</v>
      </c>
      <c r="B501" s="56">
        <v>5979692</v>
      </c>
      <c r="C501" s="12"/>
      <c r="D501" s="12"/>
      <c r="E501" s="12"/>
      <c r="F501" s="12" t="s">
        <v>265</v>
      </c>
      <c r="G501" s="33">
        <v>2</v>
      </c>
      <c r="H501" s="33">
        <v>9</v>
      </c>
      <c r="I501" s="12" t="s">
        <v>216</v>
      </c>
      <c r="J501" s="12" t="s">
        <v>217</v>
      </c>
      <c r="K501" s="73" t="s">
        <v>29</v>
      </c>
      <c r="L501" s="13">
        <v>1086832</v>
      </c>
      <c r="M501" s="13">
        <v>580652</v>
      </c>
      <c r="N501" s="13">
        <v>30058</v>
      </c>
      <c r="O501" s="13">
        <v>936029</v>
      </c>
      <c r="P501" s="13">
        <v>877374</v>
      </c>
      <c r="Q501" s="13">
        <v>150803</v>
      </c>
      <c r="R501" s="13">
        <v>866</v>
      </c>
      <c r="S501" s="13">
        <v>0</v>
      </c>
      <c r="T501" s="13">
        <v>24</v>
      </c>
      <c r="U501" s="12" t="str">
        <f t="shared" si="28"/>
        <v>Privado Nacional</v>
      </c>
      <c r="V501" s="14">
        <f t="shared" si="29"/>
        <v>0.5342610449453089</v>
      </c>
      <c r="W501" s="14">
        <f t="shared" si="30"/>
        <v>5.7425913277587316E-3</v>
      </c>
      <c r="X501" s="12" t="str">
        <f t="shared" si="31"/>
        <v>Média/Pequena</v>
      </c>
      <c r="Y501" s="122" t="str" cm="1">
        <f t="array" ref="Y501">_xlfn.IFS(ISNUMBER(W501)=FALSE,"Sem dado",W501&gt;0.075,"Excelente",W501&gt;0.04,"Bom",W501&gt;0,"Fraco",TRUE,"Prejuízo")</f>
        <v>Fraco</v>
      </c>
    </row>
    <row r="502" spans="1:25" ht="15" customHeight="1" x14ac:dyDescent="0.2">
      <c r="A502" s="15" t="s">
        <v>1143</v>
      </c>
      <c r="B502" s="60">
        <v>1739375</v>
      </c>
      <c r="C502" s="15"/>
      <c r="D502" s="15"/>
      <c r="E502" s="15"/>
      <c r="F502" s="15" t="s">
        <v>265</v>
      </c>
      <c r="G502" s="34">
        <v>2</v>
      </c>
      <c r="H502" s="34">
        <v>9</v>
      </c>
      <c r="I502" s="15" t="s">
        <v>1144</v>
      </c>
      <c r="J502" s="15" t="s">
        <v>120</v>
      </c>
      <c r="K502" s="74" t="s">
        <v>29</v>
      </c>
      <c r="L502" s="16">
        <v>1085260</v>
      </c>
      <c r="M502" s="16">
        <v>477658</v>
      </c>
      <c r="N502" s="16">
        <v>21038</v>
      </c>
      <c r="O502" s="16">
        <v>886306</v>
      </c>
      <c r="P502" s="16">
        <v>785713</v>
      </c>
      <c r="Q502" s="16">
        <v>198954</v>
      </c>
      <c r="R502" s="16">
        <v>19758</v>
      </c>
      <c r="S502" s="16">
        <v>0</v>
      </c>
      <c r="T502" s="16">
        <v>3</v>
      </c>
      <c r="U502" s="15" t="str">
        <f t="shared" si="28"/>
        <v>Privado Nacional</v>
      </c>
      <c r="V502" s="17">
        <f t="shared" si="29"/>
        <v>0.44013231852275031</v>
      </c>
      <c r="W502" s="17">
        <f t="shared" si="30"/>
        <v>9.9309388099761753E-2</v>
      </c>
      <c r="X502" s="15" t="str">
        <f t="shared" si="31"/>
        <v>Média/Pequena</v>
      </c>
      <c r="Y502" s="121" t="str" cm="1">
        <f t="array" ref="Y502">_xlfn.IFS(ISNUMBER(W502)=FALSE,"Sem dado",W502&gt;0.075,"Excelente",W502&gt;0.04,"Bom",W502&gt;0,"Fraco",TRUE,"Prejuízo")</f>
        <v>Excelente</v>
      </c>
    </row>
    <row r="503" spans="1:25" ht="15" customHeight="1" x14ac:dyDescent="0.2">
      <c r="A503" s="12" t="s">
        <v>1145</v>
      </c>
      <c r="B503" s="56">
        <v>38588174</v>
      </c>
      <c r="C503" s="12"/>
      <c r="D503" s="12"/>
      <c r="E503" s="12"/>
      <c r="F503" s="12" t="s">
        <v>265</v>
      </c>
      <c r="G503" s="33">
        <v>2</v>
      </c>
      <c r="H503" s="33">
        <v>9</v>
      </c>
      <c r="I503" s="12" t="s">
        <v>1146</v>
      </c>
      <c r="J503" s="12" t="s">
        <v>120</v>
      </c>
      <c r="K503" s="73" t="s">
        <v>29</v>
      </c>
      <c r="L503" s="13">
        <v>1082237</v>
      </c>
      <c r="M503" s="13">
        <v>363187</v>
      </c>
      <c r="N503" s="13">
        <v>28355</v>
      </c>
      <c r="O503" s="13">
        <v>930177</v>
      </c>
      <c r="P503" s="13">
        <v>820108</v>
      </c>
      <c r="Q503" s="13">
        <v>152061</v>
      </c>
      <c r="R503" s="13">
        <v>14911</v>
      </c>
      <c r="S503" s="13">
        <v>0</v>
      </c>
      <c r="T503" s="13">
        <v>19</v>
      </c>
      <c r="U503" s="12" t="str">
        <f t="shared" si="28"/>
        <v>Privado Nacional</v>
      </c>
      <c r="V503" s="14">
        <f t="shared" si="29"/>
        <v>0.33558915468608075</v>
      </c>
      <c r="W503" s="14">
        <f t="shared" si="30"/>
        <v>9.8059331452509196E-2</v>
      </c>
      <c r="X503" s="12" t="str">
        <f t="shared" si="31"/>
        <v>Média/Pequena</v>
      </c>
      <c r="Y503" s="122" t="str" cm="1">
        <f t="array" ref="Y503">_xlfn.IFS(ISNUMBER(W503)=FALSE,"Sem dado",W503&gt;0.075,"Excelente",W503&gt;0.04,"Bom",W503&gt;0,"Fraco",TRUE,"Prejuízo")</f>
        <v>Excelente</v>
      </c>
    </row>
    <row r="504" spans="1:25" ht="15" customHeight="1" x14ac:dyDescent="0.2">
      <c r="A504" s="15" t="s">
        <v>1147</v>
      </c>
      <c r="B504" s="60">
        <v>48805820</v>
      </c>
      <c r="C504" s="15" t="s">
        <v>1148</v>
      </c>
      <c r="D504" s="15"/>
      <c r="E504" s="15" t="s">
        <v>1149</v>
      </c>
      <c r="F504" s="15" t="s">
        <v>65</v>
      </c>
      <c r="G504" s="34">
        <v>2</v>
      </c>
      <c r="H504" s="34">
        <v>43</v>
      </c>
      <c r="I504" s="15" t="s">
        <v>38</v>
      </c>
      <c r="J504" s="15" t="s">
        <v>39</v>
      </c>
      <c r="K504" s="74" t="s">
        <v>29</v>
      </c>
      <c r="L504" s="16">
        <v>1078720</v>
      </c>
      <c r="M504" s="16">
        <v>740040</v>
      </c>
      <c r="N504" s="16">
        <v>215745</v>
      </c>
      <c r="O504" s="16">
        <v>455462</v>
      </c>
      <c r="P504" s="16">
        <v>0</v>
      </c>
      <c r="Q504" s="16">
        <v>623258</v>
      </c>
      <c r="R504" s="16">
        <v>18431</v>
      </c>
      <c r="S504" s="16">
        <v>2</v>
      </c>
      <c r="T504" s="16">
        <v>0</v>
      </c>
      <c r="U504" s="15" t="str">
        <f t="shared" si="28"/>
        <v>Privado Nacional</v>
      </c>
      <c r="V504" s="17">
        <f t="shared" si="29"/>
        <v>0.68603530109759714</v>
      </c>
      <c r="W504" s="17">
        <f t="shared" si="30"/>
        <v>2.9572023142903903E-2</v>
      </c>
      <c r="X504" s="15" t="str">
        <f t="shared" si="31"/>
        <v>Média/Pequena</v>
      </c>
      <c r="Y504" s="121" t="str" cm="1">
        <f t="array" ref="Y504">_xlfn.IFS(ISNUMBER(W504)=FALSE,"Sem dado",W504&gt;0.075,"Excelente",W504&gt;0.04,"Bom",W504&gt;0,"Fraco",TRUE,"Prejuízo")</f>
        <v>Fraco</v>
      </c>
    </row>
    <row r="505" spans="1:25" ht="15" customHeight="1" x14ac:dyDescent="0.2">
      <c r="A505" s="12" t="s">
        <v>1150</v>
      </c>
      <c r="B505" s="56">
        <v>81292278</v>
      </c>
      <c r="C505" s="12"/>
      <c r="D505" s="12"/>
      <c r="E505" s="12"/>
      <c r="F505" s="12" t="s">
        <v>265</v>
      </c>
      <c r="G505" s="33">
        <v>2</v>
      </c>
      <c r="H505" s="33">
        <v>9</v>
      </c>
      <c r="I505" s="12" t="s">
        <v>1151</v>
      </c>
      <c r="J505" s="12" t="s">
        <v>217</v>
      </c>
      <c r="K505" s="73" t="s">
        <v>29</v>
      </c>
      <c r="L505" s="13">
        <v>1074172</v>
      </c>
      <c r="M505" s="13">
        <v>529828</v>
      </c>
      <c r="N505" s="13">
        <v>21896</v>
      </c>
      <c r="O505" s="13">
        <v>865845</v>
      </c>
      <c r="P505" s="13">
        <v>686844</v>
      </c>
      <c r="Q505" s="13">
        <v>208326</v>
      </c>
      <c r="R505" s="13">
        <v>17123</v>
      </c>
      <c r="S505" s="13">
        <v>0</v>
      </c>
      <c r="T505" s="13">
        <v>13</v>
      </c>
      <c r="U505" s="12" t="str">
        <f t="shared" si="28"/>
        <v>Privado Nacional</v>
      </c>
      <c r="V505" s="14">
        <f t="shared" si="29"/>
        <v>0.49324316776084276</v>
      </c>
      <c r="W505" s="14">
        <f t="shared" si="30"/>
        <v>8.2193293203920784E-2</v>
      </c>
      <c r="X505" s="12" t="str">
        <f t="shared" si="31"/>
        <v>Média/Pequena</v>
      </c>
      <c r="Y505" s="122" t="str" cm="1">
        <f t="array" ref="Y505">_xlfn.IFS(ISNUMBER(W505)=FALSE,"Sem dado",W505&gt;0.075,"Excelente",W505&gt;0.04,"Bom",W505&gt;0,"Fraco",TRUE,"Prejuízo")</f>
        <v>Excelente</v>
      </c>
    </row>
    <row r="506" spans="1:25" ht="15" customHeight="1" x14ac:dyDescent="0.2">
      <c r="A506" s="15" t="s">
        <v>1152</v>
      </c>
      <c r="B506" s="60">
        <v>25387713</v>
      </c>
      <c r="C506" s="15"/>
      <c r="D506" s="15"/>
      <c r="E506" s="15"/>
      <c r="F506" s="15" t="s">
        <v>265</v>
      </c>
      <c r="G506" s="34">
        <v>2</v>
      </c>
      <c r="H506" s="34">
        <v>9</v>
      </c>
      <c r="I506" s="15" t="s">
        <v>1153</v>
      </c>
      <c r="J506" s="15" t="s">
        <v>120</v>
      </c>
      <c r="K506" s="74" t="s">
        <v>29</v>
      </c>
      <c r="L506" s="16">
        <v>1063913</v>
      </c>
      <c r="M506" s="16">
        <v>422888</v>
      </c>
      <c r="N506" s="16">
        <v>13521</v>
      </c>
      <c r="O506" s="16">
        <v>941846</v>
      </c>
      <c r="P506" s="16">
        <v>920327</v>
      </c>
      <c r="Q506" s="16">
        <v>122067</v>
      </c>
      <c r="R506" s="16">
        <v>15303</v>
      </c>
      <c r="S506" s="16">
        <v>0</v>
      </c>
      <c r="T506" s="16">
        <v>7</v>
      </c>
      <c r="U506" s="15" t="str">
        <f t="shared" si="28"/>
        <v>Privado Nacional</v>
      </c>
      <c r="V506" s="17">
        <f t="shared" si="29"/>
        <v>0.39748362883055288</v>
      </c>
      <c r="W506" s="17">
        <f t="shared" si="30"/>
        <v>0.12536557792032244</v>
      </c>
      <c r="X506" s="15" t="str">
        <f t="shared" si="31"/>
        <v>Média/Pequena</v>
      </c>
      <c r="Y506" s="121" t="str" cm="1">
        <f t="array" ref="Y506">_xlfn.IFS(ISNUMBER(W506)=FALSE,"Sem dado",W506&gt;0.075,"Excelente",W506&gt;0.04,"Bom",W506&gt;0,"Fraco",TRUE,"Prejuízo")</f>
        <v>Excelente</v>
      </c>
    </row>
    <row r="507" spans="1:25" ht="15" customHeight="1" x14ac:dyDescent="0.2">
      <c r="A507" s="12" t="s">
        <v>1154</v>
      </c>
      <c r="B507" s="56">
        <v>41669227</v>
      </c>
      <c r="C507" s="12"/>
      <c r="D507" s="12"/>
      <c r="E507" s="12"/>
      <c r="F507" s="12" t="s">
        <v>265</v>
      </c>
      <c r="G507" s="33">
        <v>2</v>
      </c>
      <c r="H507" s="33">
        <v>9</v>
      </c>
      <c r="I507" s="12" t="s">
        <v>564</v>
      </c>
      <c r="J507" s="12" t="s">
        <v>120</v>
      </c>
      <c r="K507" s="73" t="s">
        <v>29</v>
      </c>
      <c r="L507" s="13">
        <v>1060576</v>
      </c>
      <c r="M507" s="13">
        <v>270529</v>
      </c>
      <c r="N507" s="13">
        <v>61435</v>
      </c>
      <c r="O507" s="13">
        <v>863941</v>
      </c>
      <c r="P507" s="13">
        <v>845970</v>
      </c>
      <c r="Q507" s="13">
        <v>196635</v>
      </c>
      <c r="R507" s="13">
        <v>18113</v>
      </c>
      <c r="S507" s="13">
        <v>0</v>
      </c>
      <c r="T507" s="13">
        <v>9</v>
      </c>
      <c r="U507" s="12" t="str">
        <f t="shared" si="28"/>
        <v>Privado Nacional</v>
      </c>
      <c r="V507" s="14">
        <f t="shared" si="29"/>
        <v>0.25507742962314817</v>
      </c>
      <c r="W507" s="14">
        <f t="shared" si="30"/>
        <v>9.2114832049228268E-2</v>
      </c>
      <c r="X507" s="12" t="str">
        <f t="shared" si="31"/>
        <v>Média/Pequena</v>
      </c>
      <c r="Y507" s="122" t="str" cm="1">
        <f t="array" ref="Y507">_xlfn.IFS(ISNUMBER(W507)=FALSE,"Sem dado",W507&gt;0.075,"Excelente",W507&gt;0.04,"Bom",W507&gt;0,"Fraco",TRUE,"Prejuízo")</f>
        <v>Excelente</v>
      </c>
    </row>
    <row r="508" spans="1:25" ht="15" customHeight="1" x14ac:dyDescent="0.2">
      <c r="A508" s="15" t="s">
        <v>1155</v>
      </c>
      <c r="B508" s="60">
        <v>44431743</v>
      </c>
      <c r="C508" s="15" t="s">
        <v>929</v>
      </c>
      <c r="D508" s="15"/>
      <c r="E508" s="15" t="s">
        <v>930</v>
      </c>
      <c r="F508" s="15" t="s">
        <v>65</v>
      </c>
      <c r="G508" s="34">
        <v>3</v>
      </c>
      <c r="H508" s="34">
        <v>14</v>
      </c>
      <c r="I508" s="15" t="s">
        <v>38</v>
      </c>
      <c r="J508" s="15" t="s">
        <v>39</v>
      </c>
      <c r="K508" s="74" t="s">
        <v>29</v>
      </c>
      <c r="L508" s="16">
        <v>1046795</v>
      </c>
      <c r="M508" s="16">
        <v>782055</v>
      </c>
      <c r="N508" s="16">
        <v>35652</v>
      </c>
      <c r="O508" s="16">
        <v>870345</v>
      </c>
      <c r="P508" s="16">
        <v>861272</v>
      </c>
      <c r="Q508" s="16">
        <v>176450</v>
      </c>
      <c r="R508" s="16">
        <v>10194</v>
      </c>
      <c r="S508" s="16">
        <v>2</v>
      </c>
      <c r="T508" s="16">
        <v>0</v>
      </c>
      <c r="U508" s="15" t="str">
        <f t="shared" si="28"/>
        <v>Privado Estrangeiro</v>
      </c>
      <c r="V508" s="17">
        <f t="shared" si="29"/>
        <v>0.74709470335643557</v>
      </c>
      <c r="W508" s="17">
        <f t="shared" si="30"/>
        <v>5.7772740153017851E-2</v>
      </c>
      <c r="X508" s="15" t="str">
        <f t="shared" si="31"/>
        <v>Média/Pequena</v>
      </c>
      <c r="Y508" s="121" t="str" cm="1">
        <f t="array" ref="Y508">_xlfn.IFS(ISNUMBER(W508)=FALSE,"Sem dado",W508&gt;0.075,"Excelente",W508&gt;0.04,"Bom",W508&gt;0,"Fraco",TRUE,"Prejuízo")</f>
        <v>Bom</v>
      </c>
    </row>
    <row r="509" spans="1:25" ht="15" customHeight="1" x14ac:dyDescent="0.2">
      <c r="A509" s="12" t="s">
        <v>1156</v>
      </c>
      <c r="B509" s="56">
        <v>6139650</v>
      </c>
      <c r="C509" s="12"/>
      <c r="D509" s="12"/>
      <c r="E509" s="12"/>
      <c r="F509" s="12" t="s">
        <v>265</v>
      </c>
      <c r="G509" s="33">
        <v>2</v>
      </c>
      <c r="H509" s="33">
        <v>9</v>
      </c>
      <c r="I509" s="12" t="s">
        <v>1157</v>
      </c>
      <c r="J509" s="12" t="s">
        <v>74</v>
      </c>
      <c r="K509" s="73" t="s">
        <v>29</v>
      </c>
      <c r="L509" s="13">
        <v>1045667</v>
      </c>
      <c r="M509" s="13">
        <v>791425</v>
      </c>
      <c r="N509" s="13">
        <v>16542</v>
      </c>
      <c r="O509" s="13">
        <v>916279</v>
      </c>
      <c r="P509" s="13">
        <v>616008</v>
      </c>
      <c r="Q509" s="13">
        <v>129388</v>
      </c>
      <c r="R509" s="13">
        <v>4560</v>
      </c>
      <c r="S509" s="13">
        <v>0</v>
      </c>
      <c r="T509" s="13">
        <v>23</v>
      </c>
      <c r="U509" s="12" t="str">
        <f t="shared" si="28"/>
        <v>Privado Nacional</v>
      </c>
      <c r="V509" s="14">
        <f t="shared" si="29"/>
        <v>0.7568614099899873</v>
      </c>
      <c r="W509" s="14">
        <f t="shared" si="30"/>
        <v>3.5242835502519554E-2</v>
      </c>
      <c r="X509" s="12" t="str">
        <f t="shared" si="31"/>
        <v>Média/Pequena</v>
      </c>
      <c r="Y509" s="122" t="str" cm="1">
        <f t="array" ref="Y509">_xlfn.IFS(ISNUMBER(W509)=FALSE,"Sem dado",W509&gt;0.075,"Excelente",W509&gt;0.04,"Bom",W509&gt;0,"Fraco",TRUE,"Prejuízo")</f>
        <v>Fraco</v>
      </c>
    </row>
    <row r="510" spans="1:25" ht="15" customHeight="1" x14ac:dyDescent="0.2">
      <c r="A510" s="15" t="s">
        <v>1158</v>
      </c>
      <c r="B510" s="60">
        <v>3047549</v>
      </c>
      <c r="C510" s="15"/>
      <c r="D510" s="15"/>
      <c r="E510" s="15"/>
      <c r="F510" s="15" t="s">
        <v>265</v>
      </c>
      <c r="G510" s="34">
        <v>2</v>
      </c>
      <c r="H510" s="34">
        <v>9</v>
      </c>
      <c r="I510" s="15" t="s">
        <v>524</v>
      </c>
      <c r="J510" s="15" t="s">
        <v>389</v>
      </c>
      <c r="K510" s="74" t="s">
        <v>29</v>
      </c>
      <c r="L510" s="16">
        <v>1042247</v>
      </c>
      <c r="M510" s="16">
        <v>569978</v>
      </c>
      <c r="N510" s="16">
        <v>11624</v>
      </c>
      <c r="O510" s="16">
        <v>884370</v>
      </c>
      <c r="P510" s="16">
        <v>699541</v>
      </c>
      <c r="Q510" s="16">
        <v>157876</v>
      </c>
      <c r="R510" s="16">
        <v>-8044</v>
      </c>
      <c r="S510" s="16">
        <v>0</v>
      </c>
      <c r="T510" s="16">
        <v>13</v>
      </c>
      <c r="U510" s="15" t="str">
        <f t="shared" si="28"/>
        <v>Privado Nacional</v>
      </c>
      <c r="V510" s="17">
        <f t="shared" si="29"/>
        <v>0.54687420544266374</v>
      </c>
      <c r="W510" s="17">
        <f t="shared" si="30"/>
        <v>-5.0951379563708224E-2</v>
      </c>
      <c r="X510" s="15" t="str">
        <f t="shared" si="31"/>
        <v>Média/Pequena</v>
      </c>
      <c r="Y510" s="121" t="str" cm="1">
        <f t="array" ref="Y510">_xlfn.IFS(ISNUMBER(W510)=FALSE,"Sem dado",W510&gt;0.075,"Excelente",W510&gt;0.04,"Bom",W510&gt;0,"Fraco",TRUE,"Prejuízo")</f>
        <v>Prejuízo</v>
      </c>
    </row>
    <row r="511" spans="1:25" ht="15" customHeight="1" x14ac:dyDescent="0.2">
      <c r="A511" s="12" t="s">
        <v>1159</v>
      </c>
      <c r="B511" s="56">
        <v>36113876</v>
      </c>
      <c r="C511" s="12" t="s">
        <v>1160</v>
      </c>
      <c r="D511" s="12"/>
      <c r="E511" s="12" t="s">
        <v>1161</v>
      </c>
      <c r="F511" s="12" t="s">
        <v>98</v>
      </c>
      <c r="G511" s="33">
        <v>2</v>
      </c>
      <c r="H511" s="33">
        <v>16</v>
      </c>
      <c r="I511" s="12" t="s">
        <v>53</v>
      </c>
      <c r="J511" s="12" t="s">
        <v>54</v>
      </c>
      <c r="K511" s="73" t="s">
        <v>29</v>
      </c>
      <c r="L511" s="13">
        <v>1026358</v>
      </c>
      <c r="M511" s="13">
        <v>0</v>
      </c>
      <c r="N511" s="13">
        <v>597689</v>
      </c>
      <c r="O511" s="13">
        <v>906929</v>
      </c>
      <c r="P511" s="13">
        <v>783607</v>
      </c>
      <c r="Q511" s="13">
        <v>119429</v>
      </c>
      <c r="R511" s="13">
        <v>51312</v>
      </c>
      <c r="S511" s="13">
        <v>3</v>
      </c>
      <c r="T511" s="13">
        <v>0</v>
      </c>
      <c r="U511" s="12" t="str">
        <f t="shared" si="28"/>
        <v>Privado Nacional</v>
      </c>
      <c r="V511" s="14">
        <f t="shared" si="29"/>
        <v>0</v>
      </c>
      <c r="W511" s="14">
        <f t="shared" si="30"/>
        <v>0.42964439122826115</v>
      </c>
      <c r="X511" s="12" t="str">
        <f t="shared" si="31"/>
        <v>Média/Pequena</v>
      </c>
      <c r="Y511" s="122" t="str" cm="1">
        <f t="array" ref="Y511">_xlfn.IFS(ISNUMBER(W511)=FALSE,"Sem dado",W511&gt;0.075,"Excelente",W511&gt;0.04,"Bom",W511&gt;0,"Fraco",TRUE,"Prejuízo")</f>
        <v>Excelente</v>
      </c>
    </row>
    <row r="512" spans="1:25" ht="15" customHeight="1" x14ac:dyDescent="0.2">
      <c r="A512" s="15" t="s">
        <v>1162</v>
      </c>
      <c r="B512" s="60">
        <v>65913436</v>
      </c>
      <c r="C512" s="15" t="s">
        <v>67</v>
      </c>
      <c r="D512" s="15" t="s">
        <v>68</v>
      </c>
      <c r="E512" s="15" t="s">
        <v>69</v>
      </c>
      <c r="F512" s="15" t="s">
        <v>98</v>
      </c>
      <c r="G512" s="34">
        <v>2</v>
      </c>
      <c r="H512" s="34">
        <v>15</v>
      </c>
      <c r="I512" s="15" t="s">
        <v>38</v>
      </c>
      <c r="J512" s="15" t="s">
        <v>39</v>
      </c>
      <c r="K512" s="74" t="s">
        <v>29</v>
      </c>
      <c r="L512" s="16">
        <v>1013744</v>
      </c>
      <c r="M512" s="16">
        <v>0</v>
      </c>
      <c r="N512" s="16">
        <v>539515</v>
      </c>
      <c r="O512" s="16">
        <v>191510</v>
      </c>
      <c r="P512" s="16">
        <v>0</v>
      </c>
      <c r="Q512" s="16">
        <v>822234</v>
      </c>
      <c r="R512" s="16">
        <v>115644</v>
      </c>
      <c r="S512" s="16">
        <v>2</v>
      </c>
      <c r="T512" s="16">
        <v>0</v>
      </c>
      <c r="U512" s="15" t="str">
        <f t="shared" si="28"/>
        <v>Privado Nacional</v>
      </c>
      <c r="V512" s="17">
        <f t="shared" si="29"/>
        <v>0</v>
      </c>
      <c r="W512" s="17">
        <f t="shared" si="30"/>
        <v>0.14064609344785062</v>
      </c>
      <c r="X512" s="15" t="str">
        <f t="shared" si="31"/>
        <v>Média/Pequena</v>
      </c>
      <c r="Y512" s="121" t="str" cm="1">
        <f t="array" ref="Y512">_xlfn.IFS(ISNUMBER(W512)=FALSE,"Sem dado",W512&gt;0.075,"Excelente",W512&gt;0.04,"Bom",W512&gt;0,"Fraco",TRUE,"Prejuízo")</f>
        <v>Excelente</v>
      </c>
    </row>
    <row r="513" spans="1:25" ht="15" customHeight="1" x14ac:dyDescent="0.2">
      <c r="A513" s="12" t="s">
        <v>1163</v>
      </c>
      <c r="B513" s="56">
        <v>24799033</v>
      </c>
      <c r="C513" s="12"/>
      <c r="D513" s="12"/>
      <c r="E513" s="12"/>
      <c r="F513" s="12" t="s">
        <v>265</v>
      </c>
      <c r="G513" s="33">
        <v>2</v>
      </c>
      <c r="H513" s="33">
        <v>9</v>
      </c>
      <c r="I513" s="12" t="s">
        <v>1164</v>
      </c>
      <c r="J513" s="12" t="s">
        <v>389</v>
      </c>
      <c r="K513" s="73" t="s">
        <v>29</v>
      </c>
      <c r="L513" s="13">
        <v>1012361</v>
      </c>
      <c r="M513" s="13">
        <v>591960</v>
      </c>
      <c r="N513" s="13">
        <v>84705</v>
      </c>
      <c r="O513" s="13">
        <v>749388</v>
      </c>
      <c r="P513" s="13">
        <v>617346</v>
      </c>
      <c r="Q513" s="13">
        <v>262973</v>
      </c>
      <c r="R513" s="13">
        <v>-3579</v>
      </c>
      <c r="S513" s="13">
        <v>0</v>
      </c>
      <c r="T513" s="13">
        <v>16</v>
      </c>
      <c r="U513" s="12" t="str">
        <f t="shared" si="28"/>
        <v>Privado Nacional</v>
      </c>
      <c r="V513" s="14">
        <f t="shared" si="29"/>
        <v>0.58473212618818782</v>
      </c>
      <c r="W513" s="14">
        <f t="shared" si="30"/>
        <v>-1.3609762218935024E-2</v>
      </c>
      <c r="X513" s="12" t="str">
        <f t="shared" si="31"/>
        <v>Média/Pequena</v>
      </c>
      <c r="Y513" s="122" t="str" cm="1">
        <f t="array" ref="Y513">_xlfn.IFS(ISNUMBER(W513)=FALSE,"Sem dado",W513&gt;0.075,"Excelente",W513&gt;0.04,"Bom",W513&gt;0,"Fraco",TRUE,"Prejuízo")</f>
        <v>Prejuízo</v>
      </c>
    </row>
    <row r="514" spans="1:25" ht="15" customHeight="1" x14ac:dyDescent="0.2">
      <c r="A514" s="15" t="s">
        <v>1165</v>
      </c>
      <c r="B514" s="60">
        <v>5220243</v>
      </c>
      <c r="C514" s="15"/>
      <c r="D514" s="15"/>
      <c r="E514" s="15"/>
      <c r="F514" s="15" t="s">
        <v>265</v>
      </c>
      <c r="G514" s="34">
        <v>2</v>
      </c>
      <c r="H514" s="34">
        <v>9</v>
      </c>
      <c r="I514" s="15" t="s">
        <v>555</v>
      </c>
      <c r="J514" s="15" t="s">
        <v>74</v>
      </c>
      <c r="K514" s="74" t="s">
        <v>29</v>
      </c>
      <c r="L514" s="16">
        <v>1005454</v>
      </c>
      <c r="M514" s="16">
        <v>782087</v>
      </c>
      <c r="N514" s="16">
        <v>13004</v>
      </c>
      <c r="O514" s="16">
        <v>896509</v>
      </c>
      <c r="P514" s="16">
        <v>645396</v>
      </c>
      <c r="Q514" s="16">
        <v>108945</v>
      </c>
      <c r="R514" s="16">
        <v>7340</v>
      </c>
      <c r="S514" s="16">
        <v>0</v>
      </c>
      <c r="T514" s="16">
        <v>18</v>
      </c>
      <c r="U514" s="15" t="str">
        <f t="shared" si="28"/>
        <v>Privado Nacional</v>
      </c>
      <c r="V514" s="17">
        <f t="shared" si="29"/>
        <v>0.77784463535875337</v>
      </c>
      <c r="W514" s="17">
        <f t="shared" si="30"/>
        <v>6.7373445316444083E-2</v>
      </c>
      <c r="X514" s="15" t="str">
        <f t="shared" si="31"/>
        <v>Média/Pequena</v>
      </c>
      <c r="Y514" s="121" t="str" cm="1">
        <f t="array" ref="Y514">_xlfn.IFS(ISNUMBER(W514)=FALSE,"Sem dado",W514&gt;0.075,"Excelente",W514&gt;0.04,"Bom",W514&gt;0,"Fraco",TRUE,"Prejuízo")</f>
        <v>Bom</v>
      </c>
    </row>
    <row r="515" spans="1:25" ht="15" customHeight="1" x14ac:dyDescent="0.2">
      <c r="A515" s="12" t="s">
        <v>1166</v>
      </c>
      <c r="B515" s="56">
        <v>259231</v>
      </c>
      <c r="C515" s="12"/>
      <c r="D515" s="12"/>
      <c r="E515" s="12"/>
      <c r="F515" s="12" t="s">
        <v>265</v>
      </c>
      <c r="G515" s="33">
        <v>2</v>
      </c>
      <c r="H515" s="33">
        <v>9</v>
      </c>
      <c r="I515" s="12" t="s">
        <v>1167</v>
      </c>
      <c r="J515" s="12" t="s">
        <v>39</v>
      </c>
      <c r="K515" s="73" t="s">
        <v>29</v>
      </c>
      <c r="L515" s="13">
        <v>1005391</v>
      </c>
      <c r="M515" s="13">
        <v>742911</v>
      </c>
      <c r="N515" s="13">
        <v>29853</v>
      </c>
      <c r="O515" s="13">
        <v>875300</v>
      </c>
      <c r="P515" s="13">
        <v>847127</v>
      </c>
      <c r="Q515" s="13">
        <v>130091</v>
      </c>
      <c r="R515" s="13">
        <v>6264</v>
      </c>
      <c r="S515" s="13">
        <v>0</v>
      </c>
      <c r="T515" s="13">
        <v>23</v>
      </c>
      <c r="U515" s="12" t="str">
        <f t="shared" si="28"/>
        <v>Privado Nacional</v>
      </c>
      <c r="V515" s="14">
        <f t="shared" si="29"/>
        <v>0.73892744215931916</v>
      </c>
      <c r="W515" s="14">
        <f t="shared" si="30"/>
        <v>4.8150909747791931E-2</v>
      </c>
      <c r="X515" s="12" t="str">
        <f t="shared" si="31"/>
        <v>Média/Pequena</v>
      </c>
      <c r="Y515" s="122" t="str" cm="1">
        <f t="array" ref="Y515">_xlfn.IFS(ISNUMBER(W515)=FALSE,"Sem dado",W515&gt;0.075,"Excelente",W515&gt;0.04,"Bom",W515&gt;0,"Fraco",TRUE,"Prejuízo")</f>
        <v>Bom</v>
      </c>
    </row>
    <row r="516" spans="1:25" ht="15" customHeight="1" x14ac:dyDescent="0.2">
      <c r="A516" s="15" t="s">
        <v>1168</v>
      </c>
      <c r="B516" s="60">
        <v>2935307</v>
      </c>
      <c r="C516" s="15"/>
      <c r="D516" s="15"/>
      <c r="E516" s="15"/>
      <c r="F516" s="15" t="s">
        <v>265</v>
      </c>
      <c r="G516" s="34">
        <v>2</v>
      </c>
      <c r="H516" s="34">
        <v>9</v>
      </c>
      <c r="I516" s="15" t="s">
        <v>388</v>
      </c>
      <c r="J516" s="15" t="s">
        <v>389</v>
      </c>
      <c r="K516" s="74" t="s">
        <v>29</v>
      </c>
      <c r="L516" s="16">
        <v>995199</v>
      </c>
      <c r="M516" s="16">
        <v>393219</v>
      </c>
      <c r="N516" s="16">
        <v>24309</v>
      </c>
      <c r="O516" s="16">
        <v>765554</v>
      </c>
      <c r="P516" s="16">
        <v>710123</v>
      </c>
      <c r="Q516" s="16">
        <v>229645</v>
      </c>
      <c r="R516" s="16">
        <v>-145</v>
      </c>
      <c r="S516" s="16">
        <v>0</v>
      </c>
      <c r="T516" s="16">
        <v>11</v>
      </c>
      <c r="U516" s="15" t="str">
        <f t="shared" si="28"/>
        <v>Privado Nacional</v>
      </c>
      <c r="V516" s="17">
        <f t="shared" si="29"/>
        <v>0.39511595168403507</v>
      </c>
      <c r="W516" s="17">
        <f t="shared" si="30"/>
        <v>-6.3140934921291562E-4</v>
      </c>
      <c r="X516" s="15" t="str">
        <f t="shared" si="31"/>
        <v>Média/Pequena</v>
      </c>
      <c r="Y516" s="121" t="str" cm="1">
        <f t="array" ref="Y516">_xlfn.IFS(ISNUMBER(W516)=FALSE,"Sem dado",W516&gt;0.075,"Excelente",W516&gt;0.04,"Bom",W516&gt;0,"Fraco",TRUE,"Prejuízo")</f>
        <v>Prejuízo</v>
      </c>
    </row>
    <row r="517" spans="1:25" ht="15" customHeight="1" x14ac:dyDescent="0.2">
      <c r="A517" s="12" t="s">
        <v>1169</v>
      </c>
      <c r="B517" s="56">
        <v>1667766</v>
      </c>
      <c r="C517" s="12"/>
      <c r="D517" s="12"/>
      <c r="E517" s="12"/>
      <c r="F517" s="12" t="s">
        <v>265</v>
      </c>
      <c r="G517" s="33">
        <v>2</v>
      </c>
      <c r="H517" s="33">
        <v>9</v>
      </c>
      <c r="I517" s="12" t="s">
        <v>1170</v>
      </c>
      <c r="J517" s="12" t="s">
        <v>120</v>
      </c>
      <c r="K517" s="73" t="s">
        <v>29</v>
      </c>
      <c r="L517" s="13">
        <v>983845</v>
      </c>
      <c r="M517" s="13">
        <v>360619</v>
      </c>
      <c r="N517" s="13">
        <v>15303</v>
      </c>
      <c r="O517" s="13">
        <v>844666</v>
      </c>
      <c r="P517" s="13">
        <v>766276</v>
      </c>
      <c r="Q517" s="13">
        <v>139179</v>
      </c>
      <c r="R517" s="13">
        <v>11059</v>
      </c>
      <c r="S517" s="13">
        <v>0</v>
      </c>
      <c r="T517" s="13">
        <v>9</v>
      </c>
      <c r="U517" s="12" t="str">
        <f t="shared" ref="U517:U580" si="32">IFERROR(CHOOSE(G517,"Público","Privado Nacional","Privado Estrangeiro"),"n.d.")</f>
        <v>Privado Nacional</v>
      </c>
      <c r="V517" s="14">
        <f t="shared" ref="V517:V580" si="33">IF(AND(ISNUMBER(M517),ISNUMBER(L517)),IF(L517&gt;0,M517/L517,"n.d."),"NI")</f>
        <v>0.36654046114987626</v>
      </c>
      <c r="W517" s="14">
        <f t="shared" ref="W517:W580" si="34">IF(AND(ISNUMBER(R517),ISNUMBER(Q517)),IF(Q517&gt;0,R517/Q517,"n.d."),"NI")</f>
        <v>7.9458826403408567E-2</v>
      </c>
      <c r="X517" s="12" t="str">
        <f t="shared" ref="X517:X580" si="35">IF(ISNUMBER(L517),IF(L517&gt;100000000,"Grande","Média/Pequena"),"Sem dado")</f>
        <v>Média/Pequena</v>
      </c>
      <c r="Y517" s="122" t="str" cm="1">
        <f t="array" ref="Y517">_xlfn.IFS(ISNUMBER(W517)=FALSE,"Sem dado",W517&gt;0.075,"Excelente",W517&gt;0.04,"Bom",W517&gt;0,"Fraco",TRUE,"Prejuízo")</f>
        <v>Excelente</v>
      </c>
    </row>
    <row r="518" spans="1:25" ht="15" customHeight="1" x14ac:dyDescent="0.2">
      <c r="A518" s="15" t="s">
        <v>1171</v>
      </c>
      <c r="B518" s="60">
        <v>5861932</v>
      </c>
      <c r="C518" s="15"/>
      <c r="D518" s="15"/>
      <c r="E518" s="15"/>
      <c r="F518" s="15" t="s">
        <v>265</v>
      </c>
      <c r="G518" s="34">
        <v>2</v>
      </c>
      <c r="H518" s="34">
        <v>9</v>
      </c>
      <c r="I518" s="15" t="s">
        <v>1172</v>
      </c>
      <c r="J518" s="15" t="s">
        <v>217</v>
      </c>
      <c r="K518" s="74" t="s">
        <v>29</v>
      </c>
      <c r="L518" s="16">
        <v>981826</v>
      </c>
      <c r="M518" s="16">
        <v>295790</v>
      </c>
      <c r="N518" s="16">
        <v>27832</v>
      </c>
      <c r="O518" s="16">
        <v>856615</v>
      </c>
      <c r="P518" s="16">
        <v>839094</v>
      </c>
      <c r="Q518" s="16">
        <v>125211</v>
      </c>
      <c r="R518" s="16">
        <v>10141</v>
      </c>
      <c r="S518" s="16">
        <v>0</v>
      </c>
      <c r="T518" s="16">
        <v>15</v>
      </c>
      <c r="U518" s="15" t="str">
        <f t="shared" si="32"/>
        <v>Privado Nacional</v>
      </c>
      <c r="V518" s="17">
        <f t="shared" si="33"/>
        <v>0.30126519362901372</v>
      </c>
      <c r="W518" s="17">
        <f t="shared" si="34"/>
        <v>8.0991286708036833E-2</v>
      </c>
      <c r="X518" s="15" t="str">
        <f t="shared" si="35"/>
        <v>Média/Pequena</v>
      </c>
      <c r="Y518" s="121" t="str" cm="1">
        <f t="array" ref="Y518">_xlfn.IFS(ISNUMBER(W518)=FALSE,"Sem dado",W518&gt;0.075,"Excelente",W518&gt;0.04,"Bom",W518&gt;0,"Fraco",TRUE,"Prejuízo")</f>
        <v>Excelente</v>
      </c>
    </row>
    <row r="519" spans="1:25" ht="15" customHeight="1" x14ac:dyDescent="0.2">
      <c r="A519" s="12" t="s">
        <v>1173</v>
      </c>
      <c r="B519" s="56">
        <v>19869338</v>
      </c>
      <c r="C519" s="12"/>
      <c r="D519" s="12"/>
      <c r="E519" s="12"/>
      <c r="F519" s="12" t="s">
        <v>265</v>
      </c>
      <c r="G519" s="33">
        <v>2</v>
      </c>
      <c r="H519" s="33">
        <v>9</v>
      </c>
      <c r="I519" s="12" t="s">
        <v>1174</v>
      </c>
      <c r="J519" s="12" t="s">
        <v>120</v>
      </c>
      <c r="K519" s="73" t="s">
        <v>29</v>
      </c>
      <c r="L519" s="13">
        <v>981415</v>
      </c>
      <c r="M519" s="13">
        <v>326943</v>
      </c>
      <c r="N519" s="13">
        <v>29037</v>
      </c>
      <c r="O519" s="13">
        <v>841451</v>
      </c>
      <c r="P519" s="13">
        <v>809736</v>
      </c>
      <c r="Q519" s="13">
        <v>139964</v>
      </c>
      <c r="R519" s="13">
        <v>7141</v>
      </c>
      <c r="S519" s="13">
        <v>0</v>
      </c>
      <c r="T519" s="13">
        <v>24</v>
      </c>
      <c r="U519" s="12" t="str">
        <f t="shared" si="32"/>
        <v>Privado Nacional</v>
      </c>
      <c r="V519" s="14">
        <f t="shared" si="33"/>
        <v>0.3331343009837836</v>
      </c>
      <c r="W519" s="14">
        <f t="shared" si="34"/>
        <v>5.1020262353176533E-2</v>
      </c>
      <c r="X519" s="12" t="str">
        <f t="shared" si="35"/>
        <v>Média/Pequena</v>
      </c>
      <c r="Y519" s="122" t="str" cm="1">
        <f t="array" ref="Y519">_xlfn.IFS(ISNUMBER(W519)=FALSE,"Sem dado",W519&gt;0.075,"Excelente",W519&gt;0.04,"Bom",W519&gt;0,"Fraco",TRUE,"Prejuízo")</f>
        <v>Bom</v>
      </c>
    </row>
    <row r="520" spans="1:25" ht="15" customHeight="1" x14ac:dyDescent="0.2">
      <c r="A520" s="15" t="s">
        <v>1175</v>
      </c>
      <c r="B520" s="60">
        <v>66262643</v>
      </c>
      <c r="C520" s="15"/>
      <c r="D520" s="15"/>
      <c r="E520" s="15"/>
      <c r="F520" s="15" t="s">
        <v>265</v>
      </c>
      <c r="G520" s="34">
        <v>2</v>
      </c>
      <c r="H520" s="34">
        <v>9</v>
      </c>
      <c r="I520" s="15" t="s">
        <v>1176</v>
      </c>
      <c r="J520" s="15" t="s">
        <v>120</v>
      </c>
      <c r="K520" s="74" t="s">
        <v>29</v>
      </c>
      <c r="L520" s="16">
        <v>975165</v>
      </c>
      <c r="M520" s="16">
        <v>355070</v>
      </c>
      <c r="N520" s="16">
        <v>32206</v>
      </c>
      <c r="O520" s="16">
        <v>828440</v>
      </c>
      <c r="P520" s="16">
        <v>697658</v>
      </c>
      <c r="Q520" s="16">
        <v>146725</v>
      </c>
      <c r="R520" s="16">
        <v>17963</v>
      </c>
      <c r="S520" s="16">
        <v>0</v>
      </c>
      <c r="T520" s="16">
        <v>2</v>
      </c>
      <c r="U520" s="15" t="str">
        <f t="shared" si="32"/>
        <v>Privado Nacional</v>
      </c>
      <c r="V520" s="17">
        <f t="shared" si="33"/>
        <v>0.3641127398952998</v>
      </c>
      <c r="W520" s="17">
        <f t="shared" si="34"/>
        <v>0.12242630771852105</v>
      </c>
      <c r="X520" s="15" t="str">
        <f t="shared" si="35"/>
        <v>Média/Pequena</v>
      </c>
      <c r="Y520" s="121" t="str" cm="1">
        <f t="array" ref="Y520">_xlfn.IFS(ISNUMBER(W520)=FALSE,"Sem dado",W520&gt;0.075,"Excelente",W520&gt;0.04,"Bom",W520&gt;0,"Fraco",TRUE,"Prejuízo")</f>
        <v>Excelente</v>
      </c>
    </row>
    <row r="521" spans="1:25" ht="15" customHeight="1" x14ac:dyDescent="0.2">
      <c r="A521" s="12" t="s">
        <v>1177</v>
      </c>
      <c r="B521" s="56">
        <v>2447120</v>
      </c>
      <c r="C521" s="12"/>
      <c r="D521" s="12"/>
      <c r="E521" s="12"/>
      <c r="F521" s="12" t="s">
        <v>265</v>
      </c>
      <c r="G521" s="33">
        <v>2</v>
      </c>
      <c r="H521" s="33">
        <v>9</v>
      </c>
      <c r="I521" s="12" t="s">
        <v>1178</v>
      </c>
      <c r="J521" s="12" t="s">
        <v>211</v>
      </c>
      <c r="K521" s="73" t="s">
        <v>29</v>
      </c>
      <c r="L521" s="13">
        <v>973474</v>
      </c>
      <c r="M521" s="13">
        <v>348738</v>
      </c>
      <c r="N521" s="13">
        <v>147716</v>
      </c>
      <c r="O521" s="13">
        <v>751358</v>
      </c>
      <c r="P521" s="13">
        <v>668221</v>
      </c>
      <c r="Q521" s="13">
        <v>222116</v>
      </c>
      <c r="R521" s="13">
        <v>22671</v>
      </c>
      <c r="S521" s="13">
        <v>0</v>
      </c>
      <c r="T521" s="13">
        <v>11</v>
      </c>
      <c r="U521" s="12" t="str">
        <f t="shared" si="32"/>
        <v>Privado Nacional</v>
      </c>
      <c r="V521" s="14">
        <f t="shared" si="33"/>
        <v>0.35824069261223207</v>
      </c>
      <c r="W521" s="14">
        <f t="shared" si="34"/>
        <v>0.10206828864197086</v>
      </c>
      <c r="X521" s="12" t="str">
        <f t="shared" si="35"/>
        <v>Média/Pequena</v>
      </c>
      <c r="Y521" s="122" t="str" cm="1">
        <f t="array" ref="Y521">_xlfn.IFS(ISNUMBER(W521)=FALSE,"Sem dado",W521&gt;0.075,"Excelente",W521&gt;0.04,"Bom",W521&gt;0,"Fraco",TRUE,"Prejuízo")</f>
        <v>Excelente</v>
      </c>
    </row>
    <row r="522" spans="1:25" ht="15" customHeight="1" x14ac:dyDescent="0.2">
      <c r="A522" s="15" t="s">
        <v>1179</v>
      </c>
      <c r="B522" s="60">
        <v>1259518</v>
      </c>
      <c r="C522" s="15"/>
      <c r="D522" s="15"/>
      <c r="E522" s="15"/>
      <c r="F522" s="15" t="s">
        <v>265</v>
      </c>
      <c r="G522" s="34">
        <v>2</v>
      </c>
      <c r="H522" s="34">
        <v>9</v>
      </c>
      <c r="I522" s="15" t="s">
        <v>1180</v>
      </c>
      <c r="J522" s="15" t="s">
        <v>39</v>
      </c>
      <c r="K522" s="74" t="s">
        <v>29</v>
      </c>
      <c r="L522" s="16">
        <v>959998</v>
      </c>
      <c r="M522" s="16">
        <v>643694</v>
      </c>
      <c r="N522" s="16">
        <v>27761</v>
      </c>
      <c r="O522" s="16">
        <v>828369</v>
      </c>
      <c r="P522" s="16">
        <v>809469</v>
      </c>
      <c r="Q522" s="16">
        <v>131629</v>
      </c>
      <c r="R522" s="16">
        <v>7336</v>
      </c>
      <c r="S522" s="16">
        <v>0</v>
      </c>
      <c r="T522" s="16">
        <v>12</v>
      </c>
      <c r="U522" s="15" t="str">
        <f t="shared" si="32"/>
        <v>Privado Nacional</v>
      </c>
      <c r="V522" s="17">
        <f t="shared" si="33"/>
        <v>0.67051598024162551</v>
      </c>
      <c r="W522" s="17">
        <f t="shared" si="34"/>
        <v>5.5732399395270041E-2</v>
      </c>
      <c r="X522" s="15" t="str">
        <f t="shared" si="35"/>
        <v>Média/Pequena</v>
      </c>
      <c r="Y522" s="121" t="str" cm="1">
        <f t="array" ref="Y522">_xlfn.IFS(ISNUMBER(W522)=FALSE,"Sem dado",W522&gt;0.075,"Excelente",W522&gt;0.04,"Bom",W522&gt;0,"Fraco",TRUE,"Prejuízo")</f>
        <v>Bom</v>
      </c>
    </row>
    <row r="523" spans="1:25" ht="15" customHeight="1" x14ac:dyDescent="0.2">
      <c r="A523" s="12" t="s">
        <v>1181</v>
      </c>
      <c r="B523" s="56">
        <v>18945670</v>
      </c>
      <c r="C523" s="12" t="s">
        <v>116</v>
      </c>
      <c r="D523" s="12" t="s">
        <v>117</v>
      </c>
      <c r="E523" s="12" t="s">
        <v>118</v>
      </c>
      <c r="F523" s="12" t="s">
        <v>98</v>
      </c>
      <c r="G523" s="33">
        <v>2</v>
      </c>
      <c r="H523" s="33">
        <v>16</v>
      </c>
      <c r="I523" s="12" t="s">
        <v>119</v>
      </c>
      <c r="J523" s="12" t="s">
        <v>120</v>
      </c>
      <c r="K523" s="73" t="s">
        <v>29</v>
      </c>
      <c r="L523" s="13">
        <v>959927</v>
      </c>
      <c r="M523" s="13">
        <v>0</v>
      </c>
      <c r="N523" s="13">
        <v>309227</v>
      </c>
      <c r="O523" s="13">
        <v>498811</v>
      </c>
      <c r="P523" s="13">
        <v>179229</v>
      </c>
      <c r="Q523" s="13">
        <v>461116</v>
      </c>
      <c r="R523" s="13">
        <v>16927</v>
      </c>
      <c r="S523" s="13">
        <v>2</v>
      </c>
      <c r="T523" s="13">
        <v>0</v>
      </c>
      <c r="U523" s="12" t="str">
        <f t="shared" si="32"/>
        <v>Privado Nacional</v>
      </c>
      <c r="V523" s="14">
        <f t="shared" si="33"/>
        <v>0</v>
      </c>
      <c r="W523" s="14">
        <f t="shared" si="34"/>
        <v>3.6708767425116459E-2</v>
      </c>
      <c r="X523" s="12" t="str">
        <f t="shared" si="35"/>
        <v>Média/Pequena</v>
      </c>
      <c r="Y523" s="122" t="str" cm="1">
        <f t="array" ref="Y523">_xlfn.IFS(ISNUMBER(W523)=FALSE,"Sem dado",W523&gt;0.075,"Excelente",W523&gt;0.04,"Bom",W523&gt;0,"Fraco",TRUE,"Prejuízo")</f>
        <v>Fraco</v>
      </c>
    </row>
    <row r="524" spans="1:25" ht="15" customHeight="1" x14ac:dyDescent="0.2">
      <c r="A524" s="15" t="s">
        <v>1182</v>
      </c>
      <c r="B524" s="60">
        <v>5158093</v>
      </c>
      <c r="C524" s="15"/>
      <c r="D524" s="15"/>
      <c r="E524" s="15"/>
      <c r="F524" s="15" t="s">
        <v>265</v>
      </c>
      <c r="G524" s="34">
        <v>2</v>
      </c>
      <c r="H524" s="34">
        <v>9</v>
      </c>
      <c r="I524" s="15" t="s">
        <v>996</v>
      </c>
      <c r="J524" s="15" t="s">
        <v>120</v>
      </c>
      <c r="K524" s="74" t="s">
        <v>29</v>
      </c>
      <c r="L524" s="16">
        <v>956240</v>
      </c>
      <c r="M524" s="16">
        <v>612156</v>
      </c>
      <c r="N524" s="16">
        <v>16139</v>
      </c>
      <c r="O524" s="16">
        <v>810589</v>
      </c>
      <c r="P524" s="16">
        <v>747215</v>
      </c>
      <c r="Q524" s="16">
        <v>145651</v>
      </c>
      <c r="R524" s="16">
        <v>14315</v>
      </c>
      <c r="S524" s="16">
        <v>0</v>
      </c>
      <c r="T524" s="16">
        <v>5</v>
      </c>
      <c r="U524" s="15" t="str">
        <f t="shared" si="32"/>
        <v>Privado Nacional</v>
      </c>
      <c r="V524" s="17">
        <f t="shared" si="33"/>
        <v>0.64016983184137877</v>
      </c>
      <c r="W524" s="17">
        <f t="shared" si="34"/>
        <v>9.8282881682926995E-2</v>
      </c>
      <c r="X524" s="15" t="str">
        <f t="shared" si="35"/>
        <v>Média/Pequena</v>
      </c>
      <c r="Y524" s="121" t="str" cm="1">
        <f t="array" ref="Y524">_xlfn.IFS(ISNUMBER(W524)=FALSE,"Sem dado",W524&gt;0.075,"Excelente",W524&gt;0.04,"Bom",W524&gt;0,"Fraco",TRUE,"Prejuízo")</f>
        <v>Excelente</v>
      </c>
    </row>
    <row r="525" spans="1:25" ht="15" customHeight="1" x14ac:dyDescent="0.2">
      <c r="A525" s="12" t="s">
        <v>1183</v>
      </c>
      <c r="B525" s="56">
        <v>1760242</v>
      </c>
      <c r="C525" s="12"/>
      <c r="D525" s="12"/>
      <c r="E525" s="12"/>
      <c r="F525" s="12" t="s">
        <v>265</v>
      </c>
      <c r="G525" s="33">
        <v>2</v>
      </c>
      <c r="H525" s="33">
        <v>9</v>
      </c>
      <c r="I525" s="12" t="s">
        <v>119</v>
      </c>
      <c r="J525" s="12" t="s">
        <v>120</v>
      </c>
      <c r="K525" s="73" t="s">
        <v>29</v>
      </c>
      <c r="L525" s="13">
        <v>953164</v>
      </c>
      <c r="M525" s="13">
        <v>564494</v>
      </c>
      <c r="N525" s="13">
        <v>18455</v>
      </c>
      <c r="O525" s="13">
        <v>845950</v>
      </c>
      <c r="P525" s="13">
        <v>818649</v>
      </c>
      <c r="Q525" s="13">
        <v>107213</v>
      </c>
      <c r="R525" s="13">
        <v>4102</v>
      </c>
      <c r="S525" s="13">
        <v>0</v>
      </c>
      <c r="T525" s="13">
        <v>32</v>
      </c>
      <c r="U525" s="12" t="str">
        <f t="shared" si="32"/>
        <v>Privado Nacional</v>
      </c>
      <c r="V525" s="14">
        <f t="shared" si="33"/>
        <v>0.59223176704113878</v>
      </c>
      <c r="W525" s="14">
        <f t="shared" si="34"/>
        <v>3.826028559969407E-2</v>
      </c>
      <c r="X525" s="12" t="str">
        <f t="shared" si="35"/>
        <v>Média/Pequena</v>
      </c>
      <c r="Y525" s="122" t="str" cm="1">
        <f t="array" ref="Y525">_xlfn.IFS(ISNUMBER(W525)=FALSE,"Sem dado",W525&gt;0.075,"Excelente",W525&gt;0.04,"Bom",W525&gt;0,"Fraco",TRUE,"Prejuízo")</f>
        <v>Fraco</v>
      </c>
    </row>
    <row r="526" spans="1:25" ht="15" customHeight="1" x14ac:dyDescent="0.2">
      <c r="A526" s="15" t="s">
        <v>1184</v>
      </c>
      <c r="B526" s="60">
        <v>46518205</v>
      </c>
      <c r="C526" s="15" t="s">
        <v>109</v>
      </c>
      <c r="D526" s="15" t="s">
        <v>110</v>
      </c>
      <c r="E526" s="15" t="s">
        <v>111</v>
      </c>
      <c r="F526" s="15" t="s">
        <v>26</v>
      </c>
      <c r="G526" s="34">
        <v>3</v>
      </c>
      <c r="H526" s="34">
        <v>28</v>
      </c>
      <c r="I526" s="15" t="s">
        <v>38</v>
      </c>
      <c r="J526" s="15" t="s">
        <v>39</v>
      </c>
      <c r="K526" s="74" t="s">
        <v>29</v>
      </c>
      <c r="L526" s="16">
        <v>949890</v>
      </c>
      <c r="M526" s="16">
        <v>0</v>
      </c>
      <c r="N526" s="16">
        <v>0</v>
      </c>
      <c r="O526" s="16">
        <v>364062</v>
      </c>
      <c r="P526" s="16">
        <v>5816</v>
      </c>
      <c r="Q526" s="16">
        <v>585828</v>
      </c>
      <c r="R526" s="16">
        <v>20011</v>
      </c>
      <c r="S526" s="16">
        <v>2</v>
      </c>
      <c r="T526" s="16">
        <v>0</v>
      </c>
      <c r="U526" s="15" t="str">
        <f t="shared" si="32"/>
        <v>Privado Estrangeiro</v>
      </c>
      <c r="V526" s="17">
        <f t="shared" si="33"/>
        <v>0</v>
      </c>
      <c r="W526" s="17">
        <f t="shared" si="34"/>
        <v>3.4158490205316236E-2</v>
      </c>
      <c r="X526" s="15" t="str">
        <f t="shared" si="35"/>
        <v>Média/Pequena</v>
      </c>
      <c r="Y526" s="121" t="str" cm="1">
        <f t="array" ref="Y526">_xlfn.IFS(ISNUMBER(W526)=FALSE,"Sem dado",W526&gt;0.075,"Excelente",W526&gt;0.04,"Bom",W526&gt;0,"Fraco",TRUE,"Prejuízo")</f>
        <v>Fraco</v>
      </c>
    </row>
    <row r="527" spans="1:25" ht="15" customHeight="1" x14ac:dyDescent="0.2">
      <c r="A527" s="12" t="s">
        <v>1185</v>
      </c>
      <c r="B527" s="56">
        <v>46642294</v>
      </c>
      <c r="C527" s="12"/>
      <c r="D527" s="12"/>
      <c r="E527" s="12"/>
      <c r="F527" s="12" t="s">
        <v>265</v>
      </c>
      <c r="G527" s="33">
        <v>2</v>
      </c>
      <c r="H527" s="33">
        <v>9</v>
      </c>
      <c r="I527" s="12" t="s">
        <v>587</v>
      </c>
      <c r="J527" s="12" t="s">
        <v>39</v>
      </c>
      <c r="K527" s="73" t="s">
        <v>29</v>
      </c>
      <c r="L527" s="13">
        <v>947329</v>
      </c>
      <c r="M527" s="13">
        <v>537941</v>
      </c>
      <c r="N527" s="13">
        <v>377480</v>
      </c>
      <c r="O527" s="13">
        <v>482719</v>
      </c>
      <c r="P527" s="13">
        <v>443595</v>
      </c>
      <c r="Q527" s="13">
        <v>464609</v>
      </c>
      <c r="R527" s="13">
        <v>19955</v>
      </c>
      <c r="S527" s="13">
        <v>0</v>
      </c>
      <c r="T527" s="13">
        <v>27</v>
      </c>
      <c r="U527" s="12" t="str">
        <f t="shared" si="32"/>
        <v>Privado Nacional</v>
      </c>
      <c r="V527" s="14">
        <f t="shared" si="33"/>
        <v>0.56785023999054185</v>
      </c>
      <c r="W527" s="14">
        <f t="shared" si="34"/>
        <v>4.2950093519497037E-2</v>
      </c>
      <c r="X527" s="12" t="str">
        <f t="shared" si="35"/>
        <v>Média/Pequena</v>
      </c>
      <c r="Y527" s="122" t="str" cm="1">
        <f t="array" ref="Y527">_xlfn.IFS(ISNUMBER(W527)=FALSE,"Sem dado",W527&gt;0.075,"Excelente",W527&gt;0.04,"Bom",W527&gt;0,"Fraco",TRUE,"Prejuízo")</f>
        <v>Bom</v>
      </c>
    </row>
    <row r="528" spans="1:25" ht="15" customHeight="1" x14ac:dyDescent="0.2">
      <c r="A528" s="15" t="s">
        <v>1186</v>
      </c>
      <c r="B528" s="60">
        <v>25536764</v>
      </c>
      <c r="C528" s="15"/>
      <c r="D528" s="15"/>
      <c r="E528" s="15"/>
      <c r="F528" s="15" t="s">
        <v>265</v>
      </c>
      <c r="G528" s="34">
        <v>2</v>
      </c>
      <c r="H528" s="34">
        <v>9</v>
      </c>
      <c r="I528" s="15" t="s">
        <v>1187</v>
      </c>
      <c r="J528" s="15" t="s">
        <v>120</v>
      </c>
      <c r="K528" s="74" t="s">
        <v>29</v>
      </c>
      <c r="L528" s="16">
        <v>947321</v>
      </c>
      <c r="M528" s="16">
        <v>439753</v>
      </c>
      <c r="N528" s="16">
        <v>70798</v>
      </c>
      <c r="O528" s="16">
        <v>840408</v>
      </c>
      <c r="P528" s="16">
        <v>800061</v>
      </c>
      <c r="Q528" s="16">
        <v>106913</v>
      </c>
      <c r="R528" s="16">
        <v>9446</v>
      </c>
      <c r="S528" s="16">
        <v>0</v>
      </c>
      <c r="T528" s="16">
        <v>18</v>
      </c>
      <c r="U528" s="15" t="str">
        <f t="shared" si="32"/>
        <v>Privado Nacional</v>
      </c>
      <c r="V528" s="17">
        <f t="shared" si="33"/>
        <v>0.46420695835941567</v>
      </c>
      <c r="W528" s="17">
        <f t="shared" si="34"/>
        <v>8.8352211611310127E-2</v>
      </c>
      <c r="X528" s="15" t="str">
        <f t="shared" si="35"/>
        <v>Média/Pequena</v>
      </c>
      <c r="Y528" s="121" t="str" cm="1">
        <f t="array" ref="Y528">_xlfn.IFS(ISNUMBER(W528)=FALSE,"Sem dado",W528&gt;0.075,"Excelente",W528&gt;0.04,"Bom",W528&gt;0,"Fraco",TRUE,"Prejuízo")</f>
        <v>Excelente</v>
      </c>
    </row>
    <row r="529" spans="1:25" ht="15" customHeight="1" x14ac:dyDescent="0.2">
      <c r="A529" s="12" t="s">
        <v>1188</v>
      </c>
      <c r="B529" s="56">
        <v>8422119</v>
      </c>
      <c r="C529" s="12" t="s">
        <v>1189</v>
      </c>
      <c r="D529" s="12"/>
      <c r="E529" s="12" t="s">
        <v>1190</v>
      </c>
      <c r="F529" s="12" t="s">
        <v>84</v>
      </c>
      <c r="G529" s="33">
        <v>2</v>
      </c>
      <c r="H529" s="33">
        <v>41</v>
      </c>
      <c r="I529" s="12" t="s">
        <v>38</v>
      </c>
      <c r="J529" s="12" t="s">
        <v>39</v>
      </c>
      <c r="K529" s="73" t="s">
        <v>29</v>
      </c>
      <c r="L529" s="13">
        <v>943218</v>
      </c>
      <c r="M529" s="13">
        <v>105732</v>
      </c>
      <c r="N529" s="13">
        <v>203601</v>
      </c>
      <c r="O529" s="13">
        <v>675581</v>
      </c>
      <c r="P529" s="13">
        <v>397008</v>
      </c>
      <c r="Q529" s="13">
        <v>267637</v>
      </c>
      <c r="R529" s="13">
        <v>51793</v>
      </c>
      <c r="S529" s="13">
        <v>1</v>
      </c>
      <c r="T529" s="13">
        <v>0</v>
      </c>
      <c r="U529" s="12" t="str">
        <f t="shared" si="32"/>
        <v>Privado Nacional</v>
      </c>
      <c r="V529" s="14">
        <f t="shared" si="33"/>
        <v>0.11209709738363771</v>
      </c>
      <c r="W529" s="14">
        <f t="shared" si="34"/>
        <v>0.19351958062599714</v>
      </c>
      <c r="X529" s="12" t="str">
        <f t="shared" si="35"/>
        <v>Média/Pequena</v>
      </c>
      <c r="Y529" s="122" t="str" cm="1">
        <f t="array" ref="Y529">_xlfn.IFS(ISNUMBER(W529)=FALSE,"Sem dado",W529&gt;0.075,"Excelente",W529&gt;0.04,"Bom",W529&gt;0,"Fraco",TRUE,"Prejuízo")</f>
        <v>Excelente</v>
      </c>
    </row>
    <row r="530" spans="1:25" ht="15" customHeight="1" x14ac:dyDescent="0.2">
      <c r="A530" s="15" t="s">
        <v>1191</v>
      </c>
      <c r="B530" s="60">
        <v>24830879</v>
      </c>
      <c r="C530" s="15"/>
      <c r="D530" s="15"/>
      <c r="E530" s="15"/>
      <c r="F530" s="15" t="s">
        <v>265</v>
      </c>
      <c r="G530" s="34">
        <v>2</v>
      </c>
      <c r="H530" s="34">
        <v>9</v>
      </c>
      <c r="I530" s="15" t="s">
        <v>1192</v>
      </c>
      <c r="J530" s="15" t="s">
        <v>389</v>
      </c>
      <c r="K530" s="74" t="s">
        <v>29</v>
      </c>
      <c r="L530" s="16">
        <v>941722</v>
      </c>
      <c r="M530" s="16">
        <v>402614</v>
      </c>
      <c r="N530" s="16">
        <v>20608</v>
      </c>
      <c r="O530" s="16">
        <v>576020</v>
      </c>
      <c r="P530" s="16">
        <v>542483</v>
      </c>
      <c r="Q530" s="16">
        <v>365703</v>
      </c>
      <c r="R530" s="16">
        <v>24960</v>
      </c>
      <c r="S530" s="16">
        <v>0</v>
      </c>
      <c r="T530" s="16">
        <v>4</v>
      </c>
      <c r="U530" s="15" t="str">
        <f t="shared" si="32"/>
        <v>Privado Nacional</v>
      </c>
      <c r="V530" s="17">
        <f t="shared" si="33"/>
        <v>0.42752956817404714</v>
      </c>
      <c r="W530" s="17">
        <f t="shared" si="34"/>
        <v>6.8252106217340305E-2</v>
      </c>
      <c r="X530" s="15" t="str">
        <f t="shared" si="35"/>
        <v>Média/Pequena</v>
      </c>
      <c r="Y530" s="121" t="str" cm="1">
        <f t="array" ref="Y530">_xlfn.IFS(ISNUMBER(W530)=FALSE,"Sem dado",W530&gt;0.075,"Excelente",W530&gt;0.04,"Bom",W530&gt;0,"Fraco",TRUE,"Prejuízo")</f>
        <v>Bom</v>
      </c>
    </row>
    <row r="531" spans="1:25" ht="15" customHeight="1" x14ac:dyDescent="0.2">
      <c r="A531" s="12" t="s">
        <v>1193</v>
      </c>
      <c r="B531" s="56">
        <v>26178111</v>
      </c>
      <c r="C531" s="12"/>
      <c r="D531" s="12"/>
      <c r="E531" s="12"/>
      <c r="F531" s="12" t="s">
        <v>265</v>
      </c>
      <c r="G531" s="33">
        <v>2</v>
      </c>
      <c r="H531" s="33">
        <v>9</v>
      </c>
      <c r="I531" s="12" t="s">
        <v>1144</v>
      </c>
      <c r="J531" s="12" t="s">
        <v>120</v>
      </c>
      <c r="K531" s="73" t="s">
        <v>29</v>
      </c>
      <c r="L531" s="13">
        <v>939792</v>
      </c>
      <c r="M531" s="13">
        <v>343944</v>
      </c>
      <c r="N531" s="13">
        <v>21854</v>
      </c>
      <c r="O531" s="13">
        <v>778978</v>
      </c>
      <c r="P531" s="13">
        <v>688254</v>
      </c>
      <c r="Q531" s="13">
        <v>160814</v>
      </c>
      <c r="R531" s="13">
        <v>8338</v>
      </c>
      <c r="S531" s="13">
        <v>0</v>
      </c>
      <c r="T531" s="13">
        <v>6</v>
      </c>
      <c r="U531" s="12" t="str">
        <f t="shared" si="32"/>
        <v>Privado Nacional</v>
      </c>
      <c r="V531" s="14">
        <f t="shared" si="33"/>
        <v>0.36597885489555138</v>
      </c>
      <c r="W531" s="14">
        <f t="shared" si="34"/>
        <v>5.1848719638837415E-2</v>
      </c>
      <c r="X531" s="12" t="str">
        <f t="shared" si="35"/>
        <v>Média/Pequena</v>
      </c>
      <c r="Y531" s="122" t="str" cm="1">
        <f t="array" ref="Y531">_xlfn.IFS(ISNUMBER(W531)=FALSE,"Sem dado",W531&gt;0.075,"Excelente",W531&gt;0.04,"Bom",W531&gt;0,"Fraco",TRUE,"Prejuízo")</f>
        <v>Bom</v>
      </c>
    </row>
    <row r="532" spans="1:25" ht="15" customHeight="1" x14ac:dyDescent="0.2">
      <c r="A532" s="15" t="s">
        <v>1194</v>
      </c>
      <c r="B532" s="60">
        <v>34265561</v>
      </c>
      <c r="C532" s="15" t="s">
        <v>167</v>
      </c>
      <c r="D532" s="15" t="s">
        <v>168</v>
      </c>
      <c r="E532" s="15" t="s">
        <v>169</v>
      </c>
      <c r="F532" s="15" t="s">
        <v>65</v>
      </c>
      <c r="G532" s="34">
        <v>2</v>
      </c>
      <c r="H532" s="34">
        <v>19</v>
      </c>
      <c r="I532" s="15" t="s">
        <v>38</v>
      </c>
      <c r="J532" s="15" t="s">
        <v>39</v>
      </c>
      <c r="K532" s="74" t="s">
        <v>29</v>
      </c>
      <c r="L532" s="16">
        <v>938679</v>
      </c>
      <c r="M532" s="16">
        <v>0</v>
      </c>
      <c r="N532" s="16">
        <v>763352</v>
      </c>
      <c r="O532" s="16">
        <v>166479</v>
      </c>
      <c r="P532" s="16">
        <v>0</v>
      </c>
      <c r="Q532" s="16">
        <v>772199</v>
      </c>
      <c r="R532" s="16">
        <v>47979</v>
      </c>
      <c r="S532" s="16">
        <v>2</v>
      </c>
      <c r="T532" s="16">
        <v>0</v>
      </c>
      <c r="U532" s="15" t="str">
        <f t="shared" si="32"/>
        <v>Privado Nacional</v>
      </c>
      <c r="V532" s="17">
        <f t="shared" si="33"/>
        <v>0</v>
      </c>
      <c r="W532" s="17">
        <f t="shared" si="34"/>
        <v>6.2132947595114729E-2</v>
      </c>
      <c r="X532" s="15" t="str">
        <f t="shared" si="35"/>
        <v>Média/Pequena</v>
      </c>
      <c r="Y532" s="121" t="str" cm="1">
        <f t="array" ref="Y532">_xlfn.IFS(ISNUMBER(W532)=FALSE,"Sem dado",W532&gt;0.075,"Excelente",W532&gt;0.04,"Bom",W532&gt;0,"Fraco",TRUE,"Prejuízo")</f>
        <v>Bom</v>
      </c>
    </row>
    <row r="533" spans="1:25" ht="15" customHeight="1" x14ac:dyDescent="0.2">
      <c r="A533" s="12" t="s">
        <v>1195</v>
      </c>
      <c r="B533" s="56">
        <v>71238232</v>
      </c>
      <c r="C533" s="12"/>
      <c r="D533" s="12"/>
      <c r="E533" s="12"/>
      <c r="F533" s="12" t="s">
        <v>265</v>
      </c>
      <c r="G533" s="33">
        <v>2</v>
      </c>
      <c r="H533" s="33">
        <v>9</v>
      </c>
      <c r="I533" s="12" t="s">
        <v>1196</v>
      </c>
      <c r="J533" s="12" t="s">
        <v>120</v>
      </c>
      <c r="K533" s="73" t="s">
        <v>29</v>
      </c>
      <c r="L533" s="13">
        <v>937029</v>
      </c>
      <c r="M533" s="13">
        <v>387340</v>
      </c>
      <c r="N533" s="13">
        <v>120213</v>
      </c>
      <c r="O533" s="13">
        <v>774654</v>
      </c>
      <c r="P533" s="13">
        <v>684123</v>
      </c>
      <c r="Q533" s="13">
        <v>162375</v>
      </c>
      <c r="R533" s="13">
        <v>23053</v>
      </c>
      <c r="S533" s="13">
        <v>0</v>
      </c>
      <c r="T533" s="13">
        <v>14</v>
      </c>
      <c r="U533" s="12" t="str">
        <f t="shared" si="32"/>
        <v>Privado Nacional</v>
      </c>
      <c r="V533" s="14">
        <f t="shared" si="33"/>
        <v>0.41337034392745581</v>
      </c>
      <c r="W533" s="14">
        <f t="shared" si="34"/>
        <v>0.1419738260200154</v>
      </c>
      <c r="X533" s="12" t="str">
        <f t="shared" si="35"/>
        <v>Média/Pequena</v>
      </c>
      <c r="Y533" s="122" t="str" cm="1">
        <f t="array" ref="Y533">_xlfn.IFS(ISNUMBER(W533)=FALSE,"Sem dado",W533&gt;0.075,"Excelente",W533&gt;0.04,"Bom",W533&gt;0,"Fraco",TRUE,"Prejuízo")</f>
        <v>Excelente</v>
      </c>
    </row>
    <row r="534" spans="1:25" ht="15" customHeight="1" x14ac:dyDescent="0.2">
      <c r="A534" s="15" t="s">
        <v>1197</v>
      </c>
      <c r="B534" s="60">
        <v>5883884</v>
      </c>
      <c r="C534" s="15" t="s">
        <v>1198</v>
      </c>
      <c r="D534" s="15"/>
      <c r="E534" s="15" t="s">
        <v>1199</v>
      </c>
      <c r="F534" s="15" t="s">
        <v>65</v>
      </c>
      <c r="G534" s="34">
        <v>3</v>
      </c>
      <c r="H534" s="34">
        <v>19</v>
      </c>
      <c r="I534" s="15" t="s">
        <v>107</v>
      </c>
      <c r="J534" s="15" t="s">
        <v>39</v>
      </c>
      <c r="K534" s="74" t="s">
        <v>29</v>
      </c>
      <c r="L534" s="16">
        <v>936459</v>
      </c>
      <c r="M534" s="16">
        <v>513699</v>
      </c>
      <c r="N534" s="16">
        <v>130</v>
      </c>
      <c r="O534" s="16">
        <v>781251</v>
      </c>
      <c r="P534" s="16">
        <v>500877</v>
      </c>
      <c r="Q534" s="16">
        <v>155207</v>
      </c>
      <c r="R534" s="16">
        <v>25386</v>
      </c>
      <c r="S534" s="16">
        <v>2</v>
      </c>
      <c r="T534" s="16">
        <v>0</v>
      </c>
      <c r="U534" s="15" t="str">
        <f t="shared" si="32"/>
        <v>Privado Estrangeiro</v>
      </c>
      <c r="V534" s="17">
        <f t="shared" si="33"/>
        <v>0.54855471515570886</v>
      </c>
      <c r="W534" s="17">
        <f t="shared" si="34"/>
        <v>0.1635622104673114</v>
      </c>
      <c r="X534" s="15" t="str">
        <f t="shared" si="35"/>
        <v>Média/Pequena</v>
      </c>
      <c r="Y534" s="121" t="str" cm="1">
        <f t="array" ref="Y534">_xlfn.IFS(ISNUMBER(W534)=FALSE,"Sem dado",W534&gt;0.075,"Excelente",W534&gt;0.04,"Bom",W534&gt;0,"Fraco",TRUE,"Prejuízo")</f>
        <v>Excelente</v>
      </c>
    </row>
    <row r="535" spans="1:25" ht="15" customHeight="1" x14ac:dyDescent="0.2">
      <c r="A535" s="12" t="s">
        <v>1200</v>
      </c>
      <c r="B535" s="56">
        <v>22121209</v>
      </c>
      <c r="C535" s="12" t="s">
        <v>1201</v>
      </c>
      <c r="D535" s="12"/>
      <c r="E535" s="12" t="s">
        <v>1202</v>
      </c>
      <c r="F535" s="12" t="s">
        <v>84</v>
      </c>
      <c r="G535" s="33">
        <v>3</v>
      </c>
      <c r="H535" s="33">
        <v>41</v>
      </c>
      <c r="I535" s="12" t="s">
        <v>38</v>
      </c>
      <c r="J535" s="12" t="s">
        <v>39</v>
      </c>
      <c r="K535" s="73" t="s">
        <v>29</v>
      </c>
      <c r="L535" s="13">
        <v>935604</v>
      </c>
      <c r="M535" s="13">
        <v>0</v>
      </c>
      <c r="N535" s="13">
        <v>71302</v>
      </c>
      <c r="O535" s="13">
        <v>856291</v>
      </c>
      <c r="P535" s="13">
        <v>0</v>
      </c>
      <c r="Q535" s="13">
        <v>79313</v>
      </c>
      <c r="R535" s="13">
        <v>4938</v>
      </c>
      <c r="S535" s="13">
        <v>1</v>
      </c>
      <c r="T535" s="13">
        <v>0</v>
      </c>
      <c r="U535" s="12" t="str">
        <f t="shared" si="32"/>
        <v>Privado Estrangeiro</v>
      </c>
      <c r="V535" s="14">
        <f t="shared" si="33"/>
        <v>0</v>
      </c>
      <c r="W535" s="14">
        <f t="shared" si="34"/>
        <v>6.2259654785470228E-2</v>
      </c>
      <c r="X535" s="12" t="str">
        <f t="shared" si="35"/>
        <v>Média/Pequena</v>
      </c>
      <c r="Y535" s="122" t="str" cm="1">
        <f t="array" ref="Y535">_xlfn.IFS(ISNUMBER(W535)=FALSE,"Sem dado",W535&gt;0.075,"Excelente",W535&gt;0.04,"Bom",W535&gt;0,"Fraco",TRUE,"Prejuízo")</f>
        <v>Bom</v>
      </c>
    </row>
    <row r="536" spans="1:25" ht="15" customHeight="1" x14ac:dyDescent="0.2">
      <c r="A536" s="15" t="s">
        <v>1203</v>
      </c>
      <c r="B536" s="60">
        <v>76461557</v>
      </c>
      <c r="C536" s="15"/>
      <c r="D536" s="15"/>
      <c r="E536" s="15"/>
      <c r="F536" s="15" t="s">
        <v>265</v>
      </c>
      <c r="G536" s="34">
        <v>2</v>
      </c>
      <c r="H536" s="34">
        <v>9</v>
      </c>
      <c r="I536" s="15" t="s">
        <v>971</v>
      </c>
      <c r="J536" s="15" t="s">
        <v>229</v>
      </c>
      <c r="K536" s="74" t="s">
        <v>29</v>
      </c>
      <c r="L536" s="16">
        <v>919995</v>
      </c>
      <c r="M536" s="16">
        <v>449858</v>
      </c>
      <c r="N536" s="16">
        <v>420136</v>
      </c>
      <c r="O536" s="16">
        <v>625255</v>
      </c>
      <c r="P536" s="16">
        <v>601883</v>
      </c>
      <c r="Q536" s="16">
        <v>294739</v>
      </c>
      <c r="R536" s="16">
        <v>21476</v>
      </c>
      <c r="S536" s="16">
        <v>0</v>
      </c>
      <c r="T536" s="16">
        <v>2</v>
      </c>
      <c r="U536" s="15" t="str">
        <f t="shared" si="32"/>
        <v>Privado Nacional</v>
      </c>
      <c r="V536" s="17">
        <f t="shared" si="33"/>
        <v>0.48897874444969808</v>
      </c>
      <c r="W536" s="17">
        <f t="shared" si="34"/>
        <v>7.2864466528012914E-2</v>
      </c>
      <c r="X536" s="15" t="str">
        <f t="shared" si="35"/>
        <v>Média/Pequena</v>
      </c>
      <c r="Y536" s="121" t="str" cm="1">
        <f t="array" ref="Y536">_xlfn.IFS(ISNUMBER(W536)=FALSE,"Sem dado",W536&gt;0.075,"Excelente",W536&gt;0.04,"Bom",W536&gt;0,"Fraco",TRUE,"Prejuízo")</f>
        <v>Bom</v>
      </c>
    </row>
    <row r="537" spans="1:25" ht="15" customHeight="1" x14ac:dyDescent="0.2">
      <c r="A537" s="12" t="s">
        <v>1204</v>
      </c>
      <c r="B537" s="56">
        <v>10218474</v>
      </c>
      <c r="C537" s="12"/>
      <c r="D537" s="12"/>
      <c r="E537" s="12"/>
      <c r="F537" s="12" t="s">
        <v>265</v>
      </c>
      <c r="G537" s="33">
        <v>2</v>
      </c>
      <c r="H537" s="33">
        <v>9</v>
      </c>
      <c r="I537" s="12" t="s">
        <v>1205</v>
      </c>
      <c r="J537" s="12" t="s">
        <v>217</v>
      </c>
      <c r="K537" s="73" t="s">
        <v>29</v>
      </c>
      <c r="L537" s="13">
        <v>919638</v>
      </c>
      <c r="M537" s="13">
        <v>675720</v>
      </c>
      <c r="N537" s="13">
        <v>23417</v>
      </c>
      <c r="O537" s="13">
        <v>803468</v>
      </c>
      <c r="P537" s="13">
        <v>677792</v>
      </c>
      <c r="Q537" s="13">
        <v>116170</v>
      </c>
      <c r="R537" s="13">
        <v>4470</v>
      </c>
      <c r="S537" s="13">
        <v>0</v>
      </c>
      <c r="T537" s="13">
        <v>20</v>
      </c>
      <c r="U537" s="12" t="str">
        <f t="shared" si="32"/>
        <v>Privado Nacional</v>
      </c>
      <c r="V537" s="14">
        <f t="shared" si="33"/>
        <v>0.73476737585876184</v>
      </c>
      <c r="W537" s="14">
        <f t="shared" si="34"/>
        <v>3.8478092450718773E-2</v>
      </c>
      <c r="X537" s="12" t="str">
        <f t="shared" si="35"/>
        <v>Média/Pequena</v>
      </c>
      <c r="Y537" s="122" t="str" cm="1">
        <f t="array" ref="Y537">_xlfn.IFS(ISNUMBER(W537)=FALSE,"Sem dado",W537&gt;0.075,"Excelente",W537&gt;0.04,"Bom",W537&gt;0,"Fraco",TRUE,"Prejuízo")</f>
        <v>Fraco</v>
      </c>
    </row>
    <row r="538" spans="1:25" ht="15" customHeight="1" x14ac:dyDescent="0.2">
      <c r="A538" s="15" t="s">
        <v>1206</v>
      </c>
      <c r="B538" s="60">
        <v>11969853</v>
      </c>
      <c r="C538" s="15"/>
      <c r="D538" s="15"/>
      <c r="E538" s="15"/>
      <c r="F538" s="15" t="s">
        <v>265</v>
      </c>
      <c r="G538" s="34">
        <v>2</v>
      </c>
      <c r="H538" s="34">
        <v>9</v>
      </c>
      <c r="I538" s="15" t="s">
        <v>340</v>
      </c>
      <c r="J538" s="15" t="s">
        <v>229</v>
      </c>
      <c r="K538" s="74" t="s">
        <v>29</v>
      </c>
      <c r="L538" s="16">
        <v>918101</v>
      </c>
      <c r="M538" s="16">
        <v>683744</v>
      </c>
      <c r="N538" s="16">
        <v>13330</v>
      </c>
      <c r="O538" s="16">
        <v>812471</v>
      </c>
      <c r="P538" s="16">
        <v>504888</v>
      </c>
      <c r="Q538" s="16">
        <v>105630</v>
      </c>
      <c r="R538" s="16">
        <v>-1196</v>
      </c>
      <c r="S538" s="16">
        <v>0</v>
      </c>
      <c r="T538" s="16">
        <v>17</v>
      </c>
      <c r="U538" s="15" t="str">
        <f t="shared" si="32"/>
        <v>Privado Nacional</v>
      </c>
      <c r="V538" s="17">
        <f t="shared" si="33"/>
        <v>0.74473723479225051</v>
      </c>
      <c r="W538" s="17">
        <f t="shared" si="34"/>
        <v>-1.1322540944807346E-2</v>
      </c>
      <c r="X538" s="15" t="str">
        <f t="shared" si="35"/>
        <v>Média/Pequena</v>
      </c>
      <c r="Y538" s="121" t="str" cm="1">
        <f t="array" ref="Y538">_xlfn.IFS(ISNUMBER(W538)=FALSE,"Sem dado",W538&gt;0.075,"Excelente",W538&gt;0.04,"Bom",W538&gt;0,"Fraco",TRUE,"Prejuízo")</f>
        <v>Prejuízo</v>
      </c>
    </row>
    <row r="539" spans="1:25" ht="15" customHeight="1" x14ac:dyDescent="0.2">
      <c r="A539" s="12" t="s">
        <v>1207</v>
      </c>
      <c r="B539" s="56">
        <v>9403026</v>
      </c>
      <c r="C539" s="12"/>
      <c r="D539" s="12"/>
      <c r="E539" s="12"/>
      <c r="F539" s="12" t="s">
        <v>265</v>
      </c>
      <c r="G539" s="33">
        <v>2</v>
      </c>
      <c r="H539" s="33">
        <v>9</v>
      </c>
      <c r="I539" s="12" t="s">
        <v>1208</v>
      </c>
      <c r="J539" s="12" t="s">
        <v>1209</v>
      </c>
      <c r="K539" s="73" t="s">
        <v>29</v>
      </c>
      <c r="L539" s="13">
        <v>908447</v>
      </c>
      <c r="M539" s="13">
        <v>642823</v>
      </c>
      <c r="N539" s="13">
        <v>28657</v>
      </c>
      <c r="O539" s="13">
        <v>761271</v>
      </c>
      <c r="P539" s="13">
        <v>570821</v>
      </c>
      <c r="Q539" s="13">
        <v>147175</v>
      </c>
      <c r="R539" s="13">
        <v>-2595</v>
      </c>
      <c r="S539" s="13">
        <v>0</v>
      </c>
      <c r="T539" s="13">
        <v>26</v>
      </c>
      <c r="U539" s="12" t="str">
        <f t="shared" si="32"/>
        <v>Privado Nacional</v>
      </c>
      <c r="V539" s="14">
        <f t="shared" si="33"/>
        <v>0.70760649768230843</v>
      </c>
      <c r="W539" s="14">
        <f t="shared" si="34"/>
        <v>-1.7632070664175301E-2</v>
      </c>
      <c r="X539" s="12" t="str">
        <f t="shared" si="35"/>
        <v>Média/Pequena</v>
      </c>
      <c r="Y539" s="122" t="str" cm="1">
        <f t="array" ref="Y539">_xlfn.IFS(ISNUMBER(W539)=FALSE,"Sem dado",W539&gt;0.075,"Excelente",W539&gt;0.04,"Bom",W539&gt;0,"Fraco",TRUE,"Prejuízo")</f>
        <v>Prejuízo</v>
      </c>
    </row>
    <row r="540" spans="1:25" ht="15" customHeight="1" x14ac:dyDescent="0.2">
      <c r="A540" s="15" t="s">
        <v>1210</v>
      </c>
      <c r="B540" s="60">
        <v>86389236</v>
      </c>
      <c r="C540" s="15"/>
      <c r="D540" s="15"/>
      <c r="E540" s="15"/>
      <c r="F540" s="15" t="s">
        <v>265</v>
      </c>
      <c r="G540" s="34">
        <v>2</v>
      </c>
      <c r="H540" s="34">
        <v>9</v>
      </c>
      <c r="I540" s="15" t="s">
        <v>1211</v>
      </c>
      <c r="J540" s="15" t="s">
        <v>120</v>
      </c>
      <c r="K540" s="74" t="s">
        <v>29</v>
      </c>
      <c r="L540" s="16">
        <v>904147</v>
      </c>
      <c r="M540" s="16">
        <v>395074</v>
      </c>
      <c r="N540" s="16">
        <v>24782</v>
      </c>
      <c r="O540" s="16">
        <v>819220</v>
      </c>
      <c r="P540" s="16">
        <v>771304</v>
      </c>
      <c r="Q540" s="16">
        <v>84927</v>
      </c>
      <c r="R540" s="16">
        <v>-1573</v>
      </c>
      <c r="S540" s="16">
        <v>0</v>
      </c>
      <c r="T540" s="16">
        <v>31</v>
      </c>
      <c r="U540" s="15" t="str">
        <f t="shared" si="32"/>
        <v>Privado Nacional</v>
      </c>
      <c r="V540" s="17">
        <f t="shared" si="33"/>
        <v>0.43695770709851384</v>
      </c>
      <c r="W540" s="17">
        <f t="shared" si="34"/>
        <v>-1.8521789301400027E-2</v>
      </c>
      <c r="X540" s="15" t="str">
        <f t="shared" si="35"/>
        <v>Média/Pequena</v>
      </c>
      <c r="Y540" s="121" t="str" cm="1">
        <f t="array" ref="Y540">_xlfn.IFS(ISNUMBER(W540)=FALSE,"Sem dado",W540&gt;0.075,"Excelente",W540&gt;0.04,"Bom",W540&gt;0,"Fraco",TRUE,"Prejuízo")</f>
        <v>Prejuízo</v>
      </c>
    </row>
    <row r="541" spans="1:25" ht="15" customHeight="1" x14ac:dyDescent="0.2">
      <c r="A541" s="12" t="s">
        <v>1212</v>
      </c>
      <c r="B541" s="56">
        <v>26960328</v>
      </c>
      <c r="C541" s="12"/>
      <c r="D541" s="12"/>
      <c r="E541" s="12"/>
      <c r="F541" s="12" t="s">
        <v>265</v>
      </c>
      <c r="G541" s="33">
        <v>2</v>
      </c>
      <c r="H541" s="33">
        <v>9</v>
      </c>
      <c r="I541" s="12" t="s">
        <v>1213</v>
      </c>
      <c r="J541" s="12" t="s">
        <v>1214</v>
      </c>
      <c r="K541" s="73" t="s">
        <v>29</v>
      </c>
      <c r="L541" s="13">
        <v>903959</v>
      </c>
      <c r="M541" s="13">
        <v>439439</v>
      </c>
      <c r="N541" s="13">
        <v>25554</v>
      </c>
      <c r="O541" s="13">
        <v>771559</v>
      </c>
      <c r="P541" s="13">
        <v>688227</v>
      </c>
      <c r="Q541" s="13">
        <v>132400</v>
      </c>
      <c r="R541" s="13">
        <v>10991</v>
      </c>
      <c r="S541" s="13">
        <v>0</v>
      </c>
      <c r="T541" s="13">
        <v>17</v>
      </c>
      <c r="U541" s="12" t="str">
        <f t="shared" si="32"/>
        <v>Privado Nacional</v>
      </c>
      <c r="V541" s="14">
        <f t="shared" si="33"/>
        <v>0.4861271362971108</v>
      </c>
      <c r="W541" s="14">
        <f t="shared" si="34"/>
        <v>8.3013595166163148E-2</v>
      </c>
      <c r="X541" s="12" t="str">
        <f t="shared" si="35"/>
        <v>Média/Pequena</v>
      </c>
      <c r="Y541" s="122" t="str" cm="1">
        <f t="array" ref="Y541">_xlfn.IFS(ISNUMBER(W541)=FALSE,"Sem dado",W541&gt;0.075,"Excelente",W541&gt;0.04,"Bom",W541&gt;0,"Fraco",TRUE,"Prejuízo")</f>
        <v>Excelente</v>
      </c>
    </row>
    <row r="542" spans="1:25" ht="15" customHeight="1" x14ac:dyDescent="0.2">
      <c r="A542" s="15" t="s">
        <v>1215</v>
      </c>
      <c r="B542" s="60">
        <v>36658769</v>
      </c>
      <c r="C542" s="15" t="s">
        <v>1216</v>
      </c>
      <c r="D542" s="15"/>
      <c r="E542" s="15" t="s">
        <v>1217</v>
      </c>
      <c r="F542" s="15" t="s">
        <v>60</v>
      </c>
      <c r="G542" s="34">
        <v>3</v>
      </c>
      <c r="H542" s="34">
        <v>8</v>
      </c>
      <c r="I542" s="15" t="s">
        <v>1218</v>
      </c>
      <c r="J542" s="15" t="s">
        <v>120</v>
      </c>
      <c r="K542" s="74" t="s">
        <v>29</v>
      </c>
      <c r="L542" s="16">
        <v>900852</v>
      </c>
      <c r="M542" s="16">
        <v>828395</v>
      </c>
      <c r="N542" s="16">
        <v>31617</v>
      </c>
      <c r="O542" s="16">
        <v>628163</v>
      </c>
      <c r="P542" s="16">
        <v>569682</v>
      </c>
      <c r="Q542" s="16">
        <v>272689</v>
      </c>
      <c r="R542" s="16">
        <v>8897</v>
      </c>
      <c r="S542" s="16">
        <v>2</v>
      </c>
      <c r="T542" s="16">
        <v>0</v>
      </c>
      <c r="U542" s="15" t="str">
        <f t="shared" si="32"/>
        <v>Privado Estrangeiro</v>
      </c>
      <c r="V542" s="17">
        <f t="shared" si="33"/>
        <v>0.91956836417080723</v>
      </c>
      <c r="W542" s="17">
        <f t="shared" si="34"/>
        <v>3.2626911976647389E-2</v>
      </c>
      <c r="X542" s="15" t="str">
        <f t="shared" si="35"/>
        <v>Média/Pequena</v>
      </c>
      <c r="Y542" s="121" t="str" cm="1">
        <f t="array" ref="Y542">_xlfn.IFS(ISNUMBER(W542)=FALSE,"Sem dado",W542&gt;0.075,"Excelente",W542&gt;0.04,"Bom",W542&gt;0,"Fraco",TRUE,"Prejuízo")</f>
        <v>Fraco</v>
      </c>
    </row>
    <row r="543" spans="1:25" ht="15" customHeight="1" x14ac:dyDescent="0.2">
      <c r="A543" s="12" t="s">
        <v>1219</v>
      </c>
      <c r="B543" s="56">
        <v>4013172</v>
      </c>
      <c r="C543" s="12"/>
      <c r="D543" s="12"/>
      <c r="E543" s="12"/>
      <c r="F543" s="12" t="s">
        <v>265</v>
      </c>
      <c r="G543" s="33">
        <v>2</v>
      </c>
      <c r="H543" s="33">
        <v>9</v>
      </c>
      <c r="I543" s="12" t="s">
        <v>934</v>
      </c>
      <c r="J543" s="12" t="s">
        <v>39</v>
      </c>
      <c r="K543" s="73" t="s">
        <v>29</v>
      </c>
      <c r="L543" s="13">
        <v>897475</v>
      </c>
      <c r="M543" s="13">
        <v>514939</v>
      </c>
      <c r="N543" s="13">
        <v>159765</v>
      </c>
      <c r="O543" s="13">
        <v>808472</v>
      </c>
      <c r="P543" s="13">
        <v>746847</v>
      </c>
      <c r="Q543" s="13">
        <v>89003</v>
      </c>
      <c r="R543" s="13">
        <v>-174</v>
      </c>
      <c r="S543" s="13">
        <v>0</v>
      </c>
      <c r="T543" s="13">
        <v>11</v>
      </c>
      <c r="U543" s="12" t="str">
        <f t="shared" si="32"/>
        <v>Privado Nacional</v>
      </c>
      <c r="V543" s="14">
        <f t="shared" si="33"/>
        <v>0.57376417170394722</v>
      </c>
      <c r="W543" s="14">
        <f t="shared" si="34"/>
        <v>-1.9549902812264755E-3</v>
      </c>
      <c r="X543" s="12" t="str">
        <f t="shared" si="35"/>
        <v>Média/Pequena</v>
      </c>
      <c r="Y543" s="122" t="str" cm="1">
        <f t="array" ref="Y543">_xlfn.IFS(ISNUMBER(W543)=FALSE,"Sem dado",W543&gt;0.075,"Excelente",W543&gt;0.04,"Bom",W543&gt;0,"Fraco",TRUE,"Prejuízo")</f>
        <v>Prejuízo</v>
      </c>
    </row>
    <row r="544" spans="1:25" ht="15" customHeight="1" x14ac:dyDescent="0.2">
      <c r="A544" s="15" t="s">
        <v>1220</v>
      </c>
      <c r="B544" s="60">
        <v>1559914</v>
      </c>
      <c r="C544" s="15"/>
      <c r="D544" s="15"/>
      <c r="E544" s="15"/>
      <c r="F544" s="15" t="s">
        <v>265</v>
      </c>
      <c r="G544" s="34">
        <v>2</v>
      </c>
      <c r="H544" s="34">
        <v>9</v>
      </c>
      <c r="I544" s="15" t="s">
        <v>992</v>
      </c>
      <c r="J544" s="15" t="s">
        <v>120</v>
      </c>
      <c r="K544" s="74" t="s">
        <v>29</v>
      </c>
      <c r="L544" s="16">
        <v>896171</v>
      </c>
      <c r="M544" s="16">
        <v>302241</v>
      </c>
      <c r="N544" s="16">
        <v>24535</v>
      </c>
      <c r="O544" s="16">
        <v>775065</v>
      </c>
      <c r="P544" s="16">
        <v>725714</v>
      </c>
      <c r="Q544" s="16">
        <v>121105</v>
      </c>
      <c r="R544" s="16">
        <v>16184</v>
      </c>
      <c r="S544" s="16">
        <v>0</v>
      </c>
      <c r="T544" s="16">
        <v>19</v>
      </c>
      <c r="U544" s="15" t="str">
        <f t="shared" si="32"/>
        <v>Privado Nacional</v>
      </c>
      <c r="V544" s="17">
        <f t="shared" si="33"/>
        <v>0.33725817952154219</v>
      </c>
      <c r="W544" s="17">
        <f t="shared" si="34"/>
        <v>0.13363610090417408</v>
      </c>
      <c r="X544" s="15" t="str">
        <f t="shared" si="35"/>
        <v>Média/Pequena</v>
      </c>
      <c r="Y544" s="121" t="str" cm="1">
        <f t="array" ref="Y544">_xlfn.IFS(ISNUMBER(W544)=FALSE,"Sem dado",W544&gt;0.075,"Excelente",W544&gt;0.04,"Bom",W544&gt;0,"Fraco",TRUE,"Prejuízo")</f>
        <v>Excelente</v>
      </c>
    </row>
    <row r="545" spans="1:25" ht="15" customHeight="1" x14ac:dyDescent="0.2">
      <c r="A545" s="12" t="s">
        <v>1221</v>
      </c>
      <c r="B545" s="56">
        <v>1286361</v>
      </c>
      <c r="C545" s="12"/>
      <c r="D545" s="12"/>
      <c r="E545" s="12"/>
      <c r="F545" s="12" t="s">
        <v>265</v>
      </c>
      <c r="G545" s="33">
        <v>2</v>
      </c>
      <c r="H545" s="33">
        <v>9</v>
      </c>
      <c r="I545" s="12" t="s">
        <v>670</v>
      </c>
      <c r="J545" s="12" t="s">
        <v>229</v>
      </c>
      <c r="K545" s="73" t="s">
        <v>29</v>
      </c>
      <c r="L545" s="13">
        <v>892378</v>
      </c>
      <c r="M545" s="13">
        <v>524002</v>
      </c>
      <c r="N545" s="13">
        <v>9398</v>
      </c>
      <c r="O545" s="13">
        <v>823567</v>
      </c>
      <c r="P545" s="13">
        <v>811224</v>
      </c>
      <c r="Q545" s="13">
        <v>68811</v>
      </c>
      <c r="R545" s="13">
        <v>-18798</v>
      </c>
      <c r="S545" s="13">
        <v>0</v>
      </c>
      <c r="T545" s="13">
        <v>18</v>
      </c>
      <c r="U545" s="12" t="str">
        <f t="shared" si="32"/>
        <v>Privado Nacional</v>
      </c>
      <c r="V545" s="14">
        <f t="shared" si="33"/>
        <v>0.58719735358782932</v>
      </c>
      <c r="W545" s="14">
        <f t="shared" si="34"/>
        <v>-0.27318306666085362</v>
      </c>
      <c r="X545" s="12" t="str">
        <f t="shared" si="35"/>
        <v>Média/Pequena</v>
      </c>
      <c r="Y545" s="122" t="str" cm="1">
        <f t="array" ref="Y545">_xlfn.IFS(ISNUMBER(W545)=FALSE,"Sem dado",W545&gt;0.075,"Excelente",W545&gt;0.04,"Bom",W545&gt;0,"Fraco",TRUE,"Prejuízo")</f>
        <v>Prejuízo</v>
      </c>
    </row>
    <row r="546" spans="1:25" ht="15" customHeight="1" x14ac:dyDescent="0.2">
      <c r="A546" s="15" t="s">
        <v>1222</v>
      </c>
      <c r="B546" s="60">
        <v>53935029</v>
      </c>
      <c r="C546" s="15"/>
      <c r="D546" s="15"/>
      <c r="E546" s="15"/>
      <c r="F546" s="15" t="s">
        <v>265</v>
      </c>
      <c r="G546" s="34">
        <v>2</v>
      </c>
      <c r="H546" s="34">
        <v>9</v>
      </c>
      <c r="I546" s="15" t="s">
        <v>1223</v>
      </c>
      <c r="J546" s="15" t="s">
        <v>39</v>
      </c>
      <c r="K546" s="74" t="s">
        <v>29</v>
      </c>
      <c r="L546" s="16">
        <v>890785</v>
      </c>
      <c r="M546" s="16">
        <v>269069</v>
      </c>
      <c r="N546" s="16">
        <v>48726</v>
      </c>
      <c r="O546" s="16">
        <v>600783</v>
      </c>
      <c r="P546" s="16">
        <v>548688</v>
      </c>
      <c r="Q546" s="16">
        <v>290002</v>
      </c>
      <c r="R546" s="16">
        <v>16907</v>
      </c>
      <c r="S546" s="16">
        <v>0</v>
      </c>
      <c r="T546" s="16">
        <v>13</v>
      </c>
      <c r="U546" s="15" t="str">
        <f t="shared" si="32"/>
        <v>Privado Nacional</v>
      </c>
      <c r="V546" s="17">
        <f t="shared" si="33"/>
        <v>0.30205829689543495</v>
      </c>
      <c r="W546" s="17">
        <f t="shared" si="34"/>
        <v>5.8299597933807353E-2</v>
      </c>
      <c r="X546" s="15" t="str">
        <f t="shared" si="35"/>
        <v>Média/Pequena</v>
      </c>
      <c r="Y546" s="121" t="str" cm="1">
        <f t="array" ref="Y546">_xlfn.IFS(ISNUMBER(W546)=FALSE,"Sem dado",W546&gt;0.075,"Excelente",W546&gt;0.04,"Bom",W546&gt;0,"Fraco",TRUE,"Prejuízo")</f>
        <v>Bom</v>
      </c>
    </row>
    <row r="547" spans="1:25" ht="15" customHeight="1" x14ac:dyDescent="0.2">
      <c r="A547" s="12" t="s">
        <v>1224</v>
      </c>
      <c r="B547" s="56">
        <v>1152097</v>
      </c>
      <c r="C547" s="12"/>
      <c r="D547" s="12"/>
      <c r="E547" s="12"/>
      <c r="F547" s="12" t="s">
        <v>265</v>
      </c>
      <c r="G547" s="33">
        <v>2</v>
      </c>
      <c r="H547" s="33">
        <v>9</v>
      </c>
      <c r="I547" s="12" t="s">
        <v>1225</v>
      </c>
      <c r="J547" s="12" t="s">
        <v>120</v>
      </c>
      <c r="K547" s="73" t="s">
        <v>29</v>
      </c>
      <c r="L547" s="13">
        <v>890567</v>
      </c>
      <c r="M547" s="13">
        <v>354928</v>
      </c>
      <c r="N547" s="13">
        <v>20513</v>
      </c>
      <c r="O547" s="13">
        <v>768801</v>
      </c>
      <c r="P547" s="13">
        <v>677626</v>
      </c>
      <c r="Q547" s="13">
        <v>121766</v>
      </c>
      <c r="R547" s="13">
        <v>5299</v>
      </c>
      <c r="S547" s="13">
        <v>0</v>
      </c>
      <c r="T547" s="13">
        <v>19</v>
      </c>
      <c r="U547" s="12" t="str">
        <f t="shared" si="32"/>
        <v>Privado Nacional</v>
      </c>
      <c r="V547" s="14">
        <f t="shared" si="33"/>
        <v>0.3985416032707253</v>
      </c>
      <c r="W547" s="14">
        <f t="shared" si="34"/>
        <v>4.3517894978893946E-2</v>
      </c>
      <c r="X547" s="12" t="str">
        <f t="shared" si="35"/>
        <v>Média/Pequena</v>
      </c>
      <c r="Y547" s="122" t="str" cm="1">
        <f t="array" ref="Y547">_xlfn.IFS(ISNUMBER(W547)=FALSE,"Sem dado",W547&gt;0.075,"Excelente",W547&gt;0.04,"Bom",W547&gt;0,"Fraco",TRUE,"Prejuízo")</f>
        <v>Bom</v>
      </c>
    </row>
    <row r="548" spans="1:25" ht="15" customHeight="1" x14ac:dyDescent="0.2">
      <c r="A548" s="15" t="s">
        <v>1226</v>
      </c>
      <c r="B548" s="60">
        <v>71243034</v>
      </c>
      <c r="C548" s="15"/>
      <c r="D548" s="15"/>
      <c r="E548" s="15"/>
      <c r="F548" s="15" t="s">
        <v>265</v>
      </c>
      <c r="G548" s="34">
        <v>2</v>
      </c>
      <c r="H548" s="34">
        <v>9</v>
      </c>
      <c r="I548" s="15" t="s">
        <v>1227</v>
      </c>
      <c r="J548" s="15" t="s">
        <v>120</v>
      </c>
      <c r="K548" s="74" t="s">
        <v>29</v>
      </c>
      <c r="L548" s="16">
        <v>881780</v>
      </c>
      <c r="M548" s="16">
        <v>276402</v>
      </c>
      <c r="N548" s="16">
        <v>16382</v>
      </c>
      <c r="O548" s="16">
        <v>714246</v>
      </c>
      <c r="P548" s="16">
        <v>646955</v>
      </c>
      <c r="Q548" s="16">
        <v>167534</v>
      </c>
      <c r="R548" s="16">
        <v>14266</v>
      </c>
      <c r="S548" s="16">
        <v>0</v>
      </c>
      <c r="T548" s="16">
        <v>26</v>
      </c>
      <c r="U548" s="15" t="str">
        <f t="shared" si="32"/>
        <v>Privado Nacional</v>
      </c>
      <c r="V548" s="17">
        <f t="shared" si="33"/>
        <v>0.3134591394678945</v>
      </c>
      <c r="W548" s="17">
        <f t="shared" si="34"/>
        <v>8.5152864493177507E-2</v>
      </c>
      <c r="X548" s="15" t="str">
        <f t="shared" si="35"/>
        <v>Média/Pequena</v>
      </c>
      <c r="Y548" s="121" t="str" cm="1">
        <f t="array" ref="Y548">_xlfn.IFS(ISNUMBER(W548)=FALSE,"Sem dado",W548&gt;0.075,"Excelente",W548&gt;0.04,"Bom",W548&gt;0,"Fraco",TRUE,"Prejuízo")</f>
        <v>Excelente</v>
      </c>
    </row>
    <row r="549" spans="1:25" ht="15" customHeight="1" x14ac:dyDescent="0.2">
      <c r="A549" s="12" t="s">
        <v>1228</v>
      </c>
      <c r="B549" s="56">
        <v>12392983</v>
      </c>
      <c r="C549" s="12" t="s">
        <v>1229</v>
      </c>
      <c r="D549" s="12"/>
      <c r="E549" s="12" t="s">
        <v>1230</v>
      </c>
      <c r="F549" s="12" t="s">
        <v>98</v>
      </c>
      <c r="G549" s="33">
        <v>3</v>
      </c>
      <c r="H549" s="33">
        <v>15</v>
      </c>
      <c r="I549" s="12" t="s">
        <v>38</v>
      </c>
      <c r="J549" s="12" t="s">
        <v>39</v>
      </c>
      <c r="K549" s="73" t="s">
        <v>29</v>
      </c>
      <c r="L549" s="13">
        <v>873478</v>
      </c>
      <c r="M549" s="13">
        <v>0</v>
      </c>
      <c r="N549" s="13">
        <v>392215</v>
      </c>
      <c r="O549" s="13">
        <v>472658</v>
      </c>
      <c r="P549" s="13">
        <v>174584</v>
      </c>
      <c r="Q549" s="13">
        <v>400820</v>
      </c>
      <c r="R549" s="13">
        <v>9853</v>
      </c>
      <c r="S549" s="13">
        <v>2</v>
      </c>
      <c r="T549" s="13">
        <v>0</v>
      </c>
      <c r="U549" s="12" t="str">
        <f t="shared" si="32"/>
        <v>Privado Estrangeiro</v>
      </c>
      <c r="V549" s="14">
        <f t="shared" si="33"/>
        <v>0</v>
      </c>
      <c r="W549" s="14">
        <f t="shared" si="34"/>
        <v>2.4582106681303329E-2</v>
      </c>
      <c r="X549" s="12" t="str">
        <f t="shared" si="35"/>
        <v>Média/Pequena</v>
      </c>
      <c r="Y549" s="122" t="str" cm="1">
        <f t="array" ref="Y549">_xlfn.IFS(ISNUMBER(W549)=FALSE,"Sem dado",W549&gt;0.075,"Excelente",W549&gt;0.04,"Bom",W549&gt;0,"Fraco",TRUE,"Prejuízo")</f>
        <v>Fraco</v>
      </c>
    </row>
    <row r="550" spans="1:25" ht="15" customHeight="1" x14ac:dyDescent="0.2">
      <c r="A550" s="15" t="s">
        <v>1231</v>
      </c>
      <c r="B550" s="60">
        <v>46743943</v>
      </c>
      <c r="C550" s="15" t="s">
        <v>35</v>
      </c>
      <c r="D550" s="15" t="s">
        <v>36</v>
      </c>
      <c r="E550" s="15" t="s">
        <v>37</v>
      </c>
      <c r="F550" s="15" t="s">
        <v>65</v>
      </c>
      <c r="G550" s="34">
        <v>2</v>
      </c>
      <c r="H550" s="34">
        <v>43</v>
      </c>
      <c r="I550" s="15" t="s">
        <v>38</v>
      </c>
      <c r="J550" s="15" t="s">
        <v>39</v>
      </c>
      <c r="K550" s="74" t="s">
        <v>29</v>
      </c>
      <c r="L550" s="16">
        <v>871158</v>
      </c>
      <c r="M550" s="16">
        <v>0</v>
      </c>
      <c r="N550" s="16">
        <v>1</v>
      </c>
      <c r="O550" s="16">
        <v>34577</v>
      </c>
      <c r="P550" s="16">
        <v>0</v>
      </c>
      <c r="Q550" s="16">
        <v>836581</v>
      </c>
      <c r="R550" s="16">
        <v>83175</v>
      </c>
      <c r="S550" s="16">
        <v>2</v>
      </c>
      <c r="T550" s="16">
        <v>0</v>
      </c>
      <c r="U550" s="15" t="str">
        <f t="shared" si="32"/>
        <v>Privado Nacional</v>
      </c>
      <c r="V550" s="17">
        <f t="shared" si="33"/>
        <v>0</v>
      </c>
      <c r="W550" s="17">
        <f t="shared" si="34"/>
        <v>9.9422530514080523E-2</v>
      </c>
      <c r="X550" s="15" t="str">
        <f t="shared" si="35"/>
        <v>Média/Pequena</v>
      </c>
      <c r="Y550" s="121" t="str" cm="1">
        <f t="array" ref="Y550">_xlfn.IFS(ISNUMBER(W550)=FALSE,"Sem dado",W550&gt;0.075,"Excelente",W550&gt;0.04,"Bom",W550&gt;0,"Fraco",TRUE,"Prejuízo")</f>
        <v>Excelente</v>
      </c>
    </row>
    <row r="551" spans="1:25" ht="15" customHeight="1" x14ac:dyDescent="0.2">
      <c r="A551" s="12" t="s">
        <v>1232</v>
      </c>
      <c r="B551" s="56">
        <v>7469260</v>
      </c>
      <c r="C551" s="12"/>
      <c r="D551" s="12"/>
      <c r="E551" s="12"/>
      <c r="F551" s="12" t="s">
        <v>265</v>
      </c>
      <c r="G551" s="33">
        <v>2</v>
      </c>
      <c r="H551" s="33">
        <v>9</v>
      </c>
      <c r="I551" s="12" t="s">
        <v>119</v>
      </c>
      <c r="J551" s="12" t="s">
        <v>120</v>
      </c>
      <c r="K551" s="73" t="s">
        <v>29</v>
      </c>
      <c r="L551" s="13">
        <v>870252</v>
      </c>
      <c r="M551" s="13">
        <v>254668</v>
      </c>
      <c r="N551" s="13">
        <v>12702</v>
      </c>
      <c r="O551" s="13">
        <v>750063</v>
      </c>
      <c r="P551" s="13">
        <v>740631</v>
      </c>
      <c r="Q551" s="13">
        <v>120189</v>
      </c>
      <c r="R551" s="13">
        <v>10769</v>
      </c>
      <c r="S551" s="13">
        <v>0</v>
      </c>
      <c r="T551" s="13">
        <v>0</v>
      </c>
      <c r="U551" s="12" t="str">
        <f t="shared" si="32"/>
        <v>Privado Nacional</v>
      </c>
      <c r="V551" s="14">
        <f t="shared" si="33"/>
        <v>0.29263707523797705</v>
      </c>
      <c r="W551" s="14">
        <f t="shared" si="34"/>
        <v>8.9600545807020607E-2</v>
      </c>
      <c r="X551" s="12" t="str">
        <f t="shared" si="35"/>
        <v>Média/Pequena</v>
      </c>
      <c r="Y551" s="122" t="str" cm="1">
        <f t="array" ref="Y551">_xlfn.IFS(ISNUMBER(W551)=FALSE,"Sem dado",W551&gt;0.075,"Excelente",W551&gt;0.04,"Bom",W551&gt;0,"Fraco",TRUE,"Prejuízo")</f>
        <v>Excelente</v>
      </c>
    </row>
    <row r="552" spans="1:25" ht="15" customHeight="1" x14ac:dyDescent="0.2">
      <c r="A552" s="15" t="s">
        <v>1233</v>
      </c>
      <c r="B552" s="60">
        <v>1009908</v>
      </c>
      <c r="C552" s="15"/>
      <c r="D552" s="15"/>
      <c r="E552" s="15"/>
      <c r="F552" s="15" t="s">
        <v>265</v>
      </c>
      <c r="G552" s="34">
        <v>2</v>
      </c>
      <c r="H552" s="34">
        <v>9</v>
      </c>
      <c r="I552" s="15" t="s">
        <v>1153</v>
      </c>
      <c r="J552" s="15" t="s">
        <v>120</v>
      </c>
      <c r="K552" s="74" t="s">
        <v>29</v>
      </c>
      <c r="L552" s="16">
        <v>864128</v>
      </c>
      <c r="M552" s="16">
        <v>254444</v>
      </c>
      <c r="N552" s="16">
        <v>11977</v>
      </c>
      <c r="O552" s="16">
        <v>772144</v>
      </c>
      <c r="P552" s="16">
        <v>750266</v>
      </c>
      <c r="Q552" s="16">
        <v>91984</v>
      </c>
      <c r="R552" s="16">
        <v>12534</v>
      </c>
      <c r="S552" s="16">
        <v>0</v>
      </c>
      <c r="T552" s="16">
        <v>4</v>
      </c>
      <c r="U552" s="15" t="str">
        <f t="shared" si="32"/>
        <v>Privado Nacional</v>
      </c>
      <c r="V552" s="17">
        <f t="shared" si="33"/>
        <v>0.29445174788920159</v>
      </c>
      <c r="W552" s="17">
        <f t="shared" si="34"/>
        <v>0.13626282831796835</v>
      </c>
      <c r="X552" s="15" t="str">
        <f t="shared" si="35"/>
        <v>Média/Pequena</v>
      </c>
      <c r="Y552" s="121" t="str" cm="1">
        <f t="array" ref="Y552">_xlfn.IFS(ISNUMBER(W552)=FALSE,"Sem dado",W552&gt;0.075,"Excelente",W552&gt;0.04,"Bom",W552&gt;0,"Fraco",TRUE,"Prejuízo")</f>
        <v>Excelente</v>
      </c>
    </row>
    <row r="553" spans="1:25" ht="15" customHeight="1" x14ac:dyDescent="0.2">
      <c r="A553" s="12" t="s">
        <v>1234</v>
      </c>
      <c r="B553" s="56">
        <v>3502968</v>
      </c>
      <c r="C553" s="12" t="s">
        <v>46</v>
      </c>
      <c r="D553" s="12" t="s">
        <v>47</v>
      </c>
      <c r="E553" s="12" t="s">
        <v>48</v>
      </c>
      <c r="F553" s="12" t="s">
        <v>98</v>
      </c>
      <c r="G553" s="33">
        <v>3</v>
      </c>
      <c r="H553" s="33">
        <v>16</v>
      </c>
      <c r="I553" s="12" t="s">
        <v>38</v>
      </c>
      <c r="J553" s="12" t="s">
        <v>39</v>
      </c>
      <c r="K553" s="73" t="s">
        <v>29</v>
      </c>
      <c r="L553" s="13">
        <v>863362</v>
      </c>
      <c r="M553" s="13">
        <v>0</v>
      </c>
      <c r="N553" s="13">
        <v>335807</v>
      </c>
      <c r="O553" s="13">
        <v>52988</v>
      </c>
      <c r="P553" s="13">
        <v>0</v>
      </c>
      <c r="Q553" s="13">
        <v>810374</v>
      </c>
      <c r="R553" s="13">
        <v>62557</v>
      </c>
      <c r="S553" s="13">
        <v>2</v>
      </c>
      <c r="T553" s="13">
        <v>0</v>
      </c>
      <c r="U553" s="12" t="str">
        <f t="shared" si="32"/>
        <v>Privado Estrangeiro</v>
      </c>
      <c r="V553" s="14">
        <f t="shared" si="33"/>
        <v>0</v>
      </c>
      <c r="W553" s="14">
        <f t="shared" si="34"/>
        <v>7.7195220972045009E-2</v>
      </c>
      <c r="X553" s="12" t="str">
        <f t="shared" si="35"/>
        <v>Média/Pequena</v>
      </c>
      <c r="Y553" s="122" t="str" cm="1">
        <f t="array" ref="Y553">_xlfn.IFS(ISNUMBER(W553)=FALSE,"Sem dado",W553&gt;0.075,"Excelente",W553&gt;0.04,"Bom",W553&gt;0,"Fraco",TRUE,"Prejuízo")</f>
        <v>Excelente</v>
      </c>
    </row>
    <row r="554" spans="1:25" ht="15" customHeight="1" x14ac:dyDescent="0.2">
      <c r="A554" s="15" t="s">
        <v>1235</v>
      </c>
      <c r="B554" s="60">
        <v>8055016</v>
      </c>
      <c r="C554" s="15"/>
      <c r="D554" s="15"/>
      <c r="E554" s="15"/>
      <c r="F554" s="15" t="s">
        <v>265</v>
      </c>
      <c r="G554" s="34">
        <v>2</v>
      </c>
      <c r="H554" s="34">
        <v>9</v>
      </c>
      <c r="I554" s="15" t="s">
        <v>1236</v>
      </c>
      <c r="J554" s="15" t="s">
        <v>217</v>
      </c>
      <c r="K554" s="74" t="s">
        <v>29</v>
      </c>
      <c r="L554" s="16">
        <v>860468</v>
      </c>
      <c r="M554" s="16">
        <v>617651</v>
      </c>
      <c r="N554" s="16">
        <v>35207</v>
      </c>
      <c r="O554" s="16">
        <v>726360</v>
      </c>
      <c r="P554" s="16">
        <v>474788</v>
      </c>
      <c r="Q554" s="16">
        <v>134108</v>
      </c>
      <c r="R554" s="16">
        <v>8198</v>
      </c>
      <c r="S554" s="16">
        <v>0</v>
      </c>
      <c r="T554" s="16">
        <v>16</v>
      </c>
      <c r="U554" s="15" t="str">
        <f t="shared" si="32"/>
        <v>Privado Nacional</v>
      </c>
      <c r="V554" s="17">
        <f t="shared" si="33"/>
        <v>0.71780821599408695</v>
      </c>
      <c r="W554" s="17">
        <f t="shared" si="34"/>
        <v>6.1129835654845352E-2</v>
      </c>
      <c r="X554" s="15" t="str">
        <f t="shared" si="35"/>
        <v>Média/Pequena</v>
      </c>
      <c r="Y554" s="121" t="str" cm="1">
        <f t="array" ref="Y554">_xlfn.IFS(ISNUMBER(W554)=FALSE,"Sem dado",W554&gt;0.075,"Excelente",W554&gt;0.04,"Bom",W554&gt;0,"Fraco",TRUE,"Prejuízo")</f>
        <v>Bom</v>
      </c>
    </row>
    <row r="555" spans="1:25" ht="15" customHeight="1" x14ac:dyDescent="0.2">
      <c r="A555" s="12" t="s">
        <v>1237</v>
      </c>
      <c r="B555" s="56">
        <v>3877288</v>
      </c>
      <c r="C555" s="12" t="s">
        <v>1052</v>
      </c>
      <c r="D555" s="12"/>
      <c r="E555" s="12" t="s">
        <v>1053</v>
      </c>
      <c r="F555" s="12" t="s">
        <v>84</v>
      </c>
      <c r="G555" s="33">
        <v>2</v>
      </c>
      <c r="H555" s="33">
        <v>41</v>
      </c>
      <c r="I555" s="12" t="s">
        <v>228</v>
      </c>
      <c r="J555" s="12" t="s">
        <v>229</v>
      </c>
      <c r="K555" s="73" t="s">
        <v>29</v>
      </c>
      <c r="L555" s="13">
        <v>846527</v>
      </c>
      <c r="M555" s="13">
        <v>428653</v>
      </c>
      <c r="N555" s="13">
        <v>149714</v>
      </c>
      <c r="O555" s="13">
        <v>753892</v>
      </c>
      <c r="P555" s="13">
        <v>137651</v>
      </c>
      <c r="Q555" s="13">
        <v>92635</v>
      </c>
      <c r="R555" s="13">
        <v>3411</v>
      </c>
      <c r="S555" s="13">
        <v>1</v>
      </c>
      <c r="T555" s="13">
        <v>0</v>
      </c>
      <c r="U555" s="12" t="str">
        <f t="shared" si="32"/>
        <v>Privado Nacional</v>
      </c>
      <c r="V555" s="14">
        <f t="shared" si="33"/>
        <v>0.50636660141968304</v>
      </c>
      <c r="W555" s="14">
        <f t="shared" si="34"/>
        <v>3.682193555351649E-2</v>
      </c>
      <c r="X555" s="12" t="str">
        <f t="shared" si="35"/>
        <v>Média/Pequena</v>
      </c>
      <c r="Y555" s="122" t="str" cm="1">
        <f t="array" ref="Y555">_xlfn.IFS(ISNUMBER(W555)=FALSE,"Sem dado",W555&gt;0.075,"Excelente",W555&gt;0.04,"Bom",W555&gt;0,"Fraco",TRUE,"Prejuízo")</f>
        <v>Fraco</v>
      </c>
    </row>
    <row r="556" spans="1:25" ht="15" customHeight="1" x14ac:dyDescent="0.2">
      <c r="A556" s="15" t="s">
        <v>1238</v>
      </c>
      <c r="B556" s="60">
        <v>78862083</v>
      </c>
      <c r="C556" s="15"/>
      <c r="D556" s="15"/>
      <c r="E556" s="15"/>
      <c r="F556" s="15" t="s">
        <v>265</v>
      </c>
      <c r="G556" s="34">
        <v>2</v>
      </c>
      <c r="H556" s="34">
        <v>9</v>
      </c>
      <c r="I556" s="15" t="s">
        <v>1239</v>
      </c>
      <c r="J556" s="15" t="s">
        <v>217</v>
      </c>
      <c r="K556" s="74" t="s">
        <v>29</v>
      </c>
      <c r="L556" s="16">
        <v>837101</v>
      </c>
      <c r="M556" s="16">
        <v>537962</v>
      </c>
      <c r="N556" s="16">
        <v>23814</v>
      </c>
      <c r="O556" s="16">
        <v>724243</v>
      </c>
      <c r="P556" s="16">
        <v>578850</v>
      </c>
      <c r="Q556" s="16">
        <v>112858</v>
      </c>
      <c r="R556" s="16">
        <v>5870</v>
      </c>
      <c r="S556" s="16">
        <v>0</v>
      </c>
      <c r="T556" s="16">
        <v>13</v>
      </c>
      <c r="U556" s="15" t="str">
        <f t="shared" si="32"/>
        <v>Privado Nacional</v>
      </c>
      <c r="V556" s="17">
        <f t="shared" si="33"/>
        <v>0.64264885599228772</v>
      </c>
      <c r="W556" s="17">
        <f t="shared" si="34"/>
        <v>5.2012263198001028E-2</v>
      </c>
      <c r="X556" s="15" t="str">
        <f t="shared" si="35"/>
        <v>Média/Pequena</v>
      </c>
      <c r="Y556" s="121" t="str" cm="1">
        <f t="array" ref="Y556">_xlfn.IFS(ISNUMBER(W556)=FALSE,"Sem dado",W556&gt;0.075,"Excelente",W556&gt;0.04,"Bom",W556&gt;0,"Fraco",TRUE,"Prejuízo")</f>
        <v>Bom</v>
      </c>
    </row>
    <row r="557" spans="1:25" ht="15" customHeight="1" x14ac:dyDescent="0.2">
      <c r="A557" s="12" t="s">
        <v>1240</v>
      </c>
      <c r="B557" s="56">
        <v>3046391</v>
      </c>
      <c r="C557" s="12"/>
      <c r="D557" s="12"/>
      <c r="E557" s="12"/>
      <c r="F557" s="12" t="s">
        <v>199</v>
      </c>
      <c r="G557" s="33">
        <v>2</v>
      </c>
      <c r="H557" s="33">
        <v>9</v>
      </c>
      <c r="I557" s="12" t="s">
        <v>372</v>
      </c>
      <c r="J557" s="12" t="s">
        <v>229</v>
      </c>
      <c r="K557" s="73" t="s">
        <v>29</v>
      </c>
      <c r="L557" s="13">
        <v>829065</v>
      </c>
      <c r="M557" s="13">
        <v>0</v>
      </c>
      <c r="N557" s="13">
        <v>666217</v>
      </c>
      <c r="O557" s="13">
        <v>799689</v>
      </c>
      <c r="P557" s="13">
        <v>2068</v>
      </c>
      <c r="Q557" s="13">
        <v>29376</v>
      </c>
      <c r="R557" s="13">
        <v>-737</v>
      </c>
      <c r="S557" s="13">
        <v>0</v>
      </c>
      <c r="T557" s="13">
        <v>3</v>
      </c>
      <c r="U557" s="12" t="str">
        <f t="shared" si="32"/>
        <v>Privado Nacional</v>
      </c>
      <c r="V557" s="14">
        <f t="shared" si="33"/>
        <v>0</v>
      </c>
      <c r="W557" s="14">
        <f t="shared" si="34"/>
        <v>-2.508850762527233E-2</v>
      </c>
      <c r="X557" s="12" t="str">
        <f t="shared" si="35"/>
        <v>Média/Pequena</v>
      </c>
      <c r="Y557" s="122" t="str" cm="1">
        <f t="array" ref="Y557">_xlfn.IFS(ISNUMBER(W557)=FALSE,"Sem dado",W557&gt;0.075,"Excelente",W557&gt;0.04,"Bom",W557&gt;0,"Fraco",TRUE,"Prejuízo")</f>
        <v>Prejuízo</v>
      </c>
    </row>
    <row r="558" spans="1:25" ht="15" customHeight="1" x14ac:dyDescent="0.2">
      <c r="A558" s="15" t="s">
        <v>1241</v>
      </c>
      <c r="B558" s="60">
        <v>5940203</v>
      </c>
      <c r="C558" s="15" t="s">
        <v>1242</v>
      </c>
      <c r="D558" s="15"/>
      <c r="E558" s="15" t="s">
        <v>1243</v>
      </c>
      <c r="F558" s="15" t="s">
        <v>65</v>
      </c>
      <c r="G558" s="34">
        <v>1</v>
      </c>
      <c r="H558" s="34">
        <v>30</v>
      </c>
      <c r="I558" s="15" t="s">
        <v>53</v>
      </c>
      <c r="J558" s="15" t="s">
        <v>54</v>
      </c>
      <c r="K558" s="74" t="s">
        <v>29</v>
      </c>
      <c r="L558" s="16">
        <v>828891</v>
      </c>
      <c r="M558" s="16">
        <v>282939</v>
      </c>
      <c r="N558" s="16">
        <v>475746</v>
      </c>
      <c r="O558" s="16">
        <v>227641</v>
      </c>
      <c r="P558" s="16">
        <v>104153</v>
      </c>
      <c r="Q558" s="16">
        <v>601250</v>
      </c>
      <c r="R558" s="16">
        <v>6693</v>
      </c>
      <c r="S558" s="16">
        <v>1</v>
      </c>
      <c r="T558" s="16">
        <v>0</v>
      </c>
      <c r="U558" s="15" t="str">
        <f t="shared" si="32"/>
        <v>Público</v>
      </c>
      <c r="V558" s="17">
        <f t="shared" si="33"/>
        <v>0.34134644965381455</v>
      </c>
      <c r="W558" s="17">
        <f t="shared" si="34"/>
        <v>1.1131808731808732E-2</v>
      </c>
      <c r="X558" s="15" t="str">
        <f t="shared" si="35"/>
        <v>Média/Pequena</v>
      </c>
      <c r="Y558" s="121" t="str" cm="1">
        <f t="array" ref="Y558">_xlfn.IFS(ISNUMBER(W558)=FALSE,"Sem dado",W558&gt;0.075,"Excelente",W558&gt;0.04,"Bom",W558&gt;0,"Fraco",TRUE,"Prejuízo")</f>
        <v>Fraco</v>
      </c>
    </row>
    <row r="559" spans="1:25" ht="15" customHeight="1" x14ac:dyDescent="0.2">
      <c r="A559" s="12" t="s">
        <v>1244</v>
      </c>
      <c r="B559" s="56">
        <v>16581207</v>
      </c>
      <c r="C559" s="12" t="s">
        <v>584</v>
      </c>
      <c r="D559" s="12"/>
      <c r="E559" s="12" t="s">
        <v>586</v>
      </c>
      <c r="F559" s="12" t="s">
        <v>84</v>
      </c>
      <c r="G559" s="33">
        <v>2</v>
      </c>
      <c r="H559" s="33">
        <v>41</v>
      </c>
      <c r="I559" s="12" t="s">
        <v>587</v>
      </c>
      <c r="J559" s="12" t="s">
        <v>39</v>
      </c>
      <c r="K559" s="73" t="s">
        <v>29</v>
      </c>
      <c r="L559" s="13">
        <v>824327</v>
      </c>
      <c r="M559" s="13">
        <v>529943</v>
      </c>
      <c r="N559" s="13">
        <v>19419</v>
      </c>
      <c r="O559" s="13">
        <v>661419</v>
      </c>
      <c r="P559" s="13">
        <v>60000</v>
      </c>
      <c r="Q559" s="13">
        <v>162908</v>
      </c>
      <c r="R559" s="13">
        <v>-31519</v>
      </c>
      <c r="S559" s="13">
        <v>1</v>
      </c>
      <c r="T559" s="13">
        <v>0</v>
      </c>
      <c r="U559" s="12" t="str">
        <f t="shared" si="32"/>
        <v>Privado Nacional</v>
      </c>
      <c r="V559" s="14">
        <f t="shared" si="33"/>
        <v>0.64287958540724732</v>
      </c>
      <c r="W559" s="14">
        <f t="shared" si="34"/>
        <v>-0.19347730007120584</v>
      </c>
      <c r="X559" s="12" t="str">
        <f t="shared" si="35"/>
        <v>Média/Pequena</v>
      </c>
      <c r="Y559" s="122" t="str" cm="1">
        <f t="array" ref="Y559">_xlfn.IFS(ISNUMBER(W559)=FALSE,"Sem dado",W559&gt;0.075,"Excelente",W559&gt;0.04,"Bom",W559&gt;0,"Fraco",TRUE,"Prejuízo")</f>
        <v>Prejuízo</v>
      </c>
    </row>
    <row r="560" spans="1:25" ht="15" customHeight="1" x14ac:dyDescent="0.2">
      <c r="A560" s="15" t="s">
        <v>1245</v>
      </c>
      <c r="B560" s="60">
        <v>34991938</v>
      </c>
      <c r="C560" s="15" t="s">
        <v>1246</v>
      </c>
      <c r="D560" s="15"/>
      <c r="E560" s="15" t="s">
        <v>1247</v>
      </c>
      <c r="F560" s="15" t="s">
        <v>65</v>
      </c>
      <c r="G560" s="34">
        <v>2</v>
      </c>
      <c r="H560" s="34">
        <v>14</v>
      </c>
      <c r="I560" s="15" t="s">
        <v>73</v>
      </c>
      <c r="J560" s="15" t="s">
        <v>74</v>
      </c>
      <c r="K560" s="74" t="s">
        <v>29</v>
      </c>
      <c r="L560" s="16">
        <v>817931</v>
      </c>
      <c r="M560" s="16">
        <v>272774</v>
      </c>
      <c r="N560" s="16">
        <v>113193</v>
      </c>
      <c r="O560" s="16">
        <v>717467</v>
      </c>
      <c r="P560" s="16">
        <v>682359</v>
      </c>
      <c r="Q560" s="16">
        <v>100463</v>
      </c>
      <c r="R560" s="16">
        <v>14318</v>
      </c>
      <c r="S560" s="16">
        <v>2</v>
      </c>
      <c r="T560" s="16">
        <v>0</v>
      </c>
      <c r="U560" s="15" t="str">
        <f t="shared" si="32"/>
        <v>Privado Nacional</v>
      </c>
      <c r="V560" s="17">
        <f t="shared" si="33"/>
        <v>0.33349267847776892</v>
      </c>
      <c r="W560" s="17">
        <f t="shared" si="34"/>
        <v>0.14252013178981315</v>
      </c>
      <c r="X560" s="15" t="str">
        <f t="shared" si="35"/>
        <v>Média/Pequena</v>
      </c>
      <c r="Y560" s="121" t="str" cm="1">
        <f t="array" ref="Y560">_xlfn.IFS(ISNUMBER(W560)=FALSE,"Sem dado",W560&gt;0.075,"Excelente",W560&gt;0.04,"Bom",W560&gt;0,"Fraco",TRUE,"Prejuízo")</f>
        <v>Excelente</v>
      </c>
    </row>
    <row r="561" spans="1:25" ht="15" customHeight="1" x14ac:dyDescent="0.2">
      <c r="A561" s="12" t="s">
        <v>1248</v>
      </c>
      <c r="B561" s="56">
        <v>66398496</v>
      </c>
      <c r="C561" s="12"/>
      <c r="D561" s="12"/>
      <c r="E561" s="12"/>
      <c r="F561" s="12" t="s">
        <v>265</v>
      </c>
      <c r="G561" s="33">
        <v>2</v>
      </c>
      <c r="H561" s="33">
        <v>9</v>
      </c>
      <c r="I561" s="12" t="s">
        <v>1249</v>
      </c>
      <c r="J561" s="12" t="s">
        <v>120</v>
      </c>
      <c r="K561" s="73" t="s">
        <v>29</v>
      </c>
      <c r="L561" s="13">
        <v>813718</v>
      </c>
      <c r="M561" s="13">
        <v>462050</v>
      </c>
      <c r="N561" s="13">
        <v>22332</v>
      </c>
      <c r="O561" s="13">
        <v>689228</v>
      </c>
      <c r="P561" s="13">
        <v>580009</v>
      </c>
      <c r="Q561" s="13">
        <v>124489</v>
      </c>
      <c r="R561" s="13">
        <v>-2781</v>
      </c>
      <c r="S561" s="13">
        <v>0</v>
      </c>
      <c r="T561" s="13">
        <v>10</v>
      </c>
      <c r="U561" s="12" t="str">
        <f t="shared" si="32"/>
        <v>Privado Nacional</v>
      </c>
      <c r="V561" s="14">
        <f t="shared" si="33"/>
        <v>0.56782570866074</v>
      </c>
      <c r="W561" s="14">
        <f t="shared" si="34"/>
        <v>-2.2339323153049668E-2</v>
      </c>
      <c r="X561" s="12" t="str">
        <f t="shared" si="35"/>
        <v>Média/Pequena</v>
      </c>
      <c r="Y561" s="122" t="str" cm="1">
        <f t="array" ref="Y561">_xlfn.IFS(ISNUMBER(W561)=FALSE,"Sem dado",W561&gt;0.075,"Excelente",W561&gt;0.04,"Bom",W561&gt;0,"Fraco",TRUE,"Prejuízo")</f>
        <v>Prejuízo</v>
      </c>
    </row>
    <row r="562" spans="1:25" ht="15" customHeight="1" x14ac:dyDescent="0.2">
      <c r="A562" s="15" t="s">
        <v>1250</v>
      </c>
      <c r="B562" s="60">
        <v>6174009</v>
      </c>
      <c r="C562" s="15"/>
      <c r="D562" s="15"/>
      <c r="E562" s="15"/>
      <c r="F562" s="15" t="s">
        <v>265</v>
      </c>
      <c r="G562" s="34">
        <v>2</v>
      </c>
      <c r="H562" s="34">
        <v>9</v>
      </c>
      <c r="I562" s="15" t="s">
        <v>1251</v>
      </c>
      <c r="J562" s="15" t="s">
        <v>229</v>
      </c>
      <c r="K562" s="74" t="s">
        <v>29</v>
      </c>
      <c r="L562" s="16">
        <v>808400</v>
      </c>
      <c r="M562" s="16">
        <v>417611</v>
      </c>
      <c r="N562" s="16">
        <v>18765</v>
      </c>
      <c r="O562" s="16">
        <v>698532</v>
      </c>
      <c r="P562" s="16">
        <v>595398</v>
      </c>
      <c r="Q562" s="16">
        <v>109868</v>
      </c>
      <c r="R562" s="16">
        <v>4506</v>
      </c>
      <c r="S562" s="16">
        <v>0</v>
      </c>
      <c r="T562" s="16">
        <v>30</v>
      </c>
      <c r="U562" s="15" t="str">
        <f t="shared" si="32"/>
        <v>Privado Nacional</v>
      </c>
      <c r="V562" s="17">
        <f t="shared" si="33"/>
        <v>0.51658955962394859</v>
      </c>
      <c r="W562" s="17">
        <f t="shared" si="34"/>
        <v>4.1012851785779299E-2</v>
      </c>
      <c r="X562" s="15" t="str">
        <f t="shared" si="35"/>
        <v>Média/Pequena</v>
      </c>
      <c r="Y562" s="121" t="str" cm="1">
        <f t="array" ref="Y562">_xlfn.IFS(ISNUMBER(W562)=FALSE,"Sem dado",W562&gt;0.075,"Excelente",W562&gt;0.04,"Bom",W562&gt;0,"Fraco",TRUE,"Prejuízo")</f>
        <v>Bom</v>
      </c>
    </row>
    <row r="563" spans="1:25" ht="15" customHeight="1" x14ac:dyDescent="0.2">
      <c r="A563" s="12" t="s">
        <v>1252</v>
      </c>
      <c r="B563" s="56">
        <v>57839805</v>
      </c>
      <c r="C563" s="12" t="s">
        <v>1253</v>
      </c>
      <c r="D563" s="12"/>
      <c r="E563" s="12" t="s">
        <v>1254</v>
      </c>
      <c r="F563" s="12" t="s">
        <v>60</v>
      </c>
      <c r="G563" s="33">
        <v>2</v>
      </c>
      <c r="H563" s="33">
        <v>8</v>
      </c>
      <c r="I563" s="12" t="s">
        <v>38</v>
      </c>
      <c r="J563" s="12" t="s">
        <v>39</v>
      </c>
      <c r="K563" s="73" t="s">
        <v>29</v>
      </c>
      <c r="L563" s="13">
        <v>799788</v>
      </c>
      <c r="M563" s="13">
        <v>317010</v>
      </c>
      <c r="N563" s="13">
        <v>2509</v>
      </c>
      <c r="O563" s="13">
        <v>568917</v>
      </c>
      <c r="P563" s="13">
        <v>545552</v>
      </c>
      <c r="Q563" s="13">
        <v>230871</v>
      </c>
      <c r="R563" s="13">
        <v>18534</v>
      </c>
      <c r="S563" s="13">
        <v>2</v>
      </c>
      <c r="T563" s="13">
        <v>0</v>
      </c>
      <c r="U563" s="12" t="str">
        <f t="shared" si="32"/>
        <v>Privado Nacional</v>
      </c>
      <c r="V563" s="14">
        <f t="shared" si="33"/>
        <v>0.39636753739741032</v>
      </c>
      <c r="W563" s="14">
        <f t="shared" si="34"/>
        <v>8.0278597138661853E-2</v>
      </c>
      <c r="X563" s="12" t="str">
        <f t="shared" si="35"/>
        <v>Média/Pequena</v>
      </c>
      <c r="Y563" s="122" t="str" cm="1">
        <f t="array" ref="Y563">_xlfn.IFS(ISNUMBER(W563)=FALSE,"Sem dado",W563&gt;0.075,"Excelente",W563&gt;0.04,"Bom",W563&gt;0,"Fraco",TRUE,"Prejuízo")</f>
        <v>Excelente</v>
      </c>
    </row>
    <row r="564" spans="1:25" ht="15" customHeight="1" x14ac:dyDescent="0.2">
      <c r="A564" s="15" t="s">
        <v>1255</v>
      </c>
      <c r="B564" s="60">
        <v>78626983</v>
      </c>
      <c r="C564" s="15" t="s">
        <v>1256</v>
      </c>
      <c r="D564" s="15" t="s">
        <v>1257</v>
      </c>
      <c r="E564" s="15" t="s">
        <v>1258</v>
      </c>
      <c r="F564" s="15" t="s">
        <v>26</v>
      </c>
      <c r="G564" s="34">
        <v>2</v>
      </c>
      <c r="H564" s="34">
        <v>8</v>
      </c>
      <c r="I564" s="15" t="s">
        <v>38</v>
      </c>
      <c r="J564" s="15" t="s">
        <v>39</v>
      </c>
      <c r="K564" s="74" t="s">
        <v>29</v>
      </c>
      <c r="L564" s="16">
        <v>791006</v>
      </c>
      <c r="M564" s="16">
        <v>77569</v>
      </c>
      <c r="N564" s="16">
        <v>0</v>
      </c>
      <c r="O564" s="16">
        <v>739752</v>
      </c>
      <c r="P564" s="16">
        <v>670454</v>
      </c>
      <c r="Q564" s="16">
        <v>51255</v>
      </c>
      <c r="R564" s="16">
        <v>4231</v>
      </c>
      <c r="S564" s="16">
        <v>2</v>
      </c>
      <c r="T564" s="16">
        <v>0</v>
      </c>
      <c r="U564" s="15" t="str">
        <f t="shared" si="32"/>
        <v>Privado Nacional</v>
      </c>
      <c r="V564" s="17">
        <f t="shared" si="33"/>
        <v>9.8063731501404544E-2</v>
      </c>
      <c r="W564" s="17">
        <f t="shared" si="34"/>
        <v>8.2548044093259193E-2</v>
      </c>
      <c r="X564" s="15" t="str">
        <f t="shared" si="35"/>
        <v>Média/Pequena</v>
      </c>
      <c r="Y564" s="121" t="str" cm="1">
        <f t="array" ref="Y564">_xlfn.IFS(ISNUMBER(W564)=FALSE,"Sem dado",W564&gt;0.075,"Excelente",W564&gt;0.04,"Bom",W564&gt;0,"Fraco",TRUE,"Prejuízo")</f>
        <v>Excelente</v>
      </c>
    </row>
    <row r="565" spans="1:25" ht="15" customHeight="1" x14ac:dyDescent="0.2">
      <c r="A565" s="12" t="s">
        <v>1259</v>
      </c>
      <c r="B565" s="56">
        <v>34590184</v>
      </c>
      <c r="C565" s="12" t="s">
        <v>127</v>
      </c>
      <c r="D565" s="12" t="s">
        <v>128</v>
      </c>
      <c r="E565" s="12" t="s">
        <v>128</v>
      </c>
      <c r="F565" s="12" t="s">
        <v>65</v>
      </c>
      <c r="G565" s="33">
        <v>3</v>
      </c>
      <c r="H565" s="33">
        <v>43</v>
      </c>
      <c r="I565" s="12" t="s">
        <v>38</v>
      </c>
      <c r="J565" s="12" t="s">
        <v>39</v>
      </c>
      <c r="K565" s="73" t="s">
        <v>29</v>
      </c>
      <c r="L565" s="13">
        <v>790884</v>
      </c>
      <c r="M565" s="13">
        <v>457984</v>
      </c>
      <c r="N565" s="13">
        <v>0</v>
      </c>
      <c r="O565" s="13">
        <v>33050</v>
      </c>
      <c r="P565" s="13">
        <v>0</v>
      </c>
      <c r="Q565" s="13">
        <v>757834</v>
      </c>
      <c r="R565" s="13">
        <v>15333</v>
      </c>
      <c r="S565" s="13">
        <v>2</v>
      </c>
      <c r="T565" s="13">
        <v>0</v>
      </c>
      <c r="U565" s="12" t="str">
        <f t="shared" si="32"/>
        <v>Privado Estrangeiro</v>
      </c>
      <c r="V565" s="14">
        <f t="shared" si="33"/>
        <v>0.5790786006544576</v>
      </c>
      <c r="W565" s="14">
        <f t="shared" si="34"/>
        <v>2.0232663089805945E-2</v>
      </c>
      <c r="X565" s="12" t="str">
        <f t="shared" si="35"/>
        <v>Média/Pequena</v>
      </c>
      <c r="Y565" s="122" t="str" cm="1">
        <f t="array" ref="Y565">_xlfn.IFS(ISNUMBER(W565)=FALSE,"Sem dado",W565&gt;0.075,"Excelente",W565&gt;0.04,"Bom",W565&gt;0,"Fraco",TRUE,"Prejuízo")</f>
        <v>Fraco</v>
      </c>
    </row>
    <row r="566" spans="1:25" ht="15" customHeight="1" x14ac:dyDescent="0.2">
      <c r="A566" s="15" t="s">
        <v>1260</v>
      </c>
      <c r="B566" s="60">
        <v>5983995</v>
      </c>
      <c r="C566" s="15"/>
      <c r="D566" s="15"/>
      <c r="E566" s="15"/>
      <c r="F566" s="15" t="s">
        <v>265</v>
      </c>
      <c r="G566" s="34">
        <v>2</v>
      </c>
      <c r="H566" s="34">
        <v>9</v>
      </c>
      <c r="I566" s="15" t="s">
        <v>1261</v>
      </c>
      <c r="J566" s="15" t="s">
        <v>74</v>
      </c>
      <c r="K566" s="74" t="s">
        <v>29</v>
      </c>
      <c r="L566" s="16">
        <v>788799</v>
      </c>
      <c r="M566" s="16">
        <v>565415</v>
      </c>
      <c r="N566" s="16">
        <v>11589</v>
      </c>
      <c r="O566" s="16">
        <v>711368</v>
      </c>
      <c r="P566" s="16">
        <v>482131</v>
      </c>
      <c r="Q566" s="16">
        <v>77430</v>
      </c>
      <c r="R566" s="16">
        <v>-343</v>
      </c>
      <c r="S566" s="16">
        <v>0</v>
      </c>
      <c r="T566" s="16">
        <v>23</v>
      </c>
      <c r="U566" s="15" t="str">
        <f t="shared" si="32"/>
        <v>Privado Nacional</v>
      </c>
      <c r="V566" s="17">
        <f t="shared" si="33"/>
        <v>0.71680491481353303</v>
      </c>
      <c r="W566" s="17">
        <f t="shared" si="34"/>
        <v>-4.4298075681260497E-3</v>
      </c>
      <c r="X566" s="15" t="str">
        <f t="shared" si="35"/>
        <v>Média/Pequena</v>
      </c>
      <c r="Y566" s="121" t="str" cm="1">
        <f t="array" ref="Y566">_xlfn.IFS(ISNUMBER(W566)=FALSE,"Sem dado",W566&gt;0.075,"Excelente",W566&gt;0.04,"Bom",W566&gt;0,"Fraco",TRUE,"Prejuízo")</f>
        <v>Prejuízo</v>
      </c>
    </row>
    <row r="567" spans="1:25" ht="15" customHeight="1" x14ac:dyDescent="0.2">
      <c r="A567" s="12" t="s">
        <v>1262</v>
      </c>
      <c r="B567" s="56">
        <v>7946451</v>
      </c>
      <c r="C567" s="12"/>
      <c r="D567" s="12"/>
      <c r="E567" s="12"/>
      <c r="F567" s="12" t="s">
        <v>265</v>
      </c>
      <c r="G567" s="33">
        <v>2</v>
      </c>
      <c r="H567" s="33">
        <v>9</v>
      </c>
      <c r="I567" s="12" t="s">
        <v>1263</v>
      </c>
      <c r="J567" s="12" t="s">
        <v>217</v>
      </c>
      <c r="K567" s="73" t="s">
        <v>29</v>
      </c>
      <c r="L567" s="13">
        <v>785443</v>
      </c>
      <c r="M567" s="13">
        <v>572789</v>
      </c>
      <c r="N567" s="13">
        <v>11654</v>
      </c>
      <c r="O567" s="13">
        <v>692982</v>
      </c>
      <c r="P567" s="13">
        <v>484937</v>
      </c>
      <c r="Q567" s="13">
        <v>92461</v>
      </c>
      <c r="R567" s="13">
        <v>944</v>
      </c>
      <c r="S567" s="13">
        <v>0</v>
      </c>
      <c r="T567" s="13">
        <v>23</v>
      </c>
      <c r="U567" s="12" t="str">
        <f t="shared" si="32"/>
        <v>Privado Nacional</v>
      </c>
      <c r="V567" s="14">
        <f t="shared" si="33"/>
        <v>0.72925597401721065</v>
      </c>
      <c r="W567" s="14">
        <f t="shared" si="34"/>
        <v>1.0209710039908719E-2</v>
      </c>
      <c r="X567" s="12" t="str">
        <f t="shared" si="35"/>
        <v>Média/Pequena</v>
      </c>
      <c r="Y567" s="122" t="str" cm="1">
        <f t="array" ref="Y567">_xlfn.IFS(ISNUMBER(W567)=FALSE,"Sem dado",W567&gt;0.075,"Excelente",W567&gt;0.04,"Bom",W567&gt;0,"Fraco",TRUE,"Prejuízo")</f>
        <v>Fraco</v>
      </c>
    </row>
    <row r="568" spans="1:25" ht="15" customHeight="1" x14ac:dyDescent="0.2">
      <c r="A568" s="15" t="s">
        <v>1264</v>
      </c>
      <c r="B568" s="60">
        <v>7465539</v>
      </c>
      <c r="C568" s="15"/>
      <c r="D568" s="15"/>
      <c r="E568" s="15"/>
      <c r="F568" s="15" t="s">
        <v>265</v>
      </c>
      <c r="G568" s="34">
        <v>2</v>
      </c>
      <c r="H568" s="34">
        <v>9</v>
      </c>
      <c r="I568" s="15" t="s">
        <v>1265</v>
      </c>
      <c r="J568" s="15" t="s">
        <v>217</v>
      </c>
      <c r="K568" s="74" t="s">
        <v>29</v>
      </c>
      <c r="L568" s="16">
        <v>781195</v>
      </c>
      <c r="M568" s="16">
        <v>585615</v>
      </c>
      <c r="N568" s="16">
        <v>13695</v>
      </c>
      <c r="O568" s="16">
        <v>664648</v>
      </c>
      <c r="P568" s="16">
        <v>432960</v>
      </c>
      <c r="Q568" s="16">
        <v>116547</v>
      </c>
      <c r="R568" s="16">
        <v>2904</v>
      </c>
      <c r="S568" s="16">
        <v>0</v>
      </c>
      <c r="T568" s="16">
        <v>19</v>
      </c>
      <c r="U568" s="15" t="str">
        <f t="shared" si="32"/>
        <v>Privado Nacional</v>
      </c>
      <c r="V568" s="17">
        <f t="shared" si="33"/>
        <v>0.74963997465421561</v>
      </c>
      <c r="W568" s="17">
        <f t="shared" si="34"/>
        <v>2.4916986280213133E-2</v>
      </c>
      <c r="X568" s="15" t="str">
        <f t="shared" si="35"/>
        <v>Média/Pequena</v>
      </c>
      <c r="Y568" s="121" t="str" cm="1">
        <f t="array" ref="Y568">_xlfn.IFS(ISNUMBER(W568)=FALSE,"Sem dado",W568&gt;0.075,"Excelente",W568&gt;0.04,"Bom",W568&gt;0,"Fraco",TRUE,"Prejuízo")</f>
        <v>Fraco</v>
      </c>
    </row>
    <row r="569" spans="1:25" ht="15" customHeight="1" x14ac:dyDescent="0.2">
      <c r="A569" s="12" t="s">
        <v>1266</v>
      </c>
      <c r="B569" s="56">
        <v>7502031</v>
      </c>
      <c r="C569" s="12"/>
      <c r="D569" s="12"/>
      <c r="E569" s="12"/>
      <c r="F569" s="12" t="s">
        <v>265</v>
      </c>
      <c r="G569" s="33">
        <v>2</v>
      </c>
      <c r="H569" s="33">
        <v>9</v>
      </c>
      <c r="I569" s="12" t="s">
        <v>1267</v>
      </c>
      <c r="J569" s="12" t="s">
        <v>389</v>
      </c>
      <c r="K569" s="73" t="s">
        <v>29</v>
      </c>
      <c r="L569" s="13">
        <v>780673</v>
      </c>
      <c r="M569" s="13">
        <v>531195</v>
      </c>
      <c r="N569" s="13">
        <v>31642</v>
      </c>
      <c r="O569" s="13">
        <v>601869</v>
      </c>
      <c r="P569" s="13">
        <v>522053</v>
      </c>
      <c r="Q569" s="13">
        <v>178804</v>
      </c>
      <c r="R569" s="13">
        <v>13546</v>
      </c>
      <c r="S569" s="13">
        <v>0</v>
      </c>
      <c r="T569" s="13">
        <v>11</v>
      </c>
      <c r="U569" s="12" t="str">
        <f t="shared" si="32"/>
        <v>Privado Nacional</v>
      </c>
      <c r="V569" s="14">
        <f t="shared" si="33"/>
        <v>0.68043213996128982</v>
      </c>
      <c r="W569" s="14">
        <f t="shared" si="34"/>
        <v>7.5758931567526458E-2</v>
      </c>
      <c r="X569" s="12" t="str">
        <f t="shared" si="35"/>
        <v>Média/Pequena</v>
      </c>
      <c r="Y569" s="122" t="str" cm="1">
        <f t="array" ref="Y569">_xlfn.IFS(ISNUMBER(W569)=FALSE,"Sem dado",W569&gt;0.075,"Excelente",W569&gt;0.04,"Bom",W569&gt;0,"Fraco",TRUE,"Prejuízo")</f>
        <v>Excelente</v>
      </c>
    </row>
    <row r="570" spans="1:25" ht="15" customHeight="1" x14ac:dyDescent="0.2">
      <c r="A570" s="15" t="s">
        <v>1268</v>
      </c>
      <c r="B570" s="60">
        <v>73422792</v>
      </c>
      <c r="C570" s="15"/>
      <c r="D570" s="15"/>
      <c r="E570" s="15"/>
      <c r="F570" s="15" t="s">
        <v>265</v>
      </c>
      <c r="G570" s="34">
        <v>2</v>
      </c>
      <c r="H570" s="34">
        <v>9</v>
      </c>
      <c r="I570" s="15" t="s">
        <v>1269</v>
      </c>
      <c r="J570" s="15" t="s">
        <v>389</v>
      </c>
      <c r="K570" s="74" t="s">
        <v>29</v>
      </c>
      <c r="L570" s="16">
        <v>777341</v>
      </c>
      <c r="M570" s="16">
        <v>246647</v>
      </c>
      <c r="N570" s="16">
        <v>35398</v>
      </c>
      <c r="O570" s="16">
        <v>629294</v>
      </c>
      <c r="P570" s="16">
        <v>545054</v>
      </c>
      <c r="Q570" s="16">
        <v>148047</v>
      </c>
      <c r="R570" s="16">
        <v>10429</v>
      </c>
      <c r="S570" s="16">
        <v>0</v>
      </c>
      <c r="T570" s="16">
        <v>13</v>
      </c>
      <c r="U570" s="15" t="str">
        <f t="shared" si="32"/>
        <v>Privado Nacional</v>
      </c>
      <c r="V570" s="17">
        <f t="shared" si="33"/>
        <v>0.31729575565935669</v>
      </c>
      <c r="W570" s="17">
        <f t="shared" si="34"/>
        <v>7.0443845535539396E-2</v>
      </c>
      <c r="X570" s="15" t="str">
        <f t="shared" si="35"/>
        <v>Média/Pequena</v>
      </c>
      <c r="Y570" s="121" t="str" cm="1">
        <f t="array" ref="Y570">_xlfn.IFS(ISNUMBER(W570)=FALSE,"Sem dado",W570&gt;0.075,"Excelente",W570&gt;0.04,"Bom",W570&gt;0,"Fraco",TRUE,"Prejuízo")</f>
        <v>Bom</v>
      </c>
    </row>
    <row r="571" spans="1:25" ht="15" customHeight="1" x14ac:dyDescent="0.2">
      <c r="A571" s="12" t="s">
        <v>1270</v>
      </c>
      <c r="B571" s="56">
        <v>41707258</v>
      </c>
      <c r="C571" s="12"/>
      <c r="D571" s="12"/>
      <c r="E571" s="12"/>
      <c r="F571" s="12" t="s">
        <v>265</v>
      </c>
      <c r="G571" s="33">
        <v>2</v>
      </c>
      <c r="H571" s="33">
        <v>9</v>
      </c>
      <c r="I571" s="12" t="s">
        <v>1271</v>
      </c>
      <c r="J571" s="12" t="s">
        <v>120</v>
      </c>
      <c r="K571" s="73" t="s">
        <v>29</v>
      </c>
      <c r="L571" s="13">
        <v>775297</v>
      </c>
      <c r="M571" s="13">
        <v>467461</v>
      </c>
      <c r="N571" s="13">
        <v>18317</v>
      </c>
      <c r="O571" s="13">
        <v>686206</v>
      </c>
      <c r="P571" s="13">
        <v>586988</v>
      </c>
      <c r="Q571" s="13">
        <v>89091</v>
      </c>
      <c r="R571" s="13">
        <v>2798</v>
      </c>
      <c r="S571" s="13">
        <v>0</v>
      </c>
      <c r="T571" s="13">
        <v>8</v>
      </c>
      <c r="U571" s="12" t="str">
        <f t="shared" si="32"/>
        <v>Privado Nacional</v>
      </c>
      <c r="V571" s="14">
        <f t="shared" si="33"/>
        <v>0.6029444200093641</v>
      </c>
      <c r="W571" s="14">
        <f t="shared" si="34"/>
        <v>3.1406090401948569E-2</v>
      </c>
      <c r="X571" s="12" t="str">
        <f t="shared" si="35"/>
        <v>Média/Pequena</v>
      </c>
      <c r="Y571" s="122" t="str" cm="1">
        <f t="array" ref="Y571">_xlfn.IFS(ISNUMBER(W571)=FALSE,"Sem dado",W571&gt;0.075,"Excelente",W571&gt;0.04,"Bom",W571&gt;0,"Fraco",TRUE,"Prejuízo")</f>
        <v>Fraco</v>
      </c>
    </row>
    <row r="572" spans="1:25" ht="15" customHeight="1" x14ac:dyDescent="0.2">
      <c r="A572" s="15" t="s">
        <v>1272</v>
      </c>
      <c r="B572" s="60">
        <v>9092759</v>
      </c>
      <c r="C572" s="15" t="s">
        <v>1273</v>
      </c>
      <c r="D572" s="15"/>
      <c r="E572" s="15" t="s">
        <v>1274</v>
      </c>
      <c r="F572" s="15" t="s">
        <v>84</v>
      </c>
      <c r="G572" s="34">
        <v>2</v>
      </c>
      <c r="H572" s="34">
        <v>41</v>
      </c>
      <c r="I572" s="15" t="s">
        <v>107</v>
      </c>
      <c r="J572" s="15" t="s">
        <v>39</v>
      </c>
      <c r="K572" s="74" t="s">
        <v>29</v>
      </c>
      <c r="L572" s="16">
        <v>773588</v>
      </c>
      <c r="M572" s="16">
        <v>48733</v>
      </c>
      <c r="N572" s="16">
        <v>98362</v>
      </c>
      <c r="O572" s="16">
        <v>515797</v>
      </c>
      <c r="P572" s="16">
        <v>499943</v>
      </c>
      <c r="Q572" s="16">
        <v>257791</v>
      </c>
      <c r="R572" s="16">
        <v>40468</v>
      </c>
      <c r="S572" s="16">
        <v>1</v>
      </c>
      <c r="T572" s="16">
        <v>0</v>
      </c>
      <c r="U572" s="15" t="str">
        <f t="shared" si="32"/>
        <v>Privado Nacional</v>
      </c>
      <c r="V572" s="17">
        <f t="shared" si="33"/>
        <v>6.2996065088910383E-2</v>
      </c>
      <c r="W572" s="17">
        <f t="shared" si="34"/>
        <v>0.15697987904930738</v>
      </c>
      <c r="X572" s="15" t="str">
        <f t="shared" si="35"/>
        <v>Média/Pequena</v>
      </c>
      <c r="Y572" s="121" t="str" cm="1">
        <f t="array" ref="Y572">_xlfn.IFS(ISNUMBER(W572)=FALSE,"Sem dado",W572&gt;0.075,"Excelente",W572&gt;0.04,"Bom",W572&gt;0,"Fraco",TRUE,"Prejuízo")</f>
        <v>Excelente</v>
      </c>
    </row>
    <row r="573" spans="1:25" ht="15" customHeight="1" x14ac:dyDescent="0.2">
      <c r="A573" s="12" t="s">
        <v>1275</v>
      </c>
      <c r="B573" s="56">
        <v>18966739</v>
      </c>
      <c r="C573" s="12"/>
      <c r="D573" s="12"/>
      <c r="E573" s="12"/>
      <c r="F573" s="12" t="s">
        <v>265</v>
      </c>
      <c r="G573" s="33">
        <v>2</v>
      </c>
      <c r="H573" s="33">
        <v>9</v>
      </c>
      <c r="I573" s="12" t="s">
        <v>1276</v>
      </c>
      <c r="J573" s="12" t="s">
        <v>120</v>
      </c>
      <c r="K573" s="73" t="s">
        <v>29</v>
      </c>
      <c r="L573" s="13">
        <v>772439</v>
      </c>
      <c r="M573" s="13">
        <v>296127</v>
      </c>
      <c r="N573" s="13">
        <v>26147</v>
      </c>
      <c r="O573" s="13">
        <v>680410</v>
      </c>
      <c r="P573" s="13">
        <v>521654</v>
      </c>
      <c r="Q573" s="13">
        <v>92028</v>
      </c>
      <c r="R573" s="13">
        <v>7054</v>
      </c>
      <c r="S573" s="13">
        <v>0</v>
      </c>
      <c r="T573" s="13">
        <v>4</v>
      </c>
      <c r="U573" s="12" t="str">
        <f t="shared" si="32"/>
        <v>Privado Nacional</v>
      </c>
      <c r="V573" s="14">
        <f t="shared" si="33"/>
        <v>0.38336619461213117</v>
      </c>
      <c r="W573" s="14">
        <f t="shared" si="34"/>
        <v>7.6650584604685532E-2</v>
      </c>
      <c r="X573" s="12" t="str">
        <f t="shared" si="35"/>
        <v>Média/Pequena</v>
      </c>
      <c r="Y573" s="122" t="str" cm="1">
        <f t="array" ref="Y573">_xlfn.IFS(ISNUMBER(W573)=FALSE,"Sem dado",W573&gt;0.075,"Excelente",W573&gt;0.04,"Bom",W573&gt;0,"Fraco",TRUE,"Prejuízo")</f>
        <v>Excelente</v>
      </c>
    </row>
    <row r="574" spans="1:25" ht="15" customHeight="1" x14ac:dyDescent="0.2">
      <c r="A574" s="15" t="s">
        <v>1277</v>
      </c>
      <c r="B574" s="60">
        <v>7318874</v>
      </c>
      <c r="C574" s="15"/>
      <c r="D574" s="15"/>
      <c r="E574" s="15"/>
      <c r="F574" s="15" t="s">
        <v>265</v>
      </c>
      <c r="G574" s="34">
        <v>2</v>
      </c>
      <c r="H574" s="34">
        <v>9</v>
      </c>
      <c r="I574" s="15" t="s">
        <v>1278</v>
      </c>
      <c r="J574" s="15" t="s">
        <v>229</v>
      </c>
      <c r="K574" s="74" t="s">
        <v>29</v>
      </c>
      <c r="L574" s="16">
        <v>768956</v>
      </c>
      <c r="M574" s="16">
        <v>454923</v>
      </c>
      <c r="N574" s="16">
        <v>13919</v>
      </c>
      <c r="O574" s="16">
        <v>662029</v>
      </c>
      <c r="P574" s="16">
        <v>553005</v>
      </c>
      <c r="Q574" s="16">
        <v>106927</v>
      </c>
      <c r="R574" s="16">
        <v>5978</v>
      </c>
      <c r="S574" s="16">
        <v>0</v>
      </c>
      <c r="T574" s="16">
        <v>10</v>
      </c>
      <c r="U574" s="15" t="str">
        <f t="shared" si="32"/>
        <v>Privado Nacional</v>
      </c>
      <c r="V574" s="17">
        <f t="shared" si="33"/>
        <v>0.59161122352904461</v>
      </c>
      <c r="W574" s="17">
        <f t="shared" si="34"/>
        <v>5.5907301242904037E-2</v>
      </c>
      <c r="X574" s="15" t="str">
        <f t="shared" si="35"/>
        <v>Média/Pequena</v>
      </c>
      <c r="Y574" s="121" t="str" cm="1">
        <f t="array" ref="Y574">_xlfn.IFS(ISNUMBER(W574)=FALSE,"Sem dado",W574&gt;0.075,"Excelente",W574&gt;0.04,"Bom",W574&gt;0,"Fraco",TRUE,"Prejuízo")</f>
        <v>Bom</v>
      </c>
    </row>
    <row r="575" spans="1:25" ht="15" customHeight="1" x14ac:dyDescent="0.2">
      <c r="A575" s="12" t="s">
        <v>1279</v>
      </c>
      <c r="B575" s="56">
        <v>13203354</v>
      </c>
      <c r="C575" s="12" t="s">
        <v>1280</v>
      </c>
      <c r="D575" s="12"/>
      <c r="E575" s="12" t="s">
        <v>1281</v>
      </c>
      <c r="F575" s="12" t="s">
        <v>84</v>
      </c>
      <c r="G575" s="33">
        <v>2</v>
      </c>
      <c r="H575" s="33">
        <v>41</v>
      </c>
      <c r="I575" s="12" t="s">
        <v>38</v>
      </c>
      <c r="J575" s="12" t="s">
        <v>39</v>
      </c>
      <c r="K575" s="73" t="s">
        <v>29</v>
      </c>
      <c r="L575" s="13">
        <v>768269</v>
      </c>
      <c r="M575" s="13">
        <v>0</v>
      </c>
      <c r="N575" s="13">
        <v>16986</v>
      </c>
      <c r="O575" s="13">
        <v>664692</v>
      </c>
      <c r="P575" s="13">
        <v>586811</v>
      </c>
      <c r="Q575" s="13">
        <v>103577</v>
      </c>
      <c r="R575" s="13">
        <v>8936</v>
      </c>
      <c r="S575" s="13">
        <v>1</v>
      </c>
      <c r="T575" s="13">
        <v>0</v>
      </c>
      <c r="U575" s="12" t="str">
        <f t="shared" si="32"/>
        <v>Privado Nacional</v>
      </c>
      <c r="V575" s="14">
        <f t="shared" si="33"/>
        <v>0</v>
      </c>
      <c r="W575" s="14">
        <f t="shared" si="34"/>
        <v>8.6273979744537876E-2</v>
      </c>
      <c r="X575" s="12" t="str">
        <f t="shared" si="35"/>
        <v>Média/Pequena</v>
      </c>
      <c r="Y575" s="122" t="str" cm="1">
        <f t="array" ref="Y575">_xlfn.IFS(ISNUMBER(W575)=FALSE,"Sem dado",W575&gt;0.075,"Excelente",W575&gt;0.04,"Bom",W575&gt;0,"Fraco",TRUE,"Prejuízo")</f>
        <v>Excelente</v>
      </c>
    </row>
    <row r="576" spans="1:25" ht="15" customHeight="1" x14ac:dyDescent="0.2">
      <c r="A576" s="15" t="s">
        <v>1282</v>
      </c>
      <c r="B576" s="60">
        <v>9089356</v>
      </c>
      <c r="C576" s="15" t="s">
        <v>1283</v>
      </c>
      <c r="D576" s="15"/>
      <c r="E576" s="15" t="s">
        <v>1284</v>
      </c>
      <c r="F576" s="15" t="s">
        <v>84</v>
      </c>
      <c r="G576" s="34">
        <v>2</v>
      </c>
      <c r="H576" s="34">
        <v>41</v>
      </c>
      <c r="I576" s="15" t="s">
        <v>1285</v>
      </c>
      <c r="J576" s="15" t="s">
        <v>120</v>
      </c>
      <c r="K576" s="74" t="s">
        <v>29</v>
      </c>
      <c r="L576" s="16">
        <v>765442</v>
      </c>
      <c r="M576" s="16">
        <v>30909</v>
      </c>
      <c r="N576" s="16">
        <v>96888</v>
      </c>
      <c r="O576" s="16">
        <v>695310</v>
      </c>
      <c r="P576" s="16">
        <v>617141</v>
      </c>
      <c r="Q576" s="16">
        <v>70132</v>
      </c>
      <c r="R576" s="16">
        <v>12749</v>
      </c>
      <c r="S576" s="16">
        <v>1</v>
      </c>
      <c r="T576" s="16">
        <v>0</v>
      </c>
      <c r="U576" s="15" t="str">
        <f t="shared" si="32"/>
        <v>Privado Nacional</v>
      </c>
      <c r="V576" s="17">
        <f t="shared" si="33"/>
        <v>4.0380590560747907E-2</v>
      </c>
      <c r="W576" s="17">
        <f t="shared" si="34"/>
        <v>0.18178577539496948</v>
      </c>
      <c r="X576" s="15" t="str">
        <f t="shared" si="35"/>
        <v>Média/Pequena</v>
      </c>
      <c r="Y576" s="121" t="str" cm="1">
        <f t="array" ref="Y576">_xlfn.IFS(ISNUMBER(W576)=FALSE,"Sem dado",W576&gt;0.075,"Excelente",W576&gt;0.04,"Bom",W576&gt;0,"Fraco",TRUE,"Prejuízo")</f>
        <v>Excelente</v>
      </c>
    </row>
    <row r="577" spans="1:25" ht="15" customHeight="1" x14ac:dyDescent="0.2">
      <c r="A577" s="12" t="s">
        <v>1286</v>
      </c>
      <c r="B577" s="56">
        <v>15011719</v>
      </c>
      <c r="C577" s="12" t="s">
        <v>41</v>
      </c>
      <c r="D577" s="12"/>
      <c r="E577" s="12" t="s">
        <v>43</v>
      </c>
      <c r="F577" s="12" t="s">
        <v>84</v>
      </c>
      <c r="G577" s="33">
        <v>2</v>
      </c>
      <c r="H577" s="33">
        <v>41</v>
      </c>
      <c r="I577" s="12" t="s">
        <v>44</v>
      </c>
      <c r="J577" s="12" t="s">
        <v>39</v>
      </c>
      <c r="K577" s="73" t="s">
        <v>29</v>
      </c>
      <c r="L577" s="13">
        <v>764018</v>
      </c>
      <c r="M577" s="13">
        <v>0</v>
      </c>
      <c r="N577" s="13">
        <v>686791</v>
      </c>
      <c r="O577" s="13">
        <v>2056</v>
      </c>
      <c r="P577" s="13">
        <v>0</v>
      </c>
      <c r="Q577" s="13">
        <v>761962</v>
      </c>
      <c r="R577" s="13">
        <v>15911</v>
      </c>
      <c r="S577" s="13">
        <v>1</v>
      </c>
      <c r="T577" s="13">
        <v>0</v>
      </c>
      <c r="U577" s="12" t="str">
        <f t="shared" si="32"/>
        <v>Privado Nacional</v>
      </c>
      <c r="V577" s="14">
        <f t="shared" si="33"/>
        <v>0</v>
      </c>
      <c r="W577" s="14">
        <f t="shared" si="34"/>
        <v>2.0881618768390026E-2</v>
      </c>
      <c r="X577" s="12" t="str">
        <f t="shared" si="35"/>
        <v>Média/Pequena</v>
      </c>
      <c r="Y577" s="122" t="str" cm="1">
        <f t="array" ref="Y577">_xlfn.IFS(ISNUMBER(W577)=FALSE,"Sem dado",W577&gt;0.075,"Excelente",W577&gt;0.04,"Bom",W577&gt;0,"Fraco",TRUE,"Prejuízo")</f>
        <v>Fraco</v>
      </c>
    </row>
    <row r="578" spans="1:25" ht="15" customHeight="1" x14ac:dyDescent="0.2">
      <c r="A578" s="15" t="s">
        <v>1287</v>
      </c>
      <c r="B578" s="60">
        <v>25420696</v>
      </c>
      <c r="C578" s="15"/>
      <c r="D578" s="15"/>
      <c r="E578" s="15"/>
      <c r="F578" s="15" t="s">
        <v>265</v>
      </c>
      <c r="G578" s="34">
        <v>2</v>
      </c>
      <c r="H578" s="34">
        <v>9</v>
      </c>
      <c r="I578" s="15" t="s">
        <v>1288</v>
      </c>
      <c r="J578" s="15" t="s">
        <v>120</v>
      </c>
      <c r="K578" s="74" t="s">
        <v>29</v>
      </c>
      <c r="L578" s="16">
        <v>756343</v>
      </c>
      <c r="M578" s="16">
        <v>206075</v>
      </c>
      <c r="N578" s="16">
        <v>30373</v>
      </c>
      <c r="O578" s="16">
        <v>666355</v>
      </c>
      <c r="P578" s="16">
        <v>597495</v>
      </c>
      <c r="Q578" s="16">
        <v>89988</v>
      </c>
      <c r="R578" s="16">
        <v>1947</v>
      </c>
      <c r="S578" s="16">
        <v>0</v>
      </c>
      <c r="T578" s="16">
        <v>10</v>
      </c>
      <c r="U578" s="15" t="str">
        <f t="shared" si="32"/>
        <v>Privado Nacional</v>
      </c>
      <c r="V578" s="17">
        <f t="shared" si="33"/>
        <v>0.27246236165337684</v>
      </c>
      <c r="W578" s="17">
        <f t="shared" si="34"/>
        <v>2.1636218162421655E-2</v>
      </c>
      <c r="X578" s="15" t="str">
        <f t="shared" si="35"/>
        <v>Média/Pequena</v>
      </c>
      <c r="Y578" s="121" t="str" cm="1">
        <f t="array" ref="Y578">_xlfn.IFS(ISNUMBER(W578)=FALSE,"Sem dado",W578&gt;0.075,"Excelente",W578&gt;0.04,"Bom",W578&gt;0,"Fraco",TRUE,"Prejuízo")</f>
        <v>Fraco</v>
      </c>
    </row>
    <row r="579" spans="1:25" ht="15" customHeight="1" x14ac:dyDescent="0.2">
      <c r="A579" s="12" t="s">
        <v>1289</v>
      </c>
      <c r="B579" s="56">
        <v>1722480</v>
      </c>
      <c r="C579" s="12" t="s">
        <v>1290</v>
      </c>
      <c r="D579" s="12"/>
      <c r="E579" s="12" t="s">
        <v>1291</v>
      </c>
      <c r="F579" s="12" t="s">
        <v>84</v>
      </c>
      <c r="G579" s="33">
        <v>2</v>
      </c>
      <c r="H579" s="33">
        <v>41</v>
      </c>
      <c r="I579" s="12" t="s">
        <v>1292</v>
      </c>
      <c r="J579" s="12" t="s">
        <v>74</v>
      </c>
      <c r="K579" s="73" t="s">
        <v>29</v>
      </c>
      <c r="L579" s="13">
        <v>747318</v>
      </c>
      <c r="M579" s="13">
        <v>345919</v>
      </c>
      <c r="N579" s="13">
        <v>25849</v>
      </c>
      <c r="O579" s="13">
        <v>618081</v>
      </c>
      <c r="P579" s="13">
        <v>18951</v>
      </c>
      <c r="Q579" s="13">
        <v>129237</v>
      </c>
      <c r="R579" s="13">
        <v>18479</v>
      </c>
      <c r="S579" s="13">
        <v>1</v>
      </c>
      <c r="T579" s="13">
        <v>0</v>
      </c>
      <c r="U579" s="12" t="str">
        <f t="shared" si="32"/>
        <v>Privado Nacional</v>
      </c>
      <c r="V579" s="14">
        <f t="shared" si="33"/>
        <v>0.4628805943386885</v>
      </c>
      <c r="W579" s="14">
        <f t="shared" si="34"/>
        <v>0.14298536796737776</v>
      </c>
      <c r="X579" s="12" t="str">
        <f t="shared" si="35"/>
        <v>Média/Pequena</v>
      </c>
      <c r="Y579" s="122" t="str" cm="1">
        <f t="array" ref="Y579">_xlfn.IFS(ISNUMBER(W579)=FALSE,"Sem dado",W579&gt;0.075,"Excelente",W579&gt;0.04,"Bom",W579&gt;0,"Fraco",TRUE,"Prejuízo")</f>
        <v>Excelente</v>
      </c>
    </row>
    <row r="580" spans="1:25" ht="15" customHeight="1" x14ac:dyDescent="0.2">
      <c r="A580" s="15" t="s">
        <v>1293</v>
      </c>
      <c r="B580" s="60">
        <v>10209619</v>
      </c>
      <c r="C580" s="15"/>
      <c r="D580" s="15"/>
      <c r="E580" s="15"/>
      <c r="F580" s="15" t="s">
        <v>265</v>
      </c>
      <c r="G580" s="34">
        <v>2</v>
      </c>
      <c r="H580" s="34">
        <v>9</v>
      </c>
      <c r="I580" s="15" t="s">
        <v>388</v>
      </c>
      <c r="J580" s="15" t="s">
        <v>389</v>
      </c>
      <c r="K580" s="74" t="s">
        <v>29</v>
      </c>
      <c r="L580" s="16">
        <v>745090</v>
      </c>
      <c r="M580" s="16">
        <v>436007</v>
      </c>
      <c r="N580" s="16">
        <v>46399</v>
      </c>
      <c r="O580" s="16">
        <v>598533</v>
      </c>
      <c r="P580" s="16">
        <v>556064</v>
      </c>
      <c r="Q580" s="16">
        <v>146557</v>
      </c>
      <c r="R580" s="16">
        <v>5702</v>
      </c>
      <c r="S580" s="16">
        <v>0</v>
      </c>
      <c r="T580" s="16">
        <v>6</v>
      </c>
      <c r="U580" s="15" t="str">
        <f t="shared" si="32"/>
        <v>Privado Nacional</v>
      </c>
      <c r="V580" s="17">
        <f t="shared" si="33"/>
        <v>0.58517360318887646</v>
      </c>
      <c r="W580" s="17">
        <f t="shared" si="34"/>
        <v>3.8906364076775592E-2</v>
      </c>
      <c r="X580" s="15" t="str">
        <f t="shared" si="35"/>
        <v>Média/Pequena</v>
      </c>
      <c r="Y580" s="121" t="str" cm="1">
        <f t="array" ref="Y580">_xlfn.IFS(ISNUMBER(W580)=FALSE,"Sem dado",W580&gt;0.075,"Excelente",W580&gt;0.04,"Bom",W580&gt;0,"Fraco",TRUE,"Prejuízo")</f>
        <v>Fraco</v>
      </c>
    </row>
    <row r="581" spans="1:25" ht="15" customHeight="1" x14ac:dyDescent="0.2">
      <c r="A581" s="12" t="s">
        <v>1294</v>
      </c>
      <c r="B581" s="56">
        <v>42040639</v>
      </c>
      <c r="C581" s="12" t="s">
        <v>31</v>
      </c>
      <c r="D581" s="12" t="s">
        <v>32</v>
      </c>
      <c r="E581" s="12" t="s">
        <v>33</v>
      </c>
      <c r="F581" s="12" t="s">
        <v>98</v>
      </c>
      <c r="G581" s="33">
        <v>1</v>
      </c>
      <c r="H581" s="33">
        <v>16</v>
      </c>
      <c r="I581" s="12" t="s">
        <v>27</v>
      </c>
      <c r="J581" s="12" t="s">
        <v>28</v>
      </c>
      <c r="K581" s="73" t="s">
        <v>29</v>
      </c>
      <c r="L581" s="13">
        <v>743604</v>
      </c>
      <c r="M581" s="13">
        <v>0</v>
      </c>
      <c r="N581" s="13">
        <v>693938</v>
      </c>
      <c r="O581" s="13">
        <v>96359</v>
      </c>
      <c r="P581" s="13">
        <v>0</v>
      </c>
      <c r="Q581" s="13">
        <v>647244</v>
      </c>
      <c r="R581" s="13">
        <v>587237</v>
      </c>
      <c r="S581" s="13">
        <v>2</v>
      </c>
      <c r="T581" s="13">
        <v>0</v>
      </c>
      <c r="U581" s="12" t="str">
        <f t="shared" ref="U581:U644" si="36">IFERROR(CHOOSE(G581,"Público","Privado Nacional","Privado Estrangeiro"),"n.d.")</f>
        <v>Público</v>
      </c>
      <c r="V581" s="14">
        <f t="shared" ref="V581:V644" si="37">IF(AND(ISNUMBER(M581),ISNUMBER(L581)),IF(L581&gt;0,M581/L581,"n.d."),"NI")</f>
        <v>0</v>
      </c>
      <c r="W581" s="14">
        <f t="shared" ref="W581:W644" si="38">IF(AND(ISNUMBER(R581),ISNUMBER(Q581)),IF(Q581&gt;0,R581/Q581,"n.d."),"NI")</f>
        <v>0.90728844145330045</v>
      </c>
      <c r="X581" s="12" t="str">
        <f t="shared" ref="X581:X644" si="39">IF(ISNUMBER(L581),IF(L581&gt;100000000,"Grande","Média/Pequena"),"Sem dado")</f>
        <v>Média/Pequena</v>
      </c>
      <c r="Y581" s="122" t="str" cm="1">
        <f t="array" ref="Y581">_xlfn.IFS(ISNUMBER(W581)=FALSE,"Sem dado",W581&gt;0.075,"Excelente",W581&gt;0.04,"Bom",W581&gt;0,"Fraco",TRUE,"Prejuízo")</f>
        <v>Excelente</v>
      </c>
    </row>
    <row r="582" spans="1:25" ht="15" customHeight="1" x14ac:dyDescent="0.2">
      <c r="A582" s="15" t="s">
        <v>1295</v>
      </c>
      <c r="B582" s="60">
        <v>3612764</v>
      </c>
      <c r="C582" s="15"/>
      <c r="D582" s="15"/>
      <c r="E582" s="15"/>
      <c r="F582" s="15" t="s">
        <v>265</v>
      </c>
      <c r="G582" s="34">
        <v>2</v>
      </c>
      <c r="H582" s="34">
        <v>9</v>
      </c>
      <c r="I582" s="15" t="s">
        <v>1296</v>
      </c>
      <c r="J582" s="15" t="s">
        <v>432</v>
      </c>
      <c r="K582" s="74" t="s">
        <v>29</v>
      </c>
      <c r="L582" s="16">
        <v>743068</v>
      </c>
      <c r="M582" s="16">
        <v>499379</v>
      </c>
      <c r="N582" s="16">
        <v>15663</v>
      </c>
      <c r="O582" s="16">
        <v>645620</v>
      </c>
      <c r="P582" s="16">
        <v>562491</v>
      </c>
      <c r="Q582" s="16">
        <v>97447</v>
      </c>
      <c r="R582" s="16">
        <v>6859</v>
      </c>
      <c r="S582" s="16">
        <v>0</v>
      </c>
      <c r="T582" s="16">
        <v>23</v>
      </c>
      <c r="U582" s="15" t="str">
        <f t="shared" si="36"/>
        <v>Privado Nacional</v>
      </c>
      <c r="V582" s="17">
        <f t="shared" si="37"/>
        <v>0.67205020267324123</v>
      </c>
      <c r="W582" s="17">
        <f t="shared" si="38"/>
        <v>7.0386979588904733E-2</v>
      </c>
      <c r="X582" s="15" t="str">
        <f t="shared" si="39"/>
        <v>Média/Pequena</v>
      </c>
      <c r="Y582" s="121" t="str" cm="1">
        <f t="array" ref="Y582">_xlfn.IFS(ISNUMBER(W582)=FALSE,"Sem dado",W582&gt;0.075,"Excelente",W582&gt;0.04,"Bom",W582&gt;0,"Fraco",TRUE,"Prejuízo")</f>
        <v>Bom</v>
      </c>
    </row>
    <row r="583" spans="1:25" ht="15" customHeight="1" x14ac:dyDescent="0.2">
      <c r="A583" s="12" t="s">
        <v>1297</v>
      </c>
      <c r="B583" s="56">
        <v>15357060</v>
      </c>
      <c r="C583" s="12" t="s">
        <v>1298</v>
      </c>
      <c r="D583" s="12"/>
      <c r="E583" s="12" t="s">
        <v>1299</v>
      </c>
      <c r="F583" s="12" t="s">
        <v>26</v>
      </c>
      <c r="G583" s="33">
        <v>3</v>
      </c>
      <c r="H583" s="33">
        <v>8</v>
      </c>
      <c r="I583" s="12" t="s">
        <v>38</v>
      </c>
      <c r="J583" s="12" t="s">
        <v>39</v>
      </c>
      <c r="K583" s="73" t="s">
        <v>29</v>
      </c>
      <c r="L583" s="13">
        <v>742907</v>
      </c>
      <c r="M583" s="13">
        <v>32400</v>
      </c>
      <c r="N583" s="13">
        <v>342924</v>
      </c>
      <c r="O583" s="13">
        <v>689790</v>
      </c>
      <c r="P583" s="13">
        <v>684432</v>
      </c>
      <c r="Q583" s="13">
        <v>53117</v>
      </c>
      <c r="R583" s="13">
        <v>-8463</v>
      </c>
      <c r="S583" s="13">
        <v>2</v>
      </c>
      <c r="T583" s="13">
        <v>0</v>
      </c>
      <c r="U583" s="12" t="str">
        <f t="shared" si="36"/>
        <v>Privado Estrangeiro</v>
      </c>
      <c r="V583" s="14">
        <f t="shared" si="37"/>
        <v>4.3612457548522221E-2</v>
      </c>
      <c r="W583" s="14">
        <f t="shared" si="38"/>
        <v>-0.15932752226217595</v>
      </c>
      <c r="X583" s="12" t="str">
        <f t="shared" si="39"/>
        <v>Média/Pequena</v>
      </c>
      <c r="Y583" s="122" t="str" cm="1">
        <f t="array" ref="Y583">_xlfn.IFS(ISNUMBER(W583)=FALSE,"Sem dado",W583&gt;0.075,"Excelente",W583&gt;0.04,"Bom",W583&gt;0,"Fraco",TRUE,"Prejuízo")</f>
        <v>Prejuízo</v>
      </c>
    </row>
    <row r="584" spans="1:25" ht="15" customHeight="1" x14ac:dyDescent="0.2">
      <c r="A584" s="15" t="s">
        <v>1300</v>
      </c>
      <c r="B584" s="60">
        <v>33644196</v>
      </c>
      <c r="C584" s="15" t="s">
        <v>1301</v>
      </c>
      <c r="D584" s="15"/>
      <c r="E584" s="15" t="s">
        <v>1302</v>
      </c>
      <c r="F584" s="15" t="s">
        <v>26</v>
      </c>
      <c r="G584" s="34">
        <v>2</v>
      </c>
      <c r="H584" s="34">
        <v>8</v>
      </c>
      <c r="I584" s="15" t="s">
        <v>38</v>
      </c>
      <c r="J584" s="15" t="s">
        <v>39</v>
      </c>
      <c r="K584" s="74" t="s">
        <v>29</v>
      </c>
      <c r="L584" s="16">
        <v>742513</v>
      </c>
      <c r="M584" s="16">
        <v>1656</v>
      </c>
      <c r="N584" s="16">
        <v>638966</v>
      </c>
      <c r="O584" s="16">
        <v>532448</v>
      </c>
      <c r="P584" s="16">
        <v>509442</v>
      </c>
      <c r="Q584" s="16">
        <v>210065</v>
      </c>
      <c r="R584" s="16">
        <v>14860</v>
      </c>
      <c r="S584" s="16">
        <v>3</v>
      </c>
      <c r="T584" s="16">
        <v>0</v>
      </c>
      <c r="U584" s="15" t="str">
        <f t="shared" si="36"/>
        <v>Privado Nacional</v>
      </c>
      <c r="V584" s="17">
        <f t="shared" si="37"/>
        <v>2.2302639819100811E-3</v>
      </c>
      <c r="W584" s="17">
        <f t="shared" si="38"/>
        <v>7.074000904481946E-2</v>
      </c>
      <c r="X584" s="15" t="str">
        <f t="shared" si="39"/>
        <v>Média/Pequena</v>
      </c>
      <c r="Y584" s="121" t="str" cm="1">
        <f t="array" ref="Y584">_xlfn.IFS(ISNUMBER(W584)=FALSE,"Sem dado",W584&gt;0.075,"Excelente",W584&gt;0.04,"Bom",W584&gt;0,"Fraco",TRUE,"Prejuízo")</f>
        <v>Bom</v>
      </c>
    </row>
    <row r="585" spans="1:25" ht="15" customHeight="1" x14ac:dyDescent="0.2">
      <c r="A585" s="12" t="s">
        <v>1303</v>
      </c>
      <c r="B585" s="56">
        <v>33737818</v>
      </c>
      <c r="C585" s="12"/>
      <c r="D585" s="12"/>
      <c r="E585" s="12"/>
      <c r="F585" s="12" t="s">
        <v>199</v>
      </c>
      <c r="G585" s="33">
        <v>2</v>
      </c>
      <c r="H585" s="33">
        <v>9</v>
      </c>
      <c r="I585" s="12" t="s">
        <v>388</v>
      </c>
      <c r="J585" s="12" t="s">
        <v>389</v>
      </c>
      <c r="K585" s="73" t="s">
        <v>29</v>
      </c>
      <c r="L585" s="13">
        <v>741255</v>
      </c>
      <c r="M585" s="13">
        <v>0</v>
      </c>
      <c r="N585" s="13">
        <v>458468</v>
      </c>
      <c r="O585" s="13">
        <v>153035</v>
      </c>
      <c r="P585" s="13">
        <v>0</v>
      </c>
      <c r="Q585" s="13">
        <v>588220</v>
      </c>
      <c r="R585" s="13">
        <v>5354</v>
      </c>
      <c r="S585" s="13">
        <v>0</v>
      </c>
      <c r="T585" s="13">
        <v>0</v>
      </c>
      <c r="U585" s="12" t="str">
        <f t="shared" si="36"/>
        <v>Privado Nacional</v>
      </c>
      <c r="V585" s="14">
        <f t="shared" si="37"/>
        <v>0</v>
      </c>
      <c r="W585" s="14">
        <f t="shared" si="38"/>
        <v>9.1020366529529773E-3</v>
      </c>
      <c r="X585" s="12" t="str">
        <f t="shared" si="39"/>
        <v>Média/Pequena</v>
      </c>
      <c r="Y585" s="122" t="str" cm="1">
        <f t="array" ref="Y585">_xlfn.IFS(ISNUMBER(W585)=FALSE,"Sem dado",W585&gt;0.075,"Excelente",W585&gt;0.04,"Bom",W585&gt;0,"Fraco",TRUE,"Prejuízo")</f>
        <v>Fraco</v>
      </c>
    </row>
    <row r="586" spans="1:25" ht="15" customHeight="1" x14ac:dyDescent="0.2">
      <c r="A586" s="15" t="s">
        <v>1304</v>
      </c>
      <c r="B586" s="60">
        <v>68987</v>
      </c>
      <c r="C586" s="15"/>
      <c r="D586" s="15"/>
      <c r="E586" s="15"/>
      <c r="F586" s="15" t="s">
        <v>265</v>
      </c>
      <c r="G586" s="34">
        <v>2</v>
      </c>
      <c r="H586" s="34">
        <v>9</v>
      </c>
      <c r="I586" s="15" t="s">
        <v>475</v>
      </c>
      <c r="J586" s="15" t="s">
        <v>120</v>
      </c>
      <c r="K586" s="74" t="s">
        <v>29</v>
      </c>
      <c r="L586" s="16">
        <v>740377</v>
      </c>
      <c r="M586" s="16">
        <v>437384</v>
      </c>
      <c r="N586" s="16">
        <v>27158</v>
      </c>
      <c r="O586" s="16">
        <v>649557</v>
      </c>
      <c r="P586" s="16">
        <v>431097</v>
      </c>
      <c r="Q586" s="16">
        <v>90820</v>
      </c>
      <c r="R586" s="16">
        <v>-1253</v>
      </c>
      <c r="S586" s="16">
        <v>0</v>
      </c>
      <c r="T586" s="16">
        <v>13</v>
      </c>
      <c r="U586" s="15" t="str">
        <f t="shared" si="36"/>
        <v>Privado Nacional</v>
      </c>
      <c r="V586" s="17">
        <f t="shared" si="37"/>
        <v>0.59075849195747576</v>
      </c>
      <c r="W586" s="17">
        <f t="shared" si="38"/>
        <v>-1.3796520590178375E-2</v>
      </c>
      <c r="X586" s="15" t="str">
        <f t="shared" si="39"/>
        <v>Média/Pequena</v>
      </c>
      <c r="Y586" s="121" t="str" cm="1">
        <f t="array" ref="Y586">_xlfn.IFS(ISNUMBER(W586)=FALSE,"Sem dado",W586&gt;0.075,"Excelente",W586&gt;0.04,"Bom",W586&gt;0,"Fraco",TRUE,"Prejuízo")</f>
        <v>Prejuízo</v>
      </c>
    </row>
    <row r="587" spans="1:25" ht="15" customHeight="1" x14ac:dyDescent="0.2">
      <c r="A587" s="12" t="s">
        <v>1305</v>
      </c>
      <c r="B587" s="56">
        <v>9590601</v>
      </c>
      <c r="C587" s="12"/>
      <c r="D587" s="12"/>
      <c r="E587" s="12"/>
      <c r="F587" s="12" t="s">
        <v>265</v>
      </c>
      <c r="G587" s="33">
        <v>2</v>
      </c>
      <c r="H587" s="33">
        <v>9</v>
      </c>
      <c r="I587" s="12" t="s">
        <v>1306</v>
      </c>
      <c r="J587" s="12" t="s">
        <v>217</v>
      </c>
      <c r="K587" s="73" t="s">
        <v>29</v>
      </c>
      <c r="L587" s="13">
        <v>737920</v>
      </c>
      <c r="M587" s="13">
        <v>483758</v>
      </c>
      <c r="N587" s="13">
        <v>18209</v>
      </c>
      <c r="O587" s="13">
        <v>649044</v>
      </c>
      <c r="P587" s="13">
        <v>548315</v>
      </c>
      <c r="Q587" s="13">
        <v>88876</v>
      </c>
      <c r="R587" s="13">
        <v>817</v>
      </c>
      <c r="S587" s="13">
        <v>0</v>
      </c>
      <c r="T587" s="13">
        <v>12</v>
      </c>
      <c r="U587" s="12" t="str">
        <f t="shared" si="36"/>
        <v>Privado Nacional</v>
      </c>
      <c r="V587" s="14">
        <f t="shared" si="37"/>
        <v>0.65556970945359927</v>
      </c>
      <c r="W587" s="14">
        <f t="shared" si="38"/>
        <v>9.1925829245240558E-3</v>
      </c>
      <c r="X587" s="12" t="str">
        <f t="shared" si="39"/>
        <v>Média/Pequena</v>
      </c>
      <c r="Y587" s="122" t="str" cm="1">
        <f t="array" ref="Y587">_xlfn.IFS(ISNUMBER(W587)=FALSE,"Sem dado",W587&gt;0.075,"Excelente",W587&gt;0.04,"Bom",W587&gt;0,"Fraco",TRUE,"Prejuízo")</f>
        <v>Fraco</v>
      </c>
    </row>
    <row r="588" spans="1:25" ht="15" customHeight="1" x14ac:dyDescent="0.2">
      <c r="A588" s="15" t="s">
        <v>1307</v>
      </c>
      <c r="B588" s="60">
        <v>61182408</v>
      </c>
      <c r="C588" s="15" t="s">
        <v>35</v>
      </c>
      <c r="D588" s="15" t="s">
        <v>36</v>
      </c>
      <c r="E588" s="15" t="s">
        <v>37</v>
      </c>
      <c r="F588" s="15" t="s">
        <v>26</v>
      </c>
      <c r="G588" s="34">
        <v>2</v>
      </c>
      <c r="H588" s="34">
        <v>2</v>
      </c>
      <c r="I588" s="15" t="s">
        <v>38</v>
      </c>
      <c r="J588" s="15" t="s">
        <v>39</v>
      </c>
      <c r="K588" s="74" t="s">
        <v>29</v>
      </c>
      <c r="L588" s="16">
        <v>733945</v>
      </c>
      <c r="M588" s="16">
        <v>601815</v>
      </c>
      <c r="N588" s="16">
        <v>0</v>
      </c>
      <c r="O588" s="16">
        <v>584068</v>
      </c>
      <c r="P588" s="16">
        <v>93934</v>
      </c>
      <c r="Q588" s="16">
        <v>149876</v>
      </c>
      <c r="R588" s="16">
        <v>16490</v>
      </c>
      <c r="S588" s="16">
        <v>2</v>
      </c>
      <c r="T588" s="16">
        <v>0</v>
      </c>
      <c r="U588" s="15" t="str">
        <f t="shared" si="36"/>
        <v>Privado Nacional</v>
      </c>
      <c r="V588" s="17">
        <f t="shared" si="37"/>
        <v>0.81997288625169462</v>
      </c>
      <c r="W588" s="17">
        <f t="shared" si="38"/>
        <v>0.11002428674370814</v>
      </c>
      <c r="X588" s="15" t="str">
        <f t="shared" si="39"/>
        <v>Média/Pequena</v>
      </c>
      <c r="Y588" s="121" t="str" cm="1">
        <f t="array" ref="Y588">_xlfn.IFS(ISNUMBER(W588)=FALSE,"Sem dado",W588&gt;0.075,"Excelente",W588&gt;0.04,"Bom",W588&gt;0,"Fraco",TRUE,"Prejuízo")</f>
        <v>Excelente</v>
      </c>
    </row>
    <row r="589" spans="1:25" ht="15" customHeight="1" x14ac:dyDescent="0.2">
      <c r="A589" s="12" t="s">
        <v>1308</v>
      </c>
      <c r="B589" s="56">
        <v>41538335</v>
      </c>
      <c r="C589" s="12" t="s">
        <v>1309</v>
      </c>
      <c r="D589" s="12"/>
      <c r="E589" s="12" t="s">
        <v>1310</v>
      </c>
      <c r="F589" s="12" t="s">
        <v>84</v>
      </c>
      <c r="G589" s="33">
        <v>3</v>
      </c>
      <c r="H589" s="33">
        <v>41</v>
      </c>
      <c r="I589" s="12" t="s">
        <v>38</v>
      </c>
      <c r="J589" s="12" t="s">
        <v>39</v>
      </c>
      <c r="K589" s="73" t="s">
        <v>29</v>
      </c>
      <c r="L589" s="13">
        <v>732622</v>
      </c>
      <c r="M589" s="13">
        <v>403266</v>
      </c>
      <c r="N589" s="13">
        <v>80630</v>
      </c>
      <c r="O589" s="13">
        <v>695420</v>
      </c>
      <c r="P589" s="13">
        <v>176589</v>
      </c>
      <c r="Q589" s="13">
        <v>37202</v>
      </c>
      <c r="R589" s="13">
        <v>5224</v>
      </c>
      <c r="S589" s="13">
        <v>1</v>
      </c>
      <c r="T589" s="13">
        <v>0</v>
      </c>
      <c r="U589" s="12" t="str">
        <f t="shared" si="36"/>
        <v>Privado Estrangeiro</v>
      </c>
      <c r="V589" s="14">
        <f t="shared" si="37"/>
        <v>0.5504421106655274</v>
      </c>
      <c r="W589" s="14">
        <f t="shared" si="38"/>
        <v>0.14042255792699318</v>
      </c>
      <c r="X589" s="12" t="str">
        <f t="shared" si="39"/>
        <v>Média/Pequena</v>
      </c>
      <c r="Y589" s="122" t="str" cm="1">
        <f t="array" ref="Y589">_xlfn.IFS(ISNUMBER(W589)=FALSE,"Sem dado",W589&gt;0.075,"Excelente",W589&gt;0.04,"Bom",W589&gt;0,"Fraco",TRUE,"Prejuízo")</f>
        <v>Excelente</v>
      </c>
    </row>
    <row r="590" spans="1:25" ht="15" customHeight="1" x14ac:dyDescent="0.2">
      <c r="A590" s="15" t="s">
        <v>1311</v>
      </c>
      <c r="B590" s="60">
        <v>80959638</v>
      </c>
      <c r="C590" s="15"/>
      <c r="D590" s="15"/>
      <c r="E590" s="15"/>
      <c r="F590" s="15" t="s">
        <v>265</v>
      </c>
      <c r="G590" s="34">
        <v>2</v>
      </c>
      <c r="H590" s="34">
        <v>9</v>
      </c>
      <c r="I590" s="15" t="s">
        <v>1236</v>
      </c>
      <c r="J590" s="15" t="s">
        <v>217</v>
      </c>
      <c r="K590" s="74" t="s">
        <v>29</v>
      </c>
      <c r="L590" s="16">
        <v>731175</v>
      </c>
      <c r="M590" s="16">
        <v>278147</v>
      </c>
      <c r="N590" s="16">
        <v>147087</v>
      </c>
      <c r="O590" s="16">
        <v>614728</v>
      </c>
      <c r="P590" s="16">
        <v>576598</v>
      </c>
      <c r="Q590" s="16">
        <v>116448</v>
      </c>
      <c r="R590" s="16">
        <v>9212</v>
      </c>
      <c r="S590" s="16">
        <v>0</v>
      </c>
      <c r="T590" s="16">
        <v>4</v>
      </c>
      <c r="U590" s="15" t="str">
        <f t="shared" si="36"/>
        <v>Privado Nacional</v>
      </c>
      <c r="V590" s="17">
        <f t="shared" si="37"/>
        <v>0.38041098232297332</v>
      </c>
      <c r="W590" s="17">
        <f t="shared" si="38"/>
        <v>7.9108271503160216E-2</v>
      </c>
      <c r="X590" s="15" t="str">
        <f t="shared" si="39"/>
        <v>Média/Pequena</v>
      </c>
      <c r="Y590" s="121" t="str" cm="1">
        <f t="array" ref="Y590">_xlfn.IFS(ISNUMBER(W590)=FALSE,"Sem dado",W590&gt;0.075,"Excelente",W590&gt;0.04,"Bom",W590&gt;0,"Fraco",TRUE,"Prejuízo")</f>
        <v>Excelente</v>
      </c>
    </row>
    <row r="591" spans="1:25" ht="15" customHeight="1" x14ac:dyDescent="0.2">
      <c r="A591" s="12" t="s">
        <v>1312</v>
      </c>
      <c r="B591" s="56">
        <v>4663561</v>
      </c>
      <c r="C591" s="12"/>
      <c r="D591" s="12"/>
      <c r="E591" s="12"/>
      <c r="F591" s="12" t="s">
        <v>265</v>
      </c>
      <c r="G591" s="33">
        <v>2</v>
      </c>
      <c r="H591" s="33">
        <v>9</v>
      </c>
      <c r="I591" s="12" t="s">
        <v>809</v>
      </c>
      <c r="J591" s="12" t="s">
        <v>229</v>
      </c>
      <c r="K591" s="73" t="s">
        <v>29</v>
      </c>
      <c r="L591" s="13">
        <v>730257</v>
      </c>
      <c r="M591" s="13">
        <v>568188</v>
      </c>
      <c r="N591" s="13">
        <v>11406</v>
      </c>
      <c r="O591" s="13">
        <v>596254</v>
      </c>
      <c r="P591" s="13">
        <v>328903</v>
      </c>
      <c r="Q591" s="13">
        <v>134003</v>
      </c>
      <c r="R591" s="13">
        <v>7859</v>
      </c>
      <c r="S591" s="13">
        <v>0</v>
      </c>
      <c r="T591" s="13">
        <v>17</v>
      </c>
      <c r="U591" s="12" t="str">
        <f t="shared" si="36"/>
        <v>Privado Nacional</v>
      </c>
      <c r="V591" s="14">
        <f t="shared" si="37"/>
        <v>0.77806580423056537</v>
      </c>
      <c r="W591" s="14">
        <f t="shared" si="38"/>
        <v>5.8647940717745123E-2</v>
      </c>
      <c r="X591" s="12" t="str">
        <f t="shared" si="39"/>
        <v>Média/Pequena</v>
      </c>
      <c r="Y591" s="122" t="str" cm="1">
        <f t="array" ref="Y591">_xlfn.IFS(ISNUMBER(W591)=FALSE,"Sem dado",W591&gt;0.075,"Excelente",W591&gt;0.04,"Bom",W591&gt;0,"Fraco",TRUE,"Prejuízo")</f>
        <v>Bom</v>
      </c>
    </row>
    <row r="592" spans="1:25" ht="15" customHeight="1" x14ac:dyDescent="0.2">
      <c r="A592" s="15" t="s">
        <v>1313</v>
      </c>
      <c r="B592" s="60">
        <v>25528753</v>
      </c>
      <c r="C592" s="15"/>
      <c r="D592" s="15"/>
      <c r="E592" s="15"/>
      <c r="F592" s="15" t="s">
        <v>265</v>
      </c>
      <c r="G592" s="34">
        <v>2</v>
      </c>
      <c r="H592" s="34">
        <v>9</v>
      </c>
      <c r="I592" s="15" t="s">
        <v>792</v>
      </c>
      <c r="J592" s="15" t="s">
        <v>120</v>
      </c>
      <c r="K592" s="74" t="s">
        <v>29</v>
      </c>
      <c r="L592" s="16">
        <v>723605</v>
      </c>
      <c r="M592" s="16">
        <v>280750</v>
      </c>
      <c r="N592" s="16">
        <v>10001</v>
      </c>
      <c r="O592" s="16">
        <v>600506</v>
      </c>
      <c r="P592" s="16">
        <v>565512</v>
      </c>
      <c r="Q592" s="16">
        <v>123100</v>
      </c>
      <c r="R592" s="16">
        <v>10948</v>
      </c>
      <c r="S592" s="16">
        <v>0</v>
      </c>
      <c r="T592" s="16">
        <v>15</v>
      </c>
      <c r="U592" s="15" t="str">
        <f t="shared" si="36"/>
        <v>Privado Nacional</v>
      </c>
      <c r="V592" s="17">
        <f t="shared" si="37"/>
        <v>0.3879879215870537</v>
      </c>
      <c r="W592" s="17">
        <f t="shared" si="38"/>
        <v>8.8935824532900082E-2</v>
      </c>
      <c r="X592" s="15" t="str">
        <f t="shared" si="39"/>
        <v>Média/Pequena</v>
      </c>
      <c r="Y592" s="121" t="str" cm="1">
        <f t="array" ref="Y592">_xlfn.IFS(ISNUMBER(W592)=FALSE,"Sem dado",W592&gt;0.075,"Excelente",W592&gt;0.04,"Bom",W592&gt;0,"Fraco",TRUE,"Prejuízo")</f>
        <v>Excelente</v>
      </c>
    </row>
    <row r="593" spans="1:25" ht="15" customHeight="1" x14ac:dyDescent="0.2">
      <c r="A593" s="12" t="s">
        <v>1314</v>
      </c>
      <c r="B593" s="56">
        <v>21661202</v>
      </c>
      <c r="C593" s="12"/>
      <c r="D593" s="12"/>
      <c r="E593" s="12"/>
      <c r="F593" s="12" t="s">
        <v>265</v>
      </c>
      <c r="G593" s="33">
        <v>2</v>
      </c>
      <c r="H593" s="33">
        <v>9</v>
      </c>
      <c r="I593" s="12" t="s">
        <v>1315</v>
      </c>
      <c r="J593" s="12" t="s">
        <v>120</v>
      </c>
      <c r="K593" s="73" t="s">
        <v>29</v>
      </c>
      <c r="L593" s="13">
        <v>723230</v>
      </c>
      <c r="M593" s="13">
        <v>345402</v>
      </c>
      <c r="N593" s="13">
        <v>10151</v>
      </c>
      <c r="O593" s="13">
        <v>601915</v>
      </c>
      <c r="P593" s="13">
        <v>566795</v>
      </c>
      <c r="Q593" s="13">
        <v>121315</v>
      </c>
      <c r="R593" s="13">
        <v>7284</v>
      </c>
      <c r="S593" s="13">
        <v>0</v>
      </c>
      <c r="T593" s="13">
        <v>13</v>
      </c>
      <c r="U593" s="12" t="str">
        <f t="shared" si="36"/>
        <v>Privado Nacional</v>
      </c>
      <c r="V593" s="14">
        <f t="shared" si="37"/>
        <v>0.47758251178739819</v>
      </c>
      <c r="W593" s="14">
        <f t="shared" si="38"/>
        <v>6.0042039319127889E-2</v>
      </c>
      <c r="X593" s="12" t="str">
        <f t="shared" si="39"/>
        <v>Média/Pequena</v>
      </c>
      <c r="Y593" s="122" t="str" cm="1">
        <f t="array" ref="Y593">_xlfn.IFS(ISNUMBER(W593)=FALSE,"Sem dado",W593&gt;0.075,"Excelente",W593&gt;0.04,"Bom",W593&gt;0,"Fraco",TRUE,"Prejuízo")</f>
        <v>Bom</v>
      </c>
    </row>
    <row r="594" spans="1:25" ht="15" customHeight="1" x14ac:dyDescent="0.2">
      <c r="A594" s="15" t="s">
        <v>1316</v>
      </c>
      <c r="B594" s="60">
        <v>2844024</v>
      </c>
      <c r="C594" s="15"/>
      <c r="D594" s="15"/>
      <c r="E594" s="15"/>
      <c r="F594" s="15" t="s">
        <v>265</v>
      </c>
      <c r="G594" s="34">
        <v>2</v>
      </c>
      <c r="H594" s="34">
        <v>9</v>
      </c>
      <c r="I594" s="15" t="s">
        <v>1317</v>
      </c>
      <c r="J594" s="15" t="s">
        <v>217</v>
      </c>
      <c r="K594" s="74" t="s">
        <v>29</v>
      </c>
      <c r="L594" s="16">
        <v>722857</v>
      </c>
      <c r="M594" s="16">
        <v>514553</v>
      </c>
      <c r="N594" s="16">
        <v>25665</v>
      </c>
      <c r="O594" s="16">
        <v>640057</v>
      </c>
      <c r="P594" s="16">
        <v>403369</v>
      </c>
      <c r="Q594" s="16">
        <v>82800</v>
      </c>
      <c r="R594" s="16">
        <v>2670</v>
      </c>
      <c r="S594" s="16">
        <v>0</v>
      </c>
      <c r="T594" s="16">
        <v>15</v>
      </c>
      <c r="U594" s="15" t="str">
        <f t="shared" si="36"/>
        <v>Privado Nacional</v>
      </c>
      <c r="V594" s="17">
        <f t="shared" si="37"/>
        <v>0.71183235411706602</v>
      </c>
      <c r="W594" s="17">
        <f t="shared" si="38"/>
        <v>3.2246376811594202E-2</v>
      </c>
      <c r="X594" s="15" t="str">
        <f t="shared" si="39"/>
        <v>Média/Pequena</v>
      </c>
      <c r="Y594" s="121" t="str" cm="1">
        <f t="array" ref="Y594">_xlfn.IFS(ISNUMBER(W594)=FALSE,"Sem dado",W594&gt;0.075,"Excelente",W594&gt;0.04,"Bom",W594&gt;0,"Fraco",TRUE,"Prejuízo")</f>
        <v>Fraco</v>
      </c>
    </row>
    <row r="595" spans="1:25" ht="15" customHeight="1" x14ac:dyDescent="0.2">
      <c r="A595" s="12" t="s">
        <v>1318</v>
      </c>
      <c r="B595" s="56">
        <v>58229246</v>
      </c>
      <c r="C595" s="12" t="s">
        <v>41</v>
      </c>
      <c r="D595" s="12" t="s">
        <v>42</v>
      </c>
      <c r="E595" s="12" t="s">
        <v>43</v>
      </c>
      <c r="F595" s="12" t="s">
        <v>98</v>
      </c>
      <c r="G595" s="33">
        <v>2</v>
      </c>
      <c r="H595" s="33">
        <v>21</v>
      </c>
      <c r="I595" s="12" t="s">
        <v>44</v>
      </c>
      <c r="J595" s="12" t="s">
        <v>39</v>
      </c>
      <c r="K595" s="73" t="s">
        <v>29</v>
      </c>
      <c r="L595" s="13">
        <v>705149</v>
      </c>
      <c r="M595" s="13">
        <v>0</v>
      </c>
      <c r="N595" s="13">
        <v>642886</v>
      </c>
      <c r="O595" s="13">
        <v>88128</v>
      </c>
      <c r="P595" s="13">
        <v>0</v>
      </c>
      <c r="Q595" s="13">
        <v>617021</v>
      </c>
      <c r="R595" s="13">
        <v>48182</v>
      </c>
      <c r="S595" s="13">
        <v>2</v>
      </c>
      <c r="T595" s="13">
        <v>0</v>
      </c>
      <c r="U595" s="12" t="str">
        <f t="shared" si="36"/>
        <v>Privado Nacional</v>
      </c>
      <c r="V595" s="14">
        <f t="shared" si="37"/>
        <v>0</v>
      </c>
      <c r="W595" s="14">
        <f t="shared" si="38"/>
        <v>7.8088103970529371E-2</v>
      </c>
      <c r="X595" s="12" t="str">
        <f t="shared" si="39"/>
        <v>Média/Pequena</v>
      </c>
      <c r="Y595" s="122" t="str" cm="1">
        <f t="array" ref="Y595">_xlfn.IFS(ISNUMBER(W595)=FALSE,"Sem dado",W595&gt;0.075,"Excelente",W595&gt;0.04,"Bom",W595&gt;0,"Fraco",TRUE,"Prejuízo")</f>
        <v>Excelente</v>
      </c>
    </row>
    <row r="596" spans="1:25" ht="15" customHeight="1" x14ac:dyDescent="0.2">
      <c r="A596" s="15" t="s">
        <v>1319</v>
      </c>
      <c r="B596" s="60">
        <v>26014175</v>
      </c>
      <c r="C596" s="15"/>
      <c r="D596" s="15"/>
      <c r="E596" s="15"/>
      <c r="F596" s="15" t="s">
        <v>265</v>
      </c>
      <c r="G596" s="34">
        <v>2</v>
      </c>
      <c r="H596" s="34">
        <v>9</v>
      </c>
      <c r="I596" s="15" t="s">
        <v>1320</v>
      </c>
      <c r="J596" s="15" t="s">
        <v>120</v>
      </c>
      <c r="K596" s="74" t="s">
        <v>29</v>
      </c>
      <c r="L596" s="16">
        <v>704413</v>
      </c>
      <c r="M596" s="16">
        <v>202135</v>
      </c>
      <c r="N596" s="16">
        <v>14506</v>
      </c>
      <c r="O596" s="16">
        <v>639894</v>
      </c>
      <c r="P596" s="16">
        <v>593898</v>
      </c>
      <c r="Q596" s="16">
        <v>64519</v>
      </c>
      <c r="R596" s="16">
        <v>5700</v>
      </c>
      <c r="S596" s="16">
        <v>0</v>
      </c>
      <c r="T596" s="16">
        <v>9</v>
      </c>
      <c r="U596" s="15" t="str">
        <f t="shared" si="36"/>
        <v>Privado Nacional</v>
      </c>
      <c r="V596" s="17">
        <f t="shared" si="37"/>
        <v>0.2869552379073072</v>
      </c>
      <c r="W596" s="17">
        <f t="shared" si="38"/>
        <v>8.83460685999473E-2</v>
      </c>
      <c r="X596" s="15" t="str">
        <f t="shared" si="39"/>
        <v>Média/Pequena</v>
      </c>
      <c r="Y596" s="121" t="str" cm="1">
        <f t="array" ref="Y596">_xlfn.IFS(ISNUMBER(W596)=FALSE,"Sem dado",W596&gt;0.075,"Excelente",W596&gt;0.04,"Bom",W596&gt;0,"Fraco",TRUE,"Prejuízo")</f>
        <v>Excelente</v>
      </c>
    </row>
    <row r="597" spans="1:25" ht="15" customHeight="1" x14ac:dyDescent="0.2">
      <c r="A597" s="12" t="s">
        <v>1321</v>
      </c>
      <c r="B597" s="56">
        <v>14511781</v>
      </c>
      <c r="C597" s="12" t="s">
        <v>889</v>
      </c>
      <c r="D597" s="12" t="s">
        <v>890</v>
      </c>
      <c r="E597" s="12" t="s">
        <v>891</v>
      </c>
      <c r="F597" s="12" t="s">
        <v>65</v>
      </c>
      <c r="G597" s="33">
        <v>2</v>
      </c>
      <c r="H597" s="33">
        <v>29</v>
      </c>
      <c r="I597" s="12" t="s">
        <v>228</v>
      </c>
      <c r="J597" s="12" t="s">
        <v>229</v>
      </c>
      <c r="K597" s="73" t="s">
        <v>29</v>
      </c>
      <c r="L597" s="13">
        <v>697688</v>
      </c>
      <c r="M597" s="13">
        <v>616764</v>
      </c>
      <c r="N597" s="13">
        <v>9645</v>
      </c>
      <c r="O597" s="13">
        <v>606280</v>
      </c>
      <c r="P597" s="13">
        <v>558046</v>
      </c>
      <c r="Q597" s="13">
        <v>91408</v>
      </c>
      <c r="R597" s="13">
        <v>10596</v>
      </c>
      <c r="S597" s="13">
        <v>2</v>
      </c>
      <c r="T597" s="13">
        <v>0</v>
      </c>
      <c r="U597" s="12" t="str">
        <f t="shared" si="36"/>
        <v>Privado Nacional</v>
      </c>
      <c r="V597" s="14">
        <f t="shared" si="37"/>
        <v>0.88401119124881034</v>
      </c>
      <c r="W597" s="14">
        <f t="shared" si="38"/>
        <v>0.11591983196219149</v>
      </c>
      <c r="X597" s="12" t="str">
        <f t="shared" si="39"/>
        <v>Média/Pequena</v>
      </c>
      <c r="Y597" s="122" t="str" cm="1">
        <f t="array" ref="Y597">_xlfn.IFS(ISNUMBER(W597)=FALSE,"Sem dado",W597&gt;0.075,"Excelente",W597&gt;0.04,"Bom",W597&gt;0,"Fraco",TRUE,"Prejuízo")</f>
        <v>Excelente</v>
      </c>
    </row>
    <row r="598" spans="1:25" ht="15" customHeight="1" x14ac:dyDescent="0.2">
      <c r="A598" s="15" t="s">
        <v>1322</v>
      </c>
      <c r="B598" s="60">
        <v>42272526</v>
      </c>
      <c r="C598" s="15" t="s">
        <v>1323</v>
      </c>
      <c r="D598" s="15" t="s">
        <v>1324</v>
      </c>
      <c r="E598" s="15" t="s">
        <v>1325</v>
      </c>
      <c r="F598" s="15" t="s">
        <v>26</v>
      </c>
      <c r="G598" s="34">
        <v>3</v>
      </c>
      <c r="H598" s="34">
        <v>2</v>
      </c>
      <c r="I598" s="15" t="s">
        <v>53</v>
      </c>
      <c r="J598" s="15" t="s">
        <v>54</v>
      </c>
      <c r="K598" s="74" t="s">
        <v>29</v>
      </c>
      <c r="L598" s="16">
        <v>696483</v>
      </c>
      <c r="M598" s="16">
        <v>0</v>
      </c>
      <c r="N598" s="16">
        <v>183837</v>
      </c>
      <c r="O598" s="16">
        <v>367456</v>
      </c>
      <c r="P598" s="16">
        <v>333399</v>
      </c>
      <c r="Q598" s="16">
        <v>329027</v>
      </c>
      <c r="R598" s="16">
        <v>15961</v>
      </c>
      <c r="S598" s="16">
        <v>3</v>
      </c>
      <c r="T598" s="16">
        <v>0</v>
      </c>
      <c r="U598" s="15" t="str">
        <f t="shared" si="36"/>
        <v>Privado Estrangeiro</v>
      </c>
      <c r="V598" s="17">
        <f t="shared" si="37"/>
        <v>0</v>
      </c>
      <c r="W598" s="17">
        <f t="shared" si="38"/>
        <v>4.850969677260529E-2</v>
      </c>
      <c r="X598" s="15" t="str">
        <f t="shared" si="39"/>
        <v>Média/Pequena</v>
      </c>
      <c r="Y598" s="121" t="str" cm="1">
        <f t="array" ref="Y598">_xlfn.IFS(ISNUMBER(W598)=FALSE,"Sem dado",W598&gt;0.075,"Excelente",W598&gt;0.04,"Bom",W598&gt;0,"Fraco",TRUE,"Prejuízo")</f>
        <v>Bom</v>
      </c>
    </row>
    <row r="599" spans="1:25" ht="15" customHeight="1" x14ac:dyDescent="0.2">
      <c r="A599" s="12" t="s">
        <v>1326</v>
      </c>
      <c r="B599" s="56">
        <v>73398646</v>
      </c>
      <c r="C599" s="12"/>
      <c r="D599" s="12"/>
      <c r="E599" s="12"/>
      <c r="F599" s="12" t="s">
        <v>265</v>
      </c>
      <c r="G599" s="33">
        <v>2</v>
      </c>
      <c r="H599" s="33">
        <v>9</v>
      </c>
      <c r="I599" s="12" t="s">
        <v>1327</v>
      </c>
      <c r="J599" s="12" t="s">
        <v>211</v>
      </c>
      <c r="K599" s="73" t="s">
        <v>29</v>
      </c>
      <c r="L599" s="13">
        <v>694491</v>
      </c>
      <c r="M599" s="13">
        <v>250581</v>
      </c>
      <c r="N599" s="13">
        <v>55748</v>
      </c>
      <c r="O599" s="13">
        <v>565980</v>
      </c>
      <c r="P599" s="13">
        <v>522822</v>
      </c>
      <c r="Q599" s="13">
        <v>128511</v>
      </c>
      <c r="R599" s="13">
        <v>9152</v>
      </c>
      <c r="S599" s="13">
        <v>0</v>
      </c>
      <c r="T599" s="13">
        <v>23</v>
      </c>
      <c r="U599" s="12" t="str">
        <f t="shared" si="36"/>
        <v>Privado Nacional</v>
      </c>
      <c r="V599" s="14">
        <f t="shared" si="37"/>
        <v>0.36081245113327604</v>
      </c>
      <c r="W599" s="14">
        <f t="shared" si="38"/>
        <v>7.1215693598213378E-2</v>
      </c>
      <c r="X599" s="12" t="str">
        <f t="shared" si="39"/>
        <v>Média/Pequena</v>
      </c>
      <c r="Y599" s="122" t="str" cm="1">
        <f t="array" ref="Y599">_xlfn.IFS(ISNUMBER(W599)=FALSE,"Sem dado",W599&gt;0.075,"Excelente",W599&gt;0.04,"Bom",W599&gt;0,"Fraco",TRUE,"Prejuízo")</f>
        <v>Bom</v>
      </c>
    </row>
    <row r="600" spans="1:25" ht="15" customHeight="1" x14ac:dyDescent="0.2">
      <c r="A600" s="15" t="s">
        <v>1328</v>
      </c>
      <c r="B600" s="60">
        <v>11703662</v>
      </c>
      <c r="C600" s="15" t="s">
        <v>1329</v>
      </c>
      <c r="D600" s="15" t="s">
        <v>1330</v>
      </c>
      <c r="E600" s="15" t="s">
        <v>1331</v>
      </c>
      <c r="F600" s="15" t="s">
        <v>26</v>
      </c>
      <c r="G600" s="34">
        <v>3</v>
      </c>
      <c r="H600" s="34">
        <v>8</v>
      </c>
      <c r="I600" s="15" t="s">
        <v>38</v>
      </c>
      <c r="J600" s="15" t="s">
        <v>39</v>
      </c>
      <c r="K600" s="74" t="s">
        <v>29</v>
      </c>
      <c r="L600" s="16">
        <v>692745</v>
      </c>
      <c r="M600" s="16">
        <v>21649</v>
      </c>
      <c r="N600" s="16">
        <v>209979</v>
      </c>
      <c r="O600" s="16">
        <v>482750</v>
      </c>
      <c r="P600" s="16">
        <v>189148</v>
      </c>
      <c r="Q600" s="16">
        <v>209995</v>
      </c>
      <c r="R600" s="16">
        <v>2511</v>
      </c>
      <c r="S600" s="16">
        <v>2</v>
      </c>
      <c r="T600" s="16">
        <v>0</v>
      </c>
      <c r="U600" s="15" t="str">
        <f t="shared" si="36"/>
        <v>Privado Estrangeiro</v>
      </c>
      <c r="V600" s="17">
        <f t="shared" si="37"/>
        <v>3.12510375390656E-2</v>
      </c>
      <c r="W600" s="17">
        <f t="shared" si="38"/>
        <v>1.1957427557798996E-2</v>
      </c>
      <c r="X600" s="15" t="str">
        <f t="shared" si="39"/>
        <v>Média/Pequena</v>
      </c>
      <c r="Y600" s="121" t="str" cm="1">
        <f t="array" ref="Y600">_xlfn.IFS(ISNUMBER(W600)=FALSE,"Sem dado",W600&gt;0.075,"Excelente",W600&gt;0.04,"Bom",W600&gt;0,"Fraco",TRUE,"Prejuízo")</f>
        <v>Fraco</v>
      </c>
    </row>
    <row r="601" spans="1:25" ht="15" customHeight="1" x14ac:dyDescent="0.2">
      <c r="A601" s="12" t="s">
        <v>1332</v>
      </c>
      <c r="B601" s="56">
        <v>2057584</v>
      </c>
      <c r="C601" s="12"/>
      <c r="D601" s="12"/>
      <c r="E601" s="12"/>
      <c r="F601" s="12" t="s">
        <v>265</v>
      </c>
      <c r="G601" s="33">
        <v>2</v>
      </c>
      <c r="H601" s="33">
        <v>9</v>
      </c>
      <c r="I601" s="12" t="s">
        <v>1333</v>
      </c>
      <c r="J601" s="12" t="s">
        <v>211</v>
      </c>
      <c r="K601" s="73" t="s">
        <v>29</v>
      </c>
      <c r="L601" s="13">
        <v>692222</v>
      </c>
      <c r="M601" s="13">
        <v>392550</v>
      </c>
      <c r="N601" s="13">
        <v>55134</v>
      </c>
      <c r="O601" s="13">
        <v>572350</v>
      </c>
      <c r="P601" s="13">
        <v>521559</v>
      </c>
      <c r="Q601" s="13">
        <v>119873</v>
      </c>
      <c r="R601" s="13">
        <v>10791</v>
      </c>
      <c r="S601" s="13">
        <v>0</v>
      </c>
      <c r="T601" s="13">
        <v>23</v>
      </c>
      <c r="U601" s="12" t="str">
        <f t="shared" si="36"/>
        <v>Privado Nacional</v>
      </c>
      <c r="V601" s="14">
        <f t="shared" si="37"/>
        <v>0.56708685941793235</v>
      </c>
      <c r="W601" s="14">
        <f t="shared" si="38"/>
        <v>9.0020271453955442E-2</v>
      </c>
      <c r="X601" s="12" t="str">
        <f t="shared" si="39"/>
        <v>Média/Pequena</v>
      </c>
      <c r="Y601" s="122" t="str" cm="1">
        <f t="array" ref="Y601">_xlfn.IFS(ISNUMBER(W601)=FALSE,"Sem dado",W601&gt;0.075,"Excelente",W601&gt;0.04,"Bom",W601&gt;0,"Fraco",TRUE,"Prejuízo")</f>
        <v>Excelente</v>
      </c>
    </row>
    <row r="602" spans="1:25" ht="15" customHeight="1" x14ac:dyDescent="0.2">
      <c r="A602" s="15" t="s">
        <v>1334</v>
      </c>
      <c r="B602" s="60">
        <v>23511655</v>
      </c>
      <c r="C602" s="15" t="s">
        <v>1335</v>
      </c>
      <c r="D602" s="15"/>
      <c r="E602" s="15" t="s">
        <v>1336</v>
      </c>
      <c r="F602" s="15" t="s">
        <v>60</v>
      </c>
      <c r="G602" s="34">
        <v>3</v>
      </c>
      <c r="H602" s="34">
        <v>8</v>
      </c>
      <c r="I602" s="15" t="s">
        <v>38</v>
      </c>
      <c r="J602" s="15" t="s">
        <v>39</v>
      </c>
      <c r="K602" s="74" t="s">
        <v>29</v>
      </c>
      <c r="L602" s="16">
        <v>683295</v>
      </c>
      <c r="M602" s="16">
        <v>612580</v>
      </c>
      <c r="N602" s="16">
        <v>0</v>
      </c>
      <c r="O602" s="16">
        <v>593170</v>
      </c>
      <c r="P602" s="16">
        <v>543996</v>
      </c>
      <c r="Q602" s="16">
        <v>90125</v>
      </c>
      <c r="R602" s="16">
        <v>-3452</v>
      </c>
      <c r="S602" s="16">
        <v>2</v>
      </c>
      <c r="T602" s="16">
        <v>0</v>
      </c>
      <c r="U602" s="15" t="str">
        <f t="shared" si="36"/>
        <v>Privado Estrangeiro</v>
      </c>
      <c r="V602" s="17">
        <f t="shared" si="37"/>
        <v>0.89650882854404024</v>
      </c>
      <c r="W602" s="17">
        <f t="shared" si="38"/>
        <v>-3.8302357836338417E-2</v>
      </c>
      <c r="X602" s="15" t="str">
        <f t="shared" si="39"/>
        <v>Média/Pequena</v>
      </c>
      <c r="Y602" s="121" t="str" cm="1">
        <f t="array" ref="Y602">_xlfn.IFS(ISNUMBER(W602)=FALSE,"Sem dado",W602&gt;0.075,"Excelente",W602&gt;0.04,"Bom",W602&gt;0,"Fraco",TRUE,"Prejuízo")</f>
        <v>Prejuízo</v>
      </c>
    </row>
    <row r="603" spans="1:25" ht="15" customHeight="1" x14ac:dyDescent="0.2">
      <c r="A603" s="12" t="s">
        <v>1337</v>
      </c>
      <c r="B603" s="56">
        <v>2144899</v>
      </c>
      <c r="C603" s="12"/>
      <c r="D603" s="12"/>
      <c r="E603" s="12"/>
      <c r="F603" s="12" t="s">
        <v>265</v>
      </c>
      <c r="G603" s="33">
        <v>2</v>
      </c>
      <c r="H603" s="33">
        <v>9</v>
      </c>
      <c r="I603" s="12" t="s">
        <v>1338</v>
      </c>
      <c r="J603" s="12" t="s">
        <v>432</v>
      </c>
      <c r="K603" s="73" t="s">
        <v>29</v>
      </c>
      <c r="L603" s="13">
        <v>678495</v>
      </c>
      <c r="M603" s="13">
        <v>354262</v>
      </c>
      <c r="N603" s="13">
        <v>22853</v>
      </c>
      <c r="O603" s="13">
        <v>546578</v>
      </c>
      <c r="P603" s="13">
        <v>416384</v>
      </c>
      <c r="Q603" s="13">
        <v>131916</v>
      </c>
      <c r="R603" s="13">
        <v>11360</v>
      </c>
      <c r="S603" s="13">
        <v>0</v>
      </c>
      <c r="T603" s="13">
        <v>15</v>
      </c>
      <c r="U603" s="12" t="str">
        <f t="shared" si="36"/>
        <v>Privado Nacional</v>
      </c>
      <c r="V603" s="14">
        <f t="shared" si="37"/>
        <v>0.52212912401712619</v>
      </c>
      <c r="W603" s="14">
        <f t="shared" si="38"/>
        <v>8.6115406774007697E-2</v>
      </c>
      <c r="X603" s="12" t="str">
        <f t="shared" si="39"/>
        <v>Média/Pequena</v>
      </c>
      <c r="Y603" s="122" t="str" cm="1">
        <f t="array" ref="Y603">_xlfn.IFS(ISNUMBER(W603)=FALSE,"Sem dado",W603&gt;0.075,"Excelente",W603&gt;0.04,"Bom",W603&gt;0,"Fraco",TRUE,"Prejuízo")</f>
        <v>Excelente</v>
      </c>
    </row>
    <row r="604" spans="1:25" ht="15" customHeight="1" x14ac:dyDescent="0.2">
      <c r="A604" s="15" t="s">
        <v>1339</v>
      </c>
      <c r="B604" s="60">
        <v>43599047</v>
      </c>
      <c r="C604" s="15" t="s">
        <v>1340</v>
      </c>
      <c r="D604" s="15"/>
      <c r="E604" s="15" t="s">
        <v>1341</v>
      </c>
      <c r="F604" s="15" t="s">
        <v>65</v>
      </c>
      <c r="G604" s="34">
        <v>2</v>
      </c>
      <c r="H604" s="34">
        <v>43</v>
      </c>
      <c r="I604" s="15" t="s">
        <v>107</v>
      </c>
      <c r="J604" s="15" t="s">
        <v>39</v>
      </c>
      <c r="K604" s="74" t="s">
        <v>29</v>
      </c>
      <c r="L604" s="16">
        <v>677268</v>
      </c>
      <c r="M604" s="16">
        <v>23210</v>
      </c>
      <c r="N604" s="16">
        <v>491935</v>
      </c>
      <c r="O604" s="16">
        <v>645282</v>
      </c>
      <c r="P604" s="16">
        <v>637791</v>
      </c>
      <c r="Q604" s="16">
        <v>31986</v>
      </c>
      <c r="R604" s="16">
        <v>10402</v>
      </c>
      <c r="S604" s="16">
        <v>2</v>
      </c>
      <c r="T604" s="16">
        <v>0</v>
      </c>
      <c r="U604" s="15" t="str">
        <f t="shared" si="36"/>
        <v>Privado Nacional</v>
      </c>
      <c r="V604" s="17">
        <f t="shared" si="37"/>
        <v>3.4270037857982362E-2</v>
      </c>
      <c r="W604" s="17">
        <f t="shared" si="38"/>
        <v>0.32520477708997686</v>
      </c>
      <c r="X604" s="15" t="str">
        <f t="shared" si="39"/>
        <v>Média/Pequena</v>
      </c>
      <c r="Y604" s="121" t="str" cm="1">
        <f t="array" ref="Y604">_xlfn.IFS(ISNUMBER(W604)=FALSE,"Sem dado",W604&gt;0.075,"Excelente",W604&gt;0.04,"Bom",W604&gt;0,"Fraco",TRUE,"Prejuízo")</f>
        <v>Excelente</v>
      </c>
    </row>
    <row r="605" spans="1:25" ht="15" customHeight="1" x14ac:dyDescent="0.2">
      <c r="A605" s="12" t="s">
        <v>1342</v>
      </c>
      <c r="B605" s="56">
        <v>4490531</v>
      </c>
      <c r="C605" s="12"/>
      <c r="D605" s="12"/>
      <c r="E605" s="12"/>
      <c r="F605" s="12" t="s">
        <v>265</v>
      </c>
      <c r="G605" s="33">
        <v>2</v>
      </c>
      <c r="H605" s="33">
        <v>9</v>
      </c>
      <c r="I605" s="12" t="s">
        <v>1343</v>
      </c>
      <c r="J605" s="12" t="s">
        <v>389</v>
      </c>
      <c r="K605" s="73" t="s">
        <v>29</v>
      </c>
      <c r="L605" s="13">
        <v>666438</v>
      </c>
      <c r="M605" s="13">
        <v>455670</v>
      </c>
      <c r="N605" s="13">
        <v>8053</v>
      </c>
      <c r="O605" s="13">
        <v>556395</v>
      </c>
      <c r="P605" s="13">
        <v>371616</v>
      </c>
      <c r="Q605" s="13">
        <v>110043</v>
      </c>
      <c r="R605" s="13">
        <v>4223</v>
      </c>
      <c r="S605" s="13">
        <v>0</v>
      </c>
      <c r="T605" s="13">
        <v>15</v>
      </c>
      <c r="U605" s="12" t="str">
        <f t="shared" si="36"/>
        <v>Privado Nacional</v>
      </c>
      <c r="V605" s="14">
        <f t="shared" si="37"/>
        <v>0.68373952265627114</v>
      </c>
      <c r="W605" s="14">
        <f t="shared" si="38"/>
        <v>3.8375907599756461E-2</v>
      </c>
      <c r="X605" s="12" t="str">
        <f t="shared" si="39"/>
        <v>Média/Pequena</v>
      </c>
      <c r="Y605" s="122" t="str" cm="1">
        <f t="array" ref="Y605">_xlfn.IFS(ISNUMBER(W605)=FALSE,"Sem dado",W605&gt;0.075,"Excelente",W605&gt;0.04,"Bom",W605&gt;0,"Fraco",TRUE,"Prejuízo")</f>
        <v>Fraco</v>
      </c>
    </row>
    <row r="606" spans="1:25" ht="15" customHeight="1" x14ac:dyDescent="0.2">
      <c r="A606" s="15" t="s">
        <v>1344</v>
      </c>
      <c r="B606" s="60">
        <v>7412987</v>
      </c>
      <c r="C606" s="15"/>
      <c r="D606" s="15"/>
      <c r="E606" s="15"/>
      <c r="F606" s="15" t="s">
        <v>265</v>
      </c>
      <c r="G606" s="34">
        <v>2</v>
      </c>
      <c r="H606" s="34">
        <v>9</v>
      </c>
      <c r="I606" s="15" t="s">
        <v>369</v>
      </c>
      <c r="J606" s="15" t="s">
        <v>217</v>
      </c>
      <c r="K606" s="74" t="s">
        <v>29</v>
      </c>
      <c r="L606" s="16">
        <v>660187</v>
      </c>
      <c r="M606" s="16">
        <v>456804</v>
      </c>
      <c r="N606" s="16">
        <v>22642</v>
      </c>
      <c r="O606" s="16">
        <v>582245</v>
      </c>
      <c r="P606" s="16">
        <v>416917</v>
      </c>
      <c r="Q606" s="16">
        <v>77942</v>
      </c>
      <c r="R606" s="16">
        <v>1507</v>
      </c>
      <c r="S606" s="16">
        <v>0</v>
      </c>
      <c r="T606" s="16">
        <v>17</v>
      </c>
      <c r="U606" s="15" t="str">
        <f t="shared" si="36"/>
        <v>Privado Nacional</v>
      </c>
      <c r="V606" s="17">
        <f t="shared" si="37"/>
        <v>0.69193122554670117</v>
      </c>
      <c r="W606" s="17">
        <f t="shared" si="38"/>
        <v>1.9334890046444793E-2</v>
      </c>
      <c r="X606" s="15" t="str">
        <f t="shared" si="39"/>
        <v>Média/Pequena</v>
      </c>
      <c r="Y606" s="121" t="str" cm="1">
        <f t="array" ref="Y606">_xlfn.IFS(ISNUMBER(W606)=FALSE,"Sem dado",W606&gt;0.075,"Excelente",W606&gt;0.04,"Bom",W606&gt;0,"Fraco",TRUE,"Prejuízo")</f>
        <v>Fraco</v>
      </c>
    </row>
    <row r="607" spans="1:25" ht="15" customHeight="1" x14ac:dyDescent="0.2">
      <c r="A607" s="12" t="s">
        <v>1345</v>
      </c>
      <c r="B607" s="56">
        <v>968602</v>
      </c>
      <c r="C607" s="12"/>
      <c r="D607" s="12"/>
      <c r="E607" s="12"/>
      <c r="F607" s="12" t="s">
        <v>265</v>
      </c>
      <c r="G607" s="33">
        <v>2</v>
      </c>
      <c r="H607" s="33">
        <v>9</v>
      </c>
      <c r="I607" s="12" t="s">
        <v>1267</v>
      </c>
      <c r="J607" s="12" t="s">
        <v>389</v>
      </c>
      <c r="K607" s="73" t="s">
        <v>29</v>
      </c>
      <c r="L607" s="13">
        <v>654787</v>
      </c>
      <c r="M607" s="13">
        <v>387010</v>
      </c>
      <c r="N607" s="13">
        <v>31062</v>
      </c>
      <c r="O607" s="13">
        <v>503147</v>
      </c>
      <c r="P607" s="13">
        <v>432641</v>
      </c>
      <c r="Q607" s="13">
        <v>151640</v>
      </c>
      <c r="R607" s="13">
        <v>-1380</v>
      </c>
      <c r="S607" s="13">
        <v>0</v>
      </c>
      <c r="T607" s="13">
        <v>5</v>
      </c>
      <c r="U607" s="12" t="str">
        <f t="shared" si="36"/>
        <v>Privado Nacional</v>
      </c>
      <c r="V607" s="14">
        <f t="shared" si="37"/>
        <v>0.59104716495593224</v>
      </c>
      <c r="W607" s="14">
        <f t="shared" si="38"/>
        <v>-9.1005011870218932E-3</v>
      </c>
      <c r="X607" s="12" t="str">
        <f t="shared" si="39"/>
        <v>Média/Pequena</v>
      </c>
      <c r="Y607" s="122" t="str" cm="1">
        <f t="array" ref="Y607">_xlfn.IFS(ISNUMBER(W607)=FALSE,"Sem dado",W607&gt;0.075,"Excelente",W607&gt;0.04,"Bom",W607&gt;0,"Fraco",TRUE,"Prejuízo")</f>
        <v>Prejuízo</v>
      </c>
    </row>
    <row r="608" spans="1:25" ht="15" customHeight="1" x14ac:dyDescent="0.2">
      <c r="A608" s="15" t="s">
        <v>1346</v>
      </c>
      <c r="B608" s="60">
        <v>65654303</v>
      </c>
      <c r="C608" s="15" t="s">
        <v>35</v>
      </c>
      <c r="D608" s="15" t="s">
        <v>36</v>
      </c>
      <c r="E608" s="15" t="s">
        <v>37</v>
      </c>
      <c r="F608" s="15" t="s">
        <v>65</v>
      </c>
      <c r="G608" s="34">
        <v>2</v>
      </c>
      <c r="H608" s="34">
        <v>19</v>
      </c>
      <c r="I608" s="15" t="s">
        <v>38</v>
      </c>
      <c r="J608" s="15" t="s">
        <v>39</v>
      </c>
      <c r="K608" s="74" t="s">
        <v>29</v>
      </c>
      <c r="L608" s="16">
        <v>648446</v>
      </c>
      <c r="M608" s="16">
        <v>0</v>
      </c>
      <c r="N608" s="16">
        <v>9740</v>
      </c>
      <c r="O608" s="16">
        <v>19760</v>
      </c>
      <c r="P608" s="16">
        <v>1384</v>
      </c>
      <c r="Q608" s="16">
        <v>628686</v>
      </c>
      <c r="R608" s="16">
        <v>32392</v>
      </c>
      <c r="S608" s="16">
        <v>2</v>
      </c>
      <c r="T608" s="16">
        <v>0</v>
      </c>
      <c r="U608" s="15" t="str">
        <f t="shared" si="36"/>
        <v>Privado Nacional</v>
      </c>
      <c r="V608" s="17">
        <f t="shared" si="37"/>
        <v>0</v>
      </c>
      <c r="W608" s="17">
        <f t="shared" si="38"/>
        <v>5.1523335973761145E-2</v>
      </c>
      <c r="X608" s="15" t="str">
        <f t="shared" si="39"/>
        <v>Média/Pequena</v>
      </c>
      <c r="Y608" s="121" t="str" cm="1">
        <f t="array" ref="Y608">_xlfn.IFS(ISNUMBER(W608)=FALSE,"Sem dado",W608&gt;0.075,"Excelente",W608&gt;0.04,"Bom",W608&gt;0,"Fraco",TRUE,"Prejuízo")</f>
        <v>Bom</v>
      </c>
    </row>
    <row r="609" spans="1:25" ht="15" customHeight="1" x14ac:dyDescent="0.2">
      <c r="A609" s="12" t="s">
        <v>1347</v>
      </c>
      <c r="B609" s="56">
        <v>1705236</v>
      </c>
      <c r="C609" s="12"/>
      <c r="D609" s="12"/>
      <c r="E609" s="12"/>
      <c r="F609" s="12" t="s">
        <v>265</v>
      </c>
      <c r="G609" s="33">
        <v>2</v>
      </c>
      <c r="H609" s="33">
        <v>9</v>
      </c>
      <c r="I609" s="12" t="s">
        <v>1348</v>
      </c>
      <c r="J609" s="12" t="s">
        <v>74</v>
      </c>
      <c r="K609" s="73" t="s">
        <v>29</v>
      </c>
      <c r="L609" s="13">
        <v>648409</v>
      </c>
      <c r="M609" s="13">
        <v>328163</v>
      </c>
      <c r="N609" s="13">
        <v>11930</v>
      </c>
      <c r="O609" s="13">
        <v>581993</v>
      </c>
      <c r="P609" s="13">
        <v>541448</v>
      </c>
      <c r="Q609" s="13">
        <v>66417</v>
      </c>
      <c r="R609" s="13">
        <v>8774</v>
      </c>
      <c r="S609" s="13">
        <v>0</v>
      </c>
      <c r="T609" s="13">
        <v>4</v>
      </c>
      <c r="U609" s="12" t="str">
        <f t="shared" si="36"/>
        <v>Privado Nacional</v>
      </c>
      <c r="V609" s="14">
        <f t="shared" si="37"/>
        <v>0.50610494302207398</v>
      </c>
      <c r="W609" s="14">
        <f t="shared" si="38"/>
        <v>0.13210473222217203</v>
      </c>
      <c r="X609" s="12" t="str">
        <f t="shared" si="39"/>
        <v>Média/Pequena</v>
      </c>
      <c r="Y609" s="122" t="str" cm="1">
        <f t="array" ref="Y609">_xlfn.IFS(ISNUMBER(W609)=FALSE,"Sem dado",W609&gt;0.075,"Excelente",W609&gt;0.04,"Bom",W609&gt;0,"Fraco",TRUE,"Prejuízo")</f>
        <v>Excelente</v>
      </c>
    </row>
    <row r="610" spans="1:25" ht="15" customHeight="1" x14ac:dyDescent="0.2">
      <c r="A610" s="15" t="s">
        <v>1349</v>
      </c>
      <c r="B610" s="60">
        <v>25683475</v>
      </c>
      <c r="C610" s="15"/>
      <c r="D610" s="15"/>
      <c r="E610" s="15"/>
      <c r="F610" s="15" t="s">
        <v>265</v>
      </c>
      <c r="G610" s="34">
        <v>2</v>
      </c>
      <c r="H610" s="34">
        <v>9</v>
      </c>
      <c r="I610" s="15" t="s">
        <v>1350</v>
      </c>
      <c r="J610" s="15" t="s">
        <v>120</v>
      </c>
      <c r="K610" s="74" t="s">
        <v>29</v>
      </c>
      <c r="L610" s="16">
        <v>647466</v>
      </c>
      <c r="M610" s="16">
        <v>408479</v>
      </c>
      <c r="N610" s="16">
        <v>13284</v>
      </c>
      <c r="O610" s="16">
        <v>555911</v>
      </c>
      <c r="P610" s="16">
        <v>478402</v>
      </c>
      <c r="Q610" s="16">
        <v>91555</v>
      </c>
      <c r="R610" s="16">
        <v>-1324</v>
      </c>
      <c r="S610" s="16">
        <v>0</v>
      </c>
      <c r="T610" s="16">
        <v>7</v>
      </c>
      <c r="U610" s="15" t="str">
        <f t="shared" si="36"/>
        <v>Privado Nacional</v>
      </c>
      <c r="V610" s="17">
        <f t="shared" si="37"/>
        <v>0.63088872620338365</v>
      </c>
      <c r="W610" s="17">
        <f t="shared" si="38"/>
        <v>-1.4461252798864071E-2</v>
      </c>
      <c r="X610" s="15" t="str">
        <f t="shared" si="39"/>
        <v>Média/Pequena</v>
      </c>
      <c r="Y610" s="121" t="str" cm="1">
        <f t="array" ref="Y610">_xlfn.IFS(ISNUMBER(W610)=FALSE,"Sem dado",W610&gt;0.075,"Excelente",W610&gt;0.04,"Bom",W610&gt;0,"Fraco",TRUE,"Prejuízo")</f>
        <v>Prejuízo</v>
      </c>
    </row>
    <row r="611" spans="1:25" ht="15" customHeight="1" x14ac:dyDescent="0.2">
      <c r="A611" s="12" t="s">
        <v>1351</v>
      </c>
      <c r="B611" s="56">
        <v>22749014</v>
      </c>
      <c r="C611" s="12"/>
      <c r="D611" s="12"/>
      <c r="E611" s="12"/>
      <c r="F611" s="12" t="s">
        <v>265</v>
      </c>
      <c r="G611" s="33">
        <v>2</v>
      </c>
      <c r="H611" s="33">
        <v>9</v>
      </c>
      <c r="I611" s="12" t="s">
        <v>1352</v>
      </c>
      <c r="J611" s="12" t="s">
        <v>120</v>
      </c>
      <c r="K611" s="73" t="s">
        <v>29</v>
      </c>
      <c r="L611" s="13">
        <v>643489</v>
      </c>
      <c r="M611" s="13">
        <v>171833</v>
      </c>
      <c r="N611" s="13">
        <v>14690</v>
      </c>
      <c r="O611" s="13">
        <v>524088</v>
      </c>
      <c r="P611" s="13">
        <v>476705</v>
      </c>
      <c r="Q611" s="13">
        <v>119400</v>
      </c>
      <c r="R611" s="13">
        <v>10854</v>
      </c>
      <c r="S611" s="13">
        <v>0</v>
      </c>
      <c r="T611" s="13">
        <v>11</v>
      </c>
      <c r="U611" s="12" t="str">
        <f t="shared" si="36"/>
        <v>Privado Nacional</v>
      </c>
      <c r="V611" s="14">
        <f t="shared" si="37"/>
        <v>0.2670333137007781</v>
      </c>
      <c r="W611" s="14">
        <f t="shared" si="38"/>
        <v>9.0904522613065322E-2</v>
      </c>
      <c r="X611" s="12" t="str">
        <f t="shared" si="39"/>
        <v>Média/Pequena</v>
      </c>
      <c r="Y611" s="122" t="str" cm="1">
        <f t="array" ref="Y611">_xlfn.IFS(ISNUMBER(W611)=FALSE,"Sem dado",W611&gt;0.075,"Excelente",W611&gt;0.04,"Bom",W611&gt;0,"Fraco",TRUE,"Prejuízo")</f>
        <v>Excelente</v>
      </c>
    </row>
    <row r="612" spans="1:25" ht="15" customHeight="1" x14ac:dyDescent="0.2">
      <c r="A612" s="15" t="s">
        <v>1353</v>
      </c>
      <c r="B612" s="60">
        <v>1187961</v>
      </c>
      <c r="C612" s="15"/>
      <c r="D612" s="15"/>
      <c r="E612" s="15"/>
      <c r="F612" s="15" t="s">
        <v>265</v>
      </c>
      <c r="G612" s="34">
        <v>2</v>
      </c>
      <c r="H612" s="34">
        <v>9</v>
      </c>
      <c r="I612" s="15" t="s">
        <v>27</v>
      </c>
      <c r="J612" s="15" t="s">
        <v>28</v>
      </c>
      <c r="K612" s="74" t="s">
        <v>29</v>
      </c>
      <c r="L612" s="16">
        <v>642945</v>
      </c>
      <c r="M612" s="16">
        <v>374999</v>
      </c>
      <c r="N612" s="16">
        <v>34586</v>
      </c>
      <c r="O612" s="16">
        <v>540740</v>
      </c>
      <c r="P612" s="16">
        <v>484347</v>
      </c>
      <c r="Q612" s="16">
        <v>102206</v>
      </c>
      <c r="R612" s="16">
        <v>-1404</v>
      </c>
      <c r="S612" s="16">
        <v>0</v>
      </c>
      <c r="T612" s="16">
        <v>7</v>
      </c>
      <c r="U612" s="15" t="str">
        <f t="shared" si="36"/>
        <v>Privado Nacional</v>
      </c>
      <c r="V612" s="17">
        <f t="shared" si="37"/>
        <v>0.58325206666200069</v>
      </c>
      <c r="W612" s="17">
        <f t="shared" si="38"/>
        <v>-1.3736962604935132E-2</v>
      </c>
      <c r="X612" s="15" t="str">
        <f t="shared" si="39"/>
        <v>Média/Pequena</v>
      </c>
      <c r="Y612" s="121" t="str" cm="1">
        <f t="array" ref="Y612">_xlfn.IFS(ISNUMBER(W612)=FALSE,"Sem dado",W612&gt;0.075,"Excelente",W612&gt;0.04,"Bom",W612&gt;0,"Fraco",TRUE,"Prejuízo")</f>
        <v>Prejuízo</v>
      </c>
    </row>
    <row r="613" spans="1:25" ht="15" customHeight="1" x14ac:dyDescent="0.2">
      <c r="A613" s="12" t="s">
        <v>1354</v>
      </c>
      <c r="B613" s="56">
        <v>62895230</v>
      </c>
      <c r="C613" s="12" t="s">
        <v>1355</v>
      </c>
      <c r="D613" s="12"/>
      <c r="E613" s="12" t="s">
        <v>1356</v>
      </c>
      <c r="F613" s="12" t="s">
        <v>84</v>
      </c>
      <c r="G613" s="33">
        <v>2</v>
      </c>
      <c r="H613" s="33">
        <v>41</v>
      </c>
      <c r="I613" s="12" t="s">
        <v>1357</v>
      </c>
      <c r="J613" s="12" t="s">
        <v>1358</v>
      </c>
      <c r="K613" s="73" t="s">
        <v>29</v>
      </c>
      <c r="L613" s="13">
        <v>641185</v>
      </c>
      <c r="M613" s="13">
        <v>422341</v>
      </c>
      <c r="N613" s="13">
        <v>192133</v>
      </c>
      <c r="O613" s="13">
        <v>330811</v>
      </c>
      <c r="P613" s="13">
        <v>0</v>
      </c>
      <c r="Q613" s="13">
        <v>310374</v>
      </c>
      <c r="R613" s="13">
        <v>11539</v>
      </c>
      <c r="S613" s="13">
        <v>1</v>
      </c>
      <c r="T613" s="13">
        <v>0</v>
      </c>
      <c r="U613" s="12" t="str">
        <f t="shared" si="36"/>
        <v>Privado Nacional</v>
      </c>
      <c r="V613" s="14">
        <f t="shared" si="37"/>
        <v>0.65868821011096645</v>
      </c>
      <c r="W613" s="14">
        <f t="shared" si="38"/>
        <v>3.7177727515835736E-2</v>
      </c>
      <c r="X613" s="12" t="str">
        <f t="shared" si="39"/>
        <v>Média/Pequena</v>
      </c>
      <c r="Y613" s="122" t="str" cm="1">
        <f t="array" ref="Y613">_xlfn.IFS(ISNUMBER(W613)=FALSE,"Sem dado",W613&gt;0.075,"Excelente",W613&gt;0.04,"Bom",W613&gt;0,"Fraco",TRUE,"Prejuízo")</f>
        <v>Fraco</v>
      </c>
    </row>
    <row r="614" spans="1:25" ht="15" customHeight="1" x14ac:dyDescent="0.2">
      <c r="A614" s="15" t="s">
        <v>1359</v>
      </c>
      <c r="B614" s="60">
        <v>41805003</v>
      </c>
      <c r="C614" s="15"/>
      <c r="D614" s="15"/>
      <c r="E614" s="15"/>
      <c r="F614" s="15" t="s">
        <v>265</v>
      </c>
      <c r="G614" s="34">
        <v>2</v>
      </c>
      <c r="H614" s="34">
        <v>9</v>
      </c>
      <c r="I614" s="15" t="s">
        <v>1360</v>
      </c>
      <c r="J614" s="15" t="s">
        <v>120</v>
      </c>
      <c r="K614" s="74" t="s">
        <v>29</v>
      </c>
      <c r="L614" s="16">
        <v>638704</v>
      </c>
      <c r="M614" s="16">
        <v>273121</v>
      </c>
      <c r="N614" s="16">
        <v>10324</v>
      </c>
      <c r="O614" s="16">
        <v>555469</v>
      </c>
      <c r="P614" s="16">
        <v>474640</v>
      </c>
      <c r="Q614" s="16">
        <v>83235</v>
      </c>
      <c r="R614" s="16">
        <v>2348</v>
      </c>
      <c r="S614" s="16">
        <v>0</v>
      </c>
      <c r="T614" s="16">
        <v>6</v>
      </c>
      <c r="U614" s="15" t="str">
        <f t="shared" si="36"/>
        <v>Privado Nacional</v>
      </c>
      <c r="V614" s="17">
        <f t="shared" si="37"/>
        <v>0.4276174879130239</v>
      </c>
      <c r="W614" s="17">
        <f t="shared" si="38"/>
        <v>2.8209286958611163E-2</v>
      </c>
      <c r="X614" s="15" t="str">
        <f t="shared" si="39"/>
        <v>Média/Pequena</v>
      </c>
      <c r="Y614" s="121" t="str" cm="1">
        <f t="array" ref="Y614">_xlfn.IFS(ISNUMBER(W614)=FALSE,"Sem dado",W614&gt;0.075,"Excelente",W614&gt;0.04,"Bom",W614&gt;0,"Fraco",TRUE,"Prejuízo")</f>
        <v>Fraco</v>
      </c>
    </row>
    <row r="615" spans="1:25" ht="15" customHeight="1" x14ac:dyDescent="0.2">
      <c r="A615" s="12" t="s">
        <v>1361</v>
      </c>
      <c r="B615" s="56">
        <v>37079720</v>
      </c>
      <c r="C615" s="12"/>
      <c r="D615" s="12"/>
      <c r="E615" s="12"/>
      <c r="F615" s="12" t="s">
        <v>265</v>
      </c>
      <c r="G615" s="33">
        <v>2</v>
      </c>
      <c r="H615" s="33">
        <v>9</v>
      </c>
      <c r="I615" s="12" t="s">
        <v>27</v>
      </c>
      <c r="J615" s="12" t="s">
        <v>28</v>
      </c>
      <c r="K615" s="73" t="s">
        <v>29</v>
      </c>
      <c r="L615" s="13">
        <v>634338</v>
      </c>
      <c r="M615" s="13">
        <v>269084</v>
      </c>
      <c r="N615" s="13">
        <v>46242</v>
      </c>
      <c r="O615" s="13">
        <v>538455</v>
      </c>
      <c r="P615" s="13">
        <v>531099</v>
      </c>
      <c r="Q615" s="13">
        <v>95884</v>
      </c>
      <c r="R615" s="13">
        <v>6109</v>
      </c>
      <c r="S615" s="13">
        <v>0</v>
      </c>
      <c r="T615" s="13">
        <v>10</v>
      </c>
      <c r="U615" s="12" t="str">
        <f t="shared" si="36"/>
        <v>Privado Nacional</v>
      </c>
      <c r="V615" s="14">
        <f t="shared" si="37"/>
        <v>0.42419656397693345</v>
      </c>
      <c r="W615" s="14">
        <f t="shared" si="38"/>
        <v>6.3712402486337652E-2</v>
      </c>
      <c r="X615" s="12" t="str">
        <f t="shared" si="39"/>
        <v>Média/Pequena</v>
      </c>
      <c r="Y615" s="122" t="str" cm="1">
        <f t="array" ref="Y615">_xlfn.IFS(ISNUMBER(W615)=FALSE,"Sem dado",W615&gt;0.075,"Excelente",W615&gt;0.04,"Bom",W615&gt;0,"Fraco",TRUE,"Prejuízo")</f>
        <v>Bom</v>
      </c>
    </row>
    <row r="616" spans="1:25" ht="15" customHeight="1" x14ac:dyDescent="0.2">
      <c r="A616" s="15" t="s">
        <v>1362</v>
      </c>
      <c r="B616" s="60">
        <v>2766672</v>
      </c>
      <c r="C616" s="15"/>
      <c r="D616" s="15"/>
      <c r="E616" s="15"/>
      <c r="F616" s="15" t="s">
        <v>265</v>
      </c>
      <c r="G616" s="34">
        <v>2</v>
      </c>
      <c r="H616" s="34">
        <v>9</v>
      </c>
      <c r="I616" s="15" t="s">
        <v>1363</v>
      </c>
      <c r="J616" s="15" t="s">
        <v>217</v>
      </c>
      <c r="K616" s="74" t="s">
        <v>29</v>
      </c>
      <c r="L616" s="16">
        <v>630391</v>
      </c>
      <c r="M616" s="16">
        <v>470979</v>
      </c>
      <c r="N616" s="16">
        <v>17184</v>
      </c>
      <c r="O616" s="16">
        <v>546029</v>
      </c>
      <c r="P616" s="16">
        <v>371509</v>
      </c>
      <c r="Q616" s="16">
        <v>84361</v>
      </c>
      <c r="R616" s="16">
        <v>3788</v>
      </c>
      <c r="S616" s="16">
        <v>0</v>
      </c>
      <c r="T616" s="16">
        <v>15</v>
      </c>
      <c r="U616" s="15" t="str">
        <f t="shared" si="36"/>
        <v>Privado Nacional</v>
      </c>
      <c r="V616" s="17">
        <f t="shared" si="37"/>
        <v>0.74712202426747842</v>
      </c>
      <c r="W616" s="17">
        <f t="shared" si="38"/>
        <v>4.4902265264755041E-2</v>
      </c>
      <c r="X616" s="15" t="str">
        <f t="shared" si="39"/>
        <v>Média/Pequena</v>
      </c>
      <c r="Y616" s="121" t="str" cm="1">
        <f t="array" ref="Y616">_xlfn.IFS(ISNUMBER(W616)=FALSE,"Sem dado",W616&gt;0.075,"Excelente",W616&gt;0.04,"Bom",W616&gt;0,"Fraco",TRUE,"Prejuízo")</f>
        <v>Bom</v>
      </c>
    </row>
    <row r="617" spans="1:25" ht="15" customHeight="1" x14ac:dyDescent="0.2">
      <c r="A617" s="12" t="s">
        <v>1364</v>
      </c>
      <c r="B617" s="56">
        <v>5389174</v>
      </c>
      <c r="C617" s="12" t="s">
        <v>80</v>
      </c>
      <c r="D617" s="12" t="s">
        <v>81</v>
      </c>
      <c r="E617" s="12" t="s">
        <v>82</v>
      </c>
      <c r="F617" s="12" t="s">
        <v>98</v>
      </c>
      <c r="G617" s="33">
        <v>2</v>
      </c>
      <c r="H617" s="33">
        <v>16</v>
      </c>
      <c r="I617" s="12" t="s">
        <v>53</v>
      </c>
      <c r="J617" s="12" t="s">
        <v>54</v>
      </c>
      <c r="K617" s="73" t="s">
        <v>29</v>
      </c>
      <c r="L617" s="13">
        <v>626158</v>
      </c>
      <c r="M617" s="13">
        <v>0</v>
      </c>
      <c r="N617" s="13">
        <v>23245</v>
      </c>
      <c r="O617" s="13">
        <v>28815</v>
      </c>
      <c r="P617" s="13">
        <v>0</v>
      </c>
      <c r="Q617" s="13">
        <v>597343</v>
      </c>
      <c r="R617" s="13">
        <v>23057</v>
      </c>
      <c r="S617" s="13">
        <v>3</v>
      </c>
      <c r="T617" s="13">
        <v>0</v>
      </c>
      <c r="U617" s="12" t="str">
        <f t="shared" si="36"/>
        <v>Privado Nacional</v>
      </c>
      <c r="V617" s="14">
        <f t="shared" si="37"/>
        <v>0</v>
      </c>
      <c r="W617" s="14">
        <f t="shared" si="38"/>
        <v>3.8599263739593499E-2</v>
      </c>
      <c r="X617" s="12" t="str">
        <f t="shared" si="39"/>
        <v>Média/Pequena</v>
      </c>
      <c r="Y617" s="122" t="str" cm="1">
        <f t="array" ref="Y617">_xlfn.IFS(ISNUMBER(W617)=FALSE,"Sem dado",W617&gt;0.075,"Excelente",W617&gt;0.04,"Bom",W617&gt;0,"Fraco",TRUE,"Prejuízo")</f>
        <v>Fraco</v>
      </c>
    </row>
    <row r="618" spans="1:25" ht="15" customHeight="1" x14ac:dyDescent="0.2">
      <c r="A618" s="15" t="s">
        <v>1365</v>
      </c>
      <c r="B618" s="60">
        <v>33040601</v>
      </c>
      <c r="C618" s="15" t="s">
        <v>175</v>
      </c>
      <c r="D618" s="15" t="s">
        <v>176</v>
      </c>
      <c r="E618" s="15" t="s">
        <v>177</v>
      </c>
      <c r="F618" s="15" t="s">
        <v>65</v>
      </c>
      <c r="G618" s="34">
        <v>2</v>
      </c>
      <c r="H618" s="34">
        <v>14</v>
      </c>
      <c r="I618" s="15" t="s">
        <v>119</v>
      </c>
      <c r="J618" s="15" t="s">
        <v>120</v>
      </c>
      <c r="K618" s="74" t="s">
        <v>29</v>
      </c>
      <c r="L618" s="16">
        <v>621257</v>
      </c>
      <c r="M618" s="16">
        <v>393757</v>
      </c>
      <c r="N618" s="16">
        <v>114624</v>
      </c>
      <c r="O618" s="16">
        <v>36167</v>
      </c>
      <c r="P618" s="16">
        <v>0</v>
      </c>
      <c r="Q618" s="16">
        <v>585090</v>
      </c>
      <c r="R618" s="16">
        <v>21239</v>
      </c>
      <c r="S618" s="16">
        <v>2</v>
      </c>
      <c r="T618" s="16">
        <v>0</v>
      </c>
      <c r="U618" s="15" t="str">
        <f t="shared" si="36"/>
        <v>Privado Nacional</v>
      </c>
      <c r="V618" s="17">
        <f t="shared" si="37"/>
        <v>0.63380694302036034</v>
      </c>
      <c r="W618" s="17">
        <f t="shared" si="38"/>
        <v>3.6300398229332238E-2</v>
      </c>
      <c r="X618" s="15" t="str">
        <f t="shared" si="39"/>
        <v>Média/Pequena</v>
      </c>
      <c r="Y618" s="121" t="str" cm="1">
        <f t="array" ref="Y618">_xlfn.IFS(ISNUMBER(W618)=FALSE,"Sem dado",W618&gt;0.075,"Excelente",W618&gt;0.04,"Bom",W618&gt;0,"Fraco",TRUE,"Prejuízo")</f>
        <v>Fraco</v>
      </c>
    </row>
    <row r="619" spans="1:25" ht="15" customHeight="1" x14ac:dyDescent="0.2">
      <c r="A619" s="12" t="s">
        <v>1366</v>
      </c>
      <c r="B619" s="56">
        <v>37255049</v>
      </c>
      <c r="C619" s="12"/>
      <c r="D619" s="12"/>
      <c r="E619" s="12"/>
      <c r="F619" s="12" t="s">
        <v>265</v>
      </c>
      <c r="G619" s="33">
        <v>2</v>
      </c>
      <c r="H619" s="33">
        <v>9</v>
      </c>
      <c r="I619" s="12" t="s">
        <v>388</v>
      </c>
      <c r="J619" s="12" t="s">
        <v>389</v>
      </c>
      <c r="K619" s="73" t="s">
        <v>29</v>
      </c>
      <c r="L619" s="13">
        <v>615985</v>
      </c>
      <c r="M619" s="13">
        <v>303065</v>
      </c>
      <c r="N619" s="13">
        <v>27309</v>
      </c>
      <c r="O619" s="13">
        <v>465063</v>
      </c>
      <c r="P619" s="13">
        <v>368154</v>
      </c>
      <c r="Q619" s="13">
        <v>150922</v>
      </c>
      <c r="R619" s="13">
        <v>15895</v>
      </c>
      <c r="S619" s="13">
        <v>0</v>
      </c>
      <c r="T619" s="13">
        <v>0</v>
      </c>
      <c r="U619" s="12" t="str">
        <f t="shared" si="36"/>
        <v>Privado Nacional</v>
      </c>
      <c r="V619" s="14">
        <f t="shared" si="37"/>
        <v>0.49200061689813873</v>
      </c>
      <c r="W619" s="14">
        <f t="shared" si="38"/>
        <v>0.10531930401134361</v>
      </c>
      <c r="X619" s="12" t="str">
        <f t="shared" si="39"/>
        <v>Média/Pequena</v>
      </c>
      <c r="Y619" s="122" t="str" cm="1">
        <f t="array" ref="Y619">_xlfn.IFS(ISNUMBER(W619)=FALSE,"Sem dado",W619&gt;0.075,"Excelente",W619&gt;0.04,"Bom",W619&gt;0,"Fraco",TRUE,"Prejuízo")</f>
        <v>Excelente</v>
      </c>
    </row>
    <row r="620" spans="1:25" ht="15" customHeight="1" x14ac:dyDescent="0.2">
      <c r="A620" s="15" t="s">
        <v>1367</v>
      </c>
      <c r="B620" s="60">
        <v>9033698</v>
      </c>
      <c r="C620" s="15"/>
      <c r="D620" s="15"/>
      <c r="E620" s="15"/>
      <c r="F620" s="15" t="s">
        <v>265</v>
      </c>
      <c r="G620" s="34">
        <v>2</v>
      </c>
      <c r="H620" s="34">
        <v>9</v>
      </c>
      <c r="I620" s="15" t="s">
        <v>524</v>
      </c>
      <c r="J620" s="15" t="s">
        <v>389</v>
      </c>
      <c r="K620" s="74" t="s">
        <v>29</v>
      </c>
      <c r="L620" s="16">
        <v>614388</v>
      </c>
      <c r="M620" s="16">
        <v>347716</v>
      </c>
      <c r="N620" s="16">
        <v>5315</v>
      </c>
      <c r="O620" s="16">
        <v>507346</v>
      </c>
      <c r="P620" s="16">
        <v>426995</v>
      </c>
      <c r="Q620" s="16">
        <v>107042</v>
      </c>
      <c r="R620" s="16">
        <v>-7585</v>
      </c>
      <c r="S620" s="16">
        <v>0</v>
      </c>
      <c r="T620" s="16">
        <v>3</v>
      </c>
      <c r="U620" s="15" t="str">
        <f t="shared" si="36"/>
        <v>Privado Nacional</v>
      </c>
      <c r="V620" s="17">
        <f t="shared" si="37"/>
        <v>0.56595506422651487</v>
      </c>
      <c r="W620" s="17">
        <f t="shared" si="38"/>
        <v>-7.0860036247454267E-2</v>
      </c>
      <c r="X620" s="15" t="str">
        <f t="shared" si="39"/>
        <v>Média/Pequena</v>
      </c>
      <c r="Y620" s="121" t="str" cm="1">
        <f t="array" ref="Y620">_xlfn.IFS(ISNUMBER(W620)=FALSE,"Sem dado",W620&gt;0.075,"Excelente",W620&gt;0.04,"Bom",W620&gt;0,"Fraco",TRUE,"Prejuízo")</f>
        <v>Prejuízo</v>
      </c>
    </row>
    <row r="621" spans="1:25" ht="15" customHeight="1" x14ac:dyDescent="0.2">
      <c r="A621" s="12" t="s">
        <v>1368</v>
      </c>
      <c r="B621" s="56">
        <v>14913919</v>
      </c>
      <c r="C621" s="12"/>
      <c r="D621" s="12"/>
      <c r="E621" s="12"/>
      <c r="F621" s="12" t="s">
        <v>265</v>
      </c>
      <c r="G621" s="33">
        <v>2</v>
      </c>
      <c r="H621" s="33">
        <v>9</v>
      </c>
      <c r="I621" s="12" t="s">
        <v>119</v>
      </c>
      <c r="J621" s="12" t="s">
        <v>120</v>
      </c>
      <c r="K621" s="73" t="s">
        <v>29</v>
      </c>
      <c r="L621" s="13">
        <v>608482</v>
      </c>
      <c r="M621" s="13">
        <v>132721</v>
      </c>
      <c r="N621" s="13">
        <v>9596</v>
      </c>
      <c r="O621" s="13">
        <v>518767</v>
      </c>
      <c r="P621" s="13">
        <v>504016</v>
      </c>
      <c r="Q621" s="13">
        <v>89715</v>
      </c>
      <c r="R621" s="13">
        <v>12374</v>
      </c>
      <c r="S621" s="13">
        <v>0</v>
      </c>
      <c r="T621" s="13">
        <v>4</v>
      </c>
      <c r="U621" s="12" t="str">
        <f t="shared" si="36"/>
        <v>Privado Nacional</v>
      </c>
      <c r="V621" s="14">
        <f t="shared" si="37"/>
        <v>0.21811820234616636</v>
      </c>
      <c r="W621" s="14">
        <f t="shared" si="38"/>
        <v>0.13792565345817309</v>
      </c>
      <c r="X621" s="12" t="str">
        <f t="shared" si="39"/>
        <v>Média/Pequena</v>
      </c>
      <c r="Y621" s="122" t="str" cm="1">
        <f t="array" ref="Y621">_xlfn.IFS(ISNUMBER(W621)=FALSE,"Sem dado",W621&gt;0.075,"Excelente",W621&gt;0.04,"Bom",W621&gt;0,"Fraco",TRUE,"Prejuízo")</f>
        <v>Excelente</v>
      </c>
    </row>
    <row r="622" spans="1:25" ht="15" customHeight="1" x14ac:dyDescent="0.2">
      <c r="A622" s="15" t="s">
        <v>1369</v>
      </c>
      <c r="B622" s="60">
        <v>71392047</v>
      </c>
      <c r="C622" s="15"/>
      <c r="D622" s="15"/>
      <c r="E622" s="15"/>
      <c r="F622" s="15" t="s">
        <v>265</v>
      </c>
      <c r="G622" s="34">
        <v>2</v>
      </c>
      <c r="H622" s="34">
        <v>9</v>
      </c>
      <c r="I622" s="15" t="s">
        <v>1370</v>
      </c>
      <c r="J622" s="15" t="s">
        <v>120</v>
      </c>
      <c r="K622" s="74" t="s">
        <v>29</v>
      </c>
      <c r="L622" s="16">
        <v>608205</v>
      </c>
      <c r="M622" s="16">
        <v>273388</v>
      </c>
      <c r="N622" s="16">
        <v>22665</v>
      </c>
      <c r="O622" s="16">
        <v>515538</v>
      </c>
      <c r="P622" s="16">
        <v>412811</v>
      </c>
      <c r="Q622" s="16">
        <v>92667</v>
      </c>
      <c r="R622" s="16">
        <v>3215</v>
      </c>
      <c r="S622" s="16">
        <v>0</v>
      </c>
      <c r="T622" s="16">
        <v>2</v>
      </c>
      <c r="U622" s="15" t="str">
        <f t="shared" si="36"/>
        <v>Privado Nacional</v>
      </c>
      <c r="V622" s="17">
        <f t="shared" si="37"/>
        <v>0.44949975748308546</v>
      </c>
      <c r="W622" s="17">
        <f t="shared" si="38"/>
        <v>3.4694119805324442E-2</v>
      </c>
      <c r="X622" s="15" t="str">
        <f t="shared" si="39"/>
        <v>Média/Pequena</v>
      </c>
      <c r="Y622" s="121" t="str" cm="1">
        <f t="array" ref="Y622">_xlfn.IFS(ISNUMBER(W622)=FALSE,"Sem dado",W622&gt;0.075,"Excelente",W622&gt;0.04,"Bom",W622&gt;0,"Fraco",TRUE,"Prejuízo")</f>
        <v>Fraco</v>
      </c>
    </row>
    <row r="623" spans="1:25" ht="15" customHeight="1" x14ac:dyDescent="0.2">
      <c r="A623" s="12" t="s">
        <v>1371</v>
      </c>
      <c r="B623" s="56">
        <v>41753500</v>
      </c>
      <c r="C623" s="12"/>
      <c r="D623" s="12"/>
      <c r="E623" s="12"/>
      <c r="F623" s="12" t="s">
        <v>265</v>
      </c>
      <c r="G623" s="33">
        <v>2</v>
      </c>
      <c r="H623" s="33">
        <v>9</v>
      </c>
      <c r="I623" s="12" t="s">
        <v>1372</v>
      </c>
      <c r="J623" s="12" t="s">
        <v>120</v>
      </c>
      <c r="K623" s="73" t="s">
        <v>29</v>
      </c>
      <c r="L623" s="13">
        <v>607346</v>
      </c>
      <c r="M623" s="13">
        <v>266885</v>
      </c>
      <c r="N623" s="13">
        <v>14136</v>
      </c>
      <c r="O623" s="13">
        <v>470712</v>
      </c>
      <c r="P623" s="13">
        <v>390015</v>
      </c>
      <c r="Q623" s="13">
        <v>136635</v>
      </c>
      <c r="R623" s="13">
        <v>10430</v>
      </c>
      <c r="S623" s="13">
        <v>0</v>
      </c>
      <c r="T623" s="13">
        <v>8</v>
      </c>
      <c r="U623" s="12" t="str">
        <f t="shared" si="36"/>
        <v>Privado Nacional</v>
      </c>
      <c r="V623" s="14">
        <f t="shared" si="37"/>
        <v>0.43942826658939055</v>
      </c>
      <c r="W623" s="14">
        <f t="shared" si="38"/>
        <v>7.6334760493285025E-2</v>
      </c>
      <c r="X623" s="12" t="str">
        <f t="shared" si="39"/>
        <v>Média/Pequena</v>
      </c>
      <c r="Y623" s="122" t="str" cm="1">
        <f t="array" ref="Y623">_xlfn.IFS(ISNUMBER(W623)=FALSE,"Sem dado",W623&gt;0.075,"Excelente",W623&gt;0.04,"Bom",W623&gt;0,"Fraco",TRUE,"Prejuízo")</f>
        <v>Excelente</v>
      </c>
    </row>
    <row r="624" spans="1:25" ht="15" customHeight="1" x14ac:dyDescent="0.2">
      <c r="A624" s="15" t="s">
        <v>1373</v>
      </c>
      <c r="B624" s="60">
        <v>34169557</v>
      </c>
      <c r="C624" s="15" t="s">
        <v>175</v>
      </c>
      <c r="D624" s="15" t="s">
        <v>176</v>
      </c>
      <c r="E624" s="15" t="s">
        <v>177</v>
      </c>
      <c r="F624" s="15" t="s">
        <v>60</v>
      </c>
      <c r="G624" s="34">
        <v>2</v>
      </c>
      <c r="H624" s="34">
        <v>13</v>
      </c>
      <c r="I624" s="15" t="s">
        <v>119</v>
      </c>
      <c r="J624" s="15" t="s">
        <v>120</v>
      </c>
      <c r="K624" s="74" t="s">
        <v>29</v>
      </c>
      <c r="L624" s="16">
        <v>604306</v>
      </c>
      <c r="M624" s="16">
        <v>180382</v>
      </c>
      <c r="N624" s="16">
        <v>133472</v>
      </c>
      <c r="O624" s="16">
        <v>454807</v>
      </c>
      <c r="P624" s="16">
        <v>435795</v>
      </c>
      <c r="Q624" s="16">
        <v>149499</v>
      </c>
      <c r="R624" s="16">
        <v>7323</v>
      </c>
      <c r="S624" s="16">
        <v>2</v>
      </c>
      <c r="T624" s="16">
        <v>0</v>
      </c>
      <c r="U624" s="15" t="str">
        <f t="shared" si="36"/>
        <v>Privado Nacional</v>
      </c>
      <c r="V624" s="17">
        <f t="shared" si="37"/>
        <v>0.29849447134398799</v>
      </c>
      <c r="W624" s="17">
        <f t="shared" si="38"/>
        <v>4.8983605241506634E-2</v>
      </c>
      <c r="X624" s="15" t="str">
        <f t="shared" si="39"/>
        <v>Média/Pequena</v>
      </c>
      <c r="Y624" s="121" t="str" cm="1">
        <f t="array" ref="Y624">_xlfn.IFS(ISNUMBER(W624)=FALSE,"Sem dado",W624&gt;0.075,"Excelente",W624&gt;0.04,"Bom",W624&gt;0,"Fraco",TRUE,"Prejuízo")</f>
        <v>Bom</v>
      </c>
    </row>
    <row r="625" spans="1:25" ht="15" customHeight="1" x14ac:dyDescent="0.2">
      <c r="A625" s="12" t="s">
        <v>1374</v>
      </c>
      <c r="B625" s="56">
        <v>5351887</v>
      </c>
      <c r="C625" s="12" t="s">
        <v>1375</v>
      </c>
      <c r="D625" s="12"/>
      <c r="E625" s="12" t="s">
        <v>1376</v>
      </c>
      <c r="F625" s="12" t="s">
        <v>65</v>
      </c>
      <c r="G625" s="33">
        <v>2</v>
      </c>
      <c r="H625" s="33">
        <v>14</v>
      </c>
      <c r="I625" s="12" t="s">
        <v>1249</v>
      </c>
      <c r="J625" s="12" t="s">
        <v>120</v>
      </c>
      <c r="K625" s="73" t="s">
        <v>29</v>
      </c>
      <c r="L625" s="13">
        <v>604090</v>
      </c>
      <c r="M625" s="13">
        <v>486820</v>
      </c>
      <c r="N625" s="13">
        <v>26261</v>
      </c>
      <c r="O625" s="13">
        <v>483561</v>
      </c>
      <c r="P625" s="13">
        <v>427438</v>
      </c>
      <c r="Q625" s="13">
        <v>120529</v>
      </c>
      <c r="R625" s="13">
        <v>9286</v>
      </c>
      <c r="S625" s="13">
        <v>2</v>
      </c>
      <c r="T625" s="13">
        <v>0</v>
      </c>
      <c r="U625" s="12" t="str">
        <f t="shared" si="36"/>
        <v>Privado Nacional</v>
      </c>
      <c r="V625" s="14">
        <f t="shared" si="37"/>
        <v>0.80587329702527766</v>
      </c>
      <c r="W625" s="14">
        <f t="shared" si="38"/>
        <v>7.704369902679023E-2</v>
      </c>
      <c r="X625" s="12" t="str">
        <f t="shared" si="39"/>
        <v>Média/Pequena</v>
      </c>
      <c r="Y625" s="122" t="str" cm="1">
        <f t="array" ref="Y625">_xlfn.IFS(ISNUMBER(W625)=FALSE,"Sem dado",W625&gt;0.075,"Excelente",W625&gt;0.04,"Bom",W625&gt;0,"Fraco",TRUE,"Prejuízo")</f>
        <v>Excelente</v>
      </c>
    </row>
    <row r="626" spans="1:25" ht="15" customHeight="1" x14ac:dyDescent="0.2">
      <c r="A626" s="15" t="s">
        <v>1377</v>
      </c>
      <c r="B626" s="60">
        <v>5247312</v>
      </c>
      <c r="C626" s="15"/>
      <c r="D626" s="15"/>
      <c r="E626" s="15"/>
      <c r="F626" s="15" t="s">
        <v>265</v>
      </c>
      <c r="G626" s="34">
        <v>2</v>
      </c>
      <c r="H626" s="34">
        <v>9</v>
      </c>
      <c r="I626" s="15" t="s">
        <v>686</v>
      </c>
      <c r="J626" s="15" t="s">
        <v>329</v>
      </c>
      <c r="K626" s="74" t="s">
        <v>29</v>
      </c>
      <c r="L626" s="16">
        <v>603673</v>
      </c>
      <c r="M626" s="16">
        <v>353393</v>
      </c>
      <c r="N626" s="16">
        <v>13557</v>
      </c>
      <c r="O626" s="16">
        <v>534574</v>
      </c>
      <c r="P626" s="16">
        <v>489905</v>
      </c>
      <c r="Q626" s="16">
        <v>69098</v>
      </c>
      <c r="R626" s="16">
        <v>4557</v>
      </c>
      <c r="S626" s="16">
        <v>0</v>
      </c>
      <c r="T626" s="16">
        <v>21</v>
      </c>
      <c r="U626" s="15" t="str">
        <f t="shared" si="36"/>
        <v>Privado Nacional</v>
      </c>
      <c r="V626" s="17">
        <f t="shared" si="37"/>
        <v>0.58540468101107723</v>
      </c>
      <c r="W626" s="17">
        <f t="shared" si="38"/>
        <v>6.5949810414194329E-2</v>
      </c>
      <c r="X626" s="15" t="str">
        <f t="shared" si="39"/>
        <v>Média/Pequena</v>
      </c>
      <c r="Y626" s="121" t="str" cm="1">
        <f t="array" ref="Y626">_xlfn.IFS(ISNUMBER(W626)=FALSE,"Sem dado",W626&gt;0.075,"Excelente",W626&gt;0.04,"Bom",W626&gt;0,"Fraco",TRUE,"Prejuízo")</f>
        <v>Bom</v>
      </c>
    </row>
    <row r="627" spans="1:25" ht="15" customHeight="1" x14ac:dyDescent="0.2">
      <c r="A627" s="12" t="s">
        <v>1378</v>
      </c>
      <c r="B627" s="56">
        <v>7252614</v>
      </c>
      <c r="C627" s="12"/>
      <c r="D627" s="12"/>
      <c r="E627" s="12"/>
      <c r="F627" s="12" t="s">
        <v>265</v>
      </c>
      <c r="G627" s="33">
        <v>2</v>
      </c>
      <c r="H627" s="33">
        <v>9</v>
      </c>
      <c r="I627" s="12" t="s">
        <v>1379</v>
      </c>
      <c r="J627" s="12" t="s">
        <v>74</v>
      </c>
      <c r="K627" s="73" t="s">
        <v>29</v>
      </c>
      <c r="L627" s="13">
        <v>601186</v>
      </c>
      <c r="M627" s="13">
        <v>417030</v>
      </c>
      <c r="N627" s="13">
        <v>18949</v>
      </c>
      <c r="O627" s="13">
        <v>526197</v>
      </c>
      <c r="P627" s="13">
        <v>299054</v>
      </c>
      <c r="Q627" s="13">
        <v>74989</v>
      </c>
      <c r="R627" s="13">
        <v>3409</v>
      </c>
      <c r="S627" s="13">
        <v>0</v>
      </c>
      <c r="T627" s="13">
        <v>16</v>
      </c>
      <c r="U627" s="12" t="str">
        <f t="shared" si="36"/>
        <v>Privado Nacional</v>
      </c>
      <c r="V627" s="14">
        <f t="shared" si="37"/>
        <v>0.69367882818295834</v>
      </c>
      <c r="W627" s="14">
        <f t="shared" si="38"/>
        <v>4.5460000800117348E-2</v>
      </c>
      <c r="X627" s="12" t="str">
        <f t="shared" si="39"/>
        <v>Média/Pequena</v>
      </c>
      <c r="Y627" s="122" t="str" cm="1">
        <f t="array" ref="Y627">_xlfn.IFS(ISNUMBER(W627)=FALSE,"Sem dado",W627&gt;0.075,"Excelente",W627&gt;0.04,"Bom",W627&gt;0,"Fraco",TRUE,"Prejuízo")</f>
        <v>Bom</v>
      </c>
    </row>
    <row r="628" spans="1:25" ht="15" customHeight="1" x14ac:dyDescent="0.2">
      <c r="A628" s="15" t="s">
        <v>1380</v>
      </c>
      <c r="B628" s="60">
        <v>4237413</v>
      </c>
      <c r="C628" s="15"/>
      <c r="D628" s="15"/>
      <c r="E628" s="15"/>
      <c r="F628" s="15" t="s">
        <v>265</v>
      </c>
      <c r="G628" s="34">
        <v>2</v>
      </c>
      <c r="H628" s="34">
        <v>9</v>
      </c>
      <c r="I628" s="15" t="s">
        <v>1381</v>
      </c>
      <c r="J628" s="15" t="s">
        <v>1078</v>
      </c>
      <c r="K628" s="74" t="s">
        <v>29</v>
      </c>
      <c r="L628" s="16">
        <v>601039</v>
      </c>
      <c r="M628" s="16">
        <v>256475</v>
      </c>
      <c r="N628" s="16">
        <v>277152</v>
      </c>
      <c r="O628" s="16">
        <v>534395</v>
      </c>
      <c r="P628" s="16">
        <v>434471</v>
      </c>
      <c r="Q628" s="16">
        <v>66644</v>
      </c>
      <c r="R628" s="16">
        <v>6068</v>
      </c>
      <c r="S628" s="16">
        <v>0</v>
      </c>
      <c r="T628" s="16">
        <v>6</v>
      </c>
      <c r="U628" s="15" t="str">
        <f t="shared" si="36"/>
        <v>Privado Nacional</v>
      </c>
      <c r="V628" s="17">
        <f t="shared" si="37"/>
        <v>0.42671939757652999</v>
      </c>
      <c r="W628" s="17">
        <f t="shared" si="38"/>
        <v>9.1050957325490664E-2</v>
      </c>
      <c r="X628" s="15" t="str">
        <f t="shared" si="39"/>
        <v>Média/Pequena</v>
      </c>
      <c r="Y628" s="121" t="str" cm="1">
        <f t="array" ref="Y628">_xlfn.IFS(ISNUMBER(W628)=FALSE,"Sem dado",W628&gt;0.075,"Excelente",W628&gt;0.04,"Bom",W628&gt;0,"Fraco",TRUE,"Prejuízo")</f>
        <v>Excelente</v>
      </c>
    </row>
    <row r="629" spans="1:25" ht="15" customHeight="1" x14ac:dyDescent="0.2">
      <c r="A629" s="12" t="s">
        <v>1382</v>
      </c>
      <c r="B629" s="56">
        <v>33222241</v>
      </c>
      <c r="C629" s="12" t="s">
        <v>56</v>
      </c>
      <c r="D629" s="12" t="s">
        <v>57</v>
      </c>
      <c r="E629" s="12" t="s">
        <v>58</v>
      </c>
      <c r="F629" s="12" t="s">
        <v>60</v>
      </c>
      <c r="G629" s="33">
        <v>2</v>
      </c>
      <c r="H629" s="33">
        <v>13</v>
      </c>
      <c r="I629" s="12" t="s">
        <v>53</v>
      </c>
      <c r="J629" s="12" t="s">
        <v>54</v>
      </c>
      <c r="K629" s="73" t="s">
        <v>29</v>
      </c>
      <c r="L629" s="13">
        <v>599761</v>
      </c>
      <c r="M629" s="13">
        <v>362377</v>
      </c>
      <c r="N629" s="13">
        <v>0</v>
      </c>
      <c r="O629" s="13">
        <v>118379</v>
      </c>
      <c r="P629" s="13">
        <v>0</v>
      </c>
      <c r="Q629" s="13">
        <v>481381</v>
      </c>
      <c r="R629" s="13">
        <v>62807</v>
      </c>
      <c r="S629" s="13">
        <v>2</v>
      </c>
      <c r="T629" s="13">
        <v>0</v>
      </c>
      <c r="U629" s="12" t="str">
        <f t="shared" si="36"/>
        <v>Privado Nacional</v>
      </c>
      <c r="V629" s="14">
        <f t="shared" si="37"/>
        <v>0.60420234059900524</v>
      </c>
      <c r="W629" s="14">
        <f t="shared" si="38"/>
        <v>0.13047253630700006</v>
      </c>
      <c r="X629" s="12" t="str">
        <f t="shared" si="39"/>
        <v>Média/Pequena</v>
      </c>
      <c r="Y629" s="122" t="str" cm="1">
        <f t="array" ref="Y629">_xlfn.IFS(ISNUMBER(W629)=FALSE,"Sem dado",W629&gt;0.075,"Excelente",W629&gt;0.04,"Bom",W629&gt;0,"Fraco",TRUE,"Prejuízo")</f>
        <v>Excelente</v>
      </c>
    </row>
    <row r="630" spans="1:25" ht="15" customHeight="1" x14ac:dyDescent="0.2">
      <c r="A630" s="15" t="s">
        <v>1383</v>
      </c>
      <c r="B630" s="60">
        <v>2931668</v>
      </c>
      <c r="C630" s="15"/>
      <c r="D630" s="15"/>
      <c r="E630" s="15"/>
      <c r="F630" s="15" t="s">
        <v>265</v>
      </c>
      <c r="G630" s="34">
        <v>2</v>
      </c>
      <c r="H630" s="34">
        <v>9</v>
      </c>
      <c r="I630" s="15" t="s">
        <v>1384</v>
      </c>
      <c r="J630" s="15" t="s">
        <v>54</v>
      </c>
      <c r="K630" s="74" t="s">
        <v>29</v>
      </c>
      <c r="L630" s="16">
        <v>597044</v>
      </c>
      <c r="M630" s="16">
        <v>349471</v>
      </c>
      <c r="N630" s="16">
        <v>11515</v>
      </c>
      <c r="O630" s="16">
        <v>537356</v>
      </c>
      <c r="P630" s="16">
        <v>493031</v>
      </c>
      <c r="Q630" s="16">
        <v>59688</v>
      </c>
      <c r="R630" s="16">
        <v>-1026</v>
      </c>
      <c r="S630" s="16">
        <v>0</v>
      </c>
      <c r="T630" s="16">
        <v>19</v>
      </c>
      <c r="U630" s="15" t="str">
        <f t="shared" si="36"/>
        <v>Privado Nacional</v>
      </c>
      <c r="V630" s="17">
        <f t="shared" si="37"/>
        <v>0.58533541916508669</v>
      </c>
      <c r="W630" s="17">
        <f t="shared" si="38"/>
        <v>-1.7189384800965019E-2</v>
      </c>
      <c r="X630" s="15" t="str">
        <f t="shared" si="39"/>
        <v>Média/Pequena</v>
      </c>
      <c r="Y630" s="121" t="str" cm="1">
        <f t="array" ref="Y630">_xlfn.IFS(ISNUMBER(W630)=FALSE,"Sem dado",W630&gt;0.075,"Excelente",W630&gt;0.04,"Bom",W630&gt;0,"Fraco",TRUE,"Prejuízo")</f>
        <v>Prejuízo</v>
      </c>
    </row>
    <row r="631" spans="1:25" ht="15" customHeight="1" x14ac:dyDescent="0.2">
      <c r="A631" s="12" t="s">
        <v>1385</v>
      </c>
      <c r="B631" s="56">
        <v>25353939</v>
      </c>
      <c r="C631" s="12"/>
      <c r="D631" s="12"/>
      <c r="E631" s="12"/>
      <c r="F631" s="12" t="s">
        <v>265</v>
      </c>
      <c r="G631" s="33">
        <v>2</v>
      </c>
      <c r="H631" s="33">
        <v>9</v>
      </c>
      <c r="I631" s="12" t="s">
        <v>1386</v>
      </c>
      <c r="J631" s="12" t="s">
        <v>120</v>
      </c>
      <c r="K631" s="73" t="s">
        <v>29</v>
      </c>
      <c r="L631" s="13">
        <v>595220</v>
      </c>
      <c r="M631" s="13">
        <v>362072</v>
      </c>
      <c r="N631" s="13">
        <v>18290</v>
      </c>
      <c r="O631" s="13">
        <v>503661</v>
      </c>
      <c r="P631" s="13">
        <v>366172</v>
      </c>
      <c r="Q631" s="13">
        <v>91560</v>
      </c>
      <c r="R631" s="13">
        <v>10261</v>
      </c>
      <c r="S631" s="13">
        <v>0</v>
      </c>
      <c r="T631" s="13">
        <v>5</v>
      </c>
      <c r="U631" s="12" t="str">
        <f t="shared" si="36"/>
        <v>Privado Nacional</v>
      </c>
      <c r="V631" s="14">
        <f t="shared" si="37"/>
        <v>0.60829945230335003</v>
      </c>
      <c r="W631" s="14">
        <f t="shared" si="38"/>
        <v>0.11206858890345128</v>
      </c>
      <c r="X631" s="12" t="str">
        <f t="shared" si="39"/>
        <v>Média/Pequena</v>
      </c>
      <c r="Y631" s="122" t="str" cm="1">
        <f t="array" ref="Y631">_xlfn.IFS(ISNUMBER(W631)=FALSE,"Sem dado",W631&gt;0.075,"Excelente",W631&gt;0.04,"Bom",W631&gt;0,"Fraco",TRUE,"Prejuízo")</f>
        <v>Excelente</v>
      </c>
    </row>
    <row r="632" spans="1:25" ht="15" customHeight="1" x14ac:dyDescent="0.2">
      <c r="A632" s="15" t="s">
        <v>1387</v>
      </c>
      <c r="B632" s="60">
        <v>65239402</v>
      </c>
      <c r="C632" s="15"/>
      <c r="D632" s="15"/>
      <c r="E632" s="15"/>
      <c r="F632" s="15" t="s">
        <v>265</v>
      </c>
      <c r="G632" s="34">
        <v>2</v>
      </c>
      <c r="H632" s="34">
        <v>9</v>
      </c>
      <c r="I632" s="15" t="s">
        <v>1388</v>
      </c>
      <c r="J632" s="15" t="s">
        <v>120</v>
      </c>
      <c r="K632" s="74" t="s">
        <v>29</v>
      </c>
      <c r="L632" s="16">
        <v>593552</v>
      </c>
      <c r="M632" s="16">
        <v>177297</v>
      </c>
      <c r="N632" s="16">
        <v>12276</v>
      </c>
      <c r="O632" s="16">
        <v>502370</v>
      </c>
      <c r="P632" s="16">
        <v>454343</v>
      </c>
      <c r="Q632" s="16">
        <v>91182</v>
      </c>
      <c r="R632" s="16">
        <v>7734</v>
      </c>
      <c r="S632" s="16">
        <v>0</v>
      </c>
      <c r="T632" s="16">
        <v>5</v>
      </c>
      <c r="U632" s="15" t="str">
        <f t="shared" si="36"/>
        <v>Privado Nacional</v>
      </c>
      <c r="V632" s="17">
        <f t="shared" si="37"/>
        <v>0.2987050839690541</v>
      </c>
      <c r="W632" s="17">
        <f t="shared" si="38"/>
        <v>8.4819372244521948E-2</v>
      </c>
      <c r="X632" s="15" t="str">
        <f t="shared" si="39"/>
        <v>Média/Pequena</v>
      </c>
      <c r="Y632" s="121" t="str" cm="1">
        <f t="array" ref="Y632">_xlfn.IFS(ISNUMBER(W632)=FALSE,"Sem dado",W632&gt;0.075,"Excelente",W632&gt;0.04,"Bom",W632&gt;0,"Fraco",TRUE,"Prejuízo")</f>
        <v>Excelente</v>
      </c>
    </row>
    <row r="633" spans="1:25" ht="15" customHeight="1" x14ac:dyDescent="0.2">
      <c r="A633" s="12" t="s">
        <v>1389</v>
      </c>
      <c r="B633" s="56">
        <v>2587492</v>
      </c>
      <c r="C633" s="12"/>
      <c r="D633" s="12"/>
      <c r="E633" s="12"/>
      <c r="F633" s="12" t="s">
        <v>265</v>
      </c>
      <c r="G633" s="33">
        <v>2</v>
      </c>
      <c r="H633" s="33">
        <v>9</v>
      </c>
      <c r="I633" s="12" t="s">
        <v>1390</v>
      </c>
      <c r="J633" s="12" t="s">
        <v>217</v>
      </c>
      <c r="K633" s="73" t="s">
        <v>29</v>
      </c>
      <c r="L633" s="13">
        <v>591623</v>
      </c>
      <c r="M633" s="13">
        <v>284476</v>
      </c>
      <c r="N633" s="13">
        <v>9403</v>
      </c>
      <c r="O633" s="13">
        <v>511174</v>
      </c>
      <c r="P633" s="13">
        <v>441127</v>
      </c>
      <c r="Q633" s="13">
        <v>80449</v>
      </c>
      <c r="R633" s="13">
        <v>5637</v>
      </c>
      <c r="S633" s="13">
        <v>0</v>
      </c>
      <c r="T633" s="13">
        <v>13</v>
      </c>
      <c r="U633" s="12" t="str">
        <f t="shared" si="36"/>
        <v>Privado Nacional</v>
      </c>
      <c r="V633" s="14">
        <f t="shared" si="37"/>
        <v>0.48083999438831826</v>
      </c>
      <c r="W633" s="14">
        <f t="shared" si="38"/>
        <v>7.0069236410645247E-2</v>
      </c>
      <c r="X633" s="12" t="str">
        <f t="shared" si="39"/>
        <v>Média/Pequena</v>
      </c>
      <c r="Y633" s="122" t="str" cm="1">
        <f t="array" ref="Y633">_xlfn.IFS(ISNUMBER(W633)=FALSE,"Sem dado",W633&gt;0.075,"Excelente",W633&gt;0.04,"Bom",W633&gt;0,"Fraco",TRUE,"Prejuízo")</f>
        <v>Bom</v>
      </c>
    </row>
    <row r="634" spans="1:25" ht="15" customHeight="1" x14ac:dyDescent="0.2">
      <c r="A634" s="15" t="s">
        <v>1391</v>
      </c>
      <c r="B634" s="60">
        <v>869687</v>
      </c>
      <c r="C634" s="15"/>
      <c r="D634" s="15"/>
      <c r="E634" s="15"/>
      <c r="F634" s="15" t="s">
        <v>265</v>
      </c>
      <c r="G634" s="34">
        <v>2</v>
      </c>
      <c r="H634" s="34">
        <v>9</v>
      </c>
      <c r="I634" s="15" t="s">
        <v>1392</v>
      </c>
      <c r="J634" s="15" t="s">
        <v>120</v>
      </c>
      <c r="K634" s="74" t="s">
        <v>29</v>
      </c>
      <c r="L634" s="16">
        <v>589223</v>
      </c>
      <c r="M634" s="16">
        <v>215806</v>
      </c>
      <c r="N634" s="16">
        <v>17433</v>
      </c>
      <c r="O634" s="16">
        <v>500797</v>
      </c>
      <c r="P634" s="16">
        <v>419880</v>
      </c>
      <c r="Q634" s="16">
        <v>88426</v>
      </c>
      <c r="R634" s="16">
        <v>7168</v>
      </c>
      <c r="S634" s="16">
        <v>0</v>
      </c>
      <c r="T634" s="16">
        <v>1</v>
      </c>
      <c r="U634" s="15" t="str">
        <f t="shared" si="36"/>
        <v>Privado Nacional</v>
      </c>
      <c r="V634" s="17">
        <f t="shared" si="37"/>
        <v>0.36625522085865625</v>
      </c>
      <c r="W634" s="17">
        <f t="shared" si="38"/>
        <v>8.1062131047429486E-2</v>
      </c>
      <c r="X634" s="15" t="str">
        <f t="shared" si="39"/>
        <v>Média/Pequena</v>
      </c>
      <c r="Y634" s="121" t="str" cm="1">
        <f t="array" ref="Y634">_xlfn.IFS(ISNUMBER(W634)=FALSE,"Sem dado",W634&gt;0.075,"Excelente",W634&gt;0.04,"Bom",W634&gt;0,"Fraco",TRUE,"Prejuízo")</f>
        <v>Excelente</v>
      </c>
    </row>
    <row r="635" spans="1:25" ht="15" customHeight="1" x14ac:dyDescent="0.2">
      <c r="A635" s="12" t="s">
        <v>1393</v>
      </c>
      <c r="B635" s="56">
        <v>2197569</v>
      </c>
      <c r="C635" s="12"/>
      <c r="D635" s="12"/>
      <c r="E635" s="12"/>
      <c r="F635" s="12" t="s">
        <v>265</v>
      </c>
      <c r="G635" s="33">
        <v>2</v>
      </c>
      <c r="H635" s="33">
        <v>9</v>
      </c>
      <c r="I635" s="12" t="s">
        <v>587</v>
      </c>
      <c r="J635" s="12" t="s">
        <v>39</v>
      </c>
      <c r="K635" s="73" t="s">
        <v>29</v>
      </c>
      <c r="L635" s="13">
        <v>589133</v>
      </c>
      <c r="M635" s="13">
        <v>293781</v>
      </c>
      <c r="N635" s="13">
        <v>158361</v>
      </c>
      <c r="O635" s="13">
        <v>549228</v>
      </c>
      <c r="P635" s="13">
        <v>535172</v>
      </c>
      <c r="Q635" s="13">
        <v>39905</v>
      </c>
      <c r="R635" s="13">
        <v>-72</v>
      </c>
      <c r="S635" s="13">
        <v>0</v>
      </c>
      <c r="T635" s="13">
        <v>15</v>
      </c>
      <c r="U635" s="12" t="str">
        <f t="shared" si="36"/>
        <v>Privado Nacional</v>
      </c>
      <c r="V635" s="14">
        <f t="shared" si="37"/>
        <v>0.49866668477236886</v>
      </c>
      <c r="W635" s="14">
        <f t="shared" si="38"/>
        <v>-1.8042851772960781E-3</v>
      </c>
      <c r="X635" s="12" t="str">
        <f t="shared" si="39"/>
        <v>Média/Pequena</v>
      </c>
      <c r="Y635" s="122" t="str" cm="1">
        <f t="array" ref="Y635">_xlfn.IFS(ISNUMBER(W635)=FALSE,"Sem dado",W635&gt;0.075,"Excelente",W635&gt;0.04,"Bom",W635&gt;0,"Fraco",TRUE,"Prejuízo")</f>
        <v>Prejuízo</v>
      </c>
    </row>
    <row r="636" spans="1:25" ht="15" customHeight="1" x14ac:dyDescent="0.2">
      <c r="A636" s="15" t="s">
        <v>1394</v>
      </c>
      <c r="B636" s="60">
        <v>33579731</v>
      </c>
      <c r="C636" s="15"/>
      <c r="D636" s="15"/>
      <c r="E636" s="15"/>
      <c r="F636" s="15" t="s">
        <v>265</v>
      </c>
      <c r="G636" s="34">
        <v>2</v>
      </c>
      <c r="H636" s="34">
        <v>9</v>
      </c>
      <c r="I636" s="15" t="s">
        <v>1395</v>
      </c>
      <c r="J636" s="15" t="s">
        <v>389</v>
      </c>
      <c r="K636" s="74" t="s">
        <v>29</v>
      </c>
      <c r="L636" s="16">
        <v>576441</v>
      </c>
      <c r="M636" s="16">
        <v>314185</v>
      </c>
      <c r="N636" s="16">
        <v>25278</v>
      </c>
      <c r="O636" s="16">
        <v>491532</v>
      </c>
      <c r="P636" s="16">
        <v>443958</v>
      </c>
      <c r="Q636" s="16">
        <v>84909</v>
      </c>
      <c r="R636" s="16">
        <v>-9234</v>
      </c>
      <c r="S636" s="16">
        <v>0</v>
      </c>
      <c r="T636" s="16">
        <v>12</v>
      </c>
      <c r="U636" s="15" t="str">
        <f t="shared" si="36"/>
        <v>Privado Nacional</v>
      </c>
      <c r="V636" s="17">
        <f t="shared" si="37"/>
        <v>0.54504277107284183</v>
      </c>
      <c r="W636" s="17">
        <f t="shared" si="38"/>
        <v>-0.10875172243225099</v>
      </c>
      <c r="X636" s="15" t="str">
        <f t="shared" si="39"/>
        <v>Média/Pequena</v>
      </c>
      <c r="Y636" s="121" t="str" cm="1">
        <f t="array" ref="Y636">_xlfn.IFS(ISNUMBER(W636)=FALSE,"Sem dado",W636&gt;0.075,"Excelente",W636&gt;0.04,"Bom",W636&gt;0,"Fraco",TRUE,"Prejuízo")</f>
        <v>Prejuízo</v>
      </c>
    </row>
    <row r="637" spans="1:25" ht="15" customHeight="1" x14ac:dyDescent="0.2">
      <c r="A637" s="12" t="s">
        <v>1396</v>
      </c>
      <c r="B637" s="56">
        <v>18587586</v>
      </c>
      <c r="C637" s="12" t="s">
        <v>1117</v>
      </c>
      <c r="D637" s="12"/>
      <c r="E637" s="12" t="s">
        <v>1118</v>
      </c>
      <c r="F637" s="12" t="s">
        <v>84</v>
      </c>
      <c r="G637" s="33">
        <v>3</v>
      </c>
      <c r="H637" s="33">
        <v>41</v>
      </c>
      <c r="I637" s="12" t="s">
        <v>107</v>
      </c>
      <c r="J637" s="12" t="s">
        <v>39</v>
      </c>
      <c r="K637" s="73" t="s">
        <v>29</v>
      </c>
      <c r="L637" s="13">
        <v>570983</v>
      </c>
      <c r="M637" s="13">
        <v>104687</v>
      </c>
      <c r="N637" s="13">
        <v>24007</v>
      </c>
      <c r="O637" s="13">
        <v>209550</v>
      </c>
      <c r="P637" s="13">
        <v>11398</v>
      </c>
      <c r="Q637" s="13">
        <v>361433</v>
      </c>
      <c r="R637" s="13">
        <v>62183</v>
      </c>
      <c r="S637" s="13">
        <v>1</v>
      </c>
      <c r="T637" s="13">
        <v>0</v>
      </c>
      <c r="U637" s="12" t="str">
        <f t="shared" si="36"/>
        <v>Privado Estrangeiro</v>
      </c>
      <c r="V637" s="14">
        <f t="shared" si="37"/>
        <v>0.18334521343017218</v>
      </c>
      <c r="W637" s="14">
        <f t="shared" si="38"/>
        <v>0.17204571801689386</v>
      </c>
      <c r="X637" s="12" t="str">
        <f t="shared" si="39"/>
        <v>Média/Pequena</v>
      </c>
      <c r="Y637" s="122" t="str" cm="1">
        <f t="array" ref="Y637">_xlfn.IFS(ISNUMBER(W637)=FALSE,"Sem dado",W637&gt;0.075,"Excelente",W637&gt;0.04,"Bom",W637&gt;0,"Fraco",TRUE,"Prejuízo")</f>
        <v>Excelente</v>
      </c>
    </row>
    <row r="638" spans="1:25" ht="15" customHeight="1" x14ac:dyDescent="0.2">
      <c r="A638" s="15" t="s">
        <v>1397</v>
      </c>
      <c r="B638" s="60">
        <v>10506341</v>
      </c>
      <c r="C638" s="15" t="s">
        <v>1398</v>
      </c>
      <c r="D638" s="15"/>
      <c r="E638" s="15" t="s">
        <v>1399</v>
      </c>
      <c r="F638" s="15" t="s">
        <v>84</v>
      </c>
      <c r="G638" s="34">
        <v>2</v>
      </c>
      <c r="H638" s="34">
        <v>41</v>
      </c>
      <c r="I638" s="15" t="s">
        <v>53</v>
      </c>
      <c r="J638" s="15" t="s">
        <v>54</v>
      </c>
      <c r="K638" s="74" t="s">
        <v>29</v>
      </c>
      <c r="L638" s="16">
        <v>569598</v>
      </c>
      <c r="M638" s="16">
        <v>0</v>
      </c>
      <c r="N638" s="16">
        <v>65506</v>
      </c>
      <c r="O638" s="16">
        <v>534398</v>
      </c>
      <c r="P638" s="16">
        <v>64700</v>
      </c>
      <c r="Q638" s="16">
        <v>35200</v>
      </c>
      <c r="R638" s="16">
        <v>523</v>
      </c>
      <c r="S638" s="16">
        <v>1</v>
      </c>
      <c r="T638" s="16">
        <v>0</v>
      </c>
      <c r="U638" s="15" t="str">
        <f t="shared" si="36"/>
        <v>Privado Nacional</v>
      </c>
      <c r="V638" s="17">
        <f t="shared" si="37"/>
        <v>0</v>
      </c>
      <c r="W638" s="17">
        <f t="shared" si="38"/>
        <v>1.4857954545454546E-2</v>
      </c>
      <c r="X638" s="15" t="str">
        <f t="shared" si="39"/>
        <v>Média/Pequena</v>
      </c>
      <c r="Y638" s="121" t="str" cm="1">
        <f t="array" ref="Y638">_xlfn.IFS(ISNUMBER(W638)=FALSE,"Sem dado",W638&gt;0.075,"Excelente",W638&gt;0.04,"Bom",W638&gt;0,"Fraco",TRUE,"Prejuízo")</f>
        <v>Fraco</v>
      </c>
    </row>
    <row r="639" spans="1:25" ht="15" customHeight="1" x14ac:dyDescent="0.2">
      <c r="A639" s="12" t="s">
        <v>1400</v>
      </c>
      <c r="B639" s="56">
        <v>8795285</v>
      </c>
      <c r="C639" s="12"/>
      <c r="D639" s="12"/>
      <c r="E639" s="12"/>
      <c r="F639" s="12" t="s">
        <v>265</v>
      </c>
      <c r="G639" s="33">
        <v>2</v>
      </c>
      <c r="H639" s="33">
        <v>9</v>
      </c>
      <c r="I639" s="12" t="s">
        <v>1401</v>
      </c>
      <c r="J639" s="12" t="s">
        <v>39</v>
      </c>
      <c r="K639" s="73" t="s">
        <v>29</v>
      </c>
      <c r="L639" s="13">
        <v>565073</v>
      </c>
      <c r="M639" s="13">
        <v>287921</v>
      </c>
      <c r="N639" s="13">
        <v>14594</v>
      </c>
      <c r="O639" s="13">
        <v>490423</v>
      </c>
      <c r="P639" s="13">
        <v>472929</v>
      </c>
      <c r="Q639" s="13">
        <v>74650</v>
      </c>
      <c r="R639" s="13">
        <v>6836</v>
      </c>
      <c r="S639" s="13">
        <v>0</v>
      </c>
      <c r="T639" s="13">
        <v>5</v>
      </c>
      <c r="U639" s="12" t="str">
        <f t="shared" si="36"/>
        <v>Privado Nacional</v>
      </c>
      <c r="V639" s="14">
        <f t="shared" si="37"/>
        <v>0.5095288573334773</v>
      </c>
      <c r="W639" s="14">
        <f t="shared" si="38"/>
        <v>9.157401205626256E-2</v>
      </c>
      <c r="X639" s="12" t="str">
        <f t="shared" si="39"/>
        <v>Média/Pequena</v>
      </c>
      <c r="Y639" s="122" t="str" cm="1">
        <f t="array" ref="Y639">_xlfn.IFS(ISNUMBER(W639)=FALSE,"Sem dado",W639&gt;0.075,"Excelente",W639&gt;0.04,"Bom",W639&gt;0,"Fraco",TRUE,"Prejuízo")</f>
        <v>Excelente</v>
      </c>
    </row>
    <row r="640" spans="1:25" ht="15" customHeight="1" x14ac:dyDescent="0.2">
      <c r="A640" s="15" t="s">
        <v>1402</v>
      </c>
      <c r="B640" s="60">
        <v>13140088</v>
      </c>
      <c r="C640" s="15" t="s">
        <v>94</v>
      </c>
      <c r="D640" s="15"/>
      <c r="E640" s="15" t="s">
        <v>96</v>
      </c>
      <c r="F640" s="15" t="s">
        <v>84</v>
      </c>
      <c r="G640" s="34">
        <v>2</v>
      </c>
      <c r="H640" s="34">
        <v>41</v>
      </c>
      <c r="I640" s="15" t="s">
        <v>38</v>
      </c>
      <c r="J640" s="15" t="s">
        <v>39</v>
      </c>
      <c r="K640" s="74" t="s">
        <v>29</v>
      </c>
      <c r="L640" s="16">
        <v>561215</v>
      </c>
      <c r="M640" s="16">
        <v>150682</v>
      </c>
      <c r="N640" s="16">
        <v>0</v>
      </c>
      <c r="O640" s="16">
        <v>551549</v>
      </c>
      <c r="P640" s="16">
        <v>307850</v>
      </c>
      <c r="Q640" s="16">
        <v>9666</v>
      </c>
      <c r="R640" s="16">
        <v>-14549</v>
      </c>
      <c r="S640" s="16">
        <v>1</v>
      </c>
      <c r="T640" s="16">
        <v>0</v>
      </c>
      <c r="U640" s="15" t="str">
        <f t="shared" si="36"/>
        <v>Privado Nacional</v>
      </c>
      <c r="V640" s="17">
        <f t="shared" si="37"/>
        <v>0.26849246723626419</v>
      </c>
      <c r="W640" s="17">
        <f t="shared" si="38"/>
        <v>-1.505172770535899</v>
      </c>
      <c r="X640" s="15" t="str">
        <f t="shared" si="39"/>
        <v>Média/Pequena</v>
      </c>
      <c r="Y640" s="121" t="str" cm="1">
        <f t="array" ref="Y640">_xlfn.IFS(ISNUMBER(W640)=FALSE,"Sem dado",W640&gt;0.075,"Excelente",W640&gt;0.04,"Bom",W640&gt;0,"Fraco",TRUE,"Prejuízo")</f>
        <v>Prejuízo</v>
      </c>
    </row>
    <row r="641" spans="1:25" ht="15" customHeight="1" x14ac:dyDescent="0.2">
      <c r="A641" s="12" t="s">
        <v>1403</v>
      </c>
      <c r="B641" s="56">
        <v>3412878</v>
      </c>
      <c r="C641" s="12"/>
      <c r="D641" s="12"/>
      <c r="E641" s="12"/>
      <c r="F641" s="12" t="s">
        <v>265</v>
      </c>
      <c r="G641" s="33">
        <v>2</v>
      </c>
      <c r="H641" s="33">
        <v>9</v>
      </c>
      <c r="I641" s="12" t="s">
        <v>1404</v>
      </c>
      <c r="J641" s="12" t="s">
        <v>120</v>
      </c>
      <c r="K641" s="73" t="s">
        <v>29</v>
      </c>
      <c r="L641" s="13">
        <v>556342</v>
      </c>
      <c r="M641" s="13">
        <v>398391</v>
      </c>
      <c r="N641" s="13">
        <v>14637</v>
      </c>
      <c r="O641" s="13">
        <v>422783</v>
      </c>
      <c r="P641" s="13">
        <v>332793</v>
      </c>
      <c r="Q641" s="13">
        <v>133559</v>
      </c>
      <c r="R641" s="13">
        <v>9188</v>
      </c>
      <c r="S641" s="13">
        <v>0</v>
      </c>
      <c r="T641" s="13">
        <v>6</v>
      </c>
      <c r="U641" s="12" t="str">
        <f t="shared" si="36"/>
        <v>Privado Nacional</v>
      </c>
      <c r="V641" s="14">
        <f t="shared" si="37"/>
        <v>0.71609010285040497</v>
      </c>
      <c r="W641" s="14">
        <f t="shared" si="38"/>
        <v>6.8793566888041988E-2</v>
      </c>
      <c r="X641" s="12" t="str">
        <f t="shared" si="39"/>
        <v>Média/Pequena</v>
      </c>
      <c r="Y641" s="122" t="str" cm="1">
        <f t="array" ref="Y641">_xlfn.IFS(ISNUMBER(W641)=FALSE,"Sem dado",W641&gt;0.075,"Excelente",W641&gt;0.04,"Bom",W641&gt;0,"Fraco",TRUE,"Prejuízo")</f>
        <v>Bom</v>
      </c>
    </row>
    <row r="642" spans="1:25" ht="15" customHeight="1" x14ac:dyDescent="0.2">
      <c r="A642" s="15" t="s">
        <v>1405</v>
      </c>
      <c r="B642" s="60">
        <v>1608685</v>
      </c>
      <c r="C642" s="15"/>
      <c r="D642" s="15"/>
      <c r="E642" s="15"/>
      <c r="F642" s="15" t="s">
        <v>265</v>
      </c>
      <c r="G642" s="34">
        <v>2</v>
      </c>
      <c r="H642" s="34">
        <v>9</v>
      </c>
      <c r="I642" s="15" t="s">
        <v>1406</v>
      </c>
      <c r="J642" s="15" t="s">
        <v>1407</v>
      </c>
      <c r="K642" s="74" t="s">
        <v>29</v>
      </c>
      <c r="L642" s="16">
        <v>554878</v>
      </c>
      <c r="M642" s="16">
        <v>332847</v>
      </c>
      <c r="N642" s="16">
        <v>6217</v>
      </c>
      <c r="O642" s="16">
        <v>479002</v>
      </c>
      <c r="P642" s="16">
        <v>378861</v>
      </c>
      <c r="Q642" s="16">
        <v>75876</v>
      </c>
      <c r="R642" s="16">
        <v>8362</v>
      </c>
      <c r="S642" s="16">
        <v>0</v>
      </c>
      <c r="T642" s="16">
        <v>2</v>
      </c>
      <c r="U642" s="15" t="str">
        <f t="shared" si="36"/>
        <v>Privado Nacional</v>
      </c>
      <c r="V642" s="17">
        <f t="shared" si="37"/>
        <v>0.59985618460274148</v>
      </c>
      <c r="W642" s="17">
        <f t="shared" si="38"/>
        <v>0.11020612578417417</v>
      </c>
      <c r="X642" s="15" t="str">
        <f t="shared" si="39"/>
        <v>Média/Pequena</v>
      </c>
      <c r="Y642" s="121" t="str" cm="1">
        <f t="array" ref="Y642">_xlfn.IFS(ISNUMBER(W642)=FALSE,"Sem dado",W642&gt;0.075,"Excelente",W642&gt;0.04,"Bom",W642&gt;0,"Fraco",TRUE,"Prejuízo")</f>
        <v>Excelente</v>
      </c>
    </row>
    <row r="643" spans="1:25" ht="15" customHeight="1" x14ac:dyDescent="0.2">
      <c r="A643" s="12" t="s">
        <v>1408</v>
      </c>
      <c r="B643" s="56">
        <v>17361536</v>
      </c>
      <c r="C643" s="12"/>
      <c r="D643" s="12"/>
      <c r="E643" s="12"/>
      <c r="F643" s="12" t="s">
        <v>265</v>
      </c>
      <c r="G643" s="33">
        <v>2</v>
      </c>
      <c r="H643" s="33">
        <v>9</v>
      </c>
      <c r="I643" s="12" t="s">
        <v>1174</v>
      </c>
      <c r="J643" s="12" t="s">
        <v>120</v>
      </c>
      <c r="K643" s="73" t="s">
        <v>29</v>
      </c>
      <c r="L643" s="13">
        <v>554708</v>
      </c>
      <c r="M643" s="13">
        <v>267081</v>
      </c>
      <c r="N643" s="13">
        <v>16246</v>
      </c>
      <c r="O643" s="13">
        <v>436213</v>
      </c>
      <c r="P643" s="13">
        <v>417492</v>
      </c>
      <c r="Q643" s="13">
        <v>118495</v>
      </c>
      <c r="R643" s="13">
        <v>4449</v>
      </c>
      <c r="S643" s="13">
        <v>0</v>
      </c>
      <c r="T643" s="13">
        <v>21</v>
      </c>
      <c r="U643" s="12" t="str">
        <f t="shared" si="36"/>
        <v>Privado Nacional</v>
      </c>
      <c r="V643" s="14">
        <f t="shared" si="37"/>
        <v>0.48148034641649301</v>
      </c>
      <c r="W643" s="14">
        <f t="shared" si="38"/>
        <v>3.7545888012152411E-2</v>
      </c>
      <c r="X643" s="12" t="str">
        <f t="shared" si="39"/>
        <v>Média/Pequena</v>
      </c>
      <c r="Y643" s="122" t="str" cm="1">
        <f t="array" ref="Y643">_xlfn.IFS(ISNUMBER(W643)=FALSE,"Sem dado",W643&gt;0.075,"Excelente",W643&gt;0.04,"Bom",W643&gt;0,"Fraco",TRUE,"Prejuízo")</f>
        <v>Fraco</v>
      </c>
    </row>
    <row r="644" spans="1:25" ht="15" customHeight="1" x14ac:dyDescent="0.2">
      <c r="A644" s="15" t="s">
        <v>1409</v>
      </c>
      <c r="B644" s="60">
        <v>71237184</v>
      </c>
      <c r="C644" s="15"/>
      <c r="D644" s="15"/>
      <c r="E644" s="15"/>
      <c r="F644" s="15" t="s">
        <v>265</v>
      </c>
      <c r="G644" s="34">
        <v>2</v>
      </c>
      <c r="H644" s="34">
        <v>9</v>
      </c>
      <c r="I644" s="15" t="s">
        <v>1410</v>
      </c>
      <c r="J644" s="15" t="s">
        <v>120</v>
      </c>
      <c r="K644" s="74" t="s">
        <v>29</v>
      </c>
      <c r="L644" s="16">
        <v>554644</v>
      </c>
      <c r="M644" s="16">
        <v>201789</v>
      </c>
      <c r="N644" s="16">
        <v>128398</v>
      </c>
      <c r="O644" s="16">
        <v>490258</v>
      </c>
      <c r="P644" s="16">
        <v>404216</v>
      </c>
      <c r="Q644" s="16">
        <v>64386</v>
      </c>
      <c r="R644" s="16">
        <v>5940</v>
      </c>
      <c r="S644" s="16">
        <v>0</v>
      </c>
      <c r="T644" s="16">
        <v>7</v>
      </c>
      <c r="U644" s="15" t="str">
        <f t="shared" si="36"/>
        <v>Privado Nacional</v>
      </c>
      <c r="V644" s="17">
        <f t="shared" si="37"/>
        <v>0.36381715118165886</v>
      </c>
      <c r="W644" s="17">
        <f t="shared" si="38"/>
        <v>9.2256080514397543E-2</v>
      </c>
      <c r="X644" s="15" t="str">
        <f t="shared" si="39"/>
        <v>Média/Pequena</v>
      </c>
      <c r="Y644" s="121" t="str" cm="1">
        <f t="array" ref="Y644">_xlfn.IFS(ISNUMBER(W644)=FALSE,"Sem dado",W644&gt;0.075,"Excelente",W644&gt;0.04,"Bom",W644&gt;0,"Fraco",TRUE,"Prejuízo")</f>
        <v>Excelente</v>
      </c>
    </row>
    <row r="645" spans="1:25" ht="15" customHeight="1" x14ac:dyDescent="0.2">
      <c r="A645" s="12" t="s">
        <v>1411</v>
      </c>
      <c r="B645" s="56">
        <v>53720128</v>
      </c>
      <c r="C645" s="12" t="s">
        <v>1412</v>
      </c>
      <c r="D645" s="12"/>
      <c r="E645" s="12" t="s">
        <v>1413</v>
      </c>
      <c r="F645" s="12" t="s">
        <v>65</v>
      </c>
      <c r="G645" s="33">
        <v>3</v>
      </c>
      <c r="H645" s="33">
        <v>43</v>
      </c>
      <c r="I645" s="12" t="s">
        <v>38</v>
      </c>
      <c r="J645" s="12" t="s">
        <v>39</v>
      </c>
      <c r="K645" s="73" t="s">
        <v>29</v>
      </c>
      <c r="L645" s="13">
        <v>549909</v>
      </c>
      <c r="M645" s="13">
        <v>358228</v>
      </c>
      <c r="N645" s="13">
        <v>80656</v>
      </c>
      <c r="O645" s="13">
        <v>456287</v>
      </c>
      <c r="P645" s="13">
        <v>0</v>
      </c>
      <c r="Q645" s="13">
        <v>93623</v>
      </c>
      <c r="R645" s="13">
        <v>1390</v>
      </c>
      <c r="S645" s="13">
        <v>2</v>
      </c>
      <c r="T645" s="13">
        <v>0</v>
      </c>
      <c r="U645" s="12" t="str">
        <f t="shared" ref="U645:U708" si="40">IFERROR(CHOOSE(G645,"Público","Privado Nacional","Privado Estrangeiro"),"n.d.")</f>
        <v>Privado Estrangeiro</v>
      </c>
      <c r="V645" s="14">
        <f t="shared" ref="V645:V708" si="41">IF(AND(ISNUMBER(M645),ISNUMBER(L645)),IF(L645&gt;0,M645/L645,"n.d."),"NI")</f>
        <v>0.65143141865290444</v>
      </c>
      <c r="W645" s="14">
        <f t="shared" ref="W645:W708" si="42">IF(AND(ISNUMBER(R645),ISNUMBER(Q645)),IF(Q645&gt;0,R645/Q645,"n.d."),"NI")</f>
        <v>1.4846779103425441E-2</v>
      </c>
      <c r="X645" s="12" t="str">
        <f t="shared" ref="X645:X708" si="43">IF(ISNUMBER(L645),IF(L645&gt;100000000,"Grande","Média/Pequena"),"Sem dado")</f>
        <v>Média/Pequena</v>
      </c>
      <c r="Y645" s="122" t="str" cm="1">
        <f t="array" ref="Y645">_xlfn.IFS(ISNUMBER(W645)=FALSE,"Sem dado",W645&gt;0.075,"Excelente",W645&gt;0.04,"Bom",W645&gt;0,"Fraco",TRUE,"Prejuízo")</f>
        <v>Fraco</v>
      </c>
    </row>
    <row r="646" spans="1:25" ht="15" customHeight="1" x14ac:dyDescent="0.2">
      <c r="A646" s="15" t="s">
        <v>1414</v>
      </c>
      <c r="B646" s="60">
        <v>8488377</v>
      </c>
      <c r="C646" s="15"/>
      <c r="D646" s="15"/>
      <c r="E646" s="15"/>
      <c r="F646" s="15" t="s">
        <v>265</v>
      </c>
      <c r="G646" s="34">
        <v>2</v>
      </c>
      <c r="H646" s="34">
        <v>9</v>
      </c>
      <c r="I646" s="15" t="s">
        <v>1415</v>
      </c>
      <c r="J646" s="15" t="s">
        <v>74</v>
      </c>
      <c r="K646" s="74" t="s">
        <v>29</v>
      </c>
      <c r="L646" s="16">
        <v>542679</v>
      </c>
      <c r="M646" s="16">
        <v>418284</v>
      </c>
      <c r="N646" s="16">
        <v>9436</v>
      </c>
      <c r="O646" s="16">
        <v>476719</v>
      </c>
      <c r="P646" s="16">
        <v>329289</v>
      </c>
      <c r="Q646" s="16">
        <v>65960</v>
      </c>
      <c r="R646" s="16">
        <v>3404</v>
      </c>
      <c r="S646" s="16">
        <v>0</v>
      </c>
      <c r="T646" s="16">
        <v>14</v>
      </c>
      <c r="U646" s="15" t="str">
        <f t="shared" si="40"/>
        <v>Privado Nacional</v>
      </c>
      <c r="V646" s="17">
        <f t="shared" si="41"/>
        <v>0.77077609415510828</v>
      </c>
      <c r="W646" s="17">
        <f t="shared" si="42"/>
        <v>5.1607034566403878E-2</v>
      </c>
      <c r="X646" s="15" t="str">
        <f t="shared" si="43"/>
        <v>Média/Pequena</v>
      </c>
      <c r="Y646" s="121" t="str" cm="1">
        <f t="array" ref="Y646">_xlfn.IFS(ISNUMBER(W646)=FALSE,"Sem dado",W646&gt;0.075,"Excelente",W646&gt;0.04,"Bom",W646&gt;0,"Fraco",TRUE,"Prejuízo")</f>
        <v>Bom</v>
      </c>
    </row>
    <row r="647" spans="1:25" ht="15" customHeight="1" x14ac:dyDescent="0.2">
      <c r="A647" s="12" t="s">
        <v>1416</v>
      </c>
      <c r="B647" s="56">
        <v>9473806</v>
      </c>
      <c r="C647" s="12" t="s">
        <v>1417</v>
      </c>
      <c r="D647" s="12"/>
      <c r="E647" s="12" t="s">
        <v>1418</v>
      </c>
      <c r="F647" s="12" t="s">
        <v>65</v>
      </c>
      <c r="G647" s="33">
        <v>2</v>
      </c>
      <c r="H647" s="33">
        <v>14</v>
      </c>
      <c r="I647" s="12" t="s">
        <v>1157</v>
      </c>
      <c r="J647" s="12" t="s">
        <v>74</v>
      </c>
      <c r="K647" s="73" t="s">
        <v>29</v>
      </c>
      <c r="L647" s="13">
        <v>536983</v>
      </c>
      <c r="M647" s="13">
        <v>508714</v>
      </c>
      <c r="N647" s="13">
        <v>21865</v>
      </c>
      <c r="O647" s="13">
        <v>441561</v>
      </c>
      <c r="P647" s="13">
        <v>435371</v>
      </c>
      <c r="Q647" s="13">
        <v>95422</v>
      </c>
      <c r="R647" s="13">
        <v>8826</v>
      </c>
      <c r="S647" s="13">
        <v>2</v>
      </c>
      <c r="T647" s="13">
        <v>0</v>
      </c>
      <c r="U647" s="12" t="str">
        <f t="shared" si="40"/>
        <v>Privado Nacional</v>
      </c>
      <c r="V647" s="14">
        <f t="shared" si="41"/>
        <v>0.94735587532566212</v>
      </c>
      <c r="W647" s="14">
        <f t="shared" si="42"/>
        <v>9.2494393326486554E-2</v>
      </c>
      <c r="X647" s="12" t="str">
        <f t="shared" si="43"/>
        <v>Média/Pequena</v>
      </c>
      <c r="Y647" s="122" t="str" cm="1">
        <f t="array" ref="Y647">_xlfn.IFS(ISNUMBER(W647)=FALSE,"Sem dado",W647&gt;0.075,"Excelente",W647&gt;0.04,"Bom",W647&gt;0,"Fraco",TRUE,"Prejuízo")</f>
        <v>Excelente</v>
      </c>
    </row>
    <row r="648" spans="1:25" ht="15" customHeight="1" x14ac:dyDescent="0.2">
      <c r="A648" s="15" t="s">
        <v>1419</v>
      </c>
      <c r="B648" s="60">
        <v>4445917</v>
      </c>
      <c r="C648" s="15"/>
      <c r="D648" s="15"/>
      <c r="E648" s="15"/>
      <c r="F648" s="15" t="s">
        <v>265</v>
      </c>
      <c r="G648" s="34">
        <v>2</v>
      </c>
      <c r="H648" s="34">
        <v>9</v>
      </c>
      <c r="I648" s="15" t="s">
        <v>1384</v>
      </c>
      <c r="J648" s="15" t="s">
        <v>54</v>
      </c>
      <c r="K648" s="74" t="s">
        <v>29</v>
      </c>
      <c r="L648" s="16">
        <v>533623</v>
      </c>
      <c r="M648" s="16">
        <v>289577</v>
      </c>
      <c r="N648" s="16">
        <v>10678</v>
      </c>
      <c r="O648" s="16">
        <v>457485</v>
      </c>
      <c r="P648" s="16">
        <v>405931</v>
      </c>
      <c r="Q648" s="16">
        <v>76138</v>
      </c>
      <c r="R648" s="16">
        <v>6309</v>
      </c>
      <c r="S648" s="16">
        <v>0</v>
      </c>
      <c r="T648" s="16">
        <v>13</v>
      </c>
      <c r="U648" s="15" t="str">
        <f t="shared" si="40"/>
        <v>Privado Nacional</v>
      </c>
      <c r="V648" s="17">
        <f t="shared" si="41"/>
        <v>0.54266214162433024</v>
      </c>
      <c r="W648" s="17">
        <f t="shared" si="42"/>
        <v>8.2862696682339962E-2</v>
      </c>
      <c r="X648" s="15" t="str">
        <f t="shared" si="43"/>
        <v>Média/Pequena</v>
      </c>
      <c r="Y648" s="121" t="str" cm="1">
        <f t="array" ref="Y648">_xlfn.IFS(ISNUMBER(W648)=FALSE,"Sem dado",W648&gt;0.075,"Excelente",W648&gt;0.04,"Bom",W648&gt;0,"Fraco",TRUE,"Prejuízo")</f>
        <v>Excelente</v>
      </c>
    </row>
    <row r="649" spans="1:25" ht="15" customHeight="1" x14ac:dyDescent="0.2">
      <c r="A649" s="12" t="s">
        <v>1420</v>
      </c>
      <c r="B649" s="56">
        <v>64276058</v>
      </c>
      <c r="C649" s="12"/>
      <c r="D649" s="12"/>
      <c r="E649" s="12"/>
      <c r="F649" s="12" t="s">
        <v>265</v>
      </c>
      <c r="G649" s="33">
        <v>2</v>
      </c>
      <c r="H649" s="33">
        <v>9</v>
      </c>
      <c r="I649" s="12" t="s">
        <v>1421</v>
      </c>
      <c r="J649" s="12" t="s">
        <v>120</v>
      </c>
      <c r="K649" s="73" t="s">
        <v>29</v>
      </c>
      <c r="L649" s="13">
        <v>528753</v>
      </c>
      <c r="M649" s="13">
        <v>307314</v>
      </c>
      <c r="N649" s="13">
        <v>9416</v>
      </c>
      <c r="O649" s="13">
        <v>386663</v>
      </c>
      <c r="P649" s="13">
        <v>331286</v>
      </c>
      <c r="Q649" s="13">
        <v>142090</v>
      </c>
      <c r="R649" s="13">
        <v>14044</v>
      </c>
      <c r="S649" s="13">
        <v>0</v>
      </c>
      <c r="T649" s="13">
        <v>7</v>
      </c>
      <c r="U649" s="12" t="str">
        <f t="shared" si="40"/>
        <v>Privado Nacional</v>
      </c>
      <c r="V649" s="14">
        <f t="shared" si="41"/>
        <v>0.581205213020068</v>
      </c>
      <c r="W649" s="14">
        <f t="shared" si="42"/>
        <v>9.8838764163558301E-2</v>
      </c>
      <c r="X649" s="12" t="str">
        <f t="shared" si="43"/>
        <v>Média/Pequena</v>
      </c>
      <c r="Y649" s="122" t="str" cm="1">
        <f t="array" ref="Y649">_xlfn.IFS(ISNUMBER(W649)=FALSE,"Sem dado",W649&gt;0.075,"Excelente",W649&gt;0.04,"Bom",W649&gt;0,"Fraco",TRUE,"Prejuízo")</f>
        <v>Excelente</v>
      </c>
    </row>
    <row r="650" spans="1:25" ht="15" customHeight="1" x14ac:dyDescent="0.2">
      <c r="A650" s="15" t="s">
        <v>1422</v>
      </c>
      <c r="B650" s="60">
        <v>5192316</v>
      </c>
      <c r="C650" s="15" t="s">
        <v>1423</v>
      </c>
      <c r="D650" s="15"/>
      <c r="E650" s="15" t="s">
        <v>1424</v>
      </c>
      <c r="F650" s="15" t="s">
        <v>65</v>
      </c>
      <c r="G650" s="34">
        <v>2</v>
      </c>
      <c r="H650" s="34">
        <v>14</v>
      </c>
      <c r="I650" s="15" t="s">
        <v>1044</v>
      </c>
      <c r="J650" s="15" t="s">
        <v>74</v>
      </c>
      <c r="K650" s="74" t="s">
        <v>29</v>
      </c>
      <c r="L650" s="16">
        <v>525275</v>
      </c>
      <c r="M650" s="16">
        <v>368552</v>
      </c>
      <c r="N650" s="16">
        <v>101476</v>
      </c>
      <c r="O650" s="16">
        <v>476341</v>
      </c>
      <c r="P650" s="16">
        <v>421520</v>
      </c>
      <c r="Q650" s="16">
        <v>48934</v>
      </c>
      <c r="R650" s="16">
        <v>6784</v>
      </c>
      <c r="S650" s="16">
        <v>2</v>
      </c>
      <c r="T650" s="16">
        <v>0</v>
      </c>
      <c r="U650" s="15" t="str">
        <f t="shared" si="40"/>
        <v>Privado Nacional</v>
      </c>
      <c r="V650" s="17">
        <f t="shared" si="41"/>
        <v>0.70163628575508064</v>
      </c>
      <c r="W650" s="17">
        <f t="shared" si="42"/>
        <v>0.13863571340989905</v>
      </c>
      <c r="X650" s="15" t="str">
        <f t="shared" si="43"/>
        <v>Média/Pequena</v>
      </c>
      <c r="Y650" s="121" t="str" cm="1">
        <f t="array" ref="Y650">_xlfn.IFS(ISNUMBER(W650)=FALSE,"Sem dado",W650&gt;0.075,"Excelente",W650&gt;0.04,"Bom",W650&gt;0,"Fraco",TRUE,"Prejuízo")</f>
        <v>Excelente</v>
      </c>
    </row>
    <row r="651" spans="1:25" ht="15" customHeight="1" x14ac:dyDescent="0.2">
      <c r="A651" s="12" t="s">
        <v>1425</v>
      </c>
      <c r="B651" s="56">
        <v>1205736</v>
      </c>
      <c r="C651" s="12"/>
      <c r="D651" s="12"/>
      <c r="E651" s="12"/>
      <c r="F651" s="12" t="s">
        <v>265</v>
      </c>
      <c r="G651" s="33">
        <v>2</v>
      </c>
      <c r="H651" s="33">
        <v>9</v>
      </c>
      <c r="I651" s="12" t="s">
        <v>1426</v>
      </c>
      <c r="J651" s="12" t="s">
        <v>211</v>
      </c>
      <c r="K651" s="73" t="s">
        <v>29</v>
      </c>
      <c r="L651" s="13">
        <v>521124</v>
      </c>
      <c r="M651" s="13">
        <v>290350</v>
      </c>
      <c r="N651" s="13">
        <v>27309</v>
      </c>
      <c r="O651" s="13">
        <v>446073</v>
      </c>
      <c r="P651" s="13">
        <v>381744</v>
      </c>
      <c r="Q651" s="13">
        <v>75051</v>
      </c>
      <c r="R651" s="13">
        <v>8796</v>
      </c>
      <c r="S651" s="13">
        <v>0</v>
      </c>
      <c r="T651" s="13">
        <v>11</v>
      </c>
      <c r="U651" s="12" t="str">
        <f t="shared" si="40"/>
        <v>Privado Nacional</v>
      </c>
      <c r="V651" s="14">
        <f t="shared" si="41"/>
        <v>0.55716105955588302</v>
      </c>
      <c r="W651" s="14">
        <f t="shared" si="42"/>
        <v>0.11720030379342047</v>
      </c>
      <c r="X651" s="12" t="str">
        <f t="shared" si="43"/>
        <v>Média/Pequena</v>
      </c>
      <c r="Y651" s="122" t="str" cm="1">
        <f t="array" ref="Y651">_xlfn.IFS(ISNUMBER(W651)=FALSE,"Sem dado",W651&gt;0.075,"Excelente",W651&gt;0.04,"Bom",W651&gt;0,"Fraco",TRUE,"Prejuízo")</f>
        <v>Excelente</v>
      </c>
    </row>
    <row r="652" spans="1:25" ht="15" customHeight="1" x14ac:dyDescent="0.2">
      <c r="A652" s="15" t="s">
        <v>1427</v>
      </c>
      <c r="B652" s="60">
        <v>33370115</v>
      </c>
      <c r="C652" s="15"/>
      <c r="D652" s="15"/>
      <c r="E652" s="15"/>
      <c r="F652" s="15" t="s">
        <v>265</v>
      </c>
      <c r="G652" s="34">
        <v>2</v>
      </c>
      <c r="H652" s="34">
        <v>9</v>
      </c>
      <c r="I652" s="15" t="s">
        <v>53</v>
      </c>
      <c r="J652" s="15" t="s">
        <v>54</v>
      </c>
      <c r="K652" s="74" t="s">
        <v>29</v>
      </c>
      <c r="L652" s="16">
        <v>519527</v>
      </c>
      <c r="M652" s="16">
        <v>140564</v>
      </c>
      <c r="N652" s="16">
        <v>128263</v>
      </c>
      <c r="O652" s="16">
        <v>478492</v>
      </c>
      <c r="P652" s="16">
        <v>471816</v>
      </c>
      <c r="Q652" s="16">
        <v>41035</v>
      </c>
      <c r="R652" s="16">
        <v>-1154</v>
      </c>
      <c r="S652" s="16">
        <v>0</v>
      </c>
      <c r="T652" s="16">
        <v>14</v>
      </c>
      <c r="U652" s="15" t="str">
        <f t="shared" si="40"/>
        <v>Privado Nacional</v>
      </c>
      <c r="V652" s="17">
        <f t="shared" si="41"/>
        <v>0.27056149151054709</v>
      </c>
      <c r="W652" s="17">
        <f t="shared" si="42"/>
        <v>-2.8122334592421104E-2</v>
      </c>
      <c r="X652" s="15" t="str">
        <f t="shared" si="43"/>
        <v>Média/Pequena</v>
      </c>
      <c r="Y652" s="121" t="str" cm="1">
        <f t="array" ref="Y652">_xlfn.IFS(ISNUMBER(W652)=FALSE,"Sem dado",W652&gt;0.075,"Excelente",W652&gt;0.04,"Bom",W652&gt;0,"Fraco",TRUE,"Prejuízo")</f>
        <v>Prejuízo</v>
      </c>
    </row>
    <row r="653" spans="1:25" ht="15" customHeight="1" x14ac:dyDescent="0.2">
      <c r="A653" s="12" t="s">
        <v>1428</v>
      </c>
      <c r="B653" s="56">
        <v>61021673</v>
      </c>
      <c r="C653" s="12" t="s">
        <v>841</v>
      </c>
      <c r="D653" s="12"/>
      <c r="E653" s="12" t="s">
        <v>842</v>
      </c>
      <c r="F653" s="12" t="s">
        <v>65</v>
      </c>
      <c r="G653" s="33">
        <v>2</v>
      </c>
      <c r="H653" s="33">
        <v>14</v>
      </c>
      <c r="I653" s="12" t="s">
        <v>107</v>
      </c>
      <c r="J653" s="12" t="s">
        <v>39</v>
      </c>
      <c r="K653" s="73" t="s">
        <v>29</v>
      </c>
      <c r="L653" s="13">
        <v>519320</v>
      </c>
      <c r="M653" s="13">
        <v>428859</v>
      </c>
      <c r="N653" s="13">
        <v>0</v>
      </c>
      <c r="O653" s="13">
        <v>297356</v>
      </c>
      <c r="P653" s="13">
        <v>257264</v>
      </c>
      <c r="Q653" s="13">
        <v>221964</v>
      </c>
      <c r="R653" s="13">
        <v>21343</v>
      </c>
      <c r="S653" s="13">
        <v>2</v>
      </c>
      <c r="T653" s="13">
        <v>0</v>
      </c>
      <c r="U653" s="12" t="str">
        <f t="shared" si="40"/>
        <v>Privado Nacional</v>
      </c>
      <c r="V653" s="14">
        <f t="shared" si="41"/>
        <v>0.82580874990372022</v>
      </c>
      <c r="W653" s="14">
        <f t="shared" si="42"/>
        <v>9.6155232380025588E-2</v>
      </c>
      <c r="X653" s="12" t="str">
        <f t="shared" si="43"/>
        <v>Média/Pequena</v>
      </c>
      <c r="Y653" s="122" t="str" cm="1">
        <f t="array" ref="Y653">_xlfn.IFS(ISNUMBER(W653)=FALSE,"Sem dado",W653&gt;0.075,"Excelente",W653&gt;0.04,"Bom",W653&gt;0,"Fraco",TRUE,"Prejuízo")</f>
        <v>Excelente</v>
      </c>
    </row>
    <row r="654" spans="1:25" ht="15" customHeight="1" x14ac:dyDescent="0.2">
      <c r="A654" s="15" t="s">
        <v>1429</v>
      </c>
      <c r="B654" s="60">
        <v>3419786</v>
      </c>
      <c r="C654" s="15"/>
      <c r="D654" s="15"/>
      <c r="E654" s="15"/>
      <c r="F654" s="15" t="s">
        <v>265</v>
      </c>
      <c r="G654" s="34">
        <v>2</v>
      </c>
      <c r="H654" s="34">
        <v>9</v>
      </c>
      <c r="I654" s="15" t="s">
        <v>216</v>
      </c>
      <c r="J654" s="15" t="s">
        <v>217</v>
      </c>
      <c r="K654" s="74" t="s">
        <v>29</v>
      </c>
      <c r="L654" s="16">
        <v>517785</v>
      </c>
      <c r="M654" s="16">
        <v>252684</v>
      </c>
      <c r="N654" s="16">
        <v>6096</v>
      </c>
      <c r="O654" s="16">
        <v>471639</v>
      </c>
      <c r="P654" s="16">
        <v>460593</v>
      </c>
      <c r="Q654" s="16">
        <v>46146</v>
      </c>
      <c r="R654" s="16">
        <v>1295</v>
      </c>
      <c r="S654" s="16">
        <v>0</v>
      </c>
      <c r="T654" s="16">
        <v>9</v>
      </c>
      <c r="U654" s="15" t="str">
        <f t="shared" si="40"/>
        <v>Privado Nacional</v>
      </c>
      <c r="V654" s="17">
        <f t="shared" si="41"/>
        <v>0.48800950201338394</v>
      </c>
      <c r="W654" s="17">
        <f t="shared" si="42"/>
        <v>2.8063104061023709E-2</v>
      </c>
      <c r="X654" s="15" t="str">
        <f t="shared" si="43"/>
        <v>Média/Pequena</v>
      </c>
      <c r="Y654" s="121" t="str" cm="1">
        <f t="array" ref="Y654">_xlfn.IFS(ISNUMBER(W654)=FALSE,"Sem dado",W654&gt;0.075,"Excelente",W654&gt;0.04,"Bom",W654&gt;0,"Fraco",TRUE,"Prejuízo")</f>
        <v>Fraco</v>
      </c>
    </row>
    <row r="655" spans="1:25" ht="15" customHeight="1" x14ac:dyDescent="0.2">
      <c r="A655" s="12" t="s">
        <v>1430</v>
      </c>
      <c r="B655" s="56">
        <v>1572667</v>
      </c>
      <c r="C655" s="12"/>
      <c r="D655" s="12"/>
      <c r="E655" s="12"/>
      <c r="F655" s="12" t="s">
        <v>265</v>
      </c>
      <c r="G655" s="33">
        <v>2</v>
      </c>
      <c r="H655" s="33">
        <v>9</v>
      </c>
      <c r="I655" s="12" t="s">
        <v>414</v>
      </c>
      <c r="J655" s="12" t="s">
        <v>74</v>
      </c>
      <c r="K655" s="73" t="s">
        <v>29</v>
      </c>
      <c r="L655" s="13">
        <v>516595</v>
      </c>
      <c r="M655" s="13">
        <v>328777</v>
      </c>
      <c r="N655" s="13">
        <v>5088</v>
      </c>
      <c r="O655" s="13">
        <v>467166</v>
      </c>
      <c r="P655" s="13">
        <v>460908</v>
      </c>
      <c r="Q655" s="13">
        <v>49430</v>
      </c>
      <c r="R655" s="13">
        <v>3213</v>
      </c>
      <c r="S655" s="13">
        <v>0</v>
      </c>
      <c r="T655" s="13">
        <v>7</v>
      </c>
      <c r="U655" s="12" t="str">
        <f t="shared" si="40"/>
        <v>Privado Nacional</v>
      </c>
      <c r="V655" s="14">
        <f t="shared" si="41"/>
        <v>0.63643085976441893</v>
      </c>
      <c r="W655" s="14">
        <f t="shared" si="42"/>
        <v>6.5001011531458625E-2</v>
      </c>
      <c r="X655" s="12" t="str">
        <f t="shared" si="43"/>
        <v>Média/Pequena</v>
      </c>
      <c r="Y655" s="122" t="str" cm="1">
        <f t="array" ref="Y655">_xlfn.IFS(ISNUMBER(W655)=FALSE,"Sem dado",W655&gt;0.075,"Excelente",W655&gt;0.04,"Bom",W655&gt;0,"Fraco",TRUE,"Prejuízo")</f>
        <v>Bom</v>
      </c>
    </row>
    <row r="656" spans="1:25" ht="15" customHeight="1" x14ac:dyDescent="0.2">
      <c r="A656" s="15" t="s">
        <v>1431</v>
      </c>
      <c r="B656" s="60">
        <v>97259253</v>
      </c>
      <c r="C656" s="15"/>
      <c r="D656" s="15"/>
      <c r="E656" s="15"/>
      <c r="F656" s="15" t="s">
        <v>265</v>
      </c>
      <c r="G656" s="34">
        <v>2</v>
      </c>
      <c r="H656" s="34">
        <v>9</v>
      </c>
      <c r="I656" s="15" t="s">
        <v>453</v>
      </c>
      <c r="J656" s="15" t="s">
        <v>74</v>
      </c>
      <c r="K656" s="74" t="s">
        <v>29</v>
      </c>
      <c r="L656" s="16">
        <v>516005</v>
      </c>
      <c r="M656" s="16">
        <v>94716</v>
      </c>
      <c r="N656" s="16">
        <v>13781</v>
      </c>
      <c r="O656" s="16">
        <v>473377</v>
      </c>
      <c r="P656" s="16">
        <v>466007</v>
      </c>
      <c r="Q656" s="16">
        <v>42628</v>
      </c>
      <c r="R656" s="16">
        <v>5160</v>
      </c>
      <c r="S656" s="16">
        <v>0</v>
      </c>
      <c r="T656" s="16">
        <v>4</v>
      </c>
      <c r="U656" s="15" t="str">
        <f t="shared" si="40"/>
        <v>Privado Nacional</v>
      </c>
      <c r="V656" s="17">
        <f t="shared" si="41"/>
        <v>0.18355636088797589</v>
      </c>
      <c r="W656" s="17">
        <f t="shared" si="42"/>
        <v>0.12104719902411561</v>
      </c>
      <c r="X656" s="15" t="str">
        <f t="shared" si="43"/>
        <v>Média/Pequena</v>
      </c>
      <c r="Y656" s="121" t="str" cm="1">
        <f t="array" ref="Y656">_xlfn.IFS(ISNUMBER(W656)=FALSE,"Sem dado",W656&gt;0.075,"Excelente",W656&gt;0.04,"Bom",W656&gt;0,"Fraco",TRUE,"Prejuízo")</f>
        <v>Excelente</v>
      </c>
    </row>
    <row r="657" spans="1:25" ht="15" customHeight="1" x14ac:dyDescent="0.2">
      <c r="A657" s="12" t="s">
        <v>1432</v>
      </c>
      <c r="B657" s="56">
        <v>429890</v>
      </c>
      <c r="C657" s="12"/>
      <c r="D657" s="12"/>
      <c r="E657" s="12"/>
      <c r="F657" s="12" t="s">
        <v>265</v>
      </c>
      <c r="G657" s="33">
        <v>2</v>
      </c>
      <c r="H657" s="33">
        <v>9</v>
      </c>
      <c r="I657" s="12" t="s">
        <v>1433</v>
      </c>
      <c r="J657" s="12" t="s">
        <v>120</v>
      </c>
      <c r="K657" s="73" t="s">
        <v>29</v>
      </c>
      <c r="L657" s="13">
        <v>515900</v>
      </c>
      <c r="M657" s="13">
        <v>322202</v>
      </c>
      <c r="N657" s="13">
        <v>25686</v>
      </c>
      <c r="O657" s="13">
        <v>446663</v>
      </c>
      <c r="P657" s="13">
        <v>266681</v>
      </c>
      <c r="Q657" s="13">
        <v>69237</v>
      </c>
      <c r="R657" s="13">
        <v>-1819</v>
      </c>
      <c r="S657" s="13">
        <v>0</v>
      </c>
      <c r="T657" s="13">
        <v>4</v>
      </c>
      <c r="U657" s="12" t="str">
        <f t="shared" si="40"/>
        <v>Privado Nacional</v>
      </c>
      <c r="V657" s="14">
        <f t="shared" si="41"/>
        <v>0.62454351618530723</v>
      </c>
      <c r="W657" s="14">
        <f t="shared" si="42"/>
        <v>-2.6272079957248291E-2</v>
      </c>
      <c r="X657" s="12" t="str">
        <f t="shared" si="43"/>
        <v>Média/Pequena</v>
      </c>
      <c r="Y657" s="122" t="str" cm="1">
        <f t="array" ref="Y657">_xlfn.IFS(ISNUMBER(W657)=FALSE,"Sem dado",W657&gt;0.075,"Excelente",W657&gt;0.04,"Bom",W657&gt;0,"Fraco",TRUE,"Prejuízo")</f>
        <v>Prejuízo</v>
      </c>
    </row>
    <row r="658" spans="1:25" ht="15" customHeight="1" x14ac:dyDescent="0.2">
      <c r="A658" s="15" t="s">
        <v>1434</v>
      </c>
      <c r="B658" s="60">
        <v>33615055</v>
      </c>
      <c r="C658" s="15"/>
      <c r="D658" s="15"/>
      <c r="E658" s="15"/>
      <c r="F658" s="15" t="s">
        <v>265</v>
      </c>
      <c r="G658" s="34">
        <v>2</v>
      </c>
      <c r="H658" s="34">
        <v>9</v>
      </c>
      <c r="I658" s="15" t="s">
        <v>545</v>
      </c>
      <c r="J658" s="15" t="s">
        <v>389</v>
      </c>
      <c r="K658" s="74" t="s">
        <v>29</v>
      </c>
      <c r="L658" s="16">
        <v>513987</v>
      </c>
      <c r="M658" s="16">
        <v>300934</v>
      </c>
      <c r="N658" s="16">
        <v>19556</v>
      </c>
      <c r="O658" s="16">
        <v>395332</v>
      </c>
      <c r="P658" s="16">
        <v>369666</v>
      </c>
      <c r="Q658" s="16">
        <v>118654</v>
      </c>
      <c r="R658" s="16">
        <v>12277</v>
      </c>
      <c r="S658" s="16">
        <v>0</v>
      </c>
      <c r="T658" s="16">
        <v>8</v>
      </c>
      <c r="U658" s="15" t="str">
        <f t="shared" si="40"/>
        <v>Privado Nacional</v>
      </c>
      <c r="V658" s="17">
        <f t="shared" si="41"/>
        <v>0.58548951627181234</v>
      </c>
      <c r="W658" s="17">
        <f t="shared" si="42"/>
        <v>0.10346890960271041</v>
      </c>
      <c r="X658" s="15" t="str">
        <f t="shared" si="43"/>
        <v>Média/Pequena</v>
      </c>
      <c r="Y658" s="121" t="str" cm="1">
        <f t="array" ref="Y658">_xlfn.IFS(ISNUMBER(W658)=FALSE,"Sem dado",W658&gt;0.075,"Excelente",W658&gt;0.04,"Bom",W658&gt;0,"Fraco",TRUE,"Prejuízo")</f>
        <v>Excelente</v>
      </c>
    </row>
    <row r="659" spans="1:25" ht="15" customHeight="1" x14ac:dyDescent="0.2">
      <c r="A659" s="12" t="s">
        <v>1435</v>
      </c>
      <c r="B659" s="56">
        <v>27214112</v>
      </c>
      <c r="C659" s="12" t="s">
        <v>1436</v>
      </c>
      <c r="D659" s="12"/>
      <c r="E659" s="12" t="s">
        <v>1437</v>
      </c>
      <c r="F659" s="12" t="s">
        <v>65</v>
      </c>
      <c r="G659" s="33">
        <v>2</v>
      </c>
      <c r="H659" s="33">
        <v>14</v>
      </c>
      <c r="I659" s="12" t="s">
        <v>803</v>
      </c>
      <c r="J659" s="12" t="s">
        <v>329</v>
      </c>
      <c r="K659" s="73" t="s">
        <v>29</v>
      </c>
      <c r="L659" s="13">
        <v>511369</v>
      </c>
      <c r="M659" s="13">
        <v>357563</v>
      </c>
      <c r="N659" s="13">
        <v>0</v>
      </c>
      <c r="O659" s="13">
        <v>436385</v>
      </c>
      <c r="P659" s="13">
        <v>427119</v>
      </c>
      <c r="Q659" s="13">
        <v>74984</v>
      </c>
      <c r="R659" s="13">
        <v>-1540</v>
      </c>
      <c r="S659" s="13">
        <v>2</v>
      </c>
      <c r="T659" s="13">
        <v>0</v>
      </c>
      <c r="U659" s="12" t="str">
        <f t="shared" si="40"/>
        <v>Privado Nacional</v>
      </c>
      <c r="V659" s="14">
        <f t="shared" si="41"/>
        <v>0.69922697699704128</v>
      </c>
      <c r="W659" s="14">
        <f t="shared" si="42"/>
        <v>-2.0537714712471993E-2</v>
      </c>
      <c r="X659" s="12" t="str">
        <f t="shared" si="43"/>
        <v>Média/Pequena</v>
      </c>
      <c r="Y659" s="122" t="str" cm="1">
        <f t="array" ref="Y659">_xlfn.IFS(ISNUMBER(W659)=FALSE,"Sem dado",W659&gt;0.075,"Excelente",W659&gt;0.04,"Bom",W659&gt;0,"Fraco",TRUE,"Prejuízo")</f>
        <v>Prejuízo</v>
      </c>
    </row>
    <row r="660" spans="1:25" ht="15" customHeight="1" x14ac:dyDescent="0.2">
      <c r="A660" s="15" t="s">
        <v>1438</v>
      </c>
      <c r="B660" s="60">
        <v>30723871</v>
      </c>
      <c r="C660" s="15" t="s">
        <v>1439</v>
      </c>
      <c r="D660" s="15"/>
      <c r="E660" s="15" t="s">
        <v>1440</v>
      </c>
      <c r="F660" s="15" t="s">
        <v>84</v>
      </c>
      <c r="G660" s="34">
        <v>2</v>
      </c>
      <c r="H660" s="34">
        <v>41</v>
      </c>
      <c r="I660" s="15" t="s">
        <v>38</v>
      </c>
      <c r="J660" s="15" t="s">
        <v>39</v>
      </c>
      <c r="K660" s="74" t="s">
        <v>29</v>
      </c>
      <c r="L660" s="16">
        <v>510822</v>
      </c>
      <c r="M660" s="16">
        <v>0</v>
      </c>
      <c r="N660" s="16">
        <v>197337</v>
      </c>
      <c r="O660" s="16">
        <v>104531</v>
      </c>
      <c r="P660" s="16">
        <v>41055</v>
      </c>
      <c r="Q660" s="16">
        <v>406292</v>
      </c>
      <c r="R660" s="16">
        <v>27777</v>
      </c>
      <c r="S660" s="16">
        <v>1</v>
      </c>
      <c r="T660" s="16">
        <v>0</v>
      </c>
      <c r="U660" s="15" t="str">
        <f t="shared" si="40"/>
        <v>Privado Nacional</v>
      </c>
      <c r="V660" s="17">
        <f t="shared" si="41"/>
        <v>0</v>
      </c>
      <c r="W660" s="17">
        <f t="shared" si="42"/>
        <v>6.836708574128951E-2</v>
      </c>
      <c r="X660" s="15" t="str">
        <f t="shared" si="43"/>
        <v>Média/Pequena</v>
      </c>
      <c r="Y660" s="121" t="str" cm="1">
        <f t="array" ref="Y660">_xlfn.IFS(ISNUMBER(W660)=FALSE,"Sem dado",W660&gt;0.075,"Excelente",W660&gt;0.04,"Bom",W660&gt;0,"Fraco",TRUE,"Prejuízo")</f>
        <v>Bom</v>
      </c>
    </row>
    <row r="661" spans="1:25" ht="15" customHeight="1" x14ac:dyDescent="0.2">
      <c r="A661" s="12" t="s">
        <v>1441</v>
      </c>
      <c r="B661" s="56">
        <v>1703620</v>
      </c>
      <c r="C661" s="12"/>
      <c r="D661" s="12"/>
      <c r="E661" s="12"/>
      <c r="F661" s="12" t="s">
        <v>265</v>
      </c>
      <c r="G661" s="33">
        <v>2</v>
      </c>
      <c r="H661" s="33">
        <v>9</v>
      </c>
      <c r="I661" s="12" t="s">
        <v>1068</v>
      </c>
      <c r="J661" s="12" t="s">
        <v>120</v>
      </c>
      <c r="K661" s="73" t="s">
        <v>29</v>
      </c>
      <c r="L661" s="13">
        <v>507626</v>
      </c>
      <c r="M661" s="13">
        <v>196592</v>
      </c>
      <c r="N661" s="13">
        <v>9788</v>
      </c>
      <c r="O661" s="13">
        <v>436533</v>
      </c>
      <c r="P661" s="13">
        <v>419777</v>
      </c>
      <c r="Q661" s="13">
        <v>71093</v>
      </c>
      <c r="R661" s="13">
        <v>2523</v>
      </c>
      <c r="S661" s="13">
        <v>0</v>
      </c>
      <c r="T661" s="13">
        <v>5</v>
      </c>
      <c r="U661" s="12" t="str">
        <f t="shared" si="40"/>
        <v>Privado Nacional</v>
      </c>
      <c r="V661" s="14">
        <f t="shared" si="41"/>
        <v>0.38727724742231484</v>
      </c>
      <c r="W661" s="14">
        <f t="shared" si="42"/>
        <v>3.5488726034912016E-2</v>
      </c>
      <c r="X661" s="12" t="str">
        <f t="shared" si="43"/>
        <v>Média/Pequena</v>
      </c>
      <c r="Y661" s="122" t="str" cm="1">
        <f t="array" ref="Y661">_xlfn.IFS(ISNUMBER(W661)=FALSE,"Sem dado",W661&gt;0.075,"Excelente",W661&gt;0.04,"Bom",W661&gt;0,"Fraco",TRUE,"Prejuízo")</f>
        <v>Fraco</v>
      </c>
    </row>
    <row r="662" spans="1:25" ht="15" customHeight="1" x14ac:dyDescent="0.2">
      <c r="A662" s="15" t="s">
        <v>1442</v>
      </c>
      <c r="B662" s="60">
        <v>5494591</v>
      </c>
      <c r="C662" s="15"/>
      <c r="D662" s="15"/>
      <c r="E662" s="15"/>
      <c r="F662" s="15" t="s">
        <v>265</v>
      </c>
      <c r="G662" s="34">
        <v>2</v>
      </c>
      <c r="H662" s="34">
        <v>9</v>
      </c>
      <c r="I662" s="15" t="s">
        <v>1443</v>
      </c>
      <c r="J662" s="15" t="s">
        <v>217</v>
      </c>
      <c r="K662" s="74" t="s">
        <v>29</v>
      </c>
      <c r="L662" s="16">
        <v>505038</v>
      </c>
      <c r="M662" s="16">
        <v>371023</v>
      </c>
      <c r="N662" s="16">
        <v>12439</v>
      </c>
      <c r="O662" s="16">
        <v>439098</v>
      </c>
      <c r="P662" s="16">
        <v>247859</v>
      </c>
      <c r="Q662" s="16">
        <v>65940</v>
      </c>
      <c r="R662" s="16">
        <v>1109</v>
      </c>
      <c r="S662" s="16">
        <v>0</v>
      </c>
      <c r="T662" s="16">
        <v>9</v>
      </c>
      <c r="U662" s="15" t="str">
        <f t="shared" si="40"/>
        <v>Privado Nacional</v>
      </c>
      <c r="V662" s="17">
        <f t="shared" si="41"/>
        <v>0.73464372977874937</v>
      </c>
      <c r="W662" s="17">
        <f t="shared" si="42"/>
        <v>1.6818319684561722E-2</v>
      </c>
      <c r="X662" s="15" t="str">
        <f t="shared" si="43"/>
        <v>Média/Pequena</v>
      </c>
      <c r="Y662" s="121" t="str" cm="1">
        <f t="array" ref="Y662">_xlfn.IFS(ISNUMBER(W662)=FALSE,"Sem dado",W662&gt;0.075,"Excelente",W662&gt;0.04,"Bom",W662&gt;0,"Fraco",TRUE,"Prejuízo")</f>
        <v>Fraco</v>
      </c>
    </row>
    <row r="663" spans="1:25" ht="15" customHeight="1" x14ac:dyDescent="0.2">
      <c r="A663" s="12" t="s">
        <v>1444</v>
      </c>
      <c r="B663" s="56">
        <v>3269540</v>
      </c>
      <c r="C663" s="12"/>
      <c r="D663" s="12"/>
      <c r="E663" s="12"/>
      <c r="F663" s="12" t="s">
        <v>265</v>
      </c>
      <c r="G663" s="33">
        <v>2</v>
      </c>
      <c r="H663" s="33">
        <v>9</v>
      </c>
      <c r="I663" s="12" t="s">
        <v>119</v>
      </c>
      <c r="J663" s="12" t="s">
        <v>120</v>
      </c>
      <c r="K663" s="73" t="s">
        <v>29</v>
      </c>
      <c r="L663" s="13">
        <v>503587</v>
      </c>
      <c r="M663" s="13">
        <v>251924</v>
      </c>
      <c r="N663" s="13">
        <v>12504</v>
      </c>
      <c r="O663" s="13">
        <v>418852</v>
      </c>
      <c r="P663" s="13">
        <v>409240</v>
      </c>
      <c r="Q663" s="13">
        <v>84735</v>
      </c>
      <c r="R663" s="13">
        <v>4928</v>
      </c>
      <c r="S663" s="13">
        <v>0</v>
      </c>
      <c r="T663" s="13">
        <v>0</v>
      </c>
      <c r="U663" s="12" t="str">
        <f t="shared" si="40"/>
        <v>Privado Nacional</v>
      </c>
      <c r="V663" s="14">
        <f t="shared" si="41"/>
        <v>0.50025914092301826</v>
      </c>
      <c r="W663" s="14">
        <f t="shared" si="42"/>
        <v>5.8157786038826931E-2</v>
      </c>
      <c r="X663" s="12" t="str">
        <f t="shared" si="43"/>
        <v>Média/Pequena</v>
      </c>
      <c r="Y663" s="122" t="str" cm="1">
        <f t="array" ref="Y663">_xlfn.IFS(ISNUMBER(W663)=FALSE,"Sem dado",W663&gt;0.075,"Excelente",W663&gt;0.04,"Bom",W663&gt;0,"Fraco",TRUE,"Prejuízo")</f>
        <v>Bom</v>
      </c>
    </row>
    <row r="664" spans="1:25" ht="15" customHeight="1" x14ac:dyDescent="0.2">
      <c r="A664" s="15" t="s">
        <v>1445</v>
      </c>
      <c r="B664" s="60">
        <v>4181542</v>
      </c>
      <c r="C664" s="15"/>
      <c r="D664" s="15"/>
      <c r="E664" s="15"/>
      <c r="F664" s="15" t="s">
        <v>265</v>
      </c>
      <c r="G664" s="34">
        <v>2</v>
      </c>
      <c r="H664" s="34">
        <v>9</v>
      </c>
      <c r="I664" s="15" t="s">
        <v>1446</v>
      </c>
      <c r="J664" s="15" t="s">
        <v>120</v>
      </c>
      <c r="K664" s="74" t="s">
        <v>29</v>
      </c>
      <c r="L664" s="16">
        <v>495545</v>
      </c>
      <c r="M664" s="16">
        <v>252491</v>
      </c>
      <c r="N664" s="16">
        <v>9579</v>
      </c>
      <c r="O664" s="16">
        <v>426582</v>
      </c>
      <c r="P664" s="16">
        <v>402025</v>
      </c>
      <c r="Q664" s="16">
        <v>68963</v>
      </c>
      <c r="R664" s="16">
        <v>473</v>
      </c>
      <c r="S664" s="16">
        <v>0</v>
      </c>
      <c r="T664" s="16">
        <v>7</v>
      </c>
      <c r="U664" s="15" t="str">
        <f t="shared" si="40"/>
        <v>Privado Nacional</v>
      </c>
      <c r="V664" s="17">
        <f t="shared" si="41"/>
        <v>0.50952183959075359</v>
      </c>
      <c r="W664" s="17">
        <f t="shared" si="42"/>
        <v>6.8587503443875699E-3</v>
      </c>
      <c r="X664" s="15" t="str">
        <f t="shared" si="43"/>
        <v>Média/Pequena</v>
      </c>
      <c r="Y664" s="121" t="str" cm="1">
        <f t="array" ref="Y664">_xlfn.IFS(ISNUMBER(W664)=FALSE,"Sem dado",W664&gt;0.075,"Excelente",W664&gt;0.04,"Bom",W664&gt;0,"Fraco",TRUE,"Prejuízo")</f>
        <v>Fraco</v>
      </c>
    </row>
    <row r="665" spans="1:25" ht="15" customHeight="1" x14ac:dyDescent="0.2">
      <c r="A665" s="12" t="s">
        <v>1447</v>
      </c>
      <c r="B665" s="56">
        <v>3033469</v>
      </c>
      <c r="C665" s="12"/>
      <c r="D665" s="12"/>
      <c r="E665" s="12"/>
      <c r="F665" s="12" t="s">
        <v>265</v>
      </c>
      <c r="G665" s="33">
        <v>2</v>
      </c>
      <c r="H665" s="33">
        <v>9</v>
      </c>
      <c r="I665" s="12" t="s">
        <v>1306</v>
      </c>
      <c r="J665" s="12" t="s">
        <v>217</v>
      </c>
      <c r="K665" s="73" t="s">
        <v>29</v>
      </c>
      <c r="L665" s="13">
        <v>492618</v>
      </c>
      <c r="M665" s="13">
        <v>301124</v>
      </c>
      <c r="N665" s="13">
        <v>5845</v>
      </c>
      <c r="O665" s="13">
        <v>445418</v>
      </c>
      <c r="P665" s="13">
        <v>377133</v>
      </c>
      <c r="Q665" s="13">
        <v>47200</v>
      </c>
      <c r="R665" s="13">
        <v>936</v>
      </c>
      <c r="S665" s="13">
        <v>0</v>
      </c>
      <c r="T665" s="13">
        <v>8</v>
      </c>
      <c r="U665" s="12" t="str">
        <f t="shared" si="40"/>
        <v>Privado Nacional</v>
      </c>
      <c r="V665" s="14">
        <f t="shared" si="41"/>
        <v>0.61127283209302141</v>
      </c>
      <c r="W665" s="14">
        <f t="shared" si="42"/>
        <v>1.9830508474576271E-2</v>
      </c>
      <c r="X665" s="12" t="str">
        <f t="shared" si="43"/>
        <v>Média/Pequena</v>
      </c>
      <c r="Y665" s="122" t="str" cm="1">
        <f t="array" ref="Y665">_xlfn.IFS(ISNUMBER(W665)=FALSE,"Sem dado",W665&gt;0.075,"Excelente",W665&gt;0.04,"Bom",W665&gt;0,"Fraco",TRUE,"Prejuízo")</f>
        <v>Fraco</v>
      </c>
    </row>
    <row r="666" spans="1:25" ht="15" customHeight="1" x14ac:dyDescent="0.2">
      <c r="A666" s="15" t="s">
        <v>1448</v>
      </c>
      <c r="B666" s="60">
        <v>2480577</v>
      </c>
      <c r="C666" s="15"/>
      <c r="D666" s="15"/>
      <c r="E666" s="15"/>
      <c r="F666" s="15" t="s">
        <v>265</v>
      </c>
      <c r="G666" s="34">
        <v>2</v>
      </c>
      <c r="H666" s="34">
        <v>9</v>
      </c>
      <c r="I666" s="15" t="s">
        <v>388</v>
      </c>
      <c r="J666" s="15" t="s">
        <v>389</v>
      </c>
      <c r="K666" s="74" t="s">
        <v>29</v>
      </c>
      <c r="L666" s="16">
        <v>491912</v>
      </c>
      <c r="M666" s="16">
        <v>210120</v>
      </c>
      <c r="N666" s="16">
        <v>27516</v>
      </c>
      <c r="O666" s="16">
        <v>401645</v>
      </c>
      <c r="P666" s="16">
        <v>388952</v>
      </c>
      <c r="Q666" s="16">
        <v>90267</v>
      </c>
      <c r="R666" s="16">
        <v>1976</v>
      </c>
      <c r="S666" s="16">
        <v>0</v>
      </c>
      <c r="T666" s="16">
        <v>3</v>
      </c>
      <c r="U666" s="15" t="str">
        <f t="shared" si="40"/>
        <v>Privado Nacional</v>
      </c>
      <c r="V666" s="17">
        <f t="shared" si="41"/>
        <v>0.42714957146806748</v>
      </c>
      <c r="W666" s="17">
        <f t="shared" si="42"/>
        <v>2.1890613402461585E-2</v>
      </c>
      <c r="X666" s="15" t="str">
        <f t="shared" si="43"/>
        <v>Média/Pequena</v>
      </c>
      <c r="Y666" s="121" t="str" cm="1">
        <f t="array" ref="Y666">_xlfn.IFS(ISNUMBER(W666)=FALSE,"Sem dado",W666&gt;0.075,"Excelente",W666&gt;0.04,"Bom",W666&gt;0,"Fraco",TRUE,"Prejuízo")</f>
        <v>Fraco</v>
      </c>
    </row>
    <row r="667" spans="1:25" ht="15" customHeight="1" x14ac:dyDescent="0.2">
      <c r="A667" s="12" t="s">
        <v>1449</v>
      </c>
      <c r="B667" s="56">
        <v>71418784</v>
      </c>
      <c r="C667" s="12"/>
      <c r="D667" s="12"/>
      <c r="E667" s="12"/>
      <c r="F667" s="12" t="s">
        <v>265</v>
      </c>
      <c r="G667" s="33">
        <v>2</v>
      </c>
      <c r="H667" s="33">
        <v>9</v>
      </c>
      <c r="I667" s="12" t="s">
        <v>665</v>
      </c>
      <c r="J667" s="12" t="s">
        <v>120</v>
      </c>
      <c r="K667" s="73" t="s">
        <v>29</v>
      </c>
      <c r="L667" s="13">
        <v>490198</v>
      </c>
      <c r="M667" s="13">
        <v>143523</v>
      </c>
      <c r="N667" s="13">
        <v>10174</v>
      </c>
      <c r="O667" s="13">
        <v>432190</v>
      </c>
      <c r="P667" s="13">
        <v>394663</v>
      </c>
      <c r="Q667" s="13">
        <v>58008</v>
      </c>
      <c r="R667" s="13">
        <v>4224</v>
      </c>
      <c r="S667" s="13">
        <v>0</v>
      </c>
      <c r="T667" s="13">
        <v>11</v>
      </c>
      <c r="U667" s="12" t="str">
        <f t="shared" si="40"/>
        <v>Privado Nacional</v>
      </c>
      <c r="V667" s="14">
        <f t="shared" si="41"/>
        <v>0.29278577227977265</v>
      </c>
      <c r="W667" s="14">
        <f t="shared" si="42"/>
        <v>7.2817542407943733E-2</v>
      </c>
      <c r="X667" s="12" t="str">
        <f t="shared" si="43"/>
        <v>Média/Pequena</v>
      </c>
      <c r="Y667" s="122" t="str" cm="1">
        <f t="array" ref="Y667">_xlfn.IFS(ISNUMBER(W667)=FALSE,"Sem dado",W667&gt;0.075,"Excelente",W667&gt;0.04,"Bom",W667&gt;0,"Fraco",TRUE,"Prejuízo")</f>
        <v>Bom</v>
      </c>
    </row>
    <row r="668" spans="1:25" ht="15" customHeight="1" x14ac:dyDescent="0.2">
      <c r="A668" s="15" t="s">
        <v>1450</v>
      </c>
      <c r="B668" s="60">
        <v>41931221</v>
      </c>
      <c r="C668" s="15"/>
      <c r="D668" s="15"/>
      <c r="E668" s="15"/>
      <c r="F668" s="15" t="s">
        <v>265</v>
      </c>
      <c r="G668" s="34">
        <v>2</v>
      </c>
      <c r="H668" s="34">
        <v>9</v>
      </c>
      <c r="I668" s="15" t="s">
        <v>1446</v>
      </c>
      <c r="J668" s="15" t="s">
        <v>120</v>
      </c>
      <c r="K668" s="74" t="s">
        <v>29</v>
      </c>
      <c r="L668" s="16">
        <v>490050</v>
      </c>
      <c r="M668" s="16">
        <v>206935</v>
      </c>
      <c r="N668" s="16">
        <v>12220</v>
      </c>
      <c r="O668" s="16">
        <v>417552</v>
      </c>
      <c r="P668" s="16">
        <v>382649</v>
      </c>
      <c r="Q668" s="16">
        <v>72497</v>
      </c>
      <c r="R668" s="16">
        <v>7538</v>
      </c>
      <c r="S668" s="16">
        <v>0</v>
      </c>
      <c r="T668" s="16">
        <v>3</v>
      </c>
      <c r="U668" s="15" t="str">
        <f t="shared" si="40"/>
        <v>Privado Nacional</v>
      </c>
      <c r="V668" s="17">
        <f t="shared" si="41"/>
        <v>0.42227323742475259</v>
      </c>
      <c r="W668" s="17">
        <f t="shared" si="42"/>
        <v>0.10397671627791495</v>
      </c>
      <c r="X668" s="15" t="str">
        <f t="shared" si="43"/>
        <v>Média/Pequena</v>
      </c>
      <c r="Y668" s="121" t="str" cm="1">
        <f t="array" ref="Y668">_xlfn.IFS(ISNUMBER(W668)=FALSE,"Sem dado",W668&gt;0.075,"Excelente",W668&gt;0.04,"Bom",W668&gt;0,"Fraco",TRUE,"Prejuízo")</f>
        <v>Excelente</v>
      </c>
    </row>
    <row r="669" spans="1:25" ht="15" customHeight="1" x14ac:dyDescent="0.2">
      <c r="A669" s="12" t="s">
        <v>1451</v>
      </c>
      <c r="B669" s="56">
        <v>3881423</v>
      </c>
      <c r="C669" s="12" t="s">
        <v>1452</v>
      </c>
      <c r="D669" s="12"/>
      <c r="E669" s="12" t="s">
        <v>1453</v>
      </c>
      <c r="F669" s="12" t="s">
        <v>65</v>
      </c>
      <c r="G669" s="33">
        <v>2</v>
      </c>
      <c r="H669" s="33">
        <v>14</v>
      </c>
      <c r="I669" s="12" t="s">
        <v>1454</v>
      </c>
      <c r="J669" s="12" t="s">
        <v>54</v>
      </c>
      <c r="K669" s="73" t="s">
        <v>29</v>
      </c>
      <c r="L669" s="13">
        <v>488416</v>
      </c>
      <c r="M669" s="13">
        <v>417861</v>
      </c>
      <c r="N669" s="13">
        <v>10834</v>
      </c>
      <c r="O669" s="13">
        <v>415199</v>
      </c>
      <c r="P669" s="13">
        <v>409176</v>
      </c>
      <c r="Q669" s="13">
        <v>73217</v>
      </c>
      <c r="R669" s="13">
        <v>1787</v>
      </c>
      <c r="S669" s="13">
        <v>2</v>
      </c>
      <c r="T669" s="13">
        <v>0</v>
      </c>
      <c r="U669" s="12" t="str">
        <f t="shared" si="40"/>
        <v>Privado Nacional</v>
      </c>
      <c r="V669" s="14">
        <f t="shared" si="41"/>
        <v>0.85554322544715977</v>
      </c>
      <c r="W669" s="14">
        <f t="shared" si="42"/>
        <v>2.4406900036876681E-2</v>
      </c>
      <c r="X669" s="12" t="str">
        <f t="shared" si="43"/>
        <v>Média/Pequena</v>
      </c>
      <c r="Y669" s="122" t="str" cm="1">
        <f t="array" ref="Y669">_xlfn.IFS(ISNUMBER(W669)=FALSE,"Sem dado",W669&gt;0.075,"Excelente",W669&gt;0.04,"Bom",W669&gt;0,"Fraco",TRUE,"Prejuízo")</f>
        <v>Fraco</v>
      </c>
    </row>
    <row r="670" spans="1:25" ht="15" customHeight="1" x14ac:dyDescent="0.2">
      <c r="A670" s="15" t="s">
        <v>1455</v>
      </c>
      <c r="B670" s="60">
        <v>1692448</v>
      </c>
      <c r="C670" s="15"/>
      <c r="D670" s="15"/>
      <c r="E670" s="15"/>
      <c r="F670" s="15" t="s">
        <v>265</v>
      </c>
      <c r="G670" s="34">
        <v>2</v>
      </c>
      <c r="H670" s="34">
        <v>9</v>
      </c>
      <c r="I670" s="15" t="s">
        <v>1456</v>
      </c>
      <c r="J670" s="15" t="s">
        <v>217</v>
      </c>
      <c r="K670" s="74" t="s">
        <v>29</v>
      </c>
      <c r="L670" s="16">
        <v>484119</v>
      </c>
      <c r="M670" s="16">
        <v>382100</v>
      </c>
      <c r="N670" s="16">
        <v>13621</v>
      </c>
      <c r="O670" s="16">
        <v>407096</v>
      </c>
      <c r="P670" s="16">
        <v>268837</v>
      </c>
      <c r="Q670" s="16">
        <v>77023</v>
      </c>
      <c r="R670" s="16">
        <v>5582</v>
      </c>
      <c r="S670" s="16">
        <v>0</v>
      </c>
      <c r="T670" s="16">
        <v>4</v>
      </c>
      <c r="U670" s="15" t="str">
        <f t="shared" si="40"/>
        <v>Privado Nacional</v>
      </c>
      <c r="V670" s="17">
        <f t="shared" si="41"/>
        <v>0.7892687541699458</v>
      </c>
      <c r="W670" s="17">
        <f t="shared" si="42"/>
        <v>7.2471859055087448E-2</v>
      </c>
      <c r="X670" s="15" t="str">
        <f t="shared" si="43"/>
        <v>Média/Pequena</v>
      </c>
      <c r="Y670" s="121" t="str" cm="1">
        <f t="array" ref="Y670">_xlfn.IFS(ISNUMBER(W670)=FALSE,"Sem dado",W670&gt;0.075,"Excelente",W670&gt;0.04,"Bom",W670&gt;0,"Fraco",TRUE,"Prejuízo")</f>
        <v>Bom</v>
      </c>
    </row>
    <row r="671" spans="1:25" ht="15" customHeight="1" x14ac:dyDescent="0.2">
      <c r="A671" s="12" t="s">
        <v>1457</v>
      </c>
      <c r="B671" s="56">
        <v>3519240</v>
      </c>
      <c r="C671" s="12"/>
      <c r="D671" s="12"/>
      <c r="E671" s="12"/>
      <c r="F671" s="12" t="s">
        <v>265</v>
      </c>
      <c r="G671" s="33">
        <v>2</v>
      </c>
      <c r="H671" s="33">
        <v>9</v>
      </c>
      <c r="I671" s="12" t="s">
        <v>119</v>
      </c>
      <c r="J671" s="12" t="s">
        <v>120</v>
      </c>
      <c r="K671" s="73" t="s">
        <v>29</v>
      </c>
      <c r="L671" s="13">
        <v>479183</v>
      </c>
      <c r="M671" s="13">
        <v>216591</v>
      </c>
      <c r="N671" s="13">
        <v>13444</v>
      </c>
      <c r="O671" s="13">
        <v>406122</v>
      </c>
      <c r="P671" s="13">
        <v>400192</v>
      </c>
      <c r="Q671" s="13">
        <v>73061</v>
      </c>
      <c r="R671" s="13">
        <v>3686</v>
      </c>
      <c r="S671" s="13">
        <v>0</v>
      </c>
      <c r="T671" s="13">
        <v>5</v>
      </c>
      <c r="U671" s="12" t="str">
        <f t="shared" si="40"/>
        <v>Privado Nacional</v>
      </c>
      <c r="V671" s="14">
        <f t="shared" si="41"/>
        <v>0.45200059267544968</v>
      </c>
      <c r="W671" s="14">
        <f t="shared" si="42"/>
        <v>5.0450993005844429E-2</v>
      </c>
      <c r="X671" s="12" t="str">
        <f t="shared" si="43"/>
        <v>Média/Pequena</v>
      </c>
      <c r="Y671" s="122" t="str" cm="1">
        <f t="array" ref="Y671">_xlfn.IFS(ISNUMBER(W671)=FALSE,"Sem dado",W671&gt;0.075,"Excelente",W671&gt;0.04,"Bom",W671&gt;0,"Fraco",TRUE,"Prejuízo")</f>
        <v>Bom</v>
      </c>
    </row>
    <row r="672" spans="1:25" ht="15" customHeight="1" x14ac:dyDescent="0.2">
      <c r="A672" s="15" t="s">
        <v>1458</v>
      </c>
      <c r="B672" s="60">
        <v>41498340</v>
      </c>
      <c r="C672" s="15" t="s">
        <v>1459</v>
      </c>
      <c r="D672" s="15"/>
      <c r="E672" s="15" t="s">
        <v>1460</v>
      </c>
      <c r="F672" s="15" t="s">
        <v>65</v>
      </c>
      <c r="G672" s="34">
        <v>2</v>
      </c>
      <c r="H672" s="34">
        <v>14</v>
      </c>
      <c r="I672" s="15" t="s">
        <v>645</v>
      </c>
      <c r="J672" s="15" t="s">
        <v>74</v>
      </c>
      <c r="K672" s="74" t="s">
        <v>29</v>
      </c>
      <c r="L672" s="16">
        <v>477965</v>
      </c>
      <c r="M672" s="16">
        <v>408416</v>
      </c>
      <c r="N672" s="16">
        <v>43379</v>
      </c>
      <c r="O672" s="16">
        <v>391773</v>
      </c>
      <c r="P672" s="16">
        <v>366822</v>
      </c>
      <c r="Q672" s="16">
        <v>86192</v>
      </c>
      <c r="R672" s="16">
        <v>4370</v>
      </c>
      <c r="S672" s="16">
        <v>2</v>
      </c>
      <c r="T672" s="16">
        <v>0</v>
      </c>
      <c r="U672" s="15" t="str">
        <f t="shared" si="40"/>
        <v>Privado Nacional</v>
      </c>
      <c r="V672" s="17">
        <f t="shared" si="41"/>
        <v>0.85448934545416511</v>
      </c>
      <c r="W672" s="17">
        <f t="shared" si="42"/>
        <v>5.0700761091516611E-2</v>
      </c>
      <c r="X672" s="15" t="str">
        <f t="shared" si="43"/>
        <v>Média/Pequena</v>
      </c>
      <c r="Y672" s="121" t="str" cm="1">
        <f t="array" ref="Y672">_xlfn.IFS(ISNUMBER(W672)=FALSE,"Sem dado",W672&gt;0.075,"Excelente",W672&gt;0.04,"Bom",W672&gt;0,"Fraco",TRUE,"Prejuízo")</f>
        <v>Bom</v>
      </c>
    </row>
    <row r="673" spans="1:25" ht="15" customHeight="1" x14ac:dyDescent="0.2">
      <c r="A673" s="12" t="s">
        <v>1461</v>
      </c>
      <c r="B673" s="56">
        <v>71163315</v>
      </c>
      <c r="C673" s="12"/>
      <c r="D673" s="12"/>
      <c r="E673" s="12"/>
      <c r="F673" s="12" t="s">
        <v>265</v>
      </c>
      <c r="G673" s="33">
        <v>2</v>
      </c>
      <c r="H673" s="33">
        <v>9</v>
      </c>
      <c r="I673" s="12" t="s">
        <v>1042</v>
      </c>
      <c r="J673" s="12" t="s">
        <v>120</v>
      </c>
      <c r="K673" s="73" t="s">
        <v>29</v>
      </c>
      <c r="L673" s="13">
        <v>468226</v>
      </c>
      <c r="M673" s="13">
        <v>277246</v>
      </c>
      <c r="N673" s="13">
        <v>13678</v>
      </c>
      <c r="O673" s="13">
        <v>394891</v>
      </c>
      <c r="P673" s="13">
        <v>343759</v>
      </c>
      <c r="Q673" s="13">
        <v>73335</v>
      </c>
      <c r="R673" s="13">
        <v>3563</v>
      </c>
      <c r="S673" s="13">
        <v>0</v>
      </c>
      <c r="T673" s="13">
        <v>6</v>
      </c>
      <c r="U673" s="12" t="str">
        <f t="shared" si="40"/>
        <v>Privado Nacional</v>
      </c>
      <c r="V673" s="14">
        <f t="shared" si="41"/>
        <v>0.59212004459384993</v>
      </c>
      <c r="W673" s="14">
        <f t="shared" si="42"/>
        <v>4.8585259425922137E-2</v>
      </c>
      <c r="X673" s="12" t="str">
        <f t="shared" si="43"/>
        <v>Média/Pequena</v>
      </c>
      <c r="Y673" s="122" t="str" cm="1">
        <f t="array" ref="Y673">_xlfn.IFS(ISNUMBER(W673)=FALSE,"Sem dado",W673&gt;0.075,"Excelente",W673&gt;0.04,"Bom",W673&gt;0,"Fraco",TRUE,"Prejuízo")</f>
        <v>Bom</v>
      </c>
    </row>
    <row r="674" spans="1:25" ht="15" customHeight="1" x14ac:dyDescent="0.2">
      <c r="A674" s="15" t="s">
        <v>1462</v>
      </c>
      <c r="B674" s="60">
        <v>3485130</v>
      </c>
      <c r="C674" s="15"/>
      <c r="D674" s="15"/>
      <c r="E674" s="15"/>
      <c r="F674" s="15" t="s">
        <v>265</v>
      </c>
      <c r="G674" s="34">
        <v>2</v>
      </c>
      <c r="H674" s="34">
        <v>9</v>
      </c>
      <c r="I674" s="15" t="s">
        <v>1463</v>
      </c>
      <c r="J674" s="15" t="s">
        <v>217</v>
      </c>
      <c r="K674" s="74" t="s">
        <v>29</v>
      </c>
      <c r="L674" s="16">
        <v>465106</v>
      </c>
      <c r="M674" s="16">
        <v>315134</v>
      </c>
      <c r="N674" s="16">
        <v>11088</v>
      </c>
      <c r="O674" s="16">
        <v>416985</v>
      </c>
      <c r="P674" s="16">
        <v>309633</v>
      </c>
      <c r="Q674" s="16">
        <v>48121</v>
      </c>
      <c r="R674" s="16">
        <v>3168</v>
      </c>
      <c r="S674" s="16">
        <v>0</v>
      </c>
      <c r="T674" s="16">
        <v>13</v>
      </c>
      <c r="U674" s="15" t="str">
        <f t="shared" si="40"/>
        <v>Privado Nacional</v>
      </c>
      <c r="V674" s="17">
        <f t="shared" si="41"/>
        <v>0.67755307392293374</v>
      </c>
      <c r="W674" s="17">
        <f t="shared" si="42"/>
        <v>6.5834043349057583E-2</v>
      </c>
      <c r="X674" s="15" t="str">
        <f t="shared" si="43"/>
        <v>Média/Pequena</v>
      </c>
      <c r="Y674" s="121" t="str" cm="1">
        <f t="array" ref="Y674">_xlfn.IFS(ISNUMBER(W674)=FALSE,"Sem dado",W674&gt;0.075,"Excelente",W674&gt;0.04,"Bom",W674&gt;0,"Fraco",TRUE,"Prejuízo")</f>
        <v>Bom</v>
      </c>
    </row>
    <row r="675" spans="1:25" ht="15" customHeight="1" x14ac:dyDescent="0.2">
      <c r="A675" s="12" t="s">
        <v>1464</v>
      </c>
      <c r="B675" s="56">
        <v>53842122</v>
      </c>
      <c r="C675" s="12" t="s">
        <v>1465</v>
      </c>
      <c r="D675" s="12"/>
      <c r="E675" s="12" t="s">
        <v>1466</v>
      </c>
      <c r="F675" s="12" t="s">
        <v>65</v>
      </c>
      <c r="G675" s="33">
        <v>2</v>
      </c>
      <c r="H675" s="33">
        <v>14</v>
      </c>
      <c r="I675" s="12" t="s">
        <v>107</v>
      </c>
      <c r="J675" s="12" t="s">
        <v>39</v>
      </c>
      <c r="K675" s="73" t="s">
        <v>29</v>
      </c>
      <c r="L675" s="13">
        <v>462957</v>
      </c>
      <c r="M675" s="13">
        <v>0</v>
      </c>
      <c r="N675" s="13">
        <v>22217</v>
      </c>
      <c r="O675" s="13">
        <v>437900</v>
      </c>
      <c r="P675" s="13">
        <v>431404</v>
      </c>
      <c r="Q675" s="13">
        <v>25057</v>
      </c>
      <c r="R675" s="13">
        <v>4831</v>
      </c>
      <c r="S675" s="13">
        <v>2</v>
      </c>
      <c r="T675" s="13">
        <v>0</v>
      </c>
      <c r="U675" s="12" t="str">
        <f t="shared" si="40"/>
        <v>Privado Nacional</v>
      </c>
      <c r="V675" s="14">
        <f t="shared" si="41"/>
        <v>0</v>
      </c>
      <c r="W675" s="14">
        <f t="shared" si="42"/>
        <v>0.19280041505367762</v>
      </c>
      <c r="X675" s="12" t="str">
        <f t="shared" si="43"/>
        <v>Média/Pequena</v>
      </c>
      <c r="Y675" s="122" t="str" cm="1">
        <f t="array" ref="Y675">_xlfn.IFS(ISNUMBER(W675)=FALSE,"Sem dado",W675&gt;0.075,"Excelente",W675&gt;0.04,"Bom",W675&gt;0,"Fraco",TRUE,"Prejuízo")</f>
        <v>Excelente</v>
      </c>
    </row>
    <row r="676" spans="1:25" ht="15" customHeight="1" x14ac:dyDescent="0.2">
      <c r="A676" s="15" t="s">
        <v>1467</v>
      </c>
      <c r="B676" s="60">
        <v>27652684</v>
      </c>
      <c r="C676" s="15" t="s">
        <v>519</v>
      </c>
      <c r="D676" s="15" t="s">
        <v>520</v>
      </c>
      <c r="E676" s="15" t="s">
        <v>521</v>
      </c>
      <c r="F676" s="15" t="s">
        <v>98</v>
      </c>
      <c r="G676" s="34">
        <v>2</v>
      </c>
      <c r="H676" s="34">
        <v>15</v>
      </c>
      <c r="I676" s="15" t="s">
        <v>53</v>
      </c>
      <c r="J676" s="15" t="s">
        <v>54</v>
      </c>
      <c r="K676" s="74" t="s">
        <v>29</v>
      </c>
      <c r="L676" s="16">
        <v>460848</v>
      </c>
      <c r="M676" s="16">
        <v>0</v>
      </c>
      <c r="N676" s="16">
        <v>50277</v>
      </c>
      <c r="O676" s="16">
        <v>198476</v>
      </c>
      <c r="P676" s="16">
        <v>3381</v>
      </c>
      <c r="Q676" s="16">
        <v>262372</v>
      </c>
      <c r="R676" s="16">
        <v>-19765</v>
      </c>
      <c r="S676" s="16">
        <v>4</v>
      </c>
      <c r="T676" s="16">
        <v>0</v>
      </c>
      <c r="U676" s="15" t="str">
        <f t="shared" si="40"/>
        <v>Privado Nacional</v>
      </c>
      <c r="V676" s="17">
        <f t="shared" si="41"/>
        <v>0</v>
      </c>
      <c r="W676" s="17">
        <f t="shared" si="42"/>
        <v>-7.5331971399387132E-2</v>
      </c>
      <c r="X676" s="15" t="str">
        <f t="shared" si="43"/>
        <v>Média/Pequena</v>
      </c>
      <c r="Y676" s="121" t="str" cm="1">
        <f t="array" ref="Y676">_xlfn.IFS(ISNUMBER(W676)=FALSE,"Sem dado",W676&gt;0.075,"Excelente",W676&gt;0.04,"Bom",W676&gt;0,"Fraco",TRUE,"Prejuízo")</f>
        <v>Prejuízo</v>
      </c>
    </row>
    <row r="677" spans="1:25" ht="15" customHeight="1" x14ac:dyDescent="0.2">
      <c r="A677" s="12" t="s">
        <v>1468</v>
      </c>
      <c r="B677" s="56">
        <v>2883398</v>
      </c>
      <c r="C677" s="12"/>
      <c r="D677" s="12"/>
      <c r="E677" s="12"/>
      <c r="F677" s="12" t="s">
        <v>265</v>
      </c>
      <c r="G677" s="33">
        <v>2</v>
      </c>
      <c r="H677" s="33">
        <v>9</v>
      </c>
      <c r="I677" s="12" t="s">
        <v>281</v>
      </c>
      <c r="J677" s="12" t="s">
        <v>217</v>
      </c>
      <c r="K677" s="73" t="s">
        <v>29</v>
      </c>
      <c r="L677" s="13">
        <v>458826</v>
      </c>
      <c r="M677" s="13">
        <v>277555</v>
      </c>
      <c r="N677" s="13">
        <v>98091</v>
      </c>
      <c r="O677" s="13">
        <v>376193</v>
      </c>
      <c r="P677" s="13">
        <v>364218</v>
      </c>
      <c r="Q677" s="13">
        <v>82634</v>
      </c>
      <c r="R677" s="13">
        <v>3775</v>
      </c>
      <c r="S677" s="13">
        <v>0</v>
      </c>
      <c r="T677" s="13">
        <v>10</v>
      </c>
      <c r="U677" s="12" t="str">
        <f t="shared" si="40"/>
        <v>Privado Nacional</v>
      </c>
      <c r="V677" s="14">
        <f t="shared" si="41"/>
        <v>0.60492430681783504</v>
      </c>
      <c r="W677" s="14">
        <f t="shared" si="42"/>
        <v>4.5683374882009825E-2</v>
      </c>
      <c r="X677" s="12" t="str">
        <f t="shared" si="43"/>
        <v>Média/Pequena</v>
      </c>
      <c r="Y677" s="122" t="str" cm="1">
        <f t="array" ref="Y677">_xlfn.IFS(ISNUMBER(W677)=FALSE,"Sem dado",W677&gt;0.075,"Excelente",W677&gt;0.04,"Bom",W677&gt;0,"Fraco",TRUE,"Prejuízo")</f>
        <v>Bom</v>
      </c>
    </row>
    <row r="678" spans="1:25" ht="15" customHeight="1" x14ac:dyDescent="0.2">
      <c r="A678" s="15" t="s">
        <v>1469</v>
      </c>
      <c r="B678" s="60">
        <v>71154256</v>
      </c>
      <c r="C678" s="15"/>
      <c r="D678" s="15"/>
      <c r="E678" s="15"/>
      <c r="F678" s="15" t="s">
        <v>265</v>
      </c>
      <c r="G678" s="34">
        <v>2</v>
      </c>
      <c r="H678" s="34">
        <v>9</v>
      </c>
      <c r="I678" s="15" t="s">
        <v>1470</v>
      </c>
      <c r="J678" s="15" t="s">
        <v>120</v>
      </c>
      <c r="K678" s="74" t="s">
        <v>29</v>
      </c>
      <c r="L678" s="16">
        <v>458659</v>
      </c>
      <c r="M678" s="16">
        <v>290423</v>
      </c>
      <c r="N678" s="16">
        <v>15649</v>
      </c>
      <c r="O678" s="16">
        <v>395916</v>
      </c>
      <c r="P678" s="16">
        <v>309367</v>
      </c>
      <c r="Q678" s="16">
        <v>62743</v>
      </c>
      <c r="R678" s="16">
        <v>2064</v>
      </c>
      <c r="S678" s="16">
        <v>0</v>
      </c>
      <c r="T678" s="16">
        <v>3</v>
      </c>
      <c r="U678" s="15" t="str">
        <f t="shared" si="40"/>
        <v>Privado Nacional</v>
      </c>
      <c r="V678" s="17">
        <f t="shared" si="41"/>
        <v>0.63320026424860298</v>
      </c>
      <c r="W678" s="17">
        <f t="shared" si="42"/>
        <v>3.2896099963342522E-2</v>
      </c>
      <c r="X678" s="15" t="str">
        <f t="shared" si="43"/>
        <v>Média/Pequena</v>
      </c>
      <c r="Y678" s="121" t="str" cm="1">
        <f t="array" ref="Y678">_xlfn.IFS(ISNUMBER(W678)=FALSE,"Sem dado",W678&gt;0.075,"Excelente",W678&gt;0.04,"Bom",W678&gt;0,"Fraco",TRUE,"Prejuízo")</f>
        <v>Fraco</v>
      </c>
    </row>
    <row r="679" spans="1:25" ht="15" customHeight="1" x14ac:dyDescent="0.2">
      <c r="A679" s="12" t="s">
        <v>1471</v>
      </c>
      <c r="B679" s="56">
        <v>72128440</v>
      </c>
      <c r="C679" s="12"/>
      <c r="D679" s="12"/>
      <c r="E679" s="12"/>
      <c r="F679" s="12" t="s">
        <v>265</v>
      </c>
      <c r="G679" s="33">
        <v>2</v>
      </c>
      <c r="H679" s="33">
        <v>9</v>
      </c>
      <c r="I679" s="12" t="s">
        <v>53</v>
      </c>
      <c r="J679" s="12" t="s">
        <v>54</v>
      </c>
      <c r="K679" s="73" t="s">
        <v>29</v>
      </c>
      <c r="L679" s="13">
        <v>457818</v>
      </c>
      <c r="M679" s="13">
        <v>188113</v>
      </c>
      <c r="N679" s="13">
        <v>167916</v>
      </c>
      <c r="O679" s="13">
        <v>411107</v>
      </c>
      <c r="P679" s="13">
        <v>387106</v>
      </c>
      <c r="Q679" s="13">
        <v>46711</v>
      </c>
      <c r="R679" s="13">
        <v>-867</v>
      </c>
      <c r="S679" s="13">
        <v>0</v>
      </c>
      <c r="T679" s="13">
        <v>12</v>
      </c>
      <c r="U679" s="12" t="str">
        <f t="shared" si="40"/>
        <v>Privado Nacional</v>
      </c>
      <c r="V679" s="14">
        <f t="shared" si="41"/>
        <v>0.41089035380871874</v>
      </c>
      <c r="W679" s="14">
        <f t="shared" si="42"/>
        <v>-1.8560938536961315E-2</v>
      </c>
      <c r="X679" s="12" t="str">
        <f t="shared" si="43"/>
        <v>Média/Pequena</v>
      </c>
      <c r="Y679" s="122" t="str" cm="1">
        <f t="array" ref="Y679">_xlfn.IFS(ISNUMBER(W679)=FALSE,"Sem dado",W679&gt;0.075,"Excelente",W679&gt;0.04,"Bom",W679&gt;0,"Fraco",TRUE,"Prejuízo")</f>
        <v>Prejuízo</v>
      </c>
    </row>
    <row r="680" spans="1:25" ht="15" customHeight="1" x14ac:dyDescent="0.2">
      <c r="A680" s="15" t="s">
        <v>1472</v>
      </c>
      <c r="B680" s="60">
        <v>4694278</v>
      </c>
      <c r="C680" s="15"/>
      <c r="D680" s="15"/>
      <c r="E680" s="15"/>
      <c r="F680" s="15" t="s">
        <v>265</v>
      </c>
      <c r="G680" s="34">
        <v>2</v>
      </c>
      <c r="H680" s="34">
        <v>9</v>
      </c>
      <c r="I680" s="15" t="s">
        <v>53</v>
      </c>
      <c r="J680" s="15" t="s">
        <v>54</v>
      </c>
      <c r="K680" s="74" t="s">
        <v>29</v>
      </c>
      <c r="L680" s="16">
        <v>457478</v>
      </c>
      <c r="M680" s="16">
        <v>123118</v>
      </c>
      <c r="N680" s="16">
        <v>159715</v>
      </c>
      <c r="O680" s="16">
        <v>428846</v>
      </c>
      <c r="P680" s="16">
        <v>423392</v>
      </c>
      <c r="Q680" s="16">
        <v>28632</v>
      </c>
      <c r="R680" s="16">
        <v>-11291</v>
      </c>
      <c r="S680" s="16">
        <v>0</v>
      </c>
      <c r="T680" s="16">
        <v>5</v>
      </c>
      <c r="U680" s="15" t="str">
        <f t="shared" si="40"/>
        <v>Privado Nacional</v>
      </c>
      <c r="V680" s="17">
        <f t="shared" si="41"/>
        <v>0.26912332396311955</v>
      </c>
      <c r="W680" s="17">
        <f t="shared" si="42"/>
        <v>-0.39434898016205644</v>
      </c>
      <c r="X680" s="15" t="str">
        <f t="shared" si="43"/>
        <v>Média/Pequena</v>
      </c>
      <c r="Y680" s="121" t="str" cm="1">
        <f t="array" ref="Y680">_xlfn.IFS(ISNUMBER(W680)=FALSE,"Sem dado",W680&gt;0.075,"Excelente",W680&gt;0.04,"Bom",W680&gt;0,"Fraco",TRUE,"Prejuízo")</f>
        <v>Prejuízo</v>
      </c>
    </row>
    <row r="681" spans="1:25" ht="15" customHeight="1" x14ac:dyDescent="0.2">
      <c r="A681" s="12" t="s">
        <v>1473</v>
      </c>
      <c r="B681" s="56">
        <v>2000895</v>
      </c>
      <c r="C681" s="12"/>
      <c r="D681" s="12"/>
      <c r="E681" s="12"/>
      <c r="F681" s="12" t="s">
        <v>265</v>
      </c>
      <c r="G681" s="33">
        <v>2</v>
      </c>
      <c r="H681" s="33">
        <v>9</v>
      </c>
      <c r="I681" s="12" t="s">
        <v>53</v>
      </c>
      <c r="J681" s="12" t="s">
        <v>54</v>
      </c>
      <c r="K681" s="73" t="s">
        <v>29</v>
      </c>
      <c r="L681" s="13">
        <v>457291</v>
      </c>
      <c r="M681" s="13">
        <v>283000</v>
      </c>
      <c r="N681" s="13">
        <v>19258</v>
      </c>
      <c r="O681" s="13">
        <v>352669</v>
      </c>
      <c r="P681" s="13">
        <v>332456</v>
      </c>
      <c r="Q681" s="13">
        <v>104622</v>
      </c>
      <c r="R681" s="13">
        <v>7150</v>
      </c>
      <c r="S681" s="13">
        <v>0</v>
      </c>
      <c r="T681" s="13">
        <v>9</v>
      </c>
      <c r="U681" s="12" t="str">
        <f t="shared" si="40"/>
        <v>Privado Nacional</v>
      </c>
      <c r="V681" s="14">
        <f t="shared" si="41"/>
        <v>0.6188619500493121</v>
      </c>
      <c r="W681" s="14">
        <f t="shared" si="42"/>
        <v>6.8341266655196797E-2</v>
      </c>
      <c r="X681" s="12" t="str">
        <f t="shared" si="43"/>
        <v>Média/Pequena</v>
      </c>
      <c r="Y681" s="122" t="str" cm="1">
        <f t="array" ref="Y681">_xlfn.IFS(ISNUMBER(W681)=FALSE,"Sem dado",W681&gt;0.075,"Excelente",W681&gt;0.04,"Bom",W681&gt;0,"Fraco",TRUE,"Prejuízo")</f>
        <v>Bom</v>
      </c>
    </row>
    <row r="682" spans="1:25" ht="15" customHeight="1" x14ac:dyDescent="0.2">
      <c r="A682" s="15" t="s">
        <v>1474</v>
      </c>
      <c r="B682" s="60">
        <v>82096447</v>
      </c>
      <c r="C682" s="15"/>
      <c r="D682" s="15"/>
      <c r="E682" s="15"/>
      <c r="F682" s="15" t="s">
        <v>265</v>
      </c>
      <c r="G682" s="34">
        <v>2</v>
      </c>
      <c r="H682" s="34">
        <v>9</v>
      </c>
      <c r="I682" s="15" t="s">
        <v>228</v>
      </c>
      <c r="J682" s="15" t="s">
        <v>229</v>
      </c>
      <c r="K682" s="74" t="s">
        <v>29</v>
      </c>
      <c r="L682" s="16">
        <v>454673</v>
      </c>
      <c r="M682" s="16">
        <v>143146</v>
      </c>
      <c r="N682" s="16">
        <v>218698</v>
      </c>
      <c r="O682" s="16">
        <v>292869</v>
      </c>
      <c r="P682" s="16">
        <v>276087</v>
      </c>
      <c r="Q682" s="16">
        <v>161804</v>
      </c>
      <c r="R682" s="16">
        <v>7107</v>
      </c>
      <c r="S682" s="16">
        <v>0</v>
      </c>
      <c r="T682" s="16">
        <v>17</v>
      </c>
      <c r="U682" s="15" t="str">
        <f t="shared" si="40"/>
        <v>Privado Nacional</v>
      </c>
      <c r="V682" s="17">
        <f t="shared" si="41"/>
        <v>0.31483285790007326</v>
      </c>
      <c r="W682" s="17">
        <f t="shared" si="42"/>
        <v>4.3923512397715754E-2</v>
      </c>
      <c r="X682" s="15" t="str">
        <f t="shared" si="43"/>
        <v>Média/Pequena</v>
      </c>
      <c r="Y682" s="121" t="str" cm="1">
        <f t="array" ref="Y682">_xlfn.IFS(ISNUMBER(W682)=FALSE,"Sem dado",W682&gt;0.075,"Excelente",W682&gt;0.04,"Bom",W682&gt;0,"Fraco",TRUE,"Prejuízo")</f>
        <v>Bom</v>
      </c>
    </row>
    <row r="683" spans="1:25" ht="15" customHeight="1" x14ac:dyDescent="0.2">
      <c r="A683" s="12" t="s">
        <v>1475</v>
      </c>
      <c r="B683" s="56">
        <v>39343350</v>
      </c>
      <c r="C683" s="12"/>
      <c r="D683" s="12"/>
      <c r="E683" s="12"/>
      <c r="F683" s="12" t="s">
        <v>265</v>
      </c>
      <c r="G683" s="33">
        <v>2</v>
      </c>
      <c r="H683" s="33">
        <v>9</v>
      </c>
      <c r="I683" s="12" t="s">
        <v>340</v>
      </c>
      <c r="J683" s="12" t="s">
        <v>229</v>
      </c>
      <c r="K683" s="73" t="s">
        <v>29</v>
      </c>
      <c r="L683" s="13">
        <v>454576</v>
      </c>
      <c r="M683" s="13">
        <v>179410</v>
      </c>
      <c r="N683" s="13">
        <v>269355</v>
      </c>
      <c r="O683" s="13">
        <v>373131</v>
      </c>
      <c r="P683" s="13">
        <v>364456</v>
      </c>
      <c r="Q683" s="13">
        <v>81445</v>
      </c>
      <c r="R683" s="13">
        <v>7883</v>
      </c>
      <c r="S683" s="13">
        <v>0</v>
      </c>
      <c r="T683" s="13">
        <v>35</v>
      </c>
      <c r="U683" s="12" t="str">
        <f t="shared" si="40"/>
        <v>Privado Nacional</v>
      </c>
      <c r="V683" s="14">
        <f t="shared" si="41"/>
        <v>0.39467547780789131</v>
      </c>
      <c r="W683" s="14">
        <f t="shared" si="42"/>
        <v>9.6789244275277797E-2</v>
      </c>
      <c r="X683" s="12" t="str">
        <f t="shared" si="43"/>
        <v>Média/Pequena</v>
      </c>
      <c r="Y683" s="122" t="str" cm="1">
        <f t="array" ref="Y683">_xlfn.IFS(ISNUMBER(W683)=FALSE,"Sem dado",W683&gt;0.075,"Excelente",W683&gt;0.04,"Bom",W683&gt;0,"Fraco",TRUE,"Prejuízo")</f>
        <v>Excelente</v>
      </c>
    </row>
    <row r="684" spans="1:25" ht="15" customHeight="1" x14ac:dyDescent="0.2">
      <c r="A684" s="15" t="s">
        <v>1476</v>
      </c>
      <c r="B684" s="60">
        <v>5676026</v>
      </c>
      <c r="C684" s="15" t="s">
        <v>1477</v>
      </c>
      <c r="D684" s="15"/>
      <c r="E684" s="15" t="s">
        <v>1478</v>
      </c>
      <c r="F684" s="15" t="s">
        <v>65</v>
      </c>
      <c r="G684" s="34">
        <v>2</v>
      </c>
      <c r="H684" s="34">
        <v>14</v>
      </c>
      <c r="I684" s="15" t="s">
        <v>1479</v>
      </c>
      <c r="J684" s="15" t="s">
        <v>74</v>
      </c>
      <c r="K684" s="74" t="s">
        <v>29</v>
      </c>
      <c r="L684" s="16">
        <v>453768</v>
      </c>
      <c r="M684" s="16">
        <v>297423</v>
      </c>
      <c r="N684" s="16">
        <v>12414</v>
      </c>
      <c r="O684" s="16">
        <v>371908</v>
      </c>
      <c r="P684" s="16">
        <v>348992</v>
      </c>
      <c r="Q684" s="16">
        <v>81860</v>
      </c>
      <c r="R684" s="16">
        <v>-2084</v>
      </c>
      <c r="S684" s="16">
        <v>2</v>
      </c>
      <c r="T684" s="16">
        <v>0</v>
      </c>
      <c r="U684" s="15" t="str">
        <f t="shared" si="40"/>
        <v>Privado Nacional</v>
      </c>
      <c r="V684" s="17">
        <f t="shared" si="41"/>
        <v>0.65545168456127356</v>
      </c>
      <c r="W684" s="17">
        <f t="shared" si="42"/>
        <v>-2.545809919374542E-2</v>
      </c>
      <c r="X684" s="15" t="str">
        <f t="shared" si="43"/>
        <v>Média/Pequena</v>
      </c>
      <c r="Y684" s="121" t="str" cm="1">
        <f t="array" ref="Y684">_xlfn.IFS(ISNUMBER(W684)=FALSE,"Sem dado",W684&gt;0.075,"Excelente",W684&gt;0.04,"Bom",W684&gt;0,"Fraco",TRUE,"Prejuízo")</f>
        <v>Prejuízo</v>
      </c>
    </row>
    <row r="685" spans="1:25" ht="15" customHeight="1" x14ac:dyDescent="0.2">
      <c r="A685" s="12" t="s">
        <v>1480</v>
      </c>
      <c r="B685" s="56">
        <v>36588217</v>
      </c>
      <c r="C685" s="12" t="s">
        <v>998</v>
      </c>
      <c r="D685" s="12"/>
      <c r="E685" s="12" t="s">
        <v>999</v>
      </c>
      <c r="F685" s="12" t="s">
        <v>98</v>
      </c>
      <c r="G685" s="33">
        <v>3</v>
      </c>
      <c r="H685" s="33">
        <v>21</v>
      </c>
      <c r="I685" s="12" t="s">
        <v>38</v>
      </c>
      <c r="J685" s="12" t="s">
        <v>39</v>
      </c>
      <c r="K685" s="73" t="s">
        <v>29</v>
      </c>
      <c r="L685" s="13">
        <v>451395</v>
      </c>
      <c r="M685" s="13">
        <v>0</v>
      </c>
      <c r="N685" s="13">
        <v>0</v>
      </c>
      <c r="O685" s="13">
        <v>287168</v>
      </c>
      <c r="P685" s="13">
        <v>112580</v>
      </c>
      <c r="Q685" s="13">
        <v>164227</v>
      </c>
      <c r="R685" s="13">
        <v>11687</v>
      </c>
      <c r="S685" s="13">
        <v>2</v>
      </c>
      <c r="T685" s="13">
        <v>0</v>
      </c>
      <c r="U685" s="12" t="str">
        <f t="shared" si="40"/>
        <v>Privado Estrangeiro</v>
      </c>
      <c r="V685" s="14">
        <f t="shared" si="41"/>
        <v>0</v>
      </c>
      <c r="W685" s="14">
        <f t="shared" si="42"/>
        <v>7.1163694155041493E-2</v>
      </c>
      <c r="X685" s="12" t="str">
        <f t="shared" si="43"/>
        <v>Média/Pequena</v>
      </c>
      <c r="Y685" s="122" t="str" cm="1">
        <f t="array" ref="Y685">_xlfn.IFS(ISNUMBER(W685)=FALSE,"Sem dado",W685&gt;0.075,"Excelente",W685&gt;0.04,"Bom",W685&gt;0,"Fraco",TRUE,"Prejuízo")</f>
        <v>Bom</v>
      </c>
    </row>
    <row r="686" spans="1:25" ht="15" customHeight="1" x14ac:dyDescent="0.2">
      <c r="A686" s="15" t="s">
        <v>1481</v>
      </c>
      <c r="B686" s="60">
        <v>4355489</v>
      </c>
      <c r="C686" s="15"/>
      <c r="D686" s="15"/>
      <c r="E686" s="15"/>
      <c r="F686" s="15" t="s">
        <v>265</v>
      </c>
      <c r="G686" s="34">
        <v>2</v>
      </c>
      <c r="H686" s="34">
        <v>9</v>
      </c>
      <c r="I686" s="15" t="s">
        <v>216</v>
      </c>
      <c r="J686" s="15" t="s">
        <v>217</v>
      </c>
      <c r="K686" s="74" t="s">
        <v>29</v>
      </c>
      <c r="L686" s="16">
        <v>451314</v>
      </c>
      <c r="M686" s="16">
        <v>257422</v>
      </c>
      <c r="N686" s="16">
        <v>9833</v>
      </c>
      <c r="O686" s="16">
        <v>410044</v>
      </c>
      <c r="P686" s="16">
        <v>388441</v>
      </c>
      <c r="Q686" s="16">
        <v>41270</v>
      </c>
      <c r="R686" s="16">
        <v>63</v>
      </c>
      <c r="S686" s="16">
        <v>0</v>
      </c>
      <c r="T686" s="16">
        <v>2</v>
      </c>
      <c r="U686" s="15" t="str">
        <f t="shared" si="40"/>
        <v>Privado Nacional</v>
      </c>
      <c r="V686" s="17">
        <f t="shared" si="41"/>
        <v>0.5703833694500946</v>
      </c>
      <c r="W686" s="17">
        <f t="shared" si="42"/>
        <v>1.5265325902592683E-3</v>
      </c>
      <c r="X686" s="15" t="str">
        <f t="shared" si="43"/>
        <v>Média/Pequena</v>
      </c>
      <c r="Y686" s="121" t="str" cm="1">
        <f t="array" ref="Y686">_xlfn.IFS(ISNUMBER(W686)=FALSE,"Sem dado",W686&gt;0.075,"Excelente",W686&gt;0.04,"Bom",W686&gt;0,"Fraco",TRUE,"Prejuízo")</f>
        <v>Fraco</v>
      </c>
    </row>
    <row r="687" spans="1:25" ht="15" customHeight="1" x14ac:dyDescent="0.2">
      <c r="A687" s="12" t="s">
        <v>1482</v>
      </c>
      <c r="B687" s="56">
        <v>2904125</v>
      </c>
      <c r="C687" s="12"/>
      <c r="D687" s="12"/>
      <c r="E687" s="12"/>
      <c r="F687" s="12" t="s">
        <v>265</v>
      </c>
      <c r="G687" s="33">
        <v>2</v>
      </c>
      <c r="H687" s="33">
        <v>9</v>
      </c>
      <c r="I687" s="12" t="s">
        <v>1483</v>
      </c>
      <c r="J687" s="12" t="s">
        <v>74</v>
      </c>
      <c r="K687" s="73" t="s">
        <v>29</v>
      </c>
      <c r="L687" s="13">
        <v>450461</v>
      </c>
      <c r="M687" s="13">
        <v>307130</v>
      </c>
      <c r="N687" s="13">
        <v>19039</v>
      </c>
      <c r="O687" s="13">
        <v>393702</v>
      </c>
      <c r="P687" s="13">
        <v>242996</v>
      </c>
      <c r="Q687" s="13">
        <v>56759</v>
      </c>
      <c r="R687" s="13">
        <v>834</v>
      </c>
      <c r="S687" s="13">
        <v>0</v>
      </c>
      <c r="T687" s="13">
        <v>16</v>
      </c>
      <c r="U687" s="12" t="str">
        <f t="shared" si="40"/>
        <v>Privado Nacional</v>
      </c>
      <c r="V687" s="14">
        <f t="shared" si="41"/>
        <v>0.68181263194815978</v>
      </c>
      <c r="W687" s="14">
        <f t="shared" si="42"/>
        <v>1.4693704963089554E-2</v>
      </c>
      <c r="X687" s="12" t="str">
        <f t="shared" si="43"/>
        <v>Média/Pequena</v>
      </c>
      <c r="Y687" s="122" t="str" cm="1">
        <f t="array" ref="Y687">_xlfn.IFS(ISNUMBER(W687)=FALSE,"Sem dado",W687&gt;0.075,"Excelente",W687&gt;0.04,"Bom",W687&gt;0,"Fraco",TRUE,"Prejuízo")</f>
        <v>Fraco</v>
      </c>
    </row>
    <row r="688" spans="1:25" ht="15" customHeight="1" x14ac:dyDescent="0.2">
      <c r="A688" s="15" t="s">
        <v>1484</v>
      </c>
      <c r="B688" s="60">
        <v>66788142</v>
      </c>
      <c r="C688" s="15"/>
      <c r="D688" s="15"/>
      <c r="E688" s="15"/>
      <c r="F688" s="15" t="s">
        <v>265</v>
      </c>
      <c r="G688" s="34">
        <v>2</v>
      </c>
      <c r="H688" s="34">
        <v>9</v>
      </c>
      <c r="I688" s="15" t="s">
        <v>1485</v>
      </c>
      <c r="J688" s="15" t="s">
        <v>39</v>
      </c>
      <c r="K688" s="74" t="s">
        <v>29</v>
      </c>
      <c r="L688" s="16">
        <v>447995</v>
      </c>
      <c r="M688" s="16">
        <v>249478</v>
      </c>
      <c r="N688" s="16">
        <v>25031</v>
      </c>
      <c r="O688" s="16">
        <v>410325</v>
      </c>
      <c r="P688" s="16">
        <v>375195</v>
      </c>
      <c r="Q688" s="16">
        <v>37669</v>
      </c>
      <c r="R688" s="16">
        <v>-4745</v>
      </c>
      <c r="S688" s="16">
        <v>0</v>
      </c>
      <c r="T688" s="16">
        <v>16</v>
      </c>
      <c r="U688" s="15" t="str">
        <f t="shared" si="40"/>
        <v>Privado Nacional</v>
      </c>
      <c r="V688" s="17">
        <f t="shared" si="41"/>
        <v>0.55687675085659438</v>
      </c>
      <c r="W688" s="17">
        <f t="shared" si="42"/>
        <v>-0.12596564814569008</v>
      </c>
      <c r="X688" s="15" t="str">
        <f t="shared" si="43"/>
        <v>Média/Pequena</v>
      </c>
      <c r="Y688" s="121" t="str" cm="1">
        <f t="array" ref="Y688">_xlfn.IFS(ISNUMBER(W688)=FALSE,"Sem dado",W688&gt;0.075,"Excelente",W688&gt;0.04,"Bom",W688&gt;0,"Fraco",TRUE,"Prejuízo")</f>
        <v>Prejuízo</v>
      </c>
    </row>
    <row r="689" spans="1:25" ht="15" customHeight="1" x14ac:dyDescent="0.2">
      <c r="A689" s="12" t="s">
        <v>1486</v>
      </c>
      <c r="B689" s="56">
        <v>5222094</v>
      </c>
      <c r="C689" s="12"/>
      <c r="D689" s="12"/>
      <c r="E689" s="12"/>
      <c r="F689" s="12" t="s">
        <v>265</v>
      </c>
      <c r="G689" s="33">
        <v>2</v>
      </c>
      <c r="H689" s="33">
        <v>9</v>
      </c>
      <c r="I689" s="12" t="s">
        <v>1487</v>
      </c>
      <c r="J689" s="12" t="s">
        <v>389</v>
      </c>
      <c r="K689" s="73" t="s">
        <v>29</v>
      </c>
      <c r="L689" s="13">
        <v>444694</v>
      </c>
      <c r="M689" s="13">
        <v>294449</v>
      </c>
      <c r="N689" s="13">
        <v>11046</v>
      </c>
      <c r="O689" s="13">
        <v>397128</v>
      </c>
      <c r="P689" s="13">
        <v>329151</v>
      </c>
      <c r="Q689" s="13">
        <v>47566</v>
      </c>
      <c r="R689" s="13">
        <v>-8841</v>
      </c>
      <c r="S689" s="13">
        <v>0</v>
      </c>
      <c r="T689" s="13">
        <v>3</v>
      </c>
      <c r="U689" s="12" t="str">
        <f t="shared" si="40"/>
        <v>Privado Nacional</v>
      </c>
      <c r="V689" s="14">
        <f t="shared" si="41"/>
        <v>0.66213845925512826</v>
      </c>
      <c r="W689" s="14">
        <f t="shared" si="42"/>
        <v>-0.18586805701551529</v>
      </c>
      <c r="X689" s="12" t="str">
        <f t="shared" si="43"/>
        <v>Média/Pequena</v>
      </c>
      <c r="Y689" s="122" t="str" cm="1">
        <f t="array" ref="Y689">_xlfn.IFS(ISNUMBER(W689)=FALSE,"Sem dado",W689&gt;0.075,"Excelente",W689&gt;0.04,"Bom",W689&gt;0,"Fraco",TRUE,"Prejuízo")</f>
        <v>Prejuízo</v>
      </c>
    </row>
    <row r="690" spans="1:25" ht="15" customHeight="1" x14ac:dyDescent="0.2">
      <c r="A690" s="15" t="s">
        <v>1488</v>
      </c>
      <c r="B690" s="60">
        <v>6040559</v>
      </c>
      <c r="C690" s="15" t="s">
        <v>1489</v>
      </c>
      <c r="D690" s="15"/>
      <c r="E690" s="15" t="s">
        <v>1490</v>
      </c>
      <c r="F690" s="15" t="s">
        <v>65</v>
      </c>
      <c r="G690" s="34">
        <v>2</v>
      </c>
      <c r="H690" s="34">
        <v>14</v>
      </c>
      <c r="I690" s="15" t="s">
        <v>1491</v>
      </c>
      <c r="J690" s="15" t="s">
        <v>217</v>
      </c>
      <c r="K690" s="74" t="s">
        <v>29</v>
      </c>
      <c r="L690" s="16">
        <v>443580</v>
      </c>
      <c r="M690" s="16">
        <v>416480</v>
      </c>
      <c r="N690" s="16">
        <v>0</v>
      </c>
      <c r="O690" s="16">
        <v>228903</v>
      </c>
      <c r="P690" s="16">
        <v>160564</v>
      </c>
      <c r="Q690" s="16">
        <v>214677</v>
      </c>
      <c r="R690" s="16">
        <v>11943</v>
      </c>
      <c r="S690" s="16">
        <v>2</v>
      </c>
      <c r="T690" s="16">
        <v>0</v>
      </c>
      <c r="U690" s="15" t="str">
        <f t="shared" si="40"/>
        <v>Privado Nacional</v>
      </c>
      <c r="V690" s="17">
        <f t="shared" si="41"/>
        <v>0.93890617250552322</v>
      </c>
      <c r="W690" s="17">
        <f t="shared" si="42"/>
        <v>5.5632415209826855E-2</v>
      </c>
      <c r="X690" s="15" t="str">
        <f t="shared" si="43"/>
        <v>Média/Pequena</v>
      </c>
      <c r="Y690" s="121" t="str" cm="1">
        <f t="array" ref="Y690">_xlfn.IFS(ISNUMBER(W690)=FALSE,"Sem dado",W690&gt;0.075,"Excelente",W690&gt;0.04,"Bom",W690&gt;0,"Fraco",TRUE,"Prejuízo")</f>
        <v>Bom</v>
      </c>
    </row>
    <row r="691" spans="1:25" ht="15" customHeight="1" x14ac:dyDescent="0.2">
      <c r="A691" s="12" t="s">
        <v>1492</v>
      </c>
      <c r="B691" s="56">
        <v>82133182</v>
      </c>
      <c r="C691" s="12"/>
      <c r="D691" s="12"/>
      <c r="E691" s="12"/>
      <c r="F691" s="12" t="s">
        <v>265</v>
      </c>
      <c r="G691" s="33">
        <v>2</v>
      </c>
      <c r="H691" s="33">
        <v>9</v>
      </c>
      <c r="I691" s="12" t="s">
        <v>1493</v>
      </c>
      <c r="J691" s="12" t="s">
        <v>217</v>
      </c>
      <c r="K691" s="73" t="s">
        <v>29</v>
      </c>
      <c r="L691" s="13">
        <v>442589</v>
      </c>
      <c r="M691" s="13">
        <v>295631</v>
      </c>
      <c r="N691" s="13">
        <v>12292</v>
      </c>
      <c r="O691" s="13">
        <v>388705</v>
      </c>
      <c r="P691" s="13">
        <v>366773</v>
      </c>
      <c r="Q691" s="13">
        <v>53884</v>
      </c>
      <c r="R691" s="13">
        <v>611</v>
      </c>
      <c r="S691" s="13">
        <v>0</v>
      </c>
      <c r="T691" s="13">
        <v>14</v>
      </c>
      <c r="U691" s="12" t="str">
        <f t="shared" si="40"/>
        <v>Privado Nacional</v>
      </c>
      <c r="V691" s="14">
        <f t="shared" si="41"/>
        <v>0.66795830895029018</v>
      </c>
      <c r="W691" s="14">
        <f t="shared" si="42"/>
        <v>1.1339173038378739E-2</v>
      </c>
      <c r="X691" s="12" t="str">
        <f t="shared" si="43"/>
        <v>Média/Pequena</v>
      </c>
      <c r="Y691" s="122" t="str" cm="1">
        <f t="array" ref="Y691">_xlfn.IFS(ISNUMBER(W691)=FALSE,"Sem dado",W691&gt;0.075,"Excelente",W691&gt;0.04,"Bom",W691&gt;0,"Fraco",TRUE,"Prejuízo")</f>
        <v>Fraco</v>
      </c>
    </row>
    <row r="692" spans="1:25" ht="15" customHeight="1" x14ac:dyDescent="0.2">
      <c r="A692" s="15" t="s">
        <v>1494</v>
      </c>
      <c r="B692" s="60">
        <v>18282093</v>
      </c>
      <c r="C692" s="15" t="s">
        <v>1495</v>
      </c>
      <c r="D692" s="15" t="s">
        <v>1496</v>
      </c>
      <c r="E692" s="15" t="s">
        <v>1496</v>
      </c>
      <c r="F692" s="15" t="s">
        <v>65</v>
      </c>
      <c r="G692" s="34">
        <v>2</v>
      </c>
      <c r="H692" s="34">
        <v>29</v>
      </c>
      <c r="I692" s="15" t="s">
        <v>73</v>
      </c>
      <c r="J692" s="15" t="s">
        <v>74</v>
      </c>
      <c r="K692" s="74" t="s">
        <v>29</v>
      </c>
      <c r="L692" s="16">
        <v>437611</v>
      </c>
      <c r="M692" s="16">
        <v>319198</v>
      </c>
      <c r="N692" s="16">
        <v>4545</v>
      </c>
      <c r="O692" s="16">
        <v>385672</v>
      </c>
      <c r="P692" s="16">
        <v>281695</v>
      </c>
      <c r="Q692" s="16">
        <v>51939</v>
      </c>
      <c r="R692" s="16">
        <v>4673</v>
      </c>
      <c r="S692" s="16">
        <v>2</v>
      </c>
      <c r="T692" s="16">
        <v>0</v>
      </c>
      <c r="U692" s="15" t="str">
        <f t="shared" si="40"/>
        <v>Privado Nacional</v>
      </c>
      <c r="V692" s="17">
        <f t="shared" si="41"/>
        <v>0.72941036674123827</v>
      </c>
      <c r="W692" s="17">
        <f t="shared" si="42"/>
        <v>8.9970927434105397E-2</v>
      </c>
      <c r="X692" s="15" t="str">
        <f t="shared" si="43"/>
        <v>Média/Pequena</v>
      </c>
      <c r="Y692" s="121" t="str" cm="1">
        <f t="array" ref="Y692">_xlfn.IFS(ISNUMBER(W692)=FALSE,"Sem dado",W692&gt;0.075,"Excelente",W692&gt;0.04,"Bom",W692&gt;0,"Fraco",TRUE,"Prejuízo")</f>
        <v>Excelente</v>
      </c>
    </row>
    <row r="693" spans="1:25" ht="15" customHeight="1" x14ac:dyDescent="0.2">
      <c r="A693" s="12" t="s">
        <v>1497</v>
      </c>
      <c r="B693" s="56">
        <v>34337707</v>
      </c>
      <c r="C693" s="12" t="s">
        <v>959</v>
      </c>
      <c r="D693" s="12" t="s">
        <v>960</v>
      </c>
      <c r="E693" s="12" t="s">
        <v>961</v>
      </c>
      <c r="F693" s="12" t="s">
        <v>65</v>
      </c>
      <c r="G693" s="33">
        <v>2</v>
      </c>
      <c r="H693" s="33">
        <v>43</v>
      </c>
      <c r="I693" s="12" t="s">
        <v>38</v>
      </c>
      <c r="J693" s="12" t="s">
        <v>39</v>
      </c>
      <c r="K693" s="73" t="s">
        <v>29</v>
      </c>
      <c r="L693" s="13">
        <v>437284</v>
      </c>
      <c r="M693" s="13">
        <v>92760</v>
      </c>
      <c r="N693" s="13">
        <v>0</v>
      </c>
      <c r="O693" s="13">
        <v>240858</v>
      </c>
      <c r="P693" s="13">
        <v>18686</v>
      </c>
      <c r="Q693" s="13">
        <v>196426</v>
      </c>
      <c r="R693" s="13">
        <v>30486</v>
      </c>
      <c r="S693" s="13">
        <v>2</v>
      </c>
      <c r="T693" s="13">
        <v>0</v>
      </c>
      <c r="U693" s="12" t="str">
        <f t="shared" si="40"/>
        <v>Privado Nacional</v>
      </c>
      <c r="V693" s="14">
        <f t="shared" si="41"/>
        <v>0.21212758756323122</v>
      </c>
      <c r="W693" s="14">
        <f t="shared" si="42"/>
        <v>0.1552034863001843</v>
      </c>
      <c r="X693" s="12" t="str">
        <f t="shared" si="43"/>
        <v>Média/Pequena</v>
      </c>
      <c r="Y693" s="122" t="str" cm="1">
        <f t="array" ref="Y693">_xlfn.IFS(ISNUMBER(W693)=FALSE,"Sem dado",W693&gt;0.075,"Excelente",W693&gt;0.04,"Bom",W693&gt;0,"Fraco",TRUE,"Prejuízo")</f>
        <v>Excelente</v>
      </c>
    </row>
    <row r="694" spans="1:25" ht="15" customHeight="1" x14ac:dyDescent="0.2">
      <c r="A694" s="15" t="s">
        <v>1498</v>
      </c>
      <c r="B694" s="60">
        <v>1155801</v>
      </c>
      <c r="C694" s="15"/>
      <c r="D694" s="15"/>
      <c r="E694" s="15"/>
      <c r="F694" s="15" t="s">
        <v>265</v>
      </c>
      <c r="G694" s="34">
        <v>2</v>
      </c>
      <c r="H694" s="34">
        <v>9</v>
      </c>
      <c r="I694" s="15" t="s">
        <v>1499</v>
      </c>
      <c r="J694" s="15" t="s">
        <v>217</v>
      </c>
      <c r="K694" s="74" t="s">
        <v>29</v>
      </c>
      <c r="L694" s="16">
        <v>434545</v>
      </c>
      <c r="M694" s="16">
        <v>322133</v>
      </c>
      <c r="N694" s="16">
        <v>9702</v>
      </c>
      <c r="O694" s="16">
        <v>372518</v>
      </c>
      <c r="P694" s="16">
        <v>231109</v>
      </c>
      <c r="Q694" s="16">
        <v>62028</v>
      </c>
      <c r="R694" s="16">
        <v>-199</v>
      </c>
      <c r="S694" s="16">
        <v>0</v>
      </c>
      <c r="T694" s="16">
        <v>13</v>
      </c>
      <c r="U694" s="15" t="str">
        <f t="shared" si="40"/>
        <v>Privado Nacional</v>
      </c>
      <c r="V694" s="17">
        <f t="shared" si="41"/>
        <v>0.74131102647596914</v>
      </c>
      <c r="W694" s="17">
        <f t="shared" si="42"/>
        <v>-3.2082285419487975E-3</v>
      </c>
      <c r="X694" s="15" t="str">
        <f t="shared" si="43"/>
        <v>Média/Pequena</v>
      </c>
      <c r="Y694" s="121" t="str" cm="1">
        <f t="array" ref="Y694">_xlfn.IFS(ISNUMBER(W694)=FALSE,"Sem dado",W694&gt;0.075,"Excelente",W694&gt;0.04,"Bom",W694&gt;0,"Fraco",TRUE,"Prejuízo")</f>
        <v>Prejuízo</v>
      </c>
    </row>
    <row r="695" spans="1:25" ht="15" customHeight="1" x14ac:dyDescent="0.2">
      <c r="A695" s="12" t="s">
        <v>1500</v>
      </c>
      <c r="B695" s="56">
        <v>71441406</v>
      </c>
      <c r="C695" s="12"/>
      <c r="D695" s="12"/>
      <c r="E695" s="12"/>
      <c r="F695" s="12" t="s">
        <v>265</v>
      </c>
      <c r="G695" s="33">
        <v>2</v>
      </c>
      <c r="H695" s="33">
        <v>9</v>
      </c>
      <c r="I695" s="12" t="s">
        <v>1501</v>
      </c>
      <c r="J695" s="12" t="s">
        <v>120</v>
      </c>
      <c r="K695" s="73" t="s">
        <v>29</v>
      </c>
      <c r="L695" s="13">
        <v>429968</v>
      </c>
      <c r="M695" s="13">
        <v>156400</v>
      </c>
      <c r="N695" s="13">
        <v>8398</v>
      </c>
      <c r="O695" s="13">
        <v>368877</v>
      </c>
      <c r="P695" s="13">
        <v>338157</v>
      </c>
      <c r="Q695" s="13">
        <v>61091</v>
      </c>
      <c r="R695" s="13">
        <v>4876</v>
      </c>
      <c r="S695" s="13">
        <v>0</v>
      </c>
      <c r="T695" s="13">
        <v>10</v>
      </c>
      <c r="U695" s="12" t="str">
        <f t="shared" si="40"/>
        <v>Privado Nacional</v>
      </c>
      <c r="V695" s="14">
        <f t="shared" si="41"/>
        <v>0.36374799985115169</v>
      </c>
      <c r="W695" s="14">
        <f t="shared" si="42"/>
        <v>7.9815357417622884E-2</v>
      </c>
      <c r="X695" s="12" t="str">
        <f t="shared" si="43"/>
        <v>Média/Pequena</v>
      </c>
      <c r="Y695" s="122" t="str" cm="1">
        <f t="array" ref="Y695">_xlfn.IFS(ISNUMBER(W695)=FALSE,"Sem dado",W695&gt;0.075,"Excelente",W695&gt;0.04,"Bom",W695&gt;0,"Fraco",TRUE,"Prejuízo")</f>
        <v>Excelente</v>
      </c>
    </row>
    <row r="696" spans="1:25" ht="15" customHeight="1" x14ac:dyDescent="0.2">
      <c r="A696" s="15" t="s">
        <v>1502</v>
      </c>
      <c r="B696" s="60">
        <v>37241230</v>
      </c>
      <c r="C696" s="15" t="s">
        <v>757</v>
      </c>
      <c r="D696" s="15"/>
      <c r="E696" s="15" t="s">
        <v>758</v>
      </c>
      <c r="F696" s="15" t="s">
        <v>65</v>
      </c>
      <c r="G696" s="34">
        <v>3</v>
      </c>
      <c r="H696" s="34">
        <v>43</v>
      </c>
      <c r="I696" s="15" t="s">
        <v>38</v>
      </c>
      <c r="J696" s="15" t="s">
        <v>39</v>
      </c>
      <c r="K696" s="74" t="s">
        <v>29</v>
      </c>
      <c r="L696" s="16">
        <v>428648</v>
      </c>
      <c r="M696" s="16">
        <v>33491</v>
      </c>
      <c r="N696" s="16">
        <v>0</v>
      </c>
      <c r="O696" s="16">
        <v>349977</v>
      </c>
      <c r="P696" s="16">
        <v>335206</v>
      </c>
      <c r="Q696" s="16">
        <v>78671</v>
      </c>
      <c r="R696" s="16">
        <v>-26981</v>
      </c>
      <c r="S696" s="16">
        <v>2</v>
      </c>
      <c r="T696" s="16">
        <v>0</v>
      </c>
      <c r="U696" s="15" t="str">
        <f t="shared" si="40"/>
        <v>Privado Estrangeiro</v>
      </c>
      <c r="V696" s="17">
        <f t="shared" si="41"/>
        <v>7.8131707134991887E-2</v>
      </c>
      <c r="W696" s="17">
        <f t="shared" si="42"/>
        <v>-0.34295992169922845</v>
      </c>
      <c r="X696" s="15" t="str">
        <f t="shared" si="43"/>
        <v>Média/Pequena</v>
      </c>
      <c r="Y696" s="121" t="str" cm="1">
        <f t="array" ref="Y696">_xlfn.IFS(ISNUMBER(W696)=FALSE,"Sem dado",W696&gt;0.075,"Excelente",W696&gt;0.04,"Bom",W696&gt;0,"Fraco",TRUE,"Prejuízo")</f>
        <v>Prejuízo</v>
      </c>
    </row>
    <row r="697" spans="1:25" ht="15" customHeight="1" x14ac:dyDescent="0.2">
      <c r="A697" s="12" t="s">
        <v>1503</v>
      </c>
      <c r="B697" s="56">
        <v>2493000</v>
      </c>
      <c r="C697" s="12"/>
      <c r="D697" s="12"/>
      <c r="E697" s="12"/>
      <c r="F697" s="12" t="s">
        <v>265</v>
      </c>
      <c r="G697" s="33">
        <v>2</v>
      </c>
      <c r="H697" s="33">
        <v>9</v>
      </c>
      <c r="I697" s="12" t="s">
        <v>818</v>
      </c>
      <c r="J697" s="12" t="s">
        <v>819</v>
      </c>
      <c r="K697" s="73" t="s">
        <v>29</v>
      </c>
      <c r="L697" s="13">
        <v>423442</v>
      </c>
      <c r="M697" s="13">
        <v>257158</v>
      </c>
      <c r="N697" s="13">
        <v>17705</v>
      </c>
      <c r="O697" s="13">
        <v>354367</v>
      </c>
      <c r="P697" s="13">
        <v>330252</v>
      </c>
      <c r="Q697" s="13">
        <v>69075</v>
      </c>
      <c r="R697" s="13">
        <v>-6092</v>
      </c>
      <c r="S697" s="13">
        <v>0</v>
      </c>
      <c r="T697" s="13">
        <v>8</v>
      </c>
      <c r="U697" s="12" t="str">
        <f t="shared" si="40"/>
        <v>Privado Nacional</v>
      </c>
      <c r="V697" s="14">
        <f t="shared" si="41"/>
        <v>0.60730395189896136</v>
      </c>
      <c r="W697" s="14">
        <f t="shared" si="42"/>
        <v>-8.8193992037640251E-2</v>
      </c>
      <c r="X697" s="12" t="str">
        <f t="shared" si="43"/>
        <v>Média/Pequena</v>
      </c>
      <c r="Y697" s="122" t="str" cm="1">
        <f t="array" ref="Y697">_xlfn.IFS(ISNUMBER(W697)=FALSE,"Sem dado",W697&gt;0.075,"Excelente",W697&gt;0.04,"Bom",W697&gt;0,"Fraco",TRUE,"Prejuízo")</f>
        <v>Prejuízo</v>
      </c>
    </row>
    <row r="698" spans="1:25" ht="15" customHeight="1" x14ac:dyDescent="0.2">
      <c r="A698" s="15" t="s">
        <v>1504</v>
      </c>
      <c r="B698" s="60">
        <v>46570800</v>
      </c>
      <c r="C698" s="15" t="s">
        <v>67</v>
      </c>
      <c r="D698" s="15" t="s">
        <v>68</v>
      </c>
      <c r="E698" s="15" t="s">
        <v>69</v>
      </c>
      <c r="F698" s="15" t="s">
        <v>65</v>
      </c>
      <c r="G698" s="34">
        <v>2</v>
      </c>
      <c r="H698" s="34">
        <v>19</v>
      </c>
      <c r="I698" s="15" t="s">
        <v>38</v>
      </c>
      <c r="J698" s="15" t="s">
        <v>39</v>
      </c>
      <c r="K698" s="74" t="s">
        <v>29</v>
      </c>
      <c r="L698" s="16">
        <v>422312</v>
      </c>
      <c r="M698" s="16">
        <v>116123</v>
      </c>
      <c r="N698" s="16">
        <v>96288</v>
      </c>
      <c r="O698" s="16">
        <v>193600</v>
      </c>
      <c r="P698" s="16">
        <v>76707</v>
      </c>
      <c r="Q698" s="16">
        <v>228712</v>
      </c>
      <c r="R698" s="16">
        <v>17031</v>
      </c>
      <c r="S698" s="16">
        <v>2</v>
      </c>
      <c r="T698" s="16">
        <v>0</v>
      </c>
      <c r="U698" s="15" t="str">
        <f t="shared" si="40"/>
        <v>Privado Nacional</v>
      </c>
      <c r="V698" s="17">
        <f t="shared" si="41"/>
        <v>0.27496969065525012</v>
      </c>
      <c r="W698" s="17">
        <f t="shared" si="42"/>
        <v>7.4464829130084995E-2</v>
      </c>
      <c r="X698" s="15" t="str">
        <f t="shared" si="43"/>
        <v>Média/Pequena</v>
      </c>
      <c r="Y698" s="121" t="str" cm="1">
        <f t="array" ref="Y698">_xlfn.IFS(ISNUMBER(W698)=FALSE,"Sem dado",W698&gt;0.075,"Excelente",W698&gt;0.04,"Bom",W698&gt;0,"Fraco",TRUE,"Prejuízo")</f>
        <v>Bom</v>
      </c>
    </row>
    <row r="699" spans="1:25" ht="15" customHeight="1" x14ac:dyDescent="0.2">
      <c r="A699" s="12" t="s">
        <v>1505</v>
      </c>
      <c r="B699" s="56">
        <v>13776742</v>
      </c>
      <c r="C699" s="12" t="s">
        <v>569</v>
      </c>
      <c r="D699" s="12"/>
      <c r="E699" s="12" t="s">
        <v>571</v>
      </c>
      <c r="F699" s="12" t="s">
        <v>84</v>
      </c>
      <c r="G699" s="33">
        <v>2</v>
      </c>
      <c r="H699" s="33">
        <v>41</v>
      </c>
      <c r="I699" s="12" t="s">
        <v>38</v>
      </c>
      <c r="J699" s="12" t="s">
        <v>39</v>
      </c>
      <c r="K699" s="73" t="s">
        <v>29</v>
      </c>
      <c r="L699" s="13">
        <v>422262</v>
      </c>
      <c r="M699" s="13">
        <v>16351</v>
      </c>
      <c r="N699" s="13">
        <v>79338</v>
      </c>
      <c r="O699" s="13">
        <v>403468</v>
      </c>
      <c r="P699" s="13">
        <v>61318</v>
      </c>
      <c r="Q699" s="13">
        <v>18793</v>
      </c>
      <c r="R699" s="13">
        <v>3653</v>
      </c>
      <c r="S699" s="13">
        <v>1</v>
      </c>
      <c r="T699" s="13">
        <v>0</v>
      </c>
      <c r="U699" s="12" t="str">
        <f t="shared" si="40"/>
        <v>Privado Nacional</v>
      </c>
      <c r="V699" s="14">
        <f t="shared" si="41"/>
        <v>3.8722404573463869E-2</v>
      </c>
      <c r="W699" s="14">
        <f t="shared" si="42"/>
        <v>0.19438088650029267</v>
      </c>
      <c r="X699" s="12" t="str">
        <f t="shared" si="43"/>
        <v>Média/Pequena</v>
      </c>
      <c r="Y699" s="122" t="str" cm="1">
        <f t="array" ref="Y699">_xlfn.IFS(ISNUMBER(W699)=FALSE,"Sem dado",W699&gt;0.075,"Excelente",W699&gt;0.04,"Bom",W699&gt;0,"Fraco",TRUE,"Prejuízo")</f>
        <v>Excelente</v>
      </c>
    </row>
    <row r="700" spans="1:25" ht="15" customHeight="1" x14ac:dyDescent="0.2">
      <c r="A700" s="15" t="s">
        <v>1506</v>
      </c>
      <c r="B700" s="60">
        <v>71154876</v>
      </c>
      <c r="C700" s="15"/>
      <c r="D700" s="15"/>
      <c r="E700" s="15"/>
      <c r="F700" s="15" t="s">
        <v>265</v>
      </c>
      <c r="G700" s="34">
        <v>2</v>
      </c>
      <c r="H700" s="34">
        <v>9</v>
      </c>
      <c r="I700" s="15" t="s">
        <v>1507</v>
      </c>
      <c r="J700" s="15" t="s">
        <v>120</v>
      </c>
      <c r="K700" s="74" t="s">
        <v>29</v>
      </c>
      <c r="L700" s="16">
        <v>422006</v>
      </c>
      <c r="M700" s="16">
        <v>225571</v>
      </c>
      <c r="N700" s="16">
        <v>15950</v>
      </c>
      <c r="O700" s="16">
        <v>353473</v>
      </c>
      <c r="P700" s="16">
        <v>302357</v>
      </c>
      <c r="Q700" s="16">
        <v>68533</v>
      </c>
      <c r="R700" s="16">
        <v>897</v>
      </c>
      <c r="S700" s="16">
        <v>0</v>
      </c>
      <c r="T700" s="16">
        <v>12</v>
      </c>
      <c r="U700" s="15" t="str">
        <f t="shared" si="40"/>
        <v>Privado Nacional</v>
      </c>
      <c r="V700" s="17">
        <f t="shared" si="41"/>
        <v>0.5345208361966417</v>
      </c>
      <c r="W700" s="17">
        <f t="shared" si="42"/>
        <v>1.3088585061211386E-2</v>
      </c>
      <c r="X700" s="15" t="str">
        <f t="shared" si="43"/>
        <v>Média/Pequena</v>
      </c>
      <c r="Y700" s="121" t="str" cm="1">
        <f t="array" ref="Y700">_xlfn.IFS(ISNUMBER(W700)=FALSE,"Sem dado",W700&gt;0.075,"Excelente",W700&gt;0.04,"Bom",W700&gt;0,"Fraco",TRUE,"Prejuízo")</f>
        <v>Fraco</v>
      </c>
    </row>
    <row r="701" spans="1:25" ht="15" customHeight="1" x14ac:dyDescent="0.2">
      <c r="A701" s="12" t="s">
        <v>1508</v>
      </c>
      <c r="B701" s="56">
        <v>28581308</v>
      </c>
      <c r="C701" s="12" t="s">
        <v>1117</v>
      </c>
      <c r="D701" s="12"/>
      <c r="E701" s="12" t="s">
        <v>1118</v>
      </c>
      <c r="F701" s="12" t="s">
        <v>84</v>
      </c>
      <c r="G701" s="33">
        <v>3</v>
      </c>
      <c r="H701" s="33">
        <v>41</v>
      </c>
      <c r="I701" s="12" t="s">
        <v>107</v>
      </c>
      <c r="J701" s="12" t="s">
        <v>39</v>
      </c>
      <c r="K701" s="73" t="s">
        <v>29</v>
      </c>
      <c r="L701" s="13">
        <v>420288</v>
      </c>
      <c r="M701" s="13">
        <v>0</v>
      </c>
      <c r="N701" s="13">
        <v>0</v>
      </c>
      <c r="O701" s="13">
        <v>400348</v>
      </c>
      <c r="P701" s="13">
        <v>0</v>
      </c>
      <c r="Q701" s="13">
        <v>19941</v>
      </c>
      <c r="R701" s="13">
        <v>33592</v>
      </c>
      <c r="S701" s="13">
        <v>1</v>
      </c>
      <c r="T701" s="13">
        <v>0</v>
      </c>
      <c r="U701" s="12" t="str">
        <f t="shared" si="40"/>
        <v>Privado Estrangeiro</v>
      </c>
      <c r="V701" s="14">
        <f t="shared" si="41"/>
        <v>0</v>
      </c>
      <c r="W701" s="14">
        <f t="shared" si="42"/>
        <v>1.6845694799658995</v>
      </c>
      <c r="X701" s="12" t="str">
        <f t="shared" si="43"/>
        <v>Média/Pequena</v>
      </c>
      <c r="Y701" s="122" t="str" cm="1">
        <f t="array" ref="Y701">_xlfn.IFS(ISNUMBER(W701)=FALSE,"Sem dado",W701&gt;0.075,"Excelente",W701&gt;0.04,"Bom",W701&gt;0,"Fraco",TRUE,"Prejuízo")</f>
        <v>Excelente</v>
      </c>
    </row>
    <row r="702" spans="1:25" ht="15" customHeight="1" x14ac:dyDescent="0.2">
      <c r="A702" s="15" t="s">
        <v>1509</v>
      </c>
      <c r="B702" s="60">
        <v>37374538</v>
      </c>
      <c r="C702" s="15" t="s">
        <v>1510</v>
      </c>
      <c r="D702" s="15"/>
      <c r="E702" s="15" t="s">
        <v>1511</v>
      </c>
      <c r="F702" s="15" t="s">
        <v>84</v>
      </c>
      <c r="G702" s="34">
        <v>3</v>
      </c>
      <c r="H702" s="34">
        <v>41</v>
      </c>
      <c r="I702" s="15" t="s">
        <v>38</v>
      </c>
      <c r="J702" s="15" t="s">
        <v>39</v>
      </c>
      <c r="K702" s="74" t="s">
        <v>29</v>
      </c>
      <c r="L702" s="16">
        <v>416505</v>
      </c>
      <c r="M702" s="16">
        <v>0</v>
      </c>
      <c r="N702" s="16">
        <v>378173</v>
      </c>
      <c r="O702" s="16">
        <v>403192</v>
      </c>
      <c r="P702" s="16">
        <v>351941</v>
      </c>
      <c r="Q702" s="16">
        <v>13312</v>
      </c>
      <c r="R702" s="16">
        <v>3735</v>
      </c>
      <c r="S702" s="16">
        <v>1</v>
      </c>
      <c r="T702" s="16">
        <v>0</v>
      </c>
      <c r="U702" s="15" t="str">
        <f t="shared" si="40"/>
        <v>Privado Estrangeiro</v>
      </c>
      <c r="V702" s="17">
        <f t="shared" si="41"/>
        <v>0</v>
      </c>
      <c r="W702" s="17">
        <f t="shared" si="42"/>
        <v>0.28057391826923078</v>
      </c>
      <c r="X702" s="15" t="str">
        <f t="shared" si="43"/>
        <v>Média/Pequena</v>
      </c>
      <c r="Y702" s="121" t="str" cm="1">
        <f t="array" ref="Y702">_xlfn.IFS(ISNUMBER(W702)=FALSE,"Sem dado",W702&gt;0.075,"Excelente",W702&gt;0.04,"Bom",W702&gt;0,"Fraco",TRUE,"Prejuízo")</f>
        <v>Excelente</v>
      </c>
    </row>
    <row r="703" spans="1:25" ht="15" customHeight="1" x14ac:dyDescent="0.2">
      <c r="A703" s="12" t="s">
        <v>1512</v>
      </c>
      <c r="B703" s="56">
        <v>62109566</v>
      </c>
      <c r="C703" s="12"/>
      <c r="D703" s="12"/>
      <c r="E703" s="12"/>
      <c r="F703" s="12" t="s">
        <v>265</v>
      </c>
      <c r="G703" s="33">
        <v>2</v>
      </c>
      <c r="H703" s="33">
        <v>9</v>
      </c>
      <c r="I703" s="12" t="s">
        <v>1513</v>
      </c>
      <c r="J703" s="12" t="s">
        <v>39</v>
      </c>
      <c r="K703" s="73" t="s">
        <v>29</v>
      </c>
      <c r="L703" s="13">
        <v>415715</v>
      </c>
      <c r="M703" s="13">
        <v>134098</v>
      </c>
      <c r="N703" s="13">
        <v>6252</v>
      </c>
      <c r="O703" s="13">
        <v>350332</v>
      </c>
      <c r="P703" s="13">
        <v>337819</v>
      </c>
      <c r="Q703" s="13">
        <v>65383</v>
      </c>
      <c r="R703" s="13">
        <v>4009</v>
      </c>
      <c r="S703" s="13">
        <v>0</v>
      </c>
      <c r="T703" s="13">
        <v>15</v>
      </c>
      <c r="U703" s="12" t="str">
        <f t="shared" si="40"/>
        <v>Privado Nacional</v>
      </c>
      <c r="V703" s="14">
        <f t="shared" si="41"/>
        <v>0.32257195434372105</v>
      </c>
      <c r="W703" s="14">
        <f t="shared" si="42"/>
        <v>6.1315632503861857E-2</v>
      </c>
      <c r="X703" s="12" t="str">
        <f t="shared" si="43"/>
        <v>Média/Pequena</v>
      </c>
      <c r="Y703" s="122" t="str" cm="1">
        <f t="array" ref="Y703">_xlfn.IFS(ISNUMBER(W703)=FALSE,"Sem dado",W703&gt;0.075,"Excelente",W703&gt;0.04,"Bom",W703&gt;0,"Fraco",TRUE,"Prejuízo")</f>
        <v>Bom</v>
      </c>
    </row>
    <row r="704" spans="1:25" ht="15" customHeight="1" x14ac:dyDescent="0.2">
      <c r="A704" s="15" t="s">
        <v>1514</v>
      </c>
      <c r="B704" s="60">
        <v>71146450</v>
      </c>
      <c r="C704" s="15"/>
      <c r="D704" s="15"/>
      <c r="E704" s="15"/>
      <c r="F704" s="15" t="s">
        <v>265</v>
      </c>
      <c r="G704" s="34">
        <v>2</v>
      </c>
      <c r="H704" s="34">
        <v>9</v>
      </c>
      <c r="I704" s="15" t="s">
        <v>1515</v>
      </c>
      <c r="J704" s="15" t="s">
        <v>120</v>
      </c>
      <c r="K704" s="74" t="s">
        <v>29</v>
      </c>
      <c r="L704" s="16">
        <v>415602</v>
      </c>
      <c r="M704" s="16">
        <v>186237</v>
      </c>
      <c r="N704" s="16">
        <v>12325</v>
      </c>
      <c r="O704" s="16">
        <v>352624</v>
      </c>
      <c r="P704" s="16">
        <v>265170</v>
      </c>
      <c r="Q704" s="16">
        <v>62978</v>
      </c>
      <c r="R704" s="16">
        <v>2993</v>
      </c>
      <c r="S704" s="16">
        <v>0</v>
      </c>
      <c r="T704" s="16">
        <v>2</v>
      </c>
      <c r="U704" s="15" t="str">
        <f t="shared" si="40"/>
        <v>Privado Nacional</v>
      </c>
      <c r="V704" s="17">
        <f t="shared" si="41"/>
        <v>0.44811382043397291</v>
      </c>
      <c r="W704" s="17">
        <f t="shared" si="42"/>
        <v>4.7524532376385403E-2</v>
      </c>
      <c r="X704" s="15" t="str">
        <f t="shared" si="43"/>
        <v>Média/Pequena</v>
      </c>
      <c r="Y704" s="121" t="str" cm="1">
        <f t="array" ref="Y704">_xlfn.IFS(ISNUMBER(W704)=FALSE,"Sem dado",W704&gt;0.075,"Excelente",W704&gt;0.04,"Bom",W704&gt;0,"Fraco",TRUE,"Prejuízo")</f>
        <v>Bom</v>
      </c>
    </row>
    <row r="705" spans="1:25" ht="15" customHeight="1" x14ac:dyDescent="0.2">
      <c r="A705" s="12" t="s">
        <v>1516</v>
      </c>
      <c r="B705" s="56">
        <v>5241145</v>
      </c>
      <c r="C705" s="12"/>
      <c r="D705" s="12"/>
      <c r="E705" s="12"/>
      <c r="F705" s="12" t="s">
        <v>265</v>
      </c>
      <c r="G705" s="33">
        <v>2</v>
      </c>
      <c r="H705" s="33">
        <v>9</v>
      </c>
      <c r="I705" s="12" t="s">
        <v>1517</v>
      </c>
      <c r="J705" s="12" t="s">
        <v>74</v>
      </c>
      <c r="K705" s="73" t="s">
        <v>29</v>
      </c>
      <c r="L705" s="13">
        <v>411422</v>
      </c>
      <c r="M705" s="13">
        <v>284444</v>
      </c>
      <c r="N705" s="13">
        <v>12944</v>
      </c>
      <c r="O705" s="13">
        <v>362899</v>
      </c>
      <c r="P705" s="13">
        <v>221513</v>
      </c>
      <c r="Q705" s="13">
        <v>48524</v>
      </c>
      <c r="R705" s="13">
        <v>2284</v>
      </c>
      <c r="S705" s="13">
        <v>0</v>
      </c>
      <c r="T705" s="13">
        <v>14</v>
      </c>
      <c r="U705" s="12" t="str">
        <f t="shared" si="40"/>
        <v>Privado Nacional</v>
      </c>
      <c r="V705" s="14">
        <f t="shared" si="41"/>
        <v>0.69136798712757219</v>
      </c>
      <c r="W705" s="14">
        <f t="shared" si="42"/>
        <v>4.7069491385706042E-2</v>
      </c>
      <c r="X705" s="12" t="str">
        <f t="shared" si="43"/>
        <v>Média/Pequena</v>
      </c>
      <c r="Y705" s="122" t="str" cm="1">
        <f t="array" ref="Y705">_xlfn.IFS(ISNUMBER(W705)=FALSE,"Sem dado",W705&gt;0.075,"Excelente",W705&gt;0.04,"Bom",W705&gt;0,"Fraco",TRUE,"Prejuízo")</f>
        <v>Bom</v>
      </c>
    </row>
    <row r="706" spans="1:25" ht="15" customHeight="1" x14ac:dyDescent="0.2">
      <c r="A706" s="15" t="s">
        <v>1518</v>
      </c>
      <c r="B706" s="60">
        <v>10143743</v>
      </c>
      <c r="C706" s="15"/>
      <c r="D706" s="15"/>
      <c r="E706" s="15"/>
      <c r="F706" s="15" t="s">
        <v>265</v>
      </c>
      <c r="G706" s="34">
        <v>2</v>
      </c>
      <c r="H706" s="34">
        <v>9</v>
      </c>
      <c r="I706" s="15" t="s">
        <v>1519</v>
      </c>
      <c r="J706" s="15" t="s">
        <v>217</v>
      </c>
      <c r="K706" s="74" t="s">
        <v>29</v>
      </c>
      <c r="L706" s="16">
        <v>410868</v>
      </c>
      <c r="M706" s="16">
        <v>257369</v>
      </c>
      <c r="N706" s="16">
        <v>10296</v>
      </c>
      <c r="O706" s="16">
        <v>359349</v>
      </c>
      <c r="P706" s="16">
        <v>341794</v>
      </c>
      <c r="Q706" s="16">
        <v>51518</v>
      </c>
      <c r="R706" s="16">
        <v>170</v>
      </c>
      <c r="S706" s="16">
        <v>0</v>
      </c>
      <c r="T706" s="16">
        <v>9</v>
      </c>
      <c r="U706" s="15" t="str">
        <f t="shared" si="40"/>
        <v>Privado Nacional</v>
      </c>
      <c r="V706" s="17">
        <f t="shared" si="41"/>
        <v>0.62640312703836754</v>
      </c>
      <c r="W706" s="17">
        <f t="shared" si="42"/>
        <v>3.299817539500757E-3</v>
      </c>
      <c r="X706" s="15" t="str">
        <f t="shared" si="43"/>
        <v>Média/Pequena</v>
      </c>
      <c r="Y706" s="121" t="str" cm="1">
        <f t="array" ref="Y706">_xlfn.IFS(ISNUMBER(W706)=FALSE,"Sem dado",W706&gt;0.075,"Excelente",W706&gt;0.04,"Bom",W706&gt;0,"Fraco",TRUE,"Prejuízo")</f>
        <v>Fraco</v>
      </c>
    </row>
    <row r="707" spans="1:25" ht="15" customHeight="1" x14ac:dyDescent="0.2">
      <c r="A707" s="12" t="s">
        <v>1520</v>
      </c>
      <c r="B707" s="56">
        <v>10319386</v>
      </c>
      <c r="C707" s="12"/>
      <c r="D707" s="12"/>
      <c r="E707" s="12"/>
      <c r="F707" s="12" t="s">
        <v>265</v>
      </c>
      <c r="G707" s="33">
        <v>2</v>
      </c>
      <c r="H707" s="33">
        <v>9</v>
      </c>
      <c r="I707" s="12" t="s">
        <v>400</v>
      </c>
      <c r="J707" s="12" t="s">
        <v>401</v>
      </c>
      <c r="K707" s="73" t="s">
        <v>29</v>
      </c>
      <c r="L707" s="13">
        <v>406726</v>
      </c>
      <c r="M707" s="13">
        <v>248319</v>
      </c>
      <c r="N707" s="13">
        <v>8425</v>
      </c>
      <c r="O707" s="13">
        <v>359998</v>
      </c>
      <c r="P707" s="13">
        <v>334322</v>
      </c>
      <c r="Q707" s="13">
        <v>46728</v>
      </c>
      <c r="R707" s="13">
        <v>5159</v>
      </c>
      <c r="S707" s="13">
        <v>0</v>
      </c>
      <c r="T707" s="13">
        <v>7</v>
      </c>
      <c r="U707" s="12" t="str">
        <f t="shared" si="40"/>
        <v>Privado Nacional</v>
      </c>
      <c r="V707" s="14">
        <f t="shared" si="41"/>
        <v>0.61053141426906565</v>
      </c>
      <c r="W707" s="14">
        <f t="shared" si="42"/>
        <v>0.11040489642184557</v>
      </c>
      <c r="X707" s="12" t="str">
        <f t="shared" si="43"/>
        <v>Média/Pequena</v>
      </c>
      <c r="Y707" s="122" t="str" cm="1">
        <f t="array" ref="Y707">_xlfn.IFS(ISNUMBER(W707)=FALSE,"Sem dado",W707&gt;0.075,"Excelente",W707&gt;0.04,"Bom",W707&gt;0,"Fraco",TRUE,"Prejuízo")</f>
        <v>Excelente</v>
      </c>
    </row>
    <row r="708" spans="1:25" ht="15" customHeight="1" x14ac:dyDescent="0.2">
      <c r="A708" s="15" t="s">
        <v>1521</v>
      </c>
      <c r="B708" s="60">
        <v>36321990</v>
      </c>
      <c r="C708" s="15" t="s">
        <v>1522</v>
      </c>
      <c r="D708" s="15"/>
      <c r="E708" s="15" t="s">
        <v>1523</v>
      </c>
      <c r="F708" s="15" t="s">
        <v>65</v>
      </c>
      <c r="G708" s="34">
        <v>2</v>
      </c>
      <c r="H708" s="34">
        <v>14</v>
      </c>
      <c r="I708" s="15" t="s">
        <v>182</v>
      </c>
      <c r="J708" s="15" t="s">
        <v>183</v>
      </c>
      <c r="K708" s="74" t="s">
        <v>29</v>
      </c>
      <c r="L708" s="16">
        <v>406429</v>
      </c>
      <c r="M708" s="16">
        <v>302687</v>
      </c>
      <c r="N708" s="16">
        <v>41494</v>
      </c>
      <c r="O708" s="16">
        <v>339618</v>
      </c>
      <c r="P708" s="16">
        <v>325549</v>
      </c>
      <c r="Q708" s="16">
        <v>66811</v>
      </c>
      <c r="R708" s="16">
        <v>1868</v>
      </c>
      <c r="S708" s="16">
        <v>2</v>
      </c>
      <c r="T708" s="16">
        <v>0</v>
      </c>
      <c r="U708" s="15" t="str">
        <f t="shared" si="40"/>
        <v>Privado Nacional</v>
      </c>
      <c r="V708" s="17">
        <f t="shared" si="41"/>
        <v>0.74474754508167473</v>
      </c>
      <c r="W708" s="17">
        <f t="shared" si="42"/>
        <v>2.7959467752316235E-2</v>
      </c>
      <c r="X708" s="15" t="str">
        <f t="shared" si="43"/>
        <v>Média/Pequena</v>
      </c>
      <c r="Y708" s="121" t="str" cm="1">
        <f t="array" ref="Y708">_xlfn.IFS(ISNUMBER(W708)=FALSE,"Sem dado",W708&gt;0.075,"Excelente",W708&gt;0.04,"Bom",W708&gt;0,"Fraco",TRUE,"Prejuízo")</f>
        <v>Fraco</v>
      </c>
    </row>
    <row r="709" spans="1:25" ht="15" customHeight="1" x14ac:dyDescent="0.2">
      <c r="A709" s="12" t="s">
        <v>1524</v>
      </c>
      <c r="B709" s="56">
        <v>21797311</v>
      </c>
      <c r="C709" s="12"/>
      <c r="D709" s="12"/>
      <c r="E709" s="12"/>
      <c r="F709" s="12" t="s">
        <v>265</v>
      </c>
      <c r="G709" s="33">
        <v>2</v>
      </c>
      <c r="H709" s="33">
        <v>9</v>
      </c>
      <c r="I709" s="12" t="s">
        <v>119</v>
      </c>
      <c r="J709" s="12" t="s">
        <v>120</v>
      </c>
      <c r="K709" s="73" t="s">
        <v>29</v>
      </c>
      <c r="L709" s="13">
        <v>406015</v>
      </c>
      <c r="M709" s="13">
        <v>71972</v>
      </c>
      <c r="N709" s="13">
        <v>13982</v>
      </c>
      <c r="O709" s="13">
        <v>337861</v>
      </c>
      <c r="P709" s="13">
        <v>329218</v>
      </c>
      <c r="Q709" s="13">
        <v>68154</v>
      </c>
      <c r="R709" s="13">
        <v>4116</v>
      </c>
      <c r="S709" s="13">
        <v>0</v>
      </c>
      <c r="T709" s="13">
        <v>3</v>
      </c>
      <c r="U709" s="12" t="str">
        <f t="shared" ref="U709:U772" si="44">IFERROR(CHOOSE(G709,"Público","Privado Nacional","Privado Estrangeiro"),"n.d.")</f>
        <v>Privado Nacional</v>
      </c>
      <c r="V709" s="14">
        <f t="shared" ref="V709:V772" si="45">IF(AND(ISNUMBER(M709),ISNUMBER(L709)),IF(L709&gt;0,M709/L709,"n.d."),"NI")</f>
        <v>0.17726438678373951</v>
      </c>
      <c r="W709" s="14">
        <f t="shared" ref="W709:W772" si="46">IF(AND(ISNUMBER(R709),ISNUMBER(Q709)),IF(Q709&gt;0,R709/Q709,"n.d."),"NI")</f>
        <v>6.0392640197200455E-2</v>
      </c>
      <c r="X709" s="12" t="str">
        <f t="shared" ref="X709:X772" si="47">IF(ISNUMBER(L709),IF(L709&gt;100000000,"Grande","Média/Pequena"),"Sem dado")</f>
        <v>Média/Pequena</v>
      </c>
      <c r="Y709" s="122" t="str" cm="1">
        <f t="array" ref="Y709">_xlfn.IFS(ISNUMBER(W709)=FALSE,"Sem dado",W709&gt;0.075,"Excelente",W709&gt;0.04,"Bom",W709&gt;0,"Fraco",TRUE,"Prejuízo")</f>
        <v>Bom</v>
      </c>
    </row>
    <row r="710" spans="1:25" ht="15" customHeight="1" x14ac:dyDescent="0.2">
      <c r="A710" s="15" t="s">
        <v>1525</v>
      </c>
      <c r="B710" s="60">
        <v>13059145</v>
      </c>
      <c r="C710" s="15" t="s">
        <v>1526</v>
      </c>
      <c r="D710" s="15"/>
      <c r="E710" s="15" t="s">
        <v>1527</v>
      </c>
      <c r="F710" s="15" t="s">
        <v>60</v>
      </c>
      <c r="G710" s="34">
        <v>3</v>
      </c>
      <c r="H710" s="34">
        <v>39</v>
      </c>
      <c r="I710" s="15" t="s">
        <v>38</v>
      </c>
      <c r="J710" s="15" t="s">
        <v>39</v>
      </c>
      <c r="K710" s="74" t="s">
        <v>29</v>
      </c>
      <c r="L710" s="16">
        <v>405469</v>
      </c>
      <c r="M710" s="16">
        <v>0</v>
      </c>
      <c r="N710" s="16">
        <v>79017</v>
      </c>
      <c r="O710" s="16">
        <v>170952</v>
      </c>
      <c r="P710" s="16">
        <v>31567</v>
      </c>
      <c r="Q710" s="16">
        <v>234516</v>
      </c>
      <c r="R710" s="16">
        <v>13167</v>
      </c>
      <c r="S710" s="16">
        <v>2</v>
      </c>
      <c r="T710" s="16">
        <v>0</v>
      </c>
      <c r="U710" s="15" t="str">
        <f t="shared" si="44"/>
        <v>Privado Estrangeiro</v>
      </c>
      <c r="V710" s="17">
        <f t="shared" si="45"/>
        <v>0</v>
      </c>
      <c r="W710" s="17">
        <f t="shared" si="46"/>
        <v>5.6145422913575195E-2</v>
      </c>
      <c r="X710" s="15" t="str">
        <f t="shared" si="47"/>
        <v>Média/Pequena</v>
      </c>
      <c r="Y710" s="121" t="str" cm="1">
        <f t="array" ref="Y710">_xlfn.IFS(ISNUMBER(W710)=FALSE,"Sem dado",W710&gt;0.075,"Excelente",W710&gt;0.04,"Bom",W710&gt;0,"Fraco",TRUE,"Prejuízo")</f>
        <v>Bom</v>
      </c>
    </row>
    <row r="711" spans="1:25" ht="15" customHeight="1" x14ac:dyDescent="0.2">
      <c r="A711" s="12" t="s">
        <v>1528</v>
      </c>
      <c r="B711" s="56">
        <v>1526924</v>
      </c>
      <c r="C711" s="12"/>
      <c r="D711" s="12"/>
      <c r="E711" s="12"/>
      <c r="F711" s="12" t="s">
        <v>265</v>
      </c>
      <c r="G711" s="33">
        <v>2</v>
      </c>
      <c r="H711" s="33">
        <v>9</v>
      </c>
      <c r="I711" s="12" t="s">
        <v>645</v>
      </c>
      <c r="J711" s="12" t="s">
        <v>74</v>
      </c>
      <c r="K711" s="73" t="s">
        <v>29</v>
      </c>
      <c r="L711" s="13">
        <v>404668</v>
      </c>
      <c r="M711" s="13">
        <v>209434</v>
      </c>
      <c r="N711" s="13">
        <v>12147</v>
      </c>
      <c r="O711" s="13">
        <v>332092</v>
      </c>
      <c r="P711" s="13">
        <v>309775</v>
      </c>
      <c r="Q711" s="13">
        <v>72576</v>
      </c>
      <c r="R711" s="13">
        <v>9529</v>
      </c>
      <c r="S711" s="13">
        <v>0</v>
      </c>
      <c r="T711" s="13">
        <v>3</v>
      </c>
      <c r="U711" s="12" t="str">
        <f t="shared" si="44"/>
        <v>Privado Nacional</v>
      </c>
      <c r="V711" s="14">
        <f t="shared" si="45"/>
        <v>0.51754524696788473</v>
      </c>
      <c r="W711" s="14">
        <f t="shared" si="46"/>
        <v>0.13129684744268078</v>
      </c>
      <c r="X711" s="12" t="str">
        <f t="shared" si="47"/>
        <v>Média/Pequena</v>
      </c>
      <c r="Y711" s="122" t="str" cm="1">
        <f t="array" ref="Y711">_xlfn.IFS(ISNUMBER(W711)=FALSE,"Sem dado",W711&gt;0.075,"Excelente",W711&gt;0.04,"Bom",W711&gt;0,"Fraco",TRUE,"Prejuízo")</f>
        <v>Excelente</v>
      </c>
    </row>
    <row r="712" spans="1:25" ht="15" customHeight="1" x14ac:dyDescent="0.2">
      <c r="A712" s="15" t="s">
        <v>1529</v>
      </c>
      <c r="B712" s="60">
        <v>3427097</v>
      </c>
      <c r="C712" s="15"/>
      <c r="D712" s="15"/>
      <c r="E712" s="15"/>
      <c r="F712" s="15" t="s">
        <v>265</v>
      </c>
      <c r="G712" s="34">
        <v>2</v>
      </c>
      <c r="H712" s="34">
        <v>9</v>
      </c>
      <c r="I712" s="15" t="s">
        <v>593</v>
      </c>
      <c r="J712" s="15" t="s">
        <v>217</v>
      </c>
      <c r="K712" s="74" t="s">
        <v>29</v>
      </c>
      <c r="L712" s="16">
        <v>403717</v>
      </c>
      <c r="M712" s="16">
        <v>286573</v>
      </c>
      <c r="N712" s="16">
        <v>11766</v>
      </c>
      <c r="O712" s="16">
        <v>356058</v>
      </c>
      <c r="P712" s="16">
        <v>321232</v>
      </c>
      <c r="Q712" s="16">
        <v>47659</v>
      </c>
      <c r="R712" s="16">
        <v>-7694</v>
      </c>
      <c r="S712" s="16">
        <v>0</v>
      </c>
      <c r="T712" s="16">
        <v>13</v>
      </c>
      <c r="U712" s="15" t="str">
        <f t="shared" si="44"/>
        <v>Privado Nacional</v>
      </c>
      <c r="V712" s="17">
        <f t="shared" si="45"/>
        <v>0.70983634575705257</v>
      </c>
      <c r="W712" s="17">
        <f t="shared" si="46"/>
        <v>-0.16143855305398772</v>
      </c>
      <c r="X712" s="15" t="str">
        <f t="shared" si="47"/>
        <v>Média/Pequena</v>
      </c>
      <c r="Y712" s="121" t="str" cm="1">
        <f t="array" ref="Y712">_xlfn.IFS(ISNUMBER(W712)=FALSE,"Sem dado",W712&gt;0.075,"Excelente",W712&gt;0.04,"Bom",W712&gt;0,"Fraco",TRUE,"Prejuízo")</f>
        <v>Prejuízo</v>
      </c>
    </row>
    <row r="713" spans="1:25" ht="15" customHeight="1" x14ac:dyDescent="0.2">
      <c r="A713" s="12" t="s">
        <v>1530</v>
      </c>
      <c r="B713" s="56">
        <v>30980539</v>
      </c>
      <c r="C713" s="12" t="s">
        <v>1531</v>
      </c>
      <c r="D713" s="12"/>
      <c r="E713" s="12" t="s">
        <v>1532</v>
      </c>
      <c r="F713" s="12" t="s">
        <v>84</v>
      </c>
      <c r="G713" s="33">
        <v>3</v>
      </c>
      <c r="H713" s="33">
        <v>41</v>
      </c>
      <c r="I713" s="12" t="s">
        <v>38</v>
      </c>
      <c r="J713" s="12" t="s">
        <v>39</v>
      </c>
      <c r="K713" s="73" t="s">
        <v>29</v>
      </c>
      <c r="L713" s="13">
        <v>403505</v>
      </c>
      <c r="M713" s="13">
        <v>0</v>
      </c>
      <c r="N713" s="13">
        <v>81</v>
      </c>
      <c r="O713" s="13">
        <v>360803</v>
      </c>
      <c r="P713" s="13">
        <v>353160</v>
      </c>
      <c r="Q713" s="13">
        <v>42701</v>
      </c>
      <c r="R713" s="13">
        <v>1851</v>
      </c>
      <c r="S713" s="13">
        <v>1</v>
      </c>
      <c r="T713" s="13">
        <v>0</v>
      </c>
      <c r="U713" s="12" t="str">
        <f t="shared" si="44"/>
        <v>Privado Estrangeiro</v>
      </c>
      <c r="V713" s="14">
        <f t="shared" si="45"/>
        <v>0</v>
      </c>
      <c r="W713" s="14">
        <f t="shared" si="46"/>
        <v>4.3347930961804171E-2</v>
      </c>
      <c r="X713" s="12" t="str">
        <f t="shared" si="47"/>
        <v>Média/Pequena</v>
      </c>
      <c r="Y713" s="122" t="str" cm="1">
        <f t="array" ref="Y713">_xlfn.IFS(ISNUMBER(W713)=FALSE,"Sem dado",W713&gt;0.075,"Excelente",W713&gt;0.04,"Bom",W713&gt;0,"Fraco",TRUE,"Prejuízo")</f>
        <v>Bom</v>
      </c>
    </row>
    <row r="714" spans="1:25" ht="15" customHeight="1" x14ac:dyDescent="0.2">
      <c r="A714" s="15" t="s">
        <v>1533</v>
      </c>
      <c r="B714" s="60">
        <v>4321309</v>
      </c>
      <c r="C714" s="15"/>
      <c r="D714" s="15"/>
      <c r="E714" s="15"/>
      <c r="F714" s="15" t="s">
        <v>265</v>
      </c>
      <c r="G714" s="34">
        <v>2</v>
      </c>
      <c r="H714" s="34">
        <v>9</v>
      </c>
      <c r="I714" s="15" t="s">
        <v>210</v>
      </c>
      <c r="J714" s="15" t="s">
        <v>211</v>
      </c>
      <c r="K714" s="74" t="s">
        <v>29</v>
      </c>
      <c r="L714" s="16">
        <v>403299</v>
      </c>
      <c r="M714" s="16">
        <v>206744</v>
      </c>
      <c r="N714" s="16">
        <v>14368</v>
      </c>
      <c r="O714" s="16">
        <v>354262</v>
      </c>
      <c r="P714" s="16">
        <v>345395</v>
      </c>
      <c r="Q714" s="16">
        <v>49037</v>
      </c>
      <c r="R714" s="16">
        <v>1693</v>
      </c>
      <c r="S714" s="16">
        <v>0</v>
      </c>
      <c r="T714" s="16">
        <v>9</v>
      </c>
      <c r="U714" s="15" t="str">
        <f t="shared" si="44"/>
        <v>Privado Nacional</v>
      </c>
      <c r="V714" s="17">
        <f t="shared" si="45"/>
        <v>0.51263206702719322</v>
      </c>
      <c r="W714" s="17">
        <f t="shared" si="46"/>
        <v>3.452495054754573E-2</v>
      </c>
      <c r="X714" s="15" t="str">
        <f t="shared" si="47"/>
        <v>Média/Pequena</v>
      </c>
      <c r="Y714" s="121" t="str" cm="1">
        <f t="array" ref="Y714">_xlfn.IFS(ISNUMBER(W714)=FALSE,"Sem dado",W714&gt;0.075,"Excelente",W714&gt;0.04,"Bom",W714&gt;0,"Fraco",TRUE,"Prejuízo")</f>
        <v>Fraco</v>
      </c>
    </row>
    <row r="715" spans="1:25" ht="15" customHeight="1" x14ac:dyDescent="0.2">
      <c r="A715" s="12" t="s">
        <v>1534</v>
      </c>
      <c r="B715" s="56">
        <v>4853988</v>
      </c>
      <c r="C715" s="12"/>
      <c r="D715" s="12"/>
      <c r="E715" s="12"/>
      <c r="F715" s="12" t="s">
        <v>265</v>
      </c>
      <c r="G715" s="33">
        <v>2</v>
      </c>
      <c r="H715" s="33">
        <v>9</v>
      </c>
      <c r="I715" s="12" t="s">
        <v>1535</v>
      </c>
      <c r="J715" s="12" t="s">
        <v>39</v>
      </c>
      <c r="K715" s="73" t="s">
        <v>29</v>
      </c>
      <c r="L715" s="13">
        <v>401988</v>
      </c>
      <c r="M715" s="13">
        <v>168485</v>
      </c>
      <c r="N715" s="13">
        <v>183949</v>
      </c>
      <c r="O715" s="13">
        <v>367673</v>
      </c>
      <c r="P715" s="13">
        <v>330872</v>
      </c>
      <c r="Q715" s="13">
        <v>34315</v>
      </c>
      <c r="R715" s="13">
        <v>1218</v>
      </c>
      <c r="S715" s="13">
        <v>0</v>
      </c>
      <c r="T715" s="13">
        <v>10</v>
      </c>
      <c r="U715" s="12" t="str">
        <f t="shared" si="44"/>
        <v>Privado Nacional</v>
      </c>
      <c r="V715" s="14">
        <f t="shared" si="45"/>
        <v>0.41912942674905718</v>
      </c>
      <c r="W715" s="14">
        <f t="shared" si="46"/>
        <v>3.5494681626111031E-2</v>
      </c>
      <c r="X715" s="12" t="str">
        <f t="shared" si="47"/>
        <v>Média/Pequena</v>
      </c>
      <c r="Y715" s="122" t="str" cm="1">
        <f t="array" ref="Y715">_xlfn.IFS(ISNUMBER(W715)=FALSE,"Sem dado",W715&gt;0.075,"Excelente",W715&gt;0.04,"Bom",W715&gt;0,"Fraco",TRUE,"Prejuízo")</f>
        <v>Fraco</v>
      </c>
    </row>
    <row r="716" spans="1:25" ht="15" customHeight="1" x14ac:dyDescent="0.2">
      <c r="A716" s="15" t="s">
        <v>1536</v>
      </c>
      <c r="B716" s="60">
        <v>42880617</v>
      </c>
      <c r="C716" s="15"/>
      <c r="D716" s="15"/>
      <c r="E716" s="15"/>
      <c r="F716" s="15" t="s">
        <v>265</v>
      </c>
      <c r="G716" s="34">
        <v>2</v>
      </c>
      <c r="H716" s="34">
        <v>9</v>
      </c>
      <c r="I716" s="15" t="s">
        <v>1537</v>
      </c>
      <c r="J716" s="15" t="s">
        <v>120</v>
      </c>
      <c r="K716" s="74" t="s">
        <v>29</v>
      </c>
      <c r="L716" s="16">
        <v>401948</v>
      </c>
      <c r="M716" s="16">
        <v>251869</v>
      </c>
      <c r="N716" s="16">
        <v>19843</v>
      </c>
      <c r="O716" s="16">
        <v>351377</v>
      </c>
      <c r="P716" s="16">
        <v>199115</v>
      </c>
      <c r="Q716" s="16">
        <v>50571</v>
      </c>
      <c r="R716" s="16">
        <v>-6117</v>
      </c>
      <c r="S716" s="16">
        <v>0</v>
      </c>
      <c r="T716" s="16">
        <v>1</v>
      </c>
      <c r="U716" s="15" t="str">
        <f t="shared" si="44"/>
        <v>Privado Nacional</v>
      </c>
      <c r="V716" s="17">
        <f t="shared" si="45"/>
        <v>0.62662085642918985</v>
      </c>
      <c r="W716" s="17">
        <f t="shared" si="46"/>
        <v>-0.12095865219196773</v>
      </c>
      <c r="X716" s="15" t="str">
        <f t="shared" si="47"/>
        <v>Média/Pequena</v>
      </c>
      <c r="Y716" s="121" t="str" cm="1">
        <f t="array" ref="Y716">_xlfn.IFS(ISNUMBER(W716)=FALSE,"Sem dado",W716&gt;0.075,"Excelente",W716&gt;0.04,"Bom",W716&gt;0,"Fraco",TRUE,"Prejuízo")</f>
        <v>Prejuízo</v>
      </c>
    </row>
    <row r="717" spans="1:25" ht="15" customHeight="1" x14ac:dyDescent="0.2">
      <c r="A717" s="12" t="s">
        <v>1538</v>
      </c>
      <c r="B717" s="56">
        <v>8253539</v>
      </c>
      <c r="C717" s="12"/>
      <c r="D717" s="12"/>
      <c r="E717" s="12"/>
      <c r="F717" s="12" t="s">
        <v>265</v>
      </c>
      <c r="G717" s="33">
        <v>2</v>
      </c>
      <c r="H717" s="33">
        <v>9</v>
      </c>
      <c r="I717" s="12" t="s">
        <v>428</v>
      </c>
      <c r="J717" s="12" t="s">
        <v>217</v>
      </c>
      <c r="K717" s="73" t="s">
        <v>29</v>
      </c>
      <c r="L717" s="13">
        <v>399132</v>
      </c>
      <c r="M717" s="13">
        <v>235172</v>
      </c>
      <c r="N717" s="13">
        <v>16066</v>
      </c>
      <c r="O717" s="13">
        <v>336163</v>
      </c>
      <c r="P717" s="13">
        <v>330032</v>
      </c>
      <c r="Q717" s="13">
        <v>62969</v>
      </c>
      <c r="R717" s="13">
        <v>-1165</v>
      </c>
      <c r="S717" s="13">
        <v>0</v>
      </c>
      <c r="T717" s="13">
        <v>6</v>
      </c>
      <c r="U717" s="12" t="str">
        <f t="shared" si="44"/>
        <v>Privado Nacional</v>
      </c>
      <c r="V717" s="14">
        <f t="shared" si="45"/>
        <v>0.58920858262429476</v>
      </c>
      <c r="W717" s="14">
        <f t="shared" si="46"/>
        <v>-1.850116724102336E-2</v>
      </c>
      <c r="X717" s="12" t="str">
        <f t="shared" si="47"/>
        <v>Média/Pequena</v>
      </c>
      <c r="Y717" s="122" t="str" cm="1">
        <f t="array" ref="Y717">_xlfn.IFS(ISNUMBER(W717)=FALSE,"Sem dado",W717&gt;0.075,"Excelente",W717&gt;0.04,"Bom",W717&gt;0,"Fraco",TRUE,"Prejuízo")</f>
        <v>Prejuízo</v>
      </c>
    </row>
    <row r="718" spans="1:25" ht="15" customHeight="1" x14ac:dyDescent="0.2">
      <c r="A718" s="15" t="s">
        <v>1539</v>
      </c>
      <c r="B718" s="60">
        <v>47965438</v>
      </c>
      <c r="C718" s="15" t="s">
        <v>1540</v>
      </c>
      <c r="D718" s="15"/>
      <c r="E718" s="15" t="s">
        <v>1541</v>
      </c>
      <c r="F718" s="15" t="s">
        <v>98</v>
      </c>
      <c r="G718" s="34">
        <v>2</v>
      </c>
      <c r="H718" s="34">
        <v>15</v>
      </c>
      <c r="I718" s="15" t="s">
        <v>38</v>
      </c>
      <c r="J718" s="15" t="s">
        <v>39</v>
      </c>
      <c r="K718" s="74" t="s">
        <v>29</v>
      </c>
      <c r="L718" s="16">
        <v>398635</v>
      </c>
      <c r="M718" s="16">
        <v>0</v>
      </c>
      <c r="N718" s="16">
        <v>106563</v>
      </c>
      <c r="O718" s="16">
        <v>137480</v>
      </c>
      <c r="P718" s="16">
        <v>0</v>
      </c>
      <c r="Q718" s="16">
        <v>261154</v>
      </c>
      <c r="R718" s="16">
        <v>55820</v>
      </c>
      <c r="S718" s="16">
        <v>15</v>
      </c>
      <c r="T718" s="16">
        <v>0</v>
      </c>
      <c r="U718" s="15" t="str">
        <f t="shared" si="44"/>
        <v>Privado Nacional</v>
      </c>
      <c r="V718" s="17">
        <f t="shared" si="45"/>
        <v>0</v>
      </c>
      <c r="W718" s="17">
        <f t="shared" si="46"/>
        <v>0.2137436148785774</v>
      </c>
      <c r="X718" s="15" t="str">
        <f t="shared" si="47"/>
        <v>Média/Pequena</v>
      </c>
      <c r="Y718" s="121" t="str" cm="1">
        <f t="array" ref="Y718">_xlfn.IFS(ISNUMBER(W718)=FALSE,"Sem dado",W718&gt;0.075,"Excelente",W718&gt;0.04,"Bom",W718&gt;0,"Fraco",TRUE,"Prejuízo")</f>
        <v>Excelente</v>
      </c>
    </row>
    <row r="719" spans="1:25" ht="15" customHeight="1" x14ac:dyDescent="0.2">
      <c r="A719" s="12" t="s">
        <v>1542</v>
      </c>
      <c r="B719" s="56">
        <v>2201501</v>
      </c>
      <c r="C719" s="12" t="s">
        <v>1323</v>
      </c>
      <c r="D719" s="12" t="s">
        <v>1324</v>
      </c>
      <c r="E719" s="12" t="s">
        <v>1325</v>
      </c>
      <c r="F719" s="12" t="s">
        <v>98</v>
      </c>
      <c r="G719" s="33">
        <v>3</v>
      </c>
      <c r="H719" s="33">
        <v>16</v>
      </c>
      <c r="I719" s="12" t="s">
        <v>53</v>
      </c>
      <c r="J719" s="12" t="s">
        <v>54</v>
      </c>
      <c r="K719" s="73" t="s">
        <v>29</v>
      </c>
      <c r="L719" s="13">
        <v>395823</v>
      </c>
      <c r="M719" s="13">
        <v>0</v>
      </c>
      <c r="N719" s="13">
        <v>16140</v>
      </c>
      <c r="O719" s="13">
        <v>369355</v>
      </c>
      <c r="P719" s="13">
        <v>6562</v>
      </c>
      <c r="Q719" s="13">
        <v>26468</v>
      </c>
      <c r="R719" s="13">
        <v>-226533</v>
      </c>
      <c r="S719" s="13">
        <v>2</v>
      </c>
      <c r="T719" s="13">
        <v>0</v>
      </c>
      <c r="U719" s="12" t="str">
        <f t="shared" si="44"/>
        <v>Privado Estrangeiro</v>
      </c>
      <c r="V719" s="14">
        <f t="shared" si="45"/>
        <v>0</v>
      </c>
      <c r="W719" s="14">
        <f t="shared" si="46"/>
        <v>-8.5587501889073589</v>
      </c>
      <c r="X719" s="12" t="str">
        <f t="shared" si="47"/>
        <v>Média/Pequena</v>
      </c>
      <c r="Y719" s="122" t="str" cm="1">
        <f t="array" ref="Y719">_xlfn.IFS(ISNUMBER(W719)=FALSE,"Sem dado",W719&gt;0.075,"Excelente",W719&gt;0.04,"Bom",W719&gt;0,"Fraco",TRUE,"Prejuízo")</f>
        <v>Prejuízo</v>
      </c>
    </row>
    <row r="720" spans="1:25" ht="15" customHeight="1" x14ac:dyDescent="0.2">
      <c r="A720" s="15" t="s">
        <v>1543</v>
      </c>
      <c r="B720" s="60">
        <v>2405189</v>
      </c>
      <c r="C720" s="15"/>
      <c r="D720" s="15"/>
      <c r="E720" s="15"/>
      <c r="F720" s="15" t="s">
        <v>265</v>
      </c>
      <c r="G720" s="34">
        <v>2</v>
      </c>
      <c r="H720" s="34">
        <v>9</v>
      </c>
      <c r="I720" s="15" t="s">
        <v>216</v>
      </c>
      <c r="J720" s="15" t="s">
        <v>217</v>
      </c>
      <c r="K720" s="74" t="s">
        <v>29</v>
      </c>
      <c r="L720" s="16">
        <v>393977</v>
      </c>
      <c r="M720" s="16">
        <v>244608</v>
      </c>
      <c r="N720" s="16">
        <v>12188</v>
      </c>
      <c r="O720" s="16">
        <v>332224</v>
      </c>
      <c r="P720" s="16">
        <v>318760</v>
      </c>
      <c r="Q720" s="16">
        <v>61753</v>
      </c>
      <c r="R720" s="16">
        <v>3592</v>
      </c>
      <c r="S720" s="16">
        <v>0</v>
      </c>
      <c r="T720" s="16">
        <v>8</v>
      </c>
      <c r="U720" s="15" t="str">
        <f t="shared" si="44"/>
        <v>Privado Nacional</v>
      </c>
      <c r="V720" s="17">
        <f t="shared" si="45"/>
        <v>0.62086873091576411</v>
      </c>
      <c r="W720" s="17">
        <f t="shared" si="46"/>
        <v>5.8167214548281054E-2</v>
      </c>
      <c r="X720" s="15" t="str">
        <f t="shared" si="47"/>
        <v>Média/Pequena</v>
      </c>
      <c r="Y720" s="121" t="str" cm="1">
        <f t="array" ref="Y720">_xlfn.IFS(ISNUMBER(W720)=FALSE,"Sem dado",W720&gt;0.075,"Excelente",W720&gt;0.04,"Bom",W720&gt;0,"Fraco",TRUE,"Prejuízo")</f>
        <v>Bom</v>
      </c>
    </row>
    <row r="721" spans="1:25" ht="15" customHeight="1" x14ac:dyDescent="0.2">
      <c r="A721" s="12" t="s">
        <v>1544</v>
      </c>
      <c r="B721" s="56">
        <v>71207740</v>
      </c>
      <c r="C721" s="12"/>
      <c r="D721" s="12"/>
      <c r="E721" s="12"/>
      <c r="F721" s="12" t="s">
        <v>265</v>
      </c>
      <c r="G721" s="33">
        <v>2</v>
      </c>
      <c r="H721" s="33">
        <v>9</v>
      </c>
      <c r="I721" s="12" t="s">
        <v>1545</v>
      </c>
      <c r="J721" s="12" t="s">
        <v>120</v>
      </c>
      <c r="K721" s="73" t="s">
        <v>29</v>
      </c>
      <c r="L721" s="13">
        <v>392011</v>
      </c>
      <c r="M721" s="13">
        <v>133504</v>
      </c>
      <c r="N721" s="13">
        <v>18791</v>
      </c>
      <c r="O721" s="13">
        <v>312126</v>
      </c>
      <c r="P721" s="13">
        <v>237539</v>
      </c>
      <c r="Q721" s="13">
        <v>79886</v>
      </c>
      <c r="R721" s="13">
        <v>8326</v>
      </c>
      <c r="S721" s="13">
        <v>0</v>
      </c>
      <c r="T721" s="13">
        <v>0</v>
      </c>
      <c r="U721" s="12" t="str">
        <f t="shared" si="44"/>
        <v>Privado Nacional</v>
      </c>
      <c r="V721" s="14">
        <f t="shared" si="45"/>
        <v>0.34056187198828602</v>
      </c>
      <c r="W721" s="14">
        <f t="shared" si="46"/>
        <v>0.10422351851388229</v>
      </c>
      <c r="X721" s="12" t="str">
        <f t="shared" si="47"/>
        <v>Média/Pequena</v>
      </c>
      <c r="Y721" s="122" t="str" cm="1">
        <f t="array" ref="Y721">_xlfn.IFS(ISNUMBER(W721)=FALSE,"Sem dado",W721&gt;0.075,"Excelente",W721&gt;0.04,"Bom",W721&gt;0,"Fraco",TRUE,"Prejuízo")</f>
        <v>Excelente</v>
      </c>
    </row>
    <row r="722" spans="1:25" ht="15" customHeight="1" x14ac:dyDescent="0.2">
      <c r="A722" s="15" t="s">
        <v>1546</v>
      </c>
      <c r="B722" s="60">
        <v>7097064</v>
      </c>
      <c r="C722" s="15"/>
      <c r="D722" s="15"/>
      <c r="E722" s="15"/>
      <c r="F722" s="15" t="s">
        <v>265</v>
      </c>
      <c r="G722" s="34">
        <v>2</v>
      </c>
      <c r="H722" s="34">
        <v>9</v>
      </c>
      <c r="I722" s="15" t="s">
        <v>477</v>
      </c>
      <c r="J722" s="15" t="s">
        <v>229</v>
      </c>
      <c r="K722" s="74" t="s">
        <v>29</v>
      </c>
      <c r="L722" s="16">
        <v>389373</v>
      </c>
      <c r="M722" s="16">
        <v>215916</v>
      </c>
      <c r="N722" s="16">
        <v>25817</v>
      </c>
      <c r="O722" s="16">
        <v>348804</v>
      </c>
      <c r="P722" s="16">
        <v>302692</v>
      </c>
      <c r="Q722" s="16">
        <v>40569</v>
      </c>
      <c r="R722" s="16">
        <v>43</v>
      </c>
      <c r="S722" s="16">
        <v>0</v>
      </c>
      <c r="T722" s="16">
        <v>10</v>
      </c>
      <c r="U722" s="15" t="str">
        <f t="shared" si="44"/>
        <v>Privado Nacional</v>
      </c>
      <c r="V722" s="17">
        <f t="shared" si="45"/>
        <v>0.55452227041936653</v>
      </c>
      <c r="W722" s="17">
        <f t="shared" si="46"/>
        <v>1.0599226010007642E-3</v>
      </c>
      <c r="X722" s="15" t="str">
        <f t="shared" si="47"/>
        <v>Média/Pequena</v>
      </c>
      <c r="Y722" s="121" t="str" cm="1">
        <f t="array" ref="Y722">_xlfn.IFS(ISNUMBER(W722)=FALSE,"Sem dado",W722&gt;0.075,"Excelente",W722&gt;0.04,"Bom",W722&gt;0,"Fraco",TRUE,"Prejuízo")</f>
        <v>Fraco</v>
      </c>
    </row>
    <row r="723" spans="1:25" ht="15" customHeight="1" x14ac:dyDescent="0.2">
      <c r="A723" s="12" t="s">
        <v>1547</v>
      </c>
      <c r="B723" s="56">
        <v>25743311</v>
      </c>
      <c r="C723" s="12"/>
      <c r="D723" s="12"/>
      <c r="E723" s="12"/>
      <c r="F723" s="12" t="s">
        <v>265</v>
      </c>
      <c r="G723" s="33">
        <v>2</v>
      </c>
      <c r="H723" s="33">
        <v>9</v>
      </c>
      <c r="I723" s="12" t="s">
        <v>1548</v>
      </c>
      <c r="J723" s="12" t="s">
        <v>120</v>
      </c>
      <c r="K723" s="73" t="s">
        <v>29</v>
      </c>
      <c r="L723" s="13">
        <v>389364</v>
      </c>
      <c r="M723" s="13">
        <v>165047</v>
      </c>
      <c r="N723" s="13">
        <v>11188</v>
      </c>
      <c r="O723" s="13">
        <v>309457</v>
      </c>
      <c r="P723" s="13">
        <v>242858</v>
      </c>
      <c r="Q723" s="13">
        <v>79908</v>
      </c>
      <c r="R723" s="13">
        <v>1850</v>
      </c>
      <c r="S723" s="13">
        <v>0</v>
      </c>
      <c r="T723" s="13">
        <v>2</v>
      </c>
      <c r="U723" s="12" t="str">
        <f t="shared" si="44"/>
        <v>Privado Nacional</v>
      </c>
      <c r="V723" s="14">
        <f t="shared" si="45"/>
        <v>0.42388870054755962</v>
      </c>
      <c r="W723" s="14">
        <f t="shared" si="46"/>
        <v>2.3151624368023226E-2</v>
      </c>
      <c r="X723" s="12" t="str">
        <f t="shared" si="47"/>
        <v>Média/Pequena</v>
      </c>
      <c r="Y723" s="122" t="str" cm="1">
        <f t="array" ref="Y723">_xlfn.IFS(ISNUMBER(W723)=FALSE,"Sem dado",W723&gt;0.075,"Excelente",W723&gt;0.04,"Bom",W723&gt;0,"Fraco",TRUE,"Prejuízo")</f>
        <v>Fraco</v>
      </c>
    </row>
    <row r="724" spans="1:25" ht="15" customHeight="1" x14ac:dyDescent="0.2">
      <c r="A724" s="15" t="s">
        <v>1549</v>
      </c>
      <c r="B724" s="60">
        <v>3750034</v>
      </c>
      <c r="C724" s="15"/>
      <c r="D724" s="15"/>
      <c r="E724" s="15"/>
      <c r="F724" s="15" t="s">
        <v>265</v>
      </c>
      <c r="G724" s="34">
        <v>2</v>
      </c>
      <c r="H724" s="34">
        <v>9</v>
      </c>
      <c r="I724" s="15" t="s">
        <v>73</v>
      </c>
      <c r="J724" s="15" t="s">
        <v>74</v>
      </c>
      <c r="K724" s="74" t="s">
        <v>29</v>
      </c>
      <c r="L724" s="16">
        <v>388216</v>
      </c>
      <c r="M724" s="16">
        <v>49986</v>
      </c>
      <c r="N724" s="16">
        <v>214657</v>
      </c>
      <c r="O724" s="16">
        <v>360997</v>
      </c>
      <c r="P724" s="16">
        <v>317053</v>
      </c>
      <c r="Q724" s="16">
        <v>27219</v>
      </c>
      <c r="R724" s="16">
        <v>2758</v>
      </c>
      <c r="S724" s="16">
        <v>0</v>
      </c>
      <c r="T724" s="16">
        <v>1</v>
      </c>
      <c r="U724" s="15" t="str">
        <f t="shared" si="44"/>
        <v>Privado Nacional</v>
      </c>
      <c r="V724" s="17">
        <f t="shared" si="45"/>
        <v>0.12875821707503041</v>
      </c>
      <c r="W724" s="17">
        <f t="shared" si="46"/>
        <v>0.10132627943715787</v>
      </c>
      <c r="X724" s="15" t="str">
        <f t="shared" si="47"/>
        <v>Média/Pequena</v>
      </c>
      <c r="Y724" s="121" t="str" cm="1">
        <f t="array" ref="Y724">_xlfn.IFS(ISNUMBER(W724)=FALSE,"Sem dado",W724&gt;0.075,"Excelente",W724&gt;0.04,"Bom",W724&gt;0,"Fraco",TRUE,"Prejuízo")</f>
        <v>Excelente</v>
      </c>
    </row>
    <row r="725" spans="1:25" ht="15" customHeight="1" x14ac:dyDescent="0.2">
      <c r="A725" s="12" t="s">
        <v>1550</v>
      </c>
      <c r="B725" s="56">
        <v>25404542</v>
      </c>
      <c r="C725" s="12"/>
      <c r="D725" s="12"/>
      <c r="E725" s="12"/>
      <c r="F725" s="12" t="s">
        <v>265</v>
      </c>
      <c r="G725" s="33">
        <v>2</v>
      </c>
      <c r="H725" s="33">
        <v>9</v>
      </c>
      <c r="I725" s="12" t="s">
        <v>1551</v>
      </c>
      <c r="J725" s="12" t="s">
        <v>120</v>
      </c>
      <c r="K725" s="73" t="s">
        <v>29</v>
      </c>
      <c r="L725" s="13">
        <v>387732</v>
      </c>
      <c r="M725" s="13">
        <v>124874</v>
      </c>
      <c r="N725" s="13">
        <v>9202</v>
      </c>
      <c r="O725" s="13">
        <v>308490</v>
      </c>
      <c r="P725" s="13">
        <v>277530</v>
      </c>
      <c r="Q725" s="13">
        <v>79242</v>
      </c>
      <c r="R725" s="13">
        <v>4624</v>
      </c>
      <c r="S725" s="13">
        <v>0</v>
      </c>
      <c r="T725" s="13">
        <v>10</v>
      </c>
      <c r="U725" s="12" t="str">
        <f t="shared" si="44"/>
        <v>Privado Nacional</v>
      </c>
      <c r="V725" s="14">
        <f t="shared" si="45"/>
        <v>0.32206266183858956</v>
      </c>
      <c r="W725" s="14">
        <f t="shared" si="46"/>
        <v>5.8352893667499559E-2</v>
      </c>
      <c r="X725" s="12" t="str">
        <f t="shared" si="47"/>
        <v>Média/Pequena</v>
      </c>
      <c r="Y725" s="122" t="str" cm="1">
        <f t="array" ref="Y725">_xlfn.IFS(ISNUMBER(W725)=FALSE,"Sem dado",W725&gt;0.075,"Excelente",W725&gt;0.04,"Bom",W725&gt;0,"Fraco",TRUE,"Prejuízo")</f>
        <v>Bom</v>
      </c>
    </row>
    <row r="726" spans="1:25" ht="15" customHeight="1" x14ac:dyDescent="0.2">
      <c r="A726" s="15" t="s">
        <v>1552</v>
      </c>
      <c r="B726" s="60">
        <v>59158642</v>
      </c>
      <c r="C726" s="15" t="s">
        <v>1117</v>
      </c>
      <c r="D726" s="15"/>
      <c r="E726" s="15" t="s">
        <v>1118</v>
      </c>
      <c r="F726" s="15" t="s">
        <v>84</v>
      </c>
      <c r="G726" s="34">
        <v>3</v>
      </c>
      <c r="H726" s="34">
        <v>41</v>
      </c>
      <c r="I726" s="15" t="s">
        <v>107</v>
      </c>
      <c r="J726" s="15" t="s">
        <v>39</v>
      </c>
      <c r="K726" s="74" t="s">
        <v>29</v>
      </c>
      <c r="L726" s="16">
        <v>387181</v>
      </c>
      <c r="M726" s="16">
        <v>45014</v>
      </c>
      <c r="N726" s="16">
        <v>13158</v>
      </c>
      <c r="O726" s="16">
        <v>345309</v>
      </c>
      <c r="P726" s="16">
        <v>103674</v>
      </c>
      <c r="Q726" s="16">
        <v>41872</v>
      </c>
      <c r="R726" s="16">
        <v>-14693</v>
      </c>
      <c r="S726" s="16">
        <v>1</v>
      </c>
      <c r="T726" s="16">
        <v>0</v>
      </c>
      <c r="U726" s="15" t="str">
        <f t="shared" si="44"/>
        <v>Privado Estrangeiro</v>
      </c>
      <c r="V726" s="17">
        <f t="shared" si="45"/>
        <v>0.11626087023898383</v>
      </c>
      <c r="W726" s="17">
        <f t="shared" si="46"/>
        <v>-0.35090275124188003</v>
      </c>
      <c r="X726" s="15" t="str">
        <f t="shared" si="47"/>
        <v>Média/Pequena</v>
      </c>
      <c r="Y726" s="121" t="str" cm="1">
        <f t="array" ref="Y726">_xlfn.IFS(ISNUMBER(W726)=FALSE,"Sem dado",W726&gt;0.075,"Excelente",W726&gt;0.04,"Bom",W726&gt;0,"Fraco",TRUE,"Prejuízo")</f>
        <v>Prejuízo</v>
      </c>
    </row>
    <row r="727" spans="1:25" ht="15" customHeight="1" x14ac:dyDescent="0.2">
      <c r="A727" s="12" t="s">
        <v>1553</v>
      </c>
      <c r="B727" s="56">
        <v>4406371</v>
      </c>
      <c r="C727" s="12"/>
      <c r="D727" s="12"/>
      <c r="E727" s="12"/>
      <c r="F727" s="12" t="s">
        <v>265</v>
      </c>
      <c r="G727" s="33">
        <v>2</v>
      </c>
      <c r="H727" s="33">
        <v>9</v>
      </c>
      <c r="I727" s="12" t="s">
        <v>388</v>
      </c>
      <c r="J727" s="12" t="s">
        <v>389</v>
      </c>
      <c r="K727" s="73" t="s">
        <v>29</v>
      </c>
      <c r="L727" s="13">
        <v>385171</v>
      </c>
      <c r="M727" s="13">
        <v>172237</v>
      </c>
      <c r="N727" s="13">
        <v>709</v>
      </c>
      <c r="O727" s="13">
        <v>351567</v>
      </c>
      <c r="P727" s="13">
        <v>312201</v>
      </c>
      <c r="Q727" s="13">
        <v>33604</v>
      </c>
      <c r="R727" s="13">
        <v>-3197</v>
      </c>
      <c r="S727" s="13">
        <v>0</v>
      </c>
      <c r="T727" s="13">
        <v>13</v>
      </c>
      <c r="U727" s="12" t="str">
        <f t="shared" si="44"/>
        <v>Privado Nacional</v>
      </c>
      <c r="V727" s="14">
        <f t="shared" si="45"/>
        <v>0.44717021790321704</v>
      </c>
      <c r="W727" s="14">
        <f t="shared" si="46"/>
        <v>-9.5137483632900852E-2</v>
      </c>
      <c r="X727" s="12" t="str">
        <f t="shared" si="47"/>
        <v>Média/Pequena</v>
      </c>
      <c r="Y727" s="122" t="str" cm="1">
        <f t="array" ref="Y727">_xlfn.IFS(ISNUMBER(W727)=FALSE,"Sem dado",W727&gt;0.075,"Excelente",W727&gt;0.04,"Bom",W727&gt;0,"Fraco",TRUE,"Prejuízo")</f>
        <v>Prejuízo</v>
      </c>
    </row>
    <row r="728" spans="1:25" ht="15" customHeight="1" x14ac:dyDescent="0.2">
      <c r="A728" s="15" t="s">
        <v>1554</v>
      </c>
      <c r="B728" s="60">
        <v>11760553</v>
      </c>
      <c r="C728" s="15" t="s">
        <v>1555</v>
      </c>
      <c r="D728" s="15"/>
      <c r="E728" s="15" t="s">
        <v>1556</v>
      </c>
      <c r="F728" s="15" t="s">
        <v>65</v>
      </c>
      <c r="G728" s="34">
        <v>2</v>
      </c>
      <c r="H728" s="34">
        <v>14</v>
      </c>
      <c r="I728" s="15" t="s">
        <v>1557</v>
      </c>
      <c r="J728" s="15" t="s">
        <v>229</v>
      </c>
      <c r="K728" s="74" t="s">
        <v>29</v>
      </c>
      <c r="L728" s="16">
        <v>384597</v>
      </c>
      <c r="M728" s="16">
        <v>259987</v>
      </c>
      <c r="N728" s="16">
        <v>78727</v>
      </c>
      <c r="O728" s="16">
        <v>189910</v>
      </c>
      <c r="P728" s="16">
        <v>137190</v>
      </c>
      <c r="Q728" s="16">
        <v>194687</v>
      </c>
      <c r="R728" s="16">
        <v>20724</v>
      </c>
      <c r="S728" s="16">
        <v>2</v>
      </c>
      <c r="T728" s="16">
        <v>0</v>
      </c>
      <c r="U728" s="15" t="str">
        <f t="shared" si="44"/>
        <v>Privado Nacional</v>
      </c>
      <c r="V728" s="17">
        <f t="shared" si="45"/>
        <v>0.67599851272890843</v>
      </c>
      <c r="W728" s="17">
        <f t="shared" si="46"/>
        <v>0.10644778541967363</v>
      </c>
      <c r="X728" s="15" t="str">
        <f t="shared" si="47"/>
        <v>Média/Pequena</v>
      </c>
      <c r="Y728" s="121" t="str" cm="1">
        <f t="array" ref="Y728">_xlfn.IFS(ISNUMBER(W728)=FALSE,"Sem dado",W728&gt;0.075,"Excelente",W728&gt;0.04,"Bom",W728&gt;0,"Fraco",TRUE,"Prejuízo")</f>
        <v>Excelente</v>
      </c>
    </row>
    <row r="729" spans="1:25" ht="15" customHeight="1" x14ac:dyDescent="0.2">
      <c r="A729" s="12" t="s">
        <v>1558</v>
      </c>
      <c r="B729" s="56">
        <v>1848322</v>
      </c>
      <c r="C729" s="12"/>
      <c r="D729" s="12"/>
      <c r="E729" s="12"/>
      <c r="F729" s="12" t="s">
        <v>265</v>
      </c>
      <c r="G729" s="33">
        <v>2</v>
      </c>
      <c r="H729" s="33">
        <v>9</v>
      </c>
      <c r="I729" s="12" t="s">
        <v>943</v>
      </c>
      <c r="J729" s="12" t="s">
        <v>229</v>
      </c>
      <c r="K729" s="73" t="s">
        <v>29</v>
      </c>
      <c r="L729" s="13">
        <v>383568</v>
      </c>
      <c r="M729" s="13">
        <v>244139</v>
      </c>
      <c r="N729" s="13">
        <v>8749</v>
      </c>
      <c r="O729" s="13">
        <v>343531</v>
      </c>
      <c r="P729" s="13">
        <v>335760</v>
      </c>
      <c r="Q729" s="13">
        <v>40036</v>
      </c>
      <c r="R729" s="13">
        <v>-9897</v>
      </c>
      <c r="S729" s="13">
        <v>0</v>
      </c>
      <c r="T729" s="13">
        <v>17</v>
      </c>
      <c r="U729" s="12" t="str">
        <f t="shared" si="44"/>
        <v>Privado Nacional</v>
      </c>
      <c r="V729" s="14">
        <f t="shared" si="45"/>
        <v>0.63649470237350347</v>
      </c>
      <c r="W729" s="14">
        <f t="shared" si="46"/>
        <v>-0.24720251773403937</v>
      </c>
      <c r="X729" s="12" t="str">
        <f t="shared" si="47"/>
        <v>Média/Pequena</v>
      </c>
      <c r="Y729" s="122" t="str" cm="1">
        <f t="array" ref="Y729">_xlfn.IFS(ISNUMBER(W729)=FALSE,"Sem dado",W729&gt;0.075,"Excelente",W729&gt;0.04,"Bom",W729&gt;0,"Fraco",TRUE,"Prejuízo")</f>
        <v>Prejuízo</v>
      </c>
    </row>
    <row r="730" spans="1:25" ht="15" customHeight="1" x14ac:dyDescent="0.2">
      <c r="A730" s="15" t="s">
        <v>1559</v>
      </c>
      <c r="B730" s="60">
        <v>9343038</v>
      </c>
      <c r="C730" s="15"/>
      <c r="D730" s="15"/>
      <c r="E730" s="15"/>
      <c r="F730" s="15" t="s">
        <v>265</v>
      </c>
      <c r="G730" s="34">
        <v>2</v>
      </c>
      <c r="H730" s="34">
        <v>9</v>
      </c>
      <c r="I730" s="15" t="s">
        <v>1560</v>
      </c>
      <c r="J730" s="15" t="s">
        <v>578</v>
      </c>
      <c r="K730" s="74" t="s">
        <v>29</v>
      </c>
      <c r="L730" s="16">
        <v>383223</v>
      </c>
      <c r="M730" s="16">
        <v>180278</v>
      </c>
      <c r="N730" s="16">
        <v>152565</v>
      </c>
      <c r="O730" s="16">
        <v>300585</v>
      </c>
      <c r="P730" s="16">
        <v>273121</v>
      </c>
      <c r="Q730" s="16">
        <v>82638</v>
      </c>
      <c r="R730" s="16">
        <v>6841</v>
      </c>
      <c r="S730" s="16">
        <v>0</v>
      </c>
      <c r="T730" s="16">
        <v>8</v>
      </c>
      <c r="U730" s="15" t="str">
        <f t="shared" si="44"/>
        <v>Privado Nacional</v>
      </c>
      <c r="V730" s="17">
        <f t="shared" si="45"/>
        <v>0.47042583561007562</v>
      </c>
      <c r="W730" s="17">
        <f t="shared" si="46"/>
        <v>8.2782739175681894E-2</v>
      </c>
      <c r="X730" s="15" t="str">
        <f t="shared" si="47"/>
        <v>Média/Pequena</v>
      </c>
      <c r="Y730" s="121" t="str" cm="1">
        <f t="array" ref="Y730">_xlfn.IFS(ISNUMBER(W730)=FALSE,"Sem dado",W730&gt;0.075,"Excelente",W730&gt;0.04,"Bom",W730&gt;0,"Fraco",TRUE,"Prejuízo")</f>
        <v>Excelente</v>
      </c>
    </row>
    <row r="731" spans="1:25" ht="15" customHeight="1" x14ac:dyDescent="0.2">
      <c r="A731" s="12" t="s">
        <v>1561</v>
      </c>
      <c r="B731" s="56">
        <v>41255225</v>
      </c>
      <c r="C731" s="12"/>
      <c r="D731" s="12"/>
      <c r="E731" s="12"/>
      <c r="F731" s="12" t="s">
        <v>265</v>
      </c>
      <c r="G731" s="33">
        <v>2</v>
      </c>
      <c r="H731" s="33">
        <v>9</v>
      </c>
      <c r="I731" s="12" t="s">
        <v>1562</v>
      </c>
      <c r="J731" s="12" t="s">
        <v>1078</v>
      </c>
      <c r="K731" s="73" t="s">
        <v>29</v>
      </c>
      <c r="L731" s="13">
        <v>383029</v>
      </c>
      <c r="M731" s="13">
        <v>148235</v>
      </c>
      <c r="N731" s="13">
        <v>212561</v>
      </c>
      <c r="O731" s="13">
        <v>309384</v>
      </c>
      <c r="P731" s="13">
        <v>278556</v>
      </c>
      <c r="Q731" s="13">
        <v>73645</v>
      </c>
      <c r="R731" s="13">
        <v>4531</v>
      </c>
      <c r="S731" s="13">
        <v>0</v>
      </c>
      <c r="T731" s="13">
        <v>8</v>
      </c>
      <c r="U731" s="12" t="str">
        <f t="shared" si="44"/>
        <v>Privado Nacional</v>
      </c>
      <c r="V731" s="14">
        <f t="shared" si="45"/>
        <v>0.38700725010377807</v>
      </c>
      <c r="W731" s="14">
        <f t="shared" si="46"/>
        <v>6.1524882884106187E-2</v>
      </c>
      <c r="X731" s="12" t="str">
        <f t="shared" si="47"/>
        <v>Média/Pequena</v>
      </c>
      <c r="Y731" s="122" t="str" cm="1">
        <f t="array" ref="Y731">_xlfn.IFS(ISNUMBER(W731)=FALSE,"Sem dado",W731&gt;0.075,"Excelente",W731&gt;0.04,"Bom",W731&gt;0,"Fraco",TRUE,"Prejuízo")</f>
        <v>Bom</v>
      </c>
    </row>
    <row r="732" spans="1:25" ht="15" customHeight="1" x14ac:dyDescent="0.2">
      <c r="A732" s="15" t="s">
        <v>1563</v>
      </c>
      <c r="B732" s="60">
        <v>5269976</v>
      </c>
      <c r="C732" s="15"/>
      <c r="D732" s="15"/>
      <c r="E732" s="15"/>
      <c r="F732" s="15" t="s">
        <v>265</v>
      </c>
      <c r="G732" s="34">
        <v>2</v>
      </c>
      <c r="H732" s="34">
        <v>9</v>
      </c>
      <c r="I732" s="15" t="s">
        <v>1564</v>
      </c>
      <c r="J732" s="15" t="s">
        <v>217</v>
      </c>
      <c r="K732" s="74" t="s">
        <v>29</v>
      </c>
      <c r="L732" s="16">
        <v>381553</v>
      </c>
      <c r="M732" s="16">
        <v>208639</v>
      </c>
      <c r="N732" s="16">
        <v>17775</v>
      </c>
      <c r="O732" s="16">
        <v>321224</v>
      </c>
      <c r="P732" s="16">
        <v>207678</v>
      </c>
      <c r="Q732" s="16">
        <v>60329</v>
      </c>
      <c r="R732" s="16">
        <v>910</v>
      </c>
      <c r="S732" s="16">
        <v>0</v>
      </c>
      <c r="T732" s="16">
        <v>13</v>
      </c>
      <c r="U732" s="15" t="str">
        <f t="shared" si="44"/>
        <v>Privado Nacional</v>
      </c>
      <c r="V732" s="17">
        <f t="shared" si="45"/>
        <v>0.54681525240268058</v>
      </c>
      <c r="W732" s="17">
        <f t="shared" si="46"/>
        <v>1.508395630625404E-2</v>
      </c>
      <c r="X732" s="15" t="str">
        <f t="shared" si="47"/>
        <v>Média/Pequena</v>
      </c>
      <c r="Y732" s="121" t="str" cm="1">
        <f t="array" ref="Y732">_xlfn.IFS(ISNUMBER(W732)=FALSE,"Sem dado",W732&gt;0.075,"Excelente",W732&gt;0.04,"Bom",W732&gt;0,"Fraco",TRUE,"Prejuízo")</f>
        <v>Fraco</v>
      </c>
    </row>
    <row r="733" spans="1:25" ht="15" customHeight="1" x14ac:dyDescent="0.2">
      <c r="A733" s="12" t="s">
        <v>1565</v>
      </c>
      <c r="B733" s="56">
        <v>2282165</v>
      </c>
      <c r="C733" s="12"/>
      <c r="D733" s="12"/>
      <c r="E733" s="12"/>
      <c r="F733" s="12" t="s">
        <v>265</v>
      </c>
      <c r="G733" s="33">
        <v>2</v>
      </c>
      <c r="H733" s="33">
        <v>9</v>
      </c>
      <c r="I733" s="12" t="s">
        <v>1566</v>
      </c>
      <c r="J733" s="12" t="s">
        <v>211</v>
      </c>
      <c r="K733" s="73" t="s">
        <v>29</v>
      </c>
      <c r="L733" s="13">
        <v>380829</v>
      </c>
      <c r="M733" s="13">
        <v>147244</v>
      </c>
      <c r="N733" s="13">
        <v>16465</v>
      </c>
      <c r="O733" s="13">
        <v>311666</v>
      </c>
      <c r="P733" s="13">
        <v>297408</v>
      </c>
      <c r="Q733" s="13">
        <v>69164</v>
      </c>
      <c r="R733" s="13">
        <v>8726</v>
      </c>
      <c r="S733" s="13">
        <v>0</v>
      </c>
      <c r="T733" s="13">
        <v>10</v>
      </c>
      <c r="U733" s="12" t="str">
        <f t="shared" si="44"/>
        <v>Privado Nacional</v>
      </c>
      <c r="V733" s="14">
        <f t="shared" si="45"/>
        <v>0.3866407232642472</v>
      </c>
      <c r="W733" s="14">
        <f t="shared" si="46"/>
        <v>0.12616390029495114</v>
      </c>
      <c r="X733" s="12" t="str">
        <f t="shared" si="47"/>
        <v>Média/Pequena</v>
      </c>
      <c r="Y733" s="122" t="str" cm="1">
        <f t="array" ref="Y733">_xlfn.IFS(ISNUMBER(W733)=FALSE,"Sem dado",W733&gt;0.075,"Excelente",W733&gt;0.04,"Bom",W733&gt;0,"Fraco",TRUE,"Prejuízo")</f>
        <v>Excelente</v>
      </c>
    </row>
    <row r="734" spans="1:25" ht="15" customHeight="1" x14ac:dyDescent="0.2">
      <c r="A734" s="15" t="s">
        <v>1567</v>
      </c>
      <c r="B734" s="60">
        <v>4565791</v>
      </c>
      <c r="C734" s="15"/>
      <c r="D734" s="15"/>
      <c r="E734" s="15"/>
      <c r="F734" s="15" t="s">
        <v>265</v>
      </c>
      <c r="G734" s="34">
        <v>2</v>
      </c>
      <c r="H734" s="34">
        <v>9</v>
      </c>
      <c r="I734" s="15" t="s">
        <v>1568</v>
      </c>
      <c r="J734" s="15" t="s">
        <v>74</v>
      </c>
      <c r="K734" s="74" t="s">
        <v>29</v>
      </c>
      <c r="L734" s="16">
        <v>378912</v>
      </c>
      <c r="M734" s="16">
        <v>229009</v>
      </c>
      <c r="N734" s="16">
        <v>15238</v>
      </c>
      <c r="O734" s="16">
        <v>331658</v>
      </c>
      <c r="P734" s="16">
        <v>220410</v>
      </c>
      <c r="Q734" s="16">
        <v>47254</v>
      </c>
      <c r="R734" s="16">
        <v>2417</v>
      </c>
      <c r="S734" s="16">
        <v>0</v>
      </c>
      <c r="T734" s="16">
        <v>5</v>
      </c>
      <c r="U734" s="15" t="str">
        <f t="shared" si="44"/>
        <v>Privado Nacional</v>
      </c>
      <c r="V734" s="17">
        <f t="shared" si="45"/>
        <v>0.60438571488894521</v>
      </c>
      <c r="W734" s="17">
        <f t="shared" si="46"/>
        <v>5.1149109070131628E-2</v>
      </c>
      <c r="X734" s="15" t="str">
        <f t="shared" si="47"/>
        <v>Média/Pequena</v>
      </c>
      <c r="Y734" s="121" t="str" cm="1">
        <f t="array" ref="Y734">_xlfn.IFS(ISNUMBER(W734)=FALSE,"Sem dado",W734&gt;0.075,"Excelente",W734&gt;0.04,"Bom",W734&gt;0,"Fraco",TRUE,"Prejuízo")</f>
        <v>Bom</v>
      </c>
    </row>
    <row r="735" spans="1:25" ht="15" customHeight="1" x14ac:dyDescent="0.2">
      <c r="A735" s="12" t="s">
        <v>1569</v>
      </c>
      <c r="B735" s="56">
        <v>1073966</v>
      </c>
      <c r="C735" s="12"/>
      <c r="D735" s="12"/>
      <c r="E735" s="12"/>
      <c r="F735" s="12" t="s">
        <v>265</v>
      </c>
      <c r="G735" s="33">
        <v>2</v>
      </c>
      <c r="H735" s="33">
        <v>9</v>
      </c>
      <c r="I735" s="12" t="s">
        <v>1570</v>
      </c>
      <c r="J735" s="12" t="s">
        <v>217</v>
      </c>
      <c r="K735" s="73" t="s">
        <v>29</v>
      </c>
      <c r="L735" s="13">
        <v>378720</v>
      </c>
      <c r="M735" s="13">
        <v>204680</v>
      </c>
      <c r="N735" s="13">
        <v>112995</v>
      </c>
      <c r="O735" s="13">
        <v>303610</v>
      </c>
      <c r="P735" s="13">
        <v>289037</v>
      </c>
      <c r="Q735" s="13">
        <v>75110</v>
      </c>
      <c r="R735" s="13">
        <v>1322</v>
      </c>
      <c r="S735" s="13">
        <v>0</v>
      </c>
      <c r="T735" s="13">
        <v>17</v>
      </c>
      <c r="U735" s="12" t="str">
        <f t="shared" si="44"/>
        <v>Privado Nacional</v>
      </c>
      <c r="V735" s="14">
        <f t="shared" si="45"/>
        <v>0.54045204900718213</v>
      </c>
      <c r="W735" s="14">
        <f t="shared" si="46"/>
        <v>1.7600852083610705E-2</v>
      </c>
      <c r="X735" s="12" t="str">
        <f t="shared" si="47"/>
        <v>Média/Pequena</v>
      </c>
      <c r="Y735" s="122" t="str" cm="1">
        <f t="array" ref="Y735">_xlfn.IFS(ISNUMBER(W735)=FALSE,"Sem dado",W735&gt;0.075,"Excelente",W735&gt;0.04,"Bom",W735&gt;0,"Fraco",TRUE,"Prejuízo")</f>
        <v>Fraco</v>
      </c>
    </row>
    <row r="736" spans="1:25" ht="15" customHeight="1" x14ac:dyDescent="0.2">
      <c r="A736" s="15" t="s">
        <v>1571</v>
      </c>
      <c r="B736" s="60">
        <v>33254319</v>
      </c>
      <c r="C736" s="15" t="s">
        <v>41</v>
      </c>
      <c r="D736" s="15" t="s">
        <v>42</v>
      </c>
      <c r="E736" s="15" t="s">
        <v>43</v>
      </c>
      <c r="F736" s="15" t="s">
        <v>60</v>
      </c>
      <c r="G736" s="34">
        <v>2</v>
      </c>
      <c r="H736" s="34">
        <v>8</v>
      </c>
      <c r="I736" s="15" t="s">
        <v>44</v>
      </c>
      <c r="J736" s="15" t="s">
        <v>39</v>
      </c>
      <c r="K736" s="74" t="s">
        <v>29</v>
      </c>
      <c r="L736" s="16">
        <v>378208</v>
      </c>
      <c r="M736" s="16">
        <v>3779</v>
      </c>
      <c r="N736" s="16">
        <v>174499</v>
      </c>
      <c r="O736" s="16">
        <v>110327</v>
      </c>
      <c r="P736" s="16">
        <v>0</v>
      </c>
      <c r="Q736" s="16">
        <v>267882</v>
      </c>
      <c r="R736" s="16">
        <v>10254</v>
      </c>
      <c r="S736" s="16">
        <v>2</v>
      </c>
      <c r="T736" s="16">
        <v>0</v>
      </c>
      <c r="U736" s="15" t="str">
        <f t="shared" si="44"/>
        <v>Privado Nacional</v>
      </c>
      <c r="V736" s="17">
        <f t="shared" si="45"/>
        <v>9.991856333023099E-3</v>
      </c>
      <c r="W736" s="17">
        <f t="shared" si="46"/>
        <v>3.827804779716442E-2</v>
      </c>
      <c r="X736" s="15" t="str">
        <f t="shared" si="47"/>
        <v>Média/Pequena</v>
      </c>
      <c r="Y736" s="121" t="str" cm="1">
        <f t="array" ref="Y736">_xlfn.IFS(ISNUMBER(W736)=FALSE,"Sem dado",W736&gt;0.075,"Excelente",W736&gt;0.04,"Bom",W736&gt;0,"Fraco",TRUE,"Prejuízo")</f>
        <v>Fraco</v>
      </c>
    </row>
    <row r="737" spans="1:25" ht="15" customHeight="1" x14ac:dyDescent="0.2">
      <c r="A737" s="12" t="s">
        <v>1572</v>
      </c>
      <c r="B737" s="56">
        <v>40867163</v>
      </c>
      <c r="C737" s="12" t="s">
        <v>569</v>
      </c>
      <c r="D737" s="12" t="s">
        <v>570</v>
      </c>
      <c r="E737" s="12" t="s">
        <v>571</v>
      </c>
      <c r="F737" s="12" t="s">
        <v>65</v>
      </c>
      <c r="G737" s="33">
        <v>2</v>
      </c>
      <c r="H737" s="33">
        <v>43</v>
      </c>
      <c r="I737" s="12" t="s">
        <v>38</v>
      </c>
      <c r="J737" s="12" t="s">
        <v>39</v>
      </c>
      <c r="K737" s="73" t="s">
        <v>29</v>
      </c>
      <c r="L737" s="13">
        <v>370962</v>
      </c>
      <c r="M737" s="13">
        <v>0</v>
      </c>
      <c r="N737" s="13">
        <v>313879</v>
      </c>
      <c r="O737" s="13">
        <v>4072</v>
      </c>
      <c r="P737" s="13">
        <v>507</v>
      </c>
      <c r="Q737" s="13">
        <v>366889</v>
      </c>
      <c r="R737" s="13">
        <v>7829</v>
      </c>
      <c r="S737" s="13">
        <v>2</v>
      </c>
      <c r="T737" s="13">
        <v>0</v>
      </c>
      <c r="U737" s="12" t="str">
        <f t="shared" si="44"/>
        <v>Privado Nacional</v>
      </c>
      <c r="V737" s="14">
        <f t="shared" si="45"/>
        <v>0</v>
      </c>
      <c r="W737" s="14">
        <f t="shared" si="46"/>
        <v>2.1338879061514517E-2</v>
      </c>
      <c r="X737" s="12" t="str">
        <f t="shared" si="47"/>
        <v>Média/Pequena</v>
      </c>
      <c r="Y737" s="122" t="str" cm="1">
        <f t="array" ref="Y737">_xlfn.IFS(ISNUMBER(W737)=FALSE,"Sem dado",W737&gt;0.075,"Excelente",W737&gt;0.04,"Bom",W737&gt;0,"Fraco",TRUE,"Prejuízo")</f>
        <v>Fraco</v>
      </c>
    </row>
    <row r="738" spans="1:25" ht="15" customHeight="1" x14ac:dyDescent="0.2">
      <c r="A738" s="15" t="s">
        <v>1573</v>
      </c>
      <c r="B738" s="60">
        <v>66670</v>
      </c>
      <c r="C738" s="15" t="s">
        <v>41</v>
      </c>
      <c r="D738" s="15" t="s">
        <v>42</v>
      </c>
      <c r="E738" s="15" t="s">
        <v>43</v>
      </c>
      <c r="F738" s="15" t="s">
        <v>98</v>
      </c>
      <c r="G738" s="34">
        <v>2</v>
      </c>
      <c r="H738" s="34">
        <v>16</v>
      </c>
      <c r="I738" s="15" t="s">
        <v>44</v>
      </c>
      <c r="J738" s="15" t="s">
        <v>39</v>
      </c>
      <c r="K738" s="74" t="s">
        <v>29</v>
      </c>
      <c r="L738" s="16">
        <v>370675</v>
      </c>
      <c r="M738" s="16">
        <v>0</v>
      </c>
      <c r="N738" s="16">
        <v>299541</v>
      </c>
      <c r="O738" s="16">
        <v>95934</v>
      </c>
      <c r="P738" s="16">
        <v>64918</v>
      </c>
      <c r="Q738" s="16">
        <v>274741</v>
      </c>
      <c r="R738" s="16">
        <v>22632</v>
      </c>
      <c r="S738" s="16">
        <v>2</v>
      </c>
      <c r="T738" s="16">
        <v>0</v>
      </c>
      <c r="U738" s="15" t="str">
        <f t="shared" si="44"/>
        <v>Privado Nacional</v>
      </c>
      <c r="V738" s="17">
        <f t="shared" si="45"/>
        <v>0</v>
      </c>
      <c r="W738" s="17">
        <f t="shared" si="46"/>
        <v>8.2375764811222205E-2</v>
      </c>
      <c r="X738" s="15" t="str">
        <f t="shared" si="47"/>
        <v>Média/Pequena</v>
      </c>
      <c r="Y738" s="121" t="str" cm="1">
        <f t="array" ref="Y738">_xlfn.IFS(ISNUMBER(W738)=FALSE,"Sem dado",W738&gt;0.075,"Excelente",W738&gt;0.04,"Bom",W738&gt;0,"Fraco",TRUE,"Prejuízo")</f>
        <v>Excelente</v>
      </c>
    </row>
    <row r="739" spans="1:25" ht="15" customHeight="1" x14ac:dyDescent="0.2">
      <c r="A739" s="12" t="s">
        <v>1574</v>
      </c>
      <c r="B739" s="56">
        <v>33862244</v>
      </c>
      <c r="C739" s="12" t="s">
        <v>1575</v>
      </c>
      <c r="D739" s="12"/>
      <c r="E739" s="12" t="s">
        <v>1576</v>
      </c>
      <c r="F739" s="12" t="s">
        <v>98</v>
      </c>
      <c r="G739" s="33">
        <v>3</v>
      </c>
      <c r="H739" s="33">
        <v>16</v>
      </c>
      <c r="I739" s="12" t="s">
        <v>53</v>
      </c>
      <c r="J739" s="12" t="s">
        <v>54</v>
      </c>
      <c r="K739" s="73" t="s">
        <v>29</v>
      </c>
      <c r="L739" s="13">
        <v>370283</v>
      </c>
      <c r="M739" s="13">
        <v>0</v>
      </c>
      <c r="N739" s="13">
        <v>206223</v>
      </c>
      <c r="O739" s="13">
        <v>103678</v>
      </c>
      <c r="P739" s="13">
        <v>1444</v>
      </c>
      <c r="Q739" s="13">
        <v>266605</v>
      </c>
      <c r="R739" s="13">
        <v>22646</v>
      </c>
      <c r="S739" s="13">
        <v>3</v>
      </c>
      <c r="T739" s="13">
        <v>0</v>
      </c>
      <c r="U739" s="12" t="str">
        <f t="shared" si="44"/>
        <v>Privado Estrangeiro</v>
      </c>
      <c r="V739" s="14">
        <f t="shared" si="45"/>
        <v>0</v>
      </c>
      <c r="W739" s="14">
        <f t="shared" si="46"/>
        <v>8.4942142870538806E-2</v>
      </c>
      <c r="X739" s="12" t="str">
        <f t="shared" si="47"/>
        <v>Média/Pequena</v>
      </c>
      <c r="Y739" s="122" t="str" cm="1">
        <f t="array" ref="Y739">_xlfn.IFS(ISNUMBER(W739)=FALSE,"Sem dado",W739&gt;0.075,"Excelente",W739&gt;0.04,"Bom",W739&gt;0,"Fraco",TRUE,"Prejuízo")</f>
        <v>Excelente</v>
      </c>
    </row>
    <row r="740" spans="1:25" ht="15" customHeight="1" x14ac:dyDescent="0.2">
      <c r="A740" s="15" t="s">
        <v>1577</v>
      </c>
      <c r="B740" s="60">
        <v>51342763</v>
      </c>
      <c r="C740" s="15" t="s">
        <v>1578</v>
      </c>
      <c r="D740" s="15"/>
      <c r="E740" s="15" t="s">
        <v>1579</v>
      </c>
      <c r="F740" s="15" t="s">
        <v>65</v>
      </c>
      <c r="G740" s="34">
        <v>3</v>
      </c>
      <c r="H740" s="34">
        <v>43</v>
      </c>
      <c r="I740" s="15" t="s">
        <v>38</v>
      </c>
      <c r="J740" s="15" t="s">
        <v>39</v>
      </c>
      <c r="K740" s="74" t="s">
        <v>29</v>
      </c>
      <c r="L740" s="16">
        <v>370005</v>
      </c>
      <c r="M740" s="16">
        <v>45884</v>
      </c>
      <c r="N740" s="16">
        <v>102552</v>
      </c>
      <c r="O740" s="16">
        <v>260376</v>
      </c>
      <c r="P740" s="16">
        <v>156904</v>
      </c>
      <c r="Q740" s="16">
        <v>109628</v>
      </c>
      <c r="R740" s="16">
        <v>55</v>
      </c>
      <c r="S740" s="16">
        <v>2</v>
      </c>
      <c r="T740" s="16">
        <v>0</v>
      </c>
      <c r="U740" s="15" t="str">
        <f t="shared" si="44"/>
        <v>Privado Estrangeiro</v>
      </c>
      <c r="V740" s="17">
        <f t="shared" si="45"/>
        <v>0.12400913501168903</v>
      </c>
      <c r="W740" s="17">
        <f t="shared" si="46"/>
        <v>5.0169664684204763E-4</v>
      </c>
      <c r="X740" s="15" t="str">
        <f t="shared" si="47"/>
        <v>Média/Pequena</v>
      </c>
      <c r="Y740" s="121" t="str" cm="1">
        <f t="array" ref="Y740">_xlfn.IFS(ISNUMBER(W740)=FALSE,"Sem dado",W740&gt;0.075,"Excelente",W740&gt;0.04,"Bom",W740&gt;0,"Fraco",TRUE,"Prejuízo")</f>
        <v>Fraco</v>
      </c>
    </row>
    <row r="741" spans="1:25" ht="15" customHeight="1" x14ac:dyDescent="0.2">
      <c r="A741" s="12" t="s">
        <v>1580</v>
      </c>
      <c r="B741" s="56">
        <v>97489280</v>
      </c>
      <c r="C741" s="12"/>
      <c r="D741" s="12"/>
      <c r="E741" s="12"/>
      <c r="F741" s="12" t="s">
        <v>265</v>
      </c>
      <c r="G741" s="33">
        <v>2</v>
      </c>
      <c r="H741" s="33">
        <v>9</v>
      </c>
      <c r="I741" s="12" t="s">
        <v>1581</v>
      </c>
      <c r="J741" s="12" t="s">
        <v>211</v>
      </c>
      <c r="K741" s="73" t="s">
        <v>29</v>
      </c>
      <c r="L741" s="13">
        <v>369319</v>
      </c>
      <c r="M741" s="13">
        <v>156450</v>
      </c>
      <c r="N741" s="13">
        <v>149898</v>
      </c>
      <c r="O741" s="13">
        <v>320017</v>
      </c>
      <c r="P741" s="13">
        <v>253477</v>
      </c>
      <c r="Q741" s="13">
        <v>49302</v>
      </c>
      <c r="R741" s="13">
        <v>793</v>
      </c>
      <c r="S741" s="13">
        <v>0</v>
      </c>
      <c r="T741" s="13">
        <v>7</v>
      </c>
      <c r="U741" s="12" t="str">
        <f t="shared" si="44"/>
        <v>Privado Nacional</v>
      </c>
      <c r="V741" s="14">
        <f t="shared" si="45"/>
        <v>0.42361752306271816</v>
      </c>
      <c r="W741" s="14">
        <f t="shared" si="46"/>
        <v>1.6084540180925724E-2</v>
      </c>
      <c r="X741" s="12" t="str">
        <f t="shared" si="47"/>
        <v>Média/Pequena</v>
      </c>
      <c r="Y741" s="122" t="str" cm="1">
        <f t="array" ref="Y741">_xlfn.IFS(ISNUMBER(W741)=FALSE,"Sem dado",W741&gt;0.075,"Excelente",W741&gt;0.04,"Bom",W741&gt;0,"Fraco",TRUE,"Prejuízo")</f>
        <v>Fraco</v>
      </c>
    </row>
    <row r="742" spans="1:25" ht="15" customHeight="1" x14ac:dyDescent="0.2">
      <c r="A742" s="15" t="s">
        <v>1582</v>
      </c>
      <c r="B742" s="60">
        <v>3183937</v>
      </c>
      <c r="C742" s="15" t="s">
        <v>1583</v>
      </c>
      <c r="D742" s="15"/>
      <c r="E742" s="15" t="s">
        <v>1584</v>
      </c>
      <c r="F742" s="15" t="s">
        <v>65</v>
      </c>
      <c r="G742" s="34">
        <v>1</v>
      </c>
      <c r="H742" s="34">
        <v>30</v>
      </c>
      <c r="I742" s="15" t="s">
        <v>1585</v>
      </c>
      <c r="J742" s="15" t="s">
        <v>1586</v>
      </c>
      <c r="K742" s="74" t="s">
        <v>29</v>
      </c>
      <c r="L742" s="16">
        <v>367623</v>
      </c>
      <c r="M742" s="16">
        <v>36329</v>
      </c>
      <c r="N742" s="16">
        <v>312303</v>
      </c>
      <c r="O742" s="16">
        <v>212345</v>
      </c>
      <c r="P742" s="16">
        <v>0</v>
      </c>
      <c r="Q742" s="16">
        <v>155278</v>
      </c>
      <c r="R742" s="16">
        <v>10606</v>
      </c>
      <c r="S742" s="16">
        <v>2</v>
      </c>
      <c r="T742" s="16">
        <v>0</v>
      </c>
      <c r="U742" s="15" t="str">
        <f t="shared" si="44"/>
        <v>Público</v>
      </c>
      <c r="V742" s="17">
        <f t="shared" si="45"/>
        <v>9.8821346868939106E-2</v>
      </c>
      <c r="W742" s="17">
        <f t="shared" si="46"/>
        <v>6.8303301175955386E-2</v>
      </c>
      <c r="X742" s="15" t="str">
        <f t="shared" si="47"/>
        <v>Média/Pequena</v>
      </c>
      <c r="Y742" s="121" t="str" cm="1">
        <f t="array" ref="Y742">_xlfn.IFS(ISNUMBER(W742)=FALSE,"Sem dado",W742&gt;0.075,"Excelente",W742&gt;0.04,"Bom",W742&gt;0,"Fraco",TRUE,"Prejuízo")</f>
        <v>Bom</v>
      </c>
    </row>
    <row r="743" spans="1:25" ht="15" customHeight="1" x14ac:dyDescent="0.2">
      <c r="A743" s="12" t="s">
        <v>1587</v>
      </c>
      <c r="B743" s="56">
        <v>4379829</v>
      </c>
      <c r="C743" s="12" t="s">
        <v>1588</v>
      </c>
      <c r="D743" s="12"/>
      <c r="E743" s="12" t="s">
        <v>1589</v>
      </c>
      <c r="F743" s="12" t="s">
        <v>65</v>
      </c>
      <c r="G743" s="33">
        <v>2</v>
      </c>
      <c r="H743" s="33">
        <v>14</v>
      </c>
      <c r="I743" s="12" t="s">
        <v>228</v>
      </c>
      <c r="J743" s="12" t="s">
        <v>229</v>
      </c>
      <c r="K743" s="73" t="s">
        <v>29</v>
      </c>
      <c r="L743" s="13">
        <v>367063</v>
      </c>
      <c r="M743" s="13">
        <v>288262</v>
      </c>
      <c r="N743" s="13">
        <v>0</v>
      </c>
      <c r="O743" s="13">
        <v>285061</v>
      </c>
      <c r="P743" s="13">
        <v>266487</v>
      </c>
      <c r="Q743" s="13">
        <v>82002</v>
      </c>
      <c r="R743" s="13">
        <v>16772</v>
      </c>
      <c r="S743" s="13">
        <v>2</v>
      </c>
      <c r="T743" s="13">
        <v>0</v>
      </c>
      <c r="U743" s="12" t="str">
        <f t="shared" si="44"/>
        <v>Privado Nacional</v>
      </c>
      <c r="V743" s="14">
        <f t="shared" si="45"/>
        <v>0.78532023113198557</v>
      </c>
      <c r="W743" s="14">
        <f t="shared" si="46"/>
        <v>0.20453159679032218</v>
      </c>
      <c r="X743" s="12" t="str">
        <f t="shared" si="47"/>
        <v>Média/Pequena</v>
      </c>
      <c r="Y743" s="122" t="str" cm="1">
        <f t="array" ref="Y743">_xlfn.IFS(ISNUMBER(W743)=FALSE,"Sem dado",W743&gt;0.075,"Excelente",W743&gt;0.04,"Bom",W743&gt;0,"Fraco",TRUE,"Prejuízo")</f>
        <v>Excelente</v>
      </c>
    </row>
    <row r="744" spans="1:25" ht="15" customHeight="1" x14ac:dyDescent="0.2">
      <c r="A744" s="15" t="s">
        <v>1590</v>
      </c>
      <c r="B744" s="60">
        <v>31749596</v>
      </c>
      <c r="C744" s="15" t="s">
        <v>35</v>
      </c>
      <c r="D744" s="15" t="s">
        <v>36</v>
      </c>
      <c r="E744" s="15" t="s">
        <v>37</v>
      </c>
      <c r="F744" s="15" t="s">
        <v>98</v>
      </c>
      <c r="G744" s="34">
        <v>2</v>
      </c>
      <c r="H744" s="34">
        <v>15</v>
      </c>
      <c r="I744" s="15" t="s">
        <v>38</v>
      </c>
      <c r="J744" s="15" t="s">
        <v>39</v>
      </c>
      <c r="K744" s="74" t="s">
        <v>29</v>
      </c>
      <c r="L744" s="16">
        <v>366312</v>
      </c>
      <c r="M744" s="16">
        <v>0</v>
      </c>
      <c r="N744" s="16">
        <v>291405</v>
      </c>
      <c r="O744" s="16">
        <v>69522</v>
      </c>
      <c r="P744" s="16">
        <v>24358</v>
      </c>
      <c r="Q744" s="16">
        <v>296790</v>
      </c>
      <c r="R744" s="16">
        <v>11095</v>
      </c>
      <c r="S744" s="16">
        <v>2</v>
      </c>
      <c r="T744" s="16">
        <v>0</v>
      </c>
      <c r="U744" s="15" t="str">
        <f t="shared" si="44"/>
        <v>Privado Nacional</v>
      </c>
      <c r="V744" s="17">
        <f t="shared" si="45"/>
        <v>0</v>
      </c>
      <c r="W744" s="17">
        <f t="shared" si="46"/>
        <v>3.7383335018026216E-2</v>
      </c>
      <c r="X744" s="15" t="str">
        <f t="shared" si="47"/>
        <v>Média/Pequena</v>
      </c>
      <c r="Y744" s="121" t="str" cm="1">
        <f t="array" ref="Y744">_xlfn.IFS(ISNUMBER(W744)=FALSE,"Sem dado",W744&gt;0.075,"Excelente",W744&gt;0.04,"Bom",W744&gt;0,"Fraco",TRUE,"Prejuízo")</f>
        <v>Fraco</v>
      </c>
    </row>
    <row r="745" spans="1:25" ht="15" customHeight="1" x14ac:dyDescent="0.2">
      <c r="A745" s="12" t="s">
        <v>1591</v>
      </c>
      <c r="B745" s="56">
        <v>2876918</v>
      </c>
      <c r="C745" s="12"/>
      <c r="D745" s="12"/>
      <c r="E745" s="12"/>
      <c r="F745" s="12" t="s">
        <v>265</v>
      </c>
      <c r="G745" s="33">
        <v>2</v>
      </c>
      <c r="H745" s="33">
        <v>9</v>
      </c>
      <c r="I745" s="12" t="s">
        <v>1592</v>
      </c>
      <c r="J745" s="12" t="s">
        <v>211</v>
      </c>
      <c r="K745" s="73" t="s">
        <v>29</v>
      </c>
      <c r="L745" s="13">
        <v>365232</v>
      </c>
      <c r="M745" s="13">
        <v>237219</v>
      </c>
      <c r="N745" s="13">
        <v>12987</v>
      </c>
      <c r="O745" s="13">
        <v>312039</v>
      </c>
      <c r="P745" s="13">
        <v>283273</v>
      </c>
      <c r="Q745" s="13">
        <v>53192</v>
      </c>
      <c r="R745" s="13">
        <v>3840</v>
      </c>
      <c r="S745" s="13">
        <v>0</v>
      </c>
      <c r="T745" s="13">
        <v>11</v>
      </c>
      <c r="U745" s="12" t="str">
        <f t="shared" si="44"/>
        <v>Privado Nacional</v>
      </c>
      <c r="V745" s="14">
        <f t="shared" si="45"/>
        <v>0.64950223419634645</v>
      </c>
      <c r="W745" s="14">
        <f t="shared" si="46"/>
        <v>7.2191306963453147E-2</v>
      </c>
      <c r="X745" s="12" t="str">
        <f t="shared" si="47"/>
        <v>Média/Pequena</v>
      </c>
      <c r="Y745" s="122" t="str" cm="1">
        <f t="array" ref="Y745">_xlfn.IFS(ISNUMBER(W745)=FALSE,"Sem dado",W745&gt;0.075,"Excelente",W745&gt;0.04,"Bom",W745&gt;0,"Fraco",TRUE,"Prejuízo")</f>
        <v>Bom</v>
      </c>
    </row>
    <row r="746" spans="1:25" ht="15" customHeight="1" x14ac:dyDescent="0.2">
      <c r="A746" s="15" t="s">
        <v>1593</v>
      </c>
      <c r="B746" s="60">
        <v>37631058</v>
      </c>
      <c r="C746" s="15"/>
      <c r="D746" s="15"/>
      <c r="E746" s="15"/>
      <c r="F746" s="15" t="s">
        <v>265</v>
      </c>
      <c r="G746" s="34">
        <v>2</v>
      </c>
      <c r="H746" s="34">
        <v>9</v>
      </c>
      <c r="I746" s="15" t="s">
        <v>1594</v>
      </c>
      <c r="J746" s="15" t="s">
        <v>389</v>
      </c>
      <c r="K746" s="74" t="s">
        <v>29</v>
      </c>
      <c r="L746" s="16">
        <v>362440</v>
      </c>
      <c r="M746" s="16">
        <v>191527</v>
      </c>
      <c r="N746" s="16">
        <v>23950</v>
      </c>
      <c r="O746" s="16">
        <v>255977</v>
      </c>
      <c r="P746" s="16">
        <v>228955</v>
      </c>
      <c r="Q746" s="16">
        <v>106462</v>
      </c>
      <c r="R746" s="16">
        <v>-7187</v>
      </c>
      <c r="S746" s="16">
        <v>0</v>
      </c>
      <c r="T746" s="16">
        <v>10</v>
      </c>
      <c r="U746" s="15" t="str">
        <f t="shared" si="44"/>
        <v>Privado Nacional</v>
      </c>
      <c r="V746" s="17">
        <f t="shared" si="45"/>
        <v>0.52843781039620352</v>
      </c>
      <c r="W746" s="17">
        <f t="shared" si="46"/>
        <v>-6.7507655313633036E-2</v>
      </c>
      <c r="X746" s="15" t="str">
        <f t="shared" si="47"/>
        <v>Média/Pequena</v>
      </c>
      <c r="Y746" s="121" t="str" cm="1">
        <f t="array" ref="Y746">_xlfn.IFS(ISNUMBER(W746)=FALSE,"Sem dado",W746&gt;0.075,"Excelente",W746&gt;0.04,"Bom",W746&gt;0,"Fraco",TRUE,"Prejuízo")</f>
        <v>Prejuízo</v>
      </c>
    </row>
    <row r="747" spans="1:25" ht="15" customHeight="1" x14ac:dyDescent="0.2">
      <c r="A747" s="12" t="s">
        <v>1595</v>
      </c>
      <c r="B747" s="56">
        <v>26264220</v>
      </c>
      <c r="C747" s="12" t="s">
        <v>1596</v>
      </c>
      <c r="D747" s="12"/>
      <c r="E747" s="12" t="s">
        <v>1597</v>
      </c>
      <c r="F747" s="12" t="s">
        <v>84</v>
      </c>
      <c r="G747" s="33">
        <v>2</v>
      </c>
      <c r="H747" s="33">
        <v>41</v>
      </c>
      <c r="I747" s="12" t="s">
        <v>1133</v>
      </c>
      <c r="J747" s="12" t="s">
        <v>1078</v>
      </c>
      <c r="K747" s="73" t="s">
        <v>29</v>
      </c>
      <c r="L747" s="13">
        <v>360182</v>
      </c>
      <c r="M747" s="13">
        <v>0</v>
      </c>
      <c r="N747" s="13">
        <v>0</v>
      </c>
      <c r="O747" s="13">
        <v>346549</v>
      </c>
      <c r="P747" s="13">
        <v>337999</v>
      </c>
      <c r="Q747" s="13">
        <v>13633</v>
      </c>
      <c r="R747" s="13">
        <v>-1699</v>
      </c>
      <c r="S747" s="13">
        <v>1</v>
      </c>
      <c r="T747" s="13">
        <v>0</v>
      </c>
      <c r="U747" s="12" t="str">
        <f t="shared" si="44"/>
        <v>Privado Nacional</v>
      </c>
      <c r="V747" s="14">
        <f t="shared" si="45"/>
        <v>0</v>
      </c>
      <c r="W747" s="14">
        <f t="shared" si="46"/>
        <v>-0.1246240739382381</v>
      </c>
      <c r="X747" s="12" t="str">
        <f t="shared" si="47"/>
        <v>Média/Pequena</v>
      </c>
      <c r="Y747" s="122" t="str" cm="1">
        <f t="array" ref="Y747">_xlfn.IFS(ISNUMBER(W747)=FALSE,"Sem dado",W747&gt;0.075,"Excelente",W747&gt;0.04,"Bom",W747&gt;0,"Fraco",TRUE,"Prejuízo")</f>
        <v>Prejuízo</v>
      </c>
    </row>
    <row r="748" spans="1:25" ht="15" customHeight="1" x14ac:dyDescent="0.2">
      <c r="A748" s="15" t="s">
        <v>1598</v>
      </c>
      <c r="B748" s="60">
        <v>5856736</v>
      </c>
      <c r="C748" s="15"/>
      <c r="D748" s="15"/>
      <c r="E748" s="15"/>
      <c r="F748" s="15" t="s">
        <v>265</v>
      </c>
      <c r="G748" s="34">
        <v>2</v>
      </c>
      <c r="H748" s="34">
        <v>9</v>
      </c>
      <c r="I748" s="15" t="s">
        <v>27</v>
      </c>
      <c r="J748" s="15" t="s">
        <v>28</v>
      </c>
      <c r="K748" s="74" t="s">
        <v>29</v>
      </c>
      <c r="L748" s="16">
        <v>359006</v>
      </c>
      <c r="M748" s="16">
        <v>130573</v>
      </c>
      <c r="N748" s="16">
        <v>36251</v>
      </c>
      <c r="O748" s="16">
        <v>286599</v>
      </c>
      <c r="P748" s="16">
        <v>276510</v>
      </c>
      <c r="Q748" s="16">
        <v>72407</v>
      </c>
      <c r="R748" s="16">
        <v>-59</v>
      </c>
      <c r="S748" s="16">
        <v>0</v>
      </c>
      <c r="T748" s="16">
        <v>8</v>
      </c>
      <c r="U748" s="15" t="str">
        <f t="shared" si="44"/>
        <v>Privado Nacional</v>
      </c>
      <c r="V748" s="17">
        <f t="shared" si="45"/>
        <v>0.36370701325326038</v>
      </c>
      <c r="W748" s="17">
        <f t="shared" si="46"/>
        <v>-8.1483834435897083E-4</v>
      </c>
      <c r="X748" s="15" t="str">
        <f t="shared" si="47"/>
        <v>Média/Pequena</v>
      </c>
      <c r="Y748" s="121" t="str" cm="1">
        <f t="array" ref="Y748">_xlfn.IFS(ISNUMBER(W748)=FALSE,"Sem dado",W748&gt;0.075,"Excelente",W748&gt;0.04,"Bom",W748&gt;0,"Fraco",TRUE,"Prejuízo")</f>
        <v>Prejuízo</v>
      </c>
    </row>
    <row r="749" spans="1:25" ht="15" customHeight="1" x14ac:dyDescent="0.2">
      <c r="A749" s="12" t="s">
        <v>1599</v>
      </c>
      <c r="B749" s="56">
        <v>122327</v>
      </c>
      <c r="C749" s="12" t="s">
        <v>1600</v>
      </c>
      <c r="D749" s="12"/>
      <c r="E749" s="12" t="s">
        <v>1601</v>
      </c>
      <c r="F749" s="12" t="s">
        <v>65</v>
      </c>
      <c r="G749" s="33">
        <v>2</v>
      </c>
      <c r="H749" s="33">
        <v>14</v>
      </c>
      <c r="I749" s="12" t="s">
        <v>216</v>
      </c>
      <c r="J749" s="12" t="s">
        <v>217</v>
      </c>
      <c r="K749" s="73" t="s">
        <v>29</v>
      </c>
      <c r="L749" s="13">
        <v>358257</v>
      </c>
      <c r="M749" s="13">
        <v>288407</v>
      </c>
      <c r="N749" s="13">
        <v>6</v>
      </c>
      <c r="O749" s="13">
        <v>218919</v>
      </c>
      <c r="P749" s="13">
        <v>203839</v>
      </c>
      <c r="Q749" s="13">
        <v>139338</v>
      </c>
      <c r="R749" s="13">
        <v>4227</v>
      </c>
      <c r="S749" s="13">
        <v>6</v>
      </c>
      <c r="T749" s="13">
        <v>0</v>
      </c>
      <c r="U749" s="12" t="str">
        <f t="shared" si="44"/>
        <v>Privado Nacional</v>
      </c>
      <c r="V749" s="14">
        <f t="shared" si="45"/>
        <v>0.80502823392145861</v>
      </c>
      <c r="W749" s="14">
        <f t="shared" si="46"/>
        <v>3.0336304525685743E-2</v>
      </c>
      <c r="X749" s="12" t="str">
        <f t="shared" si="47"/>
        <v>Média/Pequena</v>
      </c>
      <c r="Y749" s="122" t="str" cm="1">
        <f t="array" ref="Y749">_xlfn.IFS(ISNUMBER(W749)=FALSE,"Sem dado",W749&gt;0.075,"Excelente",W749&gt;0.04,"Bom",W749&gt;0,"Fraco",TRUE,"Prejuízo")</f>
        <v>Fraco</v>
      </c>
    </row>
    <row r="750" spans="1:25" ht="15" customHeight="1" x14ac:dyDescent="0.2">
      <c r="A750" s="15" t="s">
        <v>1602</v>
      </c>
      <c r="B750" s="60">
        <v>10314753</v>
      </c>
      <c r="C750" s="15" t="s">
        <v>1603</v>
      </c>
      <c r="D750" s="15"/>
      <c r="E750" s="15" t="s">
        <v>1604</v>
      </c>
      <c r="F750" s="15" t="s">
        <v>84</v>
      </c>
      <c r="G750" s="34">
        <v>3</v>
      </c>
      <c r="H750" s="34">
        <v>41</v>
      </c>
      <c r="I750" s="15" t="s">
        <v>38</v>
      </c>
      <c r="J750" s="15" t="s">
        <v>39</v>
      </c>
      <c r="K750" s="74" t="s">
        <v>29</v>
      </c>
      <c r="L750" s="16">
        <v>357225</v>
      </c>
      <c r="M750" s="16">
        <v>0</v>
      </c>
      <c r="N750" s="16">
        <v>277484</v>
      </c>
      <c r="O750" s="16">
        <v>263548</v>
      </c>
      <c r="P750" s="16">
        <v>97606</v>
      </c>
      <c r="Q750" s="16">
        <v>93677</v>
      </c>
      <c r="R750" s="16">
        <v>16845</v>
      </c>
      <c r="S750" s="16">
        <v>1</v>
      </c>
      <c r="T750" s="16">
        <v>0</v>
      </c>
      <c r="U750" s="15" t="str">
        <f t="shared" si="44"/>
        <v>Privado Estrangeiro</v>
      </c>
      <c r="V750" s="17">
        <f t="shared" si="45"/>
        <v>0</v>
      </c>
      <c r="W750" s="17">
        <f t="shared" si="46"/>
        <v>0.17982001985546078</v>
      </c>
      <c r="X750" s="15" t="str">
        <f t="shared" si="47"/>
        <v>Média/Pequena</v>
      </c>
      <c r="Y750" s="121" t="str" cm="1">
        <f t="array" ref="Y750">_xlfn.IFS(ISNUMBER(W750)=FALSE,"Sem dado",W750&gt;0.075,"Excelente",W750&gt;0.04,"Bom",W750&gt;0,"Fraco",TRUE,"Prejuízo")</f>
        <v>Excelente</v>
      </c>
    </row>
    <row r="751" spans="1:25" ht="15" customHeight="1" x14ac:dyDescent="0.2">
      <c r="A751" s="12" t="s">
        <v>1605</v>
      </c>
      <c r="B751" s="56">
        <v>50735161</v>
      </c>
      <c r="C751" s="12"/>
      <c r="D751" s="12"/>
      <c r="E751" s="12"/>
      <c r="F751" s="12" t="s">
        <v>265</v>
      </c>
      <c r="G751" s="33">
        <v>2</v>
      </c>
      <c r="H751" s="33">
        <v>9</v>
      </c>
      <c r="I751" s="12" t="s">
        <v>1606</v>
      </c>
      <c r="J751" s="12" t="s">
        <v>329</v>
      </c>
      <c r="K751" s="73" t="s">
        <v>29</v>
      </c>
      <c r="L751" s="13">
        <v>354967</v>
      </c>
      <c r="M751" s="13">
        <v>269241</v>
      </c>
      <c r="N751" s="13">
        <v>5096</v>
      </c>
      <c r="O751" s="13">
        <v>317606</v>
      </c>
      <c r="P751" s="13">
        <v>205589</v>
      </c>
      <c r="Q751" s="13">
        <v>37361</v>
      </c>
      <c r="R751" s="13">
        <v>-3938</v>
      </c>
      <c r="S751" s="13">
        <v>0</v>
      </c>
      <c r="T751" s="13">
        <v>17</v>
      </c>
      <c r="U751" s="12" t="str">
        <f t="shared" si="44"/>
        <v>Privado Nacional</v>
      </c>
      <c r="V751" s="14">
        <f t="shared" si="45"/>
        <v>0.75849586017855186</v>
      </c>
      <c r="W751" s="14">
        <f t="shared" si="46"/>
        <v>-0.10540403094135596</v>
      </c>
      <c r="X751" s="12" t="str">
        <f t="shared" si="47"/>
        <v>Média/Pequena</v>
      </c>
      <c r="Y751" s="122" t="str" cm="1">
        <f t="array" ref="Y751">_xlfn.IFS(ISNUMBER(W751)=FALSE,"Sem dado",W751&gt;0.075,"Excelente",W751&gt;0.04,"Bom",W751&gt;0,"Fraco",TRUE,"Prejuízo")</f>
        <v>Prejuízo</v>
      </c>
    </row>
    <row r="752" spans="1:25" ht="15" customHeight="1" x14ac:dyDescent="0.2">
      <c r="A752" s="15" t="s">
        <v>1607</v>
      </c>
      <c r="B752" s="60">
        <v>5816451</v>
      </c>
      <c r="C752" s="15" t="s">
        <v>519</v>
      </c>
      <c r="D752" s="15" t="s">
        <v>520</v>
      </c>
      <c r="E752" s="15" t="s">
        <v>521</v>
      </c>
      <c r="F752" s="15" t="s">
        <v>98</v>
      </c>
      <c r="G752" s="34">
        <v>2</v>
      </c>
      <c r="H752" s="34">
        <v>15</v>
      </c>
      <c r="I752" s="15" t="s">
        <v>53</v>
      </c>
      <c r="J752" s="15" t="s">
        <v>54</v>
      </c>
      <c r="K752" s="74" t="s">
        <v>29</v>
      </c>
      <c r="L752" s="16">
        <v>354848</v>
      </c>
      <c r="M752" s="16">
        <v>421</v>
      </c>
      <c r="N752" s="16">
        <v>80904</v>
      </c>
      <c r="O752" s="16">
        <v>236939</v>
      </c>
      <c r="P752" s="16">
        <v>67365</v>
      </c>
      <c r="Q752" s="16">
        <v>117909</v>
      </c>
      <c r="R752" s="16">
        <v>-24896</v>
      </c>
      <c r="S752" s="16">
        <v>4</v>
      </c>
      <c r="T752" s="16">
        <v>2</v>
      </c>
      <c r="U752" s="15" t="str">
        <f t="shared" si="44"/>
        <v>Privado Nacional</v>
      </c>
      <c r="V752" s="17">
        <f t="shared" si="45"/>
        <v>1.1864234827306339E-3</v>
      </c>
      <c r="W752" s="17">
        <f t="shared" si="46"/>
        <v>-0.21114588368996429</v>
      </c>
      <c r="X752" s="15" t="str">
        <f t="shared" si="47"/>
        <v>Média/Pequena</v>
      </c>
      <c r="Y752" s="121" t="str" cm="1">
        <f t="array" ref="Y752">_xlfn.IFS(ISNUMBER(W752)=FALSE,"Sem dado",W752&gt;0.075,"Excelente",W752&gt;0.04,"Bom",W752&gt;0,"Fraco",TRUE,"Prejuízo")</f>
        <v>Prejuízo</v>
      </c>
    </row>
    <row r="753" spans="1:25" ht="15" customHeight="1" x14ac:dyDescent="0.2">
      <c r="A753" s="12" t="s">
        <v>1608</v>
      </c>
      <c r="B753" s="56">
        <v>7320890</v>
      </c>
      <c r="C753" s="12"/>
      <c r="D753" s="12"/>
      <c r="E753" s="12"/>
      <c r="F753" s="12" t="s">
        <v>265</v>
      </c>
      <c r="G753" s="33">
        <v>2</v>
      </c>
      <c r="H753" s="33">
        <v>9</v>
      </c>
      <c r="I753" s="12" t="s">
        <v>1609</v>
      </c>
      <c r="J753" s="12" t="s">
        <v>217</v>
      </c>
      <c r="K753" s="73" t="s">
        <v>29</v>
      </c>
      <c r="L753" s="13">
        <v>353490</v>
      </c>
      <c r="M753" s="13">
        <v>249888</v>
      </c>
      <c r="N753" s="13">
        <v>18485</v>
      </c>
      <c r="O753" s="13">
        <v>299063</v>
      </c>
      <c r="P753" s="13">
        <v>159413</v>
      </c>
      <c r="Q753" s="13">
        <v>54426</v>
      </c>
      <c r="R753" s="13">
        <v>2756</v>
      </c>
      <c r="S753" s="13">
        <v>0</v>
      </c>
      <c r="T753" s="13">
        <v>8</v>
      </c>
      <c r="U753" s="12" t="str">
        <f t="shared" si="44"/>
        <v>Privado Nacional</v>
      </c>
      <c r="V753" s="14">
        <f t="shared" si="45"/>
        <v>0.70691674446236108</v>
      </c>
      <c r="W753" s="14">
        <f t="shared" si="46"/>
        <v>5.0637562929482231E-2</v>
      </c>
      <c r="X753" s="12" t="str">
        <f t="shared" si="47"/>
        <v>Média/Pequena</v>
      </c>
      <c r="Y753" s="122" t="str" cm="1">
        <f t="array" ref="Y753">_xlfn.IFS(ISNUMBER(W753)=FALSE,"Sem dado",W753&gt;0.075,"Excelente",W753&gt;0.04,"Bom",W753&gt;0,"Fraco",TRUE,"Prejuízo")</f>
        <v>Bom</v>
      </c>
    </row>
    <row r="754" spans="1:25" ht="15" customHeight="1" x14ac:dyDescent="0.2">
      <c r="A754" s="15" t="s">
        <v>1610</v>
      </c>
      <c r="B754" s="60">
        <v>19307785</v>
      </c>
      <c r="C754" s="15" t="s">
        <v>1611</v>
      </c>
      <c r="D754" s="15"/>
      <c r="E754" s="15" t="s">
        <v>1612</v>
      </c>
      <c r="F754" s="15" t="s">
        <v>60</v>
      </c>
      <c r="G754" s="34">
        <v>2</v>
      </c>
      <c r="H754" s="34">
        <v>39</v>
      </c>
      <c r="I754" s="15" t="s">
        <v>228</v>
      </c>
      <c r="J754" s="15" t="s">
        <v>229</v>
      </c>
      <c r="K754" s="74" t="s">
        <v>29</v>
      </c>
      <c r="L754" s="16">
        <v>352776</v>
      </c>
      <c r="M754" s="16">
        <v>0</v>
      </c>
      <c r="N754" s="16">
        <v>173646</v>
      </c>
      <c r="O754" s="16">
        <v>274713</v>
      </c>
      <c r="P754" s="16">
        <v>149159</v>
      </c>
      <c r="Q754" s="16">
        <v>78063</v>
      </c>
      <c r="R754" s="16">
        <v>5414</v>
      </c>
      <c r="S754" s="16">
        <v>3</v>
      </c>
      <c r="T754" s="16">
        <v>0</v>
      </c>
      <c r="U754" s="15" t="str">
        <f t="shared" si="44"/>
        <v>Privado Nacional</v>
      </c>
      <c r="V754" s="17">
        <f t="shared" si="45"/>
        <v>0</v>
      </c>
      <c r="W754" s="17">
        <f t="shared" si="46"/>
        <v>6.9354239524486633E-2</v>
      </c>
      <c r="X754" s="15" t="str">
        <f t="shared" si="47"/>
        <v>Média/Pequena</v>
      </c>
      <c r="Y754" s="121" t="str" cm="1">
        <f t="array" ref="Y754">_xlfn.IFS(ISNUMBER(W754)=FALSE,"Sem dado",W754&gt;0.075,"Excelente",W754&gt;0.04,"Bom",W754&gt;0,"Fraco",TRUE,"Prejuízo")</f>
        <v>Bom</v>
      </c>
    </row>
    <row r="755" spans="1:25" ht="15" customHeight="1" x14ac:dyDescent="0.2">
      <c r="A755" s="12" t="s">
        <v>1613</v>
      </c>
      <c r="B755" s="56">
        <v>7070495</v>
      </c>
      <c r="C755" s="12"/>
      <c r="D755" s="12"/>
      <c r="E755" s="12"/>
      <c r="F755" s="12" t="s">
        <v>265</v>
      </c>
      <c r="G755" s="33">
        <v>2</v>
      </c>
      <c r="H755" s="33">
        <v>9</v>
      </c>
      <c r="I755" s="12" t="s">
        <v>228</v>
      </c>
      <c r="J755" s="12" t="s">
        <v>229</v>
      </c>
      <c r="K755" s="73" t="s">
        <v>29</v>
      </c>
      <c r="L755" s="13">
        <v>352468</v>
      </c>
      <c r="M755" s="13">
        <v>128232</v>
      </c>
      <c r="N755" s="13">
        <v>200751</v>
      </c>
      <c r="O755" s="13">
        <v>319935</v>
      </c>
      <c r="P755" s="13">
        <v>286930</v>
      </c>
      <c r="Q755" s="13">
        <v>32533</v>
      </c>
      <c r="R755" s="13">
        <v>3544</v>
      </c>
      <c r="S755" s="13">
        <v>0</v>
      </c>
      <c r="T755" s="13">
        <v>5</v>
      </c>
      <c r="U755" s="12" t="str">
        <f t="shared" si="44"/>
        <v>Privado Nacional</v>
      </c>
      <c r="V755" s="14">
        <f t="shared" si="45"/>
        <v>0.36381175028655083</v>
      </c>
      <c r="W755" s="14">
        <f t="shared" si="46"/>
        <v>0.10893554237236037</v>
      </c>
      <c r="X755" s="12" t="str">
        <f t="shared" si="47"/>
        <v>Média/Pequena</v>
      </c>
      <c r="Y755" s="122" t="str" cm="1">
        <f t="array" ref="Y755">_xlfn.IFS(ISNUMBER(W755)=FALSE,"Sem dado",W755&gt;0.075,"Excelente",W755&gt;0.04,"Bom",W755&gt;0,"Fraco",TRUE,"Prejuízo")</f>
        <v>Excelente</v>
      </c>
    </row>
    <row r="756" spans="1:25" ht="15" customHeight="1" x14ac:dyDescent="0.2">
      <c r="A756" s="15" t="s">
        <v>1614</v>
      </c>
      <c r="B756" s="60">
        <v>66259110</v>
      </c>
      <c r="C756" s="15"/>
      <c r="D756" s="15"/>
      <c r="E756" s="15"/>
      <c r="F756" s="15" t="s">
        <v>265</v>
      </c>
      <c r="G756" s="34">
        <v>2</v>
      </c>
      <c r="H756" s="34">
        <v>9</v>
      </c>
      <c r="I756" s="15" t="s">
        <v>1615</v>
      </c>
      <c r="J756" s="15" t="s">
        <v>120</v>
      </c>
      <c r="K756" s="74" t="s">
        <v>29</v>
      </c>
      <c r="L756" s="16">
        <v>352106</v>
      </c>
      <c r="M756" s="16">
        <v>113662</v>
      </c>
      <c r="N756" s="16">
        <v>8823</v>
      </c>
      <c r="O756" s="16">
        <v>283231</v>
      </c>
      <c r="P756" s="16">
        <v>250826</v>
      </c>
      <c r="Q756" s="16">
        <v>68874</v>
      </c>
      <c r="R756" s="16">
        <v>5401</v>
      </c>
      <c r="S756" s="16">
        <v>0</v>
      </c>
      <c r="T756" s="16">
        <v>3</v>
      </c>
      <c r="U756" s="15" t="str">
        <f t="shared" si="44"/>
        <v>Privado Nacional</v>
      </c>
      <c r="V756" s="17">
        <f t="shared" si="45"/>
        <v>0.32280620040555968</v>
      </c>
      <c r="W756" s="17">
        <f t="shared" si="46"/>
        <v>7.8418561431018968E-2</v>
      </c>
      <c r="X756" s="15" t="str">
        <f t="shared" si="47"/>
        <v>Média/Pequena</v>
      </c>
      <c r="Y756" s="121" t="str" cm="1">
        <f t="array" ref="Y756">_xlfn.IFS(ISNUMBER(W756)=FALSE,"Sem dado",W756&gt;0.075,"Excelente",W756&gt;0.04,"Bom",W756&gt;0,"Fraco",TRUE,"Prejuízo")</f>
        <v>Excelente</v>
      </c>
    </row>
    <row r="757" spans="1:25" ht="15" customHeight="1" x14ac:dyDescent="0.2">
      <c r="A757" s="12" t="s">
        <v>1616</v>
      </c>
      <c r="B757" s="56">
        <v>36947229</v>
      </c>
      <c r="C757" s="12" t="s">
        <v>799</v>
      </c>
      <c r="D757" s="12"/>
      <c r="E757" s="12" t="s">
        <v>800</v>
      </c>
      <c r="F757" s="12" t="s">
        <v>65</v>
      </c>
      <c r="G757" s="33">
        <v>2</v>
      </c>
      <c r="H757" s="33">
        <v>14</v>
      </c>
      <c r="I757" s="12" t="s">
        <v>801</v>
      </c>
      <c r="J757" s="12" t="s">
        <v>120</v>
      </c>
      <c r="K757" s="73" t="s">
        <v>29</v>
      </c>
      <c r="L757" s="13">
        <v>351933</v>
      </c>
      <c r="M757" s="13">
        <v>254</v>
      </c>
      <c r="N757" s="13">
        <v>287610</v>
      </c>
      <c r="O757" s="13">
        <v>305485</v>
      </c>
      <c r="P757" s="13">
        <v>248814</v>
      </c>
      <c r="Q757" s="13">
        <v>46448</v>
      </c>
      <c r="R757" s="13">
        <v>503</v>
      </c>
      <c r="S757" s="13">
        <v>3</v>
      </c>
      <c r="T757" s="13">
        <v>0</v>
      </c>
      <c r="U757" s="12" t="str">
        <f t="shared" si="44"/>
        <v>Privado Nacional</v>
      </c>
      <c r="V757" s="14">
        <f t="shared" si="45"/>
        <v>7.217282835085087E-4</v>
      </c>
      <c r="W757" s="14">
        <f t="shared" si="46"/>
        <v>1.0829314502239062E-2</v>
      </c>
      <c r="X757" s="12" t="str">
        <f t="shared" si="47"/>
        <v>Média/Pequena</v>
      </c>
      <c r="Y757" s="122" t="str" cm="1">
        <f t="array" ref="Y757">_xlfn.IFS(ISNUMBER(W757)=FALSE,"Sem dado",W757&gt;0.075,"Excelente",W757&gt;0.04,"Bom",W757&gt;0,"Fraco",TRUE,"Prejuízo")</f>
        <v>Fraco</v>
      </c>
    </row>
    <row r="758" spans="1:25" ht="15" customHeight="1" x14ac:dyDescent="0.2">
      <c r="A758" s="15" t="s">
        <v>1617</v>
      </c>
      <c r="B758" s="60">
        <v>7714057</v>
      </c>
      <c r="C758" s="15"/>
      <c r="D758" s="15"/>
      <c r="E758" s="15"/>
      <c r="F758" s="15" t="s">
        <v>265</v>
      </c>
      <c r="G758" s="34">
        <v>2</v>
      </c>
      <c r="H758" s="34">
        <v>9</v>
      </c>
      <c r="I758" s="15" t="s">
        <v>73</v>
      </c>
      <c r="J758" s="15" t="s">
        <v>74</v>
      </c>
      <c r="K758" s="74" t="s">
        <v>29</v>
      </c>
      <c r="L758" s="16">
        <v>351349</v>
      </c>
      <c r="M758" s="16">
        <v>103767</v>
      </c>
      <c r="N758" s="16">
        <v>5563</v>
      </c>
      <c r="O758" s="16">
        <v>316455</v>
      </c>
      <c r="P758" s="16">
        <v>284970</v>
      </c>
      <c r="Q758" s="16">
        <v>34894</v>
      </c>
      <c r="R758" s="16">
        <v>5600</v>
      </c>
      <c r="S758" s="16">
        <v>0</v>
      </c>
      <c r="T758" s="16">
        <v>1</v>
      </c>
      <c r="U758" s="15" t="str">
        <f t="shared" si="44"/>
        <v>Privado Nacional</v>
      </c>
      <c r="V758" s="17">
        <f t="shared" si="45"/>
        <v>0.2953388226521208</v>
      </c>
      <c r="W758" s="17">
        <f t="shared" si="46"/>
        <v>0.16048604344586462</v>
      </c>
      <c r="X758" s="15" t="str">
        <f t="shared" si="47"/>
        <v>Média/Pequena</v>
      </c>
      <c r="Y758" s="121" t="str" cm="1">
        <f t="array" ref="Y758">_xlfn.IFS(ISNUMBER(W758)=FALSE,"Sem dado",W758&gt;0.075,"Excelente",W758&gt;0.04,"Bom",W758&gt;0,"Fraco",TRUE,"Prejuízo")</f>
        <v>Excelente</v>
      </c>
    </row>
    <row r="759" spans="1:25" ht="15" customHeight="1" x14ac:dyDescent="0.2">
      <c r="A759" s="12" t="s">
        <v>1618</v>
      </c>
      <c r="B759" s="56">
        <v>8611734</v>
      </c>
      <c r="C759" s="12" t="s">
        <v>1619</v>
      </c>
      <c r="D759" s="12"/>
      <c r="E759" s="12" t="s">
        <v>1620</v>
      </c>
      <c r="F759" s="12" t="s">
        <v>84</v>
      </c>
      <c r="G759" s="33">
        <v>2</v>
      </c>
      <c r="H759" s="33">
        <v>41</v>
      </c>
      <c r="I759" s="12" t="s">
        <v>1621</v>
      </c>
      <c r="J759" s="12" t="s">
        <v>217</v>
      </c>
      <c r="K759" s="73" t="s">
        <v>29</v>
      </c>
      <c r="L759" s="13">
        <v>346363</v>
      </c>
      <c r="M759" s="13">
        <v>203899</v>
      </c>
      <c r="N759" s="13">
        <v>72366</v>
      </c>
      <c r="O759" s="13">
        <v>251084</v>
      </c>
      <c r="P759" s="13">
        <v>6734</v>
      </c>
      <c r="Q759" s="13">
        <v>95279</v>
      </c>
      <c r="R759" s="13">
        <v>-1496</v>
      </c>
      <c r="S759" s="13">
        <v>1</v>
      </c>
      <c r="T759" s="13">
        <v>0</v>
      </c>
      <c r="U759" s="12" t="str">
        <f t="shared" si="44"/>
        <v>Privado Nacional</v>
      </c>
      <c r="V759" s="14">
        <f t="shared" si="45"/>
        <v>0.58868585847795518</v>
      </c>
      <c r="W759" s="14">
        <f t="shared" si="46"/>
        <v>-1.5701256310414677E-2</v>
      </c>
      <c r="X759" s="12" t="str">
        <f t="shared" si="47"/>
        <v>Média/Pequena</v>
      </c>
      <c r="Y759" s="122" t="str" cm="1">
        <f t="array" ref="Y759">_xlfn.IFS(ISNUMBER(W759)=FALSE,"Sem dado",W759&gt;0.075,"Excelente",W759&gt;0.04,"Bom",W759&gt;0,"Fraco",TRUE,"Prejuízo")</f>
        <v>Prejuízo</v>
      </c>
    </row>
    <row r="760" spans="1:25" ht="15" customHeight="1" x14ac:dyDescent="0.2">
      <c r="A760" s="15" t="s">
        <v>1622</v>
      </c>
      <c r="B760" s="60">
        <v>9437293</v>
      </c>
      <c r="C760" s="15" t="s">
        <v>1623</v>
      </c>
      <c r="D760" s="15"/>
      <c r="E760" s="15" t="s">
        <v>1624</v>
      </c>
      <c r="F760" s="15" t="s">
        <v>84</v>
      </c>
      <c r="G760" s="34">
        <v>3</v>
      </c>
      <c r="H760" s="34">
        <v>41</v>
      </c>
      <c r="I760" s="15" t="s">
        <v>38</v>
      </c>
      <c r="J760" s="15" t="s">
        <v>39</v>
      </c>
      <c r="K760" s="74" t="s">
        <v>29</v>
      </c>
      <c r="L760" s="16">
        <v>342801</v>
      </c>
      <c r="M760" s="16">
        <v>0</v>
      </c>
      <c r="N760" s="16">
        <v>0</v>
      </c>
      <c r="O760" s="16">
        <v>251590</v>
      </c>
      <c r="P760" s="16">
        <v>194284</v>
      </c>
      <c r="Q760" s="16">
        <v>91211</v>
      </c>
      <c r="R760" s="16">
        <v>1897</v>
      </c>
      <c r="S760" s="16">
        <v>1</v>
      </c>
      <c r="T760" s="16">
        <v>0</v>
      </c>
      <c r="U760" s="15" t="str">
        <f t="shared" si="44"/>
        <v>Privado Estrangeiro</v>
      </c>
      <c r="V760" s="17">
        <f t="shared" si="45"/>
        <v>0</v>
      </c>
      <c r="W760" s="17">
        <f t="shared" si="46"/>
        <v>2.0797930074223505E-2</v>
      </c>
      <c r="X760" s="15" t="str">
        <f t="shared" si="47"/>
        <v>Média/Pequena</v>
      </c>
      <c r="Y760" s="121" t="str" cm="1">
        <f t="array" ref="Y760">_xlfn.IFS(ISNUMBER(W760)=FALSE,"Sem dado",W760&gt;0.075,"Excelente",W760&gt;0.04,"Bom",W760&gt;0,"Fraco",TRUE,"Prejuízo")</f>
        <v>Fraco</v>
      </c>
    </row>
    <row r="761" spans="1:25" ht="15" customHeight="1" x14ac:dyDescent="0.2">
      <c r="A761" s="12" t="s">
        <v>1625</v>
      </c>
      <c r="B761" s="56">
        <v>7194313</v>
      </c>
      <c r="C761" s="12"/>
      <c r="D761" s="12"/>
      <c r="E761" s="12"/>
      <c r="F761" s="12" t="s">
        <v>265</v>
      </c>
      <c r="G761" s="33">
        <v>2</v>
      </c>
      <c r="H761" s="33">
        <v>9</v>
      </c>
      <c r="I761" s="12" t="s">
        <v>1626</v>
      </c>
      <c r="J761" s="12" t="s">
        <v>229</v>
      </c>
      <c r="K761" s="73" t="s">
        <v>29</v>
      </c>
      <c r="L761" s="13">
        <v>341705</v>
      </c>
      <c r="M761" s="13">
        <v>166712</v>
      </c>
      <c r="N761" s="13">
        <v>6044</v>
      </c>
      <c r="O761" s="13">
        <v>302559</v>
      </c>
      <c r="P761" s="13">
        <v>286431</v>
      </c>
      <c r="Q761" s="13">
        <v>39146</v>
      </c>
      <c r="R761" s="13">
        <v>3660</v>
      </c>
      <c r="S761" s="13">
        <v>0</v>
      </c>
      <c r="T761" s="13">
        <v>7</v>
      </c>
      <c r="U761" s="12" t="str">
        <f t="shared" si="44"/>
        <v>Privado Nacional</v>
      </c>
      <c r="V761" s="14">
        <f t="shared" si="45"/>
        <v>0.48788282290279628</v>
      </c>
      <c r="W761" s="14">
        <f t="shared" si="46"/>
        <v>9.349614264548102E-2</v>
      </c>
      <c r="X761" s="12" t="str">
        <f t="shared" si="47"/>
        <v>Média/Pequena</v>
      </c>
      <c r="Y761" s="122" t="str" cm="1">
        <f t="array" ref="Y761">_xlfn.IFS(ISNUMBER(W761)=FALSE,"Sem dado",W761&gt;0.075,"Excelente",W761&gt;0.04,"Bom",W761&gt;0,"Fraco",TRUE,"Prejuízo")</f>
        <v>Excelente</v>
      </c>
    </row>
    <row r="762" spans="1:25" ht="15" customHeight="1" x14ac:dyDescent="0.2">
      <c r="A762" s="15" t="s">
        <v>1627</v>
      </c>
      <c r="B762" s="60">
        <v>1609345</v>
      </c>
      <c r="C762" s="15"/>
      <c r="D762" s="15"/>
      <c r="E762" s="15"/>
      <c r="F762" s="15" t="s">
        <v>265</v>
      </c>
      <c r="G762" s="34">
        <v>2</v>
      </c>
      <c r="H762" s="34">
        <v>9</v>
      </c>
      <c r="I762" s="15" t="s">
        <v>1628</v>
      </c>
      <c r="J762" s="15" t="s">
        <v>120</v>
      </c>
      <c r="K762" s="74" t="s">
        <v>29</v>
      </c>
      <c r="L762" s="16">
        <v>340770</v>
      </c>
      <c r="M762" s="16">
        <v>222021</v>
      </c>
      <c r="N762" s="16">
        <v>13914</v>
      </c>
      <c r="O762" s="16">
        <v>292341</v>
      </c>
      <c r="P762" s="16">
        <v>185140</v>
      </c>
      <c r="Q762" s="16">
        <v>48429</v>
      </c>
      <c r="R762" s="16">
        <v>3149</v>
      </c>
      <c r="S762" s="16">
        <v>0</v>
      </c>
      <c r="T762" s="16">
        <v>1</v>
      </c>
      <c r="U762" s="15" t="str">
        <f t="shared" si="44"/>
        <v>Privado Nacional</v>
      </c>
      <c r="V762" s="17">
        <f t="shared" si="45"/>
        <v>0.65152742318866097</v>
      </c>
      <c r="W762" s="17">
        <f t="shared" si="46"/>
        <v>6.5023023395073196E-2</v>
      </c>
      <c r="X762" s="15" t="str">
        <f t="shared" si="47"/>
        <v>Média/Pequena</v>
      </c>
      <c r="Y762" s="121" t="str" cm="1">
        <f t="array" ref="Y762">_xlfn.IFS(ISNUMBER(W762)=FALSE,"Sem dado",W762&gt;0.075,"Excelente",W762&gt;0.04,"Bom",W762&gt;0,"Fraco",TRUE,"Prejuízo")</f>
        <v>Bom</v>
      </c>
    </row>
    <row r="763" spans="1:25" ht="15" customHeight="1" x14ac:dyDescent="0.2">
      <c r="A763" s="12" t="s">
        <v>1629</v>
      </c>
      <c r="B763" s="56">
        <v>32343119</v>
      </c>
      <c r="C763" s="12" t="s">
        <v>1630</v>
      </c>
      <c r="D763" s="12"/>
      <c r="E763" s="12" t="s">
        <v>1631</v>
      </c>
      <c r="F763" s="12" t="s">
        <v>84</v>
      </c>
      <c r="G763" s="33">
        <v>2</v>
      </c>
      <c r="H763" s="33">
        <v>41</v>
      </c>
      <c r="I763" s="12" t="s">
        <v>132</v>
      </c>
      <c r="J763" s="12" t="s">
        <v>133</v>
      </c>
      <c r="K763" s="73" t="s">
        <v>29</v>
      </c>
      <c r="L763" s="13">
        <v>340340</v>
      </c>
      <c r="M763" s="13">
        <v>0</v>
      </c>
      <c r="N763" s="13">
        <v>144677</v>
      </c>
      <c r="O763" s="13">
        <v>274037</v>
      </c>
      <c r="P763" s="13">
        <v>111168</v>
      </c>
      <c r="Q763" s="13">
        <v>66303</v>
      </c>
      <c r="R763" s="13">
        <v>-44658</v>
      </c>
      <c r="S763" s="13">
        <v>1</v>
      </c>
      <c r="T763" s="13">
        <v>0</v>
      </c>
      <c r="U763" s="12" t="str">
        <f t="shared" si="44"/>
        <v>Privado Nacional</v>
      </c>
      <c r="V763" s="14">
        <f t="shared" si="45"/>
        <v>0</v>
      </c>
      <c r="W763" s="14">
        <f t="shared" si="46"/>
        <v>-0.67354418352110768</v>
      </c>
      <c r="X763" s="12" t="str">
        <f t="shared" si="47"/>
        <v>Média/Pequena</v>
      </c>
      <c r="Y763" s="122" t="str" cm="1">
        <f t="array" ref="Y763">_xlfn.IFS(ISNUMBER(W763)=FALSE,"Sem dado",W763&gt;0.075,"Excelente",W763&gt;0.04,"Bom",W763&gt;0,"Fraco",TRUE,"Prejuízo")</f>
        <v>Prejuízo</v>
      </c>
    </row>
    <row r="764" spans="1:25" ht="15" customHeight="1" x14ac:dyDescent="0.2">
      <c r="A764" s="15" t="s">
        <v>1632</v>
      </c>
      <c r="B764" s="60">
        <v>86791837</v>
      </c>
      <c r="C764" s="15"/>
      <c r="D764" s="15"/>
      <c r="E764" s="15"/>
      <c r="F764" s="15" t="s">
        <v>265</v>
      </c>
      <c r="G764" s="34">
        <v>2</v>
      </c>
      <c r="H764" s="34">
        <v>9</v>
      </c>
      <c r="I764" s="15" t="s">
        <v>1633</v>
      </c>
      <c r="J764" s="15" t="s">
        <v>217</v>
      </c>
      <c r="K764" s="74" t="s">
        <v>29</v>
      </c>
      <c r="L764" s="16">
        <v>339655</v>
      </c>
      <c r="M764" s="16">
        <v>184257</v>
      </c>
      <c r="N764" s="16">
        <v>4548</v>
      </c>
      <c r="O764" s="16">
        <v>311207</v>
      </c>
      <c r="P764" s="16">
        <v>292246</v>
      </c>
      <c r="Q764" s="16">
        <v>28448</v>
      </c>
      <c r="R764" s="16">
        <v>68</v>
      </c>
      <c r="S764" s="16">
        <v>0</v>
      </c>
      <c r="T764" s="16">
        <v>8</v>
      </c>
      <c r="U764" s="15" t="str">
        <f t="shared" si="44"/>
        <v>Privado Nacional</v>
      </c>
      <c r="V764" s="17">
        <f t="shared" si="45"/>
        <v>0.54248281344305249</v>
      </c>
      <c r="W764" s="17">
        <f t="shared" si="46"/>
        <v>2.3903262092238469E-3</v>
      </c>
      <c r="X764" s="15" t="str">
        <f t="shared" si="47"/>
        <v>Média/Pequena</v>
      </c>
      <c r="Y764" s="121" t="str" cm="1">
        <f t="array" ref="Y764">_xlfn.IFS(ISNUMBER(W764)=FALSE,"Sem dado",W764&gt;0.075,"Excelente",W764&gt;0.04,"Bom",W764&gt;0,"Fraco",TRUE,"Prejuízo")</f>
        <v>Fraco</v>
      </c>
    </row>
    <row r="765" spans="1:25" ht="15" customHeight="1" x14ac:dyDescent="0.2">
      <c r="A765" s="12" t="s">
        <v>1634</v>
      </c>
      <c r="B765" s="56">
        <v>1439107</v>
      </c>
      <c r="C765" s="12"/>
      <c r="D765" s="12"/>
      <c r="E765" s="12"/>
      <c r="F765" s="12" t="s">
        <v>265</v>
      </c>
      <c r="G765" s="33">
        <v>2</v>
      </c>
      <c r="H765" s="33">
        <v>9</v>
      </c>
      <c r="I765" s="12" t="s">
        <v>1635</v>
      </c>
      <c r="J765" s="12" t="s">
        <v>39</v>
      </c>
      <c r="K765" s="73" t="s">
        <v>29</v>
      </c>
      <c r="L765" s="13">
        <v>337722</v>
      </c>
      <c r="M765" s="13">
        <v>198122</v>
      </c>
      <c r="N765" s="13">
        <v>88821</v>
      </c>
      <c r="O765" s="13">
        <v>26660</v>
      </c>
      <c r="P765" s="13">
        <v>0</v>
      </c>
      <c r="Q765" s="13">
        <v>311062</v>
      </c>
      <c r="R765" s="13">
        <v>19192</v>
      </c>
      <c r="S765" s="13">
        <v>0</v>
      </c>
      <c r="T765" s="13">
        <v>0</v>
      </c>
      <c r="U765" s="12" t="str">
        <f t="shared" si="44"/>
        <v>Privado Nacional</v>
      </c>
      <c r="V765" s="14">
        <f t="shared" si="45"/>
        <v>0.58664226790081786</v>
      </c>
      <c r="W765" s="14">
        <f t="shared" si="46"/>
        <v>6.1698310947656737E-2</v>
      </c>
      <c r="X765" s="12" t="str">
        <f t="shared" si="47"/>
        <v>Média/Pequena</v>
      </c>
      <c r="Y765" s="122" t="str" cm="1">
        <f t="array" ref="Y765">_xlfn.IFS(ISNUMBER(W765)=FALSE,"Sem dado",W765&gt;0.075,"Excelente",W765&gt;0.04,"Bom",W765&gt;0,"Fraco",TRUE,"Prejuízo")</f>
        <v>Bom</v>
      </c>
    </row>
    <row r="766" spans="1:25" ht="15" customHeight="1" x14ac:dyDescent="0.2">
      <c r="A766" s="15" t="s">
        <v>1636</v>
      </c>
      <c r="B766" s="60">
        <v>8071414</v>
      </c>
      <c r="C766" s="15"/>
      <c r="D766" s="15"/>
      <c r="E766" s="15"/>
      <c r="F766" s="15" t="s">
        <v>265</v>
      </c>
      <c r="G766" s="34">
        <v>2</v>
      </c>
      <c r="H766" s="34">
        <v>9</v>
      </c>
      <c r="I766" s="15" t="s">
        <v>262</v>
      </c>
      <c r="J766" s="15" t="s">
        <v>39</v>
      </c>
      <c r="K766" s="74" t="s">
        <v>29</v>
      </c>
      <c r="L766" s="16">
        <v>337262</v>
      </c>
      <c r="M766" s="16">
        <v>171995</v>
      </c>
      <c r="N766" s="16">
        <v>157265</v>
      </c>
      <c r="O766" s="16">
        <v>288493</v>
      </c>
      <c r="P766" s="16">
        <v>277721</v>
      </c>
      <c r="Q766" s="16">
        <v>48769</v>
      </c>
      <c r="R766" s="16">
        <v>1599</v>
      </c>
      <c r="S766" s="16">
        <v>0</v>
      </c>
      <c r="T766" s="16">
        <v>7</v>
      </c>
      <c r="U766" s="15" t="str">
        <f t="shared" si="44"/>
        <v>Privado Nacional</v>
      </c>
      <c r="V766" s="17">
        <f t="shared" si="45"/>
        <v>0.50997444123559721</v>
      </c>
      <c r="W766" s="17">
        <f t="shared" si="46"/>
        <v>3.2787221390637493E-2</v>
      </c>
      <c r="X766" s="15" t="str">
        <f t="shared" si="47"/>
        <v>Média/Pequena</v>
      </c>
      <c r="Y766" s="121" t="str" cm="1">
        <f t="array" ref="Y766">_xlfn.IFS(ISNUMBER(W766)=FALSE,"Sem dado",W766&gt;0.075,"Excelente",W766&gt;0.04,"Bom",W766&gt;0,"Fraco",TRUE,"Prejuízo")</f>
        <v>Fraco</v>
      </c>
    </row>
    <row r="767" spans="1:25" ht="15" customHeight="1" x14ac:dyDescent="0.2">
      <c r="A767" s="12" t="s">
        <v>1637</v>
      </c>
      <c r="B767" s="56">
        <v>3311443</v>
      </c>
      <c r="C767" s="12" t="s">
        <v>1638</v>
      </c>
      <c r="D767" s="12"/>
      <c r="E767" s="12" t="s">
        <v>1639</v>
      </c>
      <c r="F767" s="12" t="s">
        <v>65</v>
      </c>
      <c r="G767" s="33">
        <v>2</v>
      </c>
      <c r="H767" s="33">
        <v>14</v>
      </c>
      <c r="I767" s="12" t="s">
        <v>182</v>
      </c>
      <c r="J767" s="12" t="s">
        <v>183</v>
      </c>
      <c r="K767" s="73" t="s">
        <v>29</v>
      </c>
      <c r="L767" s="13">
        <v>336903</v>
      </c>
      <c r="M767" s="13">
        <v>40089</v>
      </c>
      <c r="N767" s="13">
        <v>50891</v>
      </c>
      <c r="O767" s="13">
        <v>237218</v>
      </c>
      <c r="P767" s="13">
        <v>140462</v>
      </c>
      <c r="Q767" s="13">
        <v>99685</v>
      </c>
      <c r="R767" s="13">
        <v>28286</v>
      </c>
      <c r="S767" s="13">
        <v>2</v>
      </c>
      <c r="T767" s="13">
        <v>0</v>
      </c>
      <c r="U767" s="12" t="str">
        <f t="shared" si="44"/>
        <v>Privado Nacional</v>
      </c>
      <c r="V767" s="14">
        <f t="shared" si="45"/>
        <v>0.11899270709966964</v>
      </c>
      <c r="W767" s="14">
        <f t="shared" si="46"/>
        <v>0.28375382454732406</v>
      </c>
      <c r="X767" s="12" t="str">
        <f t="shared" si="47"/>
        <v>Média/Pequena</v>
      </c>
      <c r="Y767" s="122" t="str" cm="1">
        <f t="array" ref="Y767">_xlfn.IFS(ISNUMBER(W767)=FALSE,"Sem dado",W767&gt;0.075,"Excelente",W767&gt;0.04,"Bom",W767&gt;0,"Fraco",TRUE,"Prejuízo")</f>
        <v>Excelente</v>
      </c>
    </row>
    <row r="768" spans="1:25" ht="15" customHeight="1" x14ac:dyDescent="0.2">
      <c r="A768" s="15" t="s">
        <v>1640</v>
      </c>
      <c r="B768" s="60">
        <v>3918382</v>
      </c>
      <c r="C768" s="15" t="s">
        <v>1641</v>
      </c>
      <c r="D768" s="15"/>
      <c r="E768" s="15" t="s">
        <v>1642</v>
      </c>
      <c r="F768" s="15" t="s">
        <v>65</v>
      </c>
      <c r="G768" s="34">
        <v>1</v>
      </c>
      <c r="H768" s="34">
        <v>30</v>
      </c>
      <c r="I768" s="15" t="s">
        <v>388</v>
      </c>
      <c r="J768" s="15" t="s">
        <v>389</v>
      </c>
      <c r="K768" s="74" t="s">
        <v>29</v>
      </c>
      <c r="L768" s="16">
        <v>336749</v>
      </c>
      <c r="M768" s="16">
        <v>144825</v>
      </c>
      <c r="N768" s="16">
        <v>164777</v>
      </c>
      <c r="O768" s="16">
        <v>124004</v>
      </c>
      <c r="P768" s="16">
        <v>96980</v>
      </c>
      <c r="Q768" s="16">
        <v>212745</v>
      </c>
      <c r="R768" s="16">
        <v>1046</v>
      </c>
      <c r="S768" s="16">
        <v>2</v>
      </c>
      <c r="T768" s="16">
        <v>0</v>
      </c>
      <c r="U768" s="15" t="str">
        <f t="shared" si="44"/>
        <v>Público</v>
      </c>
      <c r="V768" s="17">
        <f t="shared" si="45"/>
        <v>0.43006809225862586</v>
      </c>
      <c r="W768" s="17">
        <f t="shared" si="46"/>
        <v>4.9166842934029002E-3</v>
      </c>
      <c r="X768" s="15" t="str">
        <f t="shared" si="47"/>
        <v>Média/Pequena</v>
      </c>
      <c r="Y768" s="121" t="str" cm="1">
        <f t="array" ref="Y768">_xlfn.IFS(ISNUMBER(W768)=FALSE,"Sem dado",W768&gt;0.075,"Excelente",W768&gt;0.04,"Bom",W768&gt;0,"Fraco",TRUE,"Prejuízo")</f>
        <v>Fraco</v>
      </c>
    </row>
    <row r="769" spans="1:25" ht="15" customHeight="1" x14ac:dyDescent="0.2">
      <c r="A769" s="12" t="s">
        <v>1643</v>
      </c>
      <c r="B769" s="56">
        <v>1667352</v>
      </c>
      <c r="C769" s="12"/>
      <c r="D769" s="12"/>
      <c r="E769" s="12"/>
      <c r="F769" s="12" t="s">
        <v>265</v>
      </c>
      <c r="G769" s="33">
        <v>2</v>
      </c>
      <c r="H769" s="33">
        <v>9</v>
      </c>
      <c r="I769" s="12" t="s">
        <v>1644</v>
      </c>
      <c r="J769" s="12" t="s">
        <v>120</v>
      </c>
      <c r="K769" s="73" t="s">
        <v>29</v>
      </c>
      <c r="L769" s="13">
        <v>335236</v>
      </c>
      <c r="M769" s="13">
        <v>199638</v>
      </c>
      <c r="N769" s="13">
        <v>6208</v>
      </c>
      <c r="O769" s="13">
        <v>295427</v>
      </c>
      <c r="P769" s="13">
        <v>251242</v>
      </c>
      <c r="Q769" s="13">
        <v>39809</v>
      </c>
      <c r="R769" s="13">
        <v>3813</v>
      </c>
      <c r="S769" s="13">
        <v>0</v>
      </c>
      <c r="T769" s="13">
        <v>6</v>
      </c>
      <c r="U769" s="12" t="str">
        <f t="shared" si="44"/>
        <v>Privado Nacional</v>
      </c>
      <c r="V769" s="14">
        <f t="shared" si="45"/>
        <v>0.59551480151296399</v>
      </c>
      <c r="W769" s="14">
        <f t="shared" si="46"/>
        <v>9.578236077268959E-2</v>
      </c>
      <c r="X769" s="12" t="str">
        <f t="shared" si="47"/>
        <v>Média/Pequena</v>
      </c>
      <c r="Y769" s="122" t="str" cm="1">
        <f t="array" ref="Y769">_xlfn.IFS(ISNUMBER(W769)=FALSE,"Sem dado",W769&gt;0.075,"Excelente",W769&gt;0.04,"Bom",W769&gt;0,"Fraco",TRUE,"Prejuízo")</f>
        <v>Excelente</v>
      </c>
    </row>
    <row r="770" spans="1:25" ht="15" customHeight="1" x14ac:dyDescent="0.2">
      <c r="A770" s="15" t="s">
        <v>1645</v>
      </c>
      <c r="B770" s="60">
        <v>5425526</v>
      </c>
      <c r="C770" s="15"/>
      <c r="D770" s="15"/>
      <c r="E770" s="15"/>
      <c r="F770" s="15" t="s">
        <v>265</v>
      </c>
      <c r="G770" s="34">
        <v>2</v>
      </c>
      <c r="H770" s="34">
        <v>9</v>
      </c>
      <c r="I770" s="15" t="s">
        <v>608</v>
      </c>
      <c r="J770" s="15" t="s">
        <v>217</v>
      </c>
      <c r="K770" s="74" t="s">
        <v>29</v>
      </c>
      <c r="L770" s="16">
        <v>333262</v>
      </c>
      <c r="M770" s="16">
        <v>231698</v>
      </c>
      <c r="N770" s="16">
        <v>9821</v>
      </c>
      <c r="O770" s="16">
        <v>298928</v>
      </c>
      <c r="P770" s="16">
        <v>208961</v>
      </c>
      <c r="Q770" s="16">
        <v>34334</v>
      </c>
      <c r="R770" s="16">
        <v>-154</v>
      </c>
      <c r="S770" s="16">
        <v>0</v>
      </c>
      <c r="T770" s="16">
        <v>9</v>
      </c>
      <c r="U770" s="15" t="str">
        <f t="shared" si="44"/>
        <v>Privado Nacional</v>
      </c>
      <c r="V770" s="17">
        <f t="shared" si="45"/>
        <v>0.6952427819553384</v>
      </c>
      <c r="W770" s="17">
        <f t="shared" si="46"/>
        <v>-4.4853497990330286E-3</v>
      </c>
      <c r="X770" s="15" t="str">
        <f t="shared" si="47"/>
        <v>Média/Pequena</v>
      </c>
      <c r="Y770" s="121" t="str" cm="1">
        <f t="array" ref="Y770">_xlfn.IFS(ISNUMBER(W770)=FALSE,"Sem dado",W770&gt;0.075,"Excelente",W770&gt;0.04,"Bom",W770&gt;0,"Fraco",TRUE,"Prejuízo")</f>
        <v>Prejuízo</v>
      </c>
    </row>
    <row r="771" spans="1:25" ht="15" customHeight="1" x14ac:dyDescent="0.2">
      <c r="A771" s="12" t="s">
        <v>1646</v>
      </c>
      <c r="B771" s="56">
        <v>45220646</v>
      </c>
      <c r="C771" s="12" t="s">
        <v>1647</v>
      </c>
      <c r="D771" s="12"/>
      <c r="E771" s="12" t="s">
        <v>1648</v>
      </c>
      <c r="F771" s="12" t="s">
        <v>65</v>
      </c>
      <c r="G771" s="33">
        <v>3</v>
      </c>
      <c r="H771" s="33">
        <v>43</v>
      </c>
      <c r="I771" s="12" t="s">
        <v>119</v>
      </c>
      <c r="J771" s="12" t="s">
        <v>120</v>
      </c>
      <c r="K771" s="73" t="s">
        <v>29</v>
      </c>
      <c r="L771" s="13">
        <v>329953</v>
      </c>
      <c r="M771" s="13">
        <v>0</v>
      </c>
      <c r="N771" s="13">
        <v>219806</v>
      </c>
      <c r="O771" s="13">
        <v>259793</v>
      </c>
      <c r="P771" s="13">
        <v>234955</v>
      </c>
      <c r="Q771" s="13">
        <v>70160</v>
      </c>
      <c r="R771" s="13">
        <v>16759</v>
      </c>
      <c r="S771" s="13">
        <v>2</v>
      </c>
      <c r="T771" s="13">
        <v>0</v>
      </c>
      <c r="U771" s="12" t="str">
        <f t="shared" si="44"/>
        <v>Privado Estrangeiro</v>
      </c>
      <c r="V771" s="14">
        <f t="shared" si="45"/>
        <v>0</v>
      </c>
      <c r="W771" s="14">
        <f t="shared" si="46"/>
        <v>0.23886830102622578</v>
      </c>
      <c r="X771" s="12" t="str">
        <f t="shared" si="47"/>
        <v>Média/Pequena</v>
      </c>
      <c r="Y771" s="122" t="str" cm="1">
        <f t="array" ref="Y771">_xlfn.IFS(ISNUMBER(W771)=FALSE,"Sem dado",W771&gt;0.075,"Excelente",W771&gt;0.04,"Bom",W771&gt;0,"Fraco",TRUE,"Prejuízo")</f>
        <v>Excelente</v>
      </c>
    </row>
    <row r="772" spans="1:25" ht="15" customHeight="1" x14ac:dyDescent="0.2">
      <c r="A772" s="15" t="s">
        <v>1649</v>
      </c>
      <c r="B772" s="60">
        <v>14388516</v>
      </c>
      <c r="C772" s="15" t="s">
        <v>1650</v>
      </c>
      <c r="D772" s="15"/>
      <c r="E772" s="15" t="s">
        <v>1651</v>
      </c>
      <c r="F772" s="15" t="s">
        <v>98</v>
      </c>
      <c r="G772" s="34">
        <v>2</v>
      </c>
      <c r="H772" s="34">
        <v>16</v>
      </c>
      <c r="I772" s="15" t="s">
        <v>53</v>
      </c>
      <c r="J772" s="15" t="s">
        <v>54</v>
      </c>
      <c r="K772" s="74" t="s">
        <v>29</v>
      </c>
      <c r="L772" s="16">
        <v>324282</v>
      </c>
      <c r="M772" s="16">
        <v>0</v>
      </c>
      <c r="N772" s="16">
        <v>283338</v>
      </c>
      <c r="O772" s="16">
        <v>120805</v>
      </c>
      <c r="P772" s="16">
        <v>27168</v>
      </c>
      <c r="Q772" s="16">
        <v>203477</v>
      </c>
      <c r="R772" s="16">
        <v>5235</v>
      </c>
      <c r="S772" s="16">
        <v>2</v>
      </c>
      <c r="T772" s="16">
        <v>0</v>
      </c>
      <c r="U772" s="15" t="str">
        <f t="shared" si="44"/>
        <v>Privado Nacional</v>
      </c>
      <c r="V772" s="17">
        <f t="shared" si="45"/>
        <v>0</v>
      </c>
      <c r="W772" s="17">
        <f t="shared" si="46"/>
        <v>2.5727723526491938E-2</v>
      </c>
      <c r="X772" s="15" t="str">
        <f t="shared" si="47"/>
        <v>Média/Pequena</v>
      </c>
      <c r="Y772" s="121" t="str" cm="1">
        <f t="array" ref="Y772">_xlfn.IFS(ISNUMBER(W772)=FALSE,"Sem dado",W772&gt;0.075,"Excelente",W772&gt;0.04,"Bom",W772&gt;0,"Fraco",TRUE,"Prejuízo")</f>
        <v>Fraco</v>
      </c>
    </row>
    <row r="773" spans="1:25" ht="15" customHeight="1" x14ac:dyDescent="0.2">
      <c r="A773" s="12" t="s">
        <v>1652</v>
      </c>
      <c r="B773" s="56">
        <v>52586293</v>
      </c>
      <c r="C773" s="12" t="s">
        <v>1653</v>
      </c>
      <c r="D773" s="12"/>
      <c r="E773" s="12" t="s">
        <v>1654</v>
      </c>
      <c r="F773" s="12" t="s">
        <v>65</v>
      </c>
      <c r="G773" s="33">
        <v>2</v>
      </c>
      <c r="H773" s="33">
        <v>43</v>
      </c>
      <c r="I773" s="12" t="s">
        <v>228</v>
      </c>
      <c r="J773" s="12" t="s">
        <v>229</v>
      </c>
      <c r="K773" s="73" t="s">
        <v>29</v>
      </c>
      <c r="L773" s="13">
        <v>323831</v>
      </c>
      <c r="M773" s="13">
        <v>370</v>
      </c>
      <c r="N773" s="13">
        <v>313730</v>
      </c>
      <c r="O773" s="13">
        <v>310691</v>
      </c>
      <c r="P773" s="13">
        <v>305517</v>
      </c>
      <c r="Q773" s="13">
        <v>13140</v>
      </c>
      <c r="R773" s="13">
        <v>1071</v>
      </c>
      <c r="S773" s="13">
        <v>2</v>
      </c>
      <c r="T773" s="13">
        <v>0</v>
      </c>
      <c r="U773" s="12" t="str">
        <f t="shared" ref="U773:U836" si="48">IFERROR(CHOOSE(G773,"Público","Privado Nacional","Privado Estrangeiro"),"n.d.")</f>
        <v>Privado Nacional</v>
      </c>
      <c r="V773" s="14">
        <f t="shared" ref="V773:V836" si="49">IF(AND(ISNUMBER(M773),ISNUMBER(L773)),IF(L773&gt;0,M773/L773,"n.d."),"NI")</f>
        <v>1.1425712794636709E-3</v>
      </c>
      <c r="W773" s="14">
        <f t="shared" ref="W773:W836" si="50">IF(AND(ISNUMBER(R773),ISNUMBER(Q773)),IF(Q773&gt;0,R773/Q773,"n.d."),"NI")</f>
        <v>8.1506849315068491E-2</v>
      </c>
      <c r="X773" s="12" t="str">
        <f t="shared" ref="X773:X836" si="51">IF(ISNUMBER(L773),IF(L773&gt;100000000,"Grande","Média/Pequena"),"Sem dado")</f>
        <v>Média/Pequena</v>
      </c>
      <c r="Y773" s="122" t="str" cm="1">
        <f t="array" ref="Y773">_xlfn.IFS(ISNUMBER(W773)=FALSE,"Sem dado",W773&gt;0.075,"Excelente",W773&gt;0.04,"Bom",W773&gt;0,"Fraco",TRUE,"Prejuízo")</f>
        <v>Excelente</v>
      </c>
    </row>
    <row r="774" spans="1:25" ht="15" customHeight="1" x14ac:dyDescent="0.2">
      <c r="A774" s="15" t="s">
        <v>1655</v>
      </c>
      <c r="B774" s="60">
        <v>49241570</v>
      </c>
      <c r="C774" s="15" t="s">
        <v>122</v>
      </c>
      <c r="D774" s="15" t="s">
        <v>123</v>
      </c>
      <c r="E774" s="15" t="s">
        <v>124</v>
      </c>
      <c r="F774" s="15" t="s">
        <v>98</v>
      </c>
      <c r="G774" s="34">
        <v>2</v>
      </c>
      <c r="H774" s="34">
        <v>15</v>
      </c>
      <c r="I774" s="15" t="s">
        <v>38</v>
      </c>
      <c r="J774" s="15" t="s">
        <v>39</v>
      </c>
      <c r="K774" s="74" t="s">
        <v>29</v>
      </c>
      <c r="L774" s="16">
        <v>322114</v>
      </c>
      <c r="M774" s="16">
        <v>0</v>
      </c>
      <c r="N774" s="16">
        <v>246043</v>
      </c>
      <c r="O774" s="16">
        <v>80303</v>
      </c>
      <c r="P774" s="16">
        <v>0</v>
      </c>
      <c r="Q774" s="16">
        <v>241810</v>
      </c>
      <c r="R774" s="16">
        <v>4235</v>
      </c>
      <c r="S774" s="16">
        <v>2</v>
      </c>
      <c r="T774" s="16">
        <v>0</v>
      </c>
      <c r="U774" s="15" t="str">
        <f t="shared" si="48"/>
        <v>Privado Nacional</v>
      </c>
      <c r="V774" s="17">
        <f t="shared" si="49"/>
        <v>0</v>
      </c>
      <c r="W774" s="17">
        <f t="shared" si="50"/>
        <v>1.7513750465241305E-2</v>
      </c>
      <c r="X774" s="15" t="str">
        <f t="shared" si="51"/>
        <v>Média/Pequena</v>
      </c>
      <c r="Y774" s="121" t="str" cm="1">
        <f t="array" ref="Y774">_xlfn.IFS(ISNUMBER(W774)=FALSE,"Sem dado",W774&gt;0.075,"Excelente",W774&gt;0.04,"Bom",W774&gt;0,"Fraco",TRUE,"Prejuízo")</f>
        <v>Fraco</v>
      </c>
    </row>
    <row r="775" spans="1:25" ht="15" customHeight="1" x14ac:dyDescent="0.2">
      <c r="A775" s="12" t="s">
        <v>1656</v>
      </c>
      <c r="B775" s="56">
        <v>71432926</v>
      </c>
      <c r="C775" s="12"/>
      <c r="D775" s="12"/>
      <c r="E775" s="12"/>
      <c r="F775" s="12" t="s">
        <v>265</v>
      </c>
      <c r="G775" s="33">
        <v>2</v>
      </c>
      <c r="H775" s="33">
        <v>9</v>
      </c>
      <c r="I775" s="12" t="s">
        <v>1350</v>
      </c>
      <c r="J775" s="12" t="s">
        <v>120</v>
      </c>
      <c r="K775" s="73" t="s">
        <v>29</v>
      </c>
      <c r="L775" s="13">
        <v>321735</v>
      </c>
      <c r="M775" s="13">
        <v>144447</v>
      </c>
      <c r="N775" s="13">
        <v>10197</v>
      </c>
      <c r="O775" s="13">
        <v>288534</v>
      </c>
      <c r="P775" s="13">
        <v>259601</v>
      </c>
      <c r="Q775" s="13">
        <v>33201</v>
      </c>
      <c r="R775" s="13">
        <v>-2526</v>
      </c>
      <c r="S775" s="13">
        <v>0</v>
      </c>
      <c r="T775" s="13">
        <v>4</v>
      </c>
      <c r="U775" s="12" t="str">
        <f t="shared" si="48"/>
        <v>Privado Nacional</v>
      </c>
      <c r="V775" s="14">
        <f t="shared" si="49"/>
        <v>0.44896265560165977</v>
      </c>
      <c r="W775" s="14">
        <f t="shared" si="50"/>
        <v>-7.6082045721514419E-2</v>
      </c>
      <c r="X775" s="12" t="str">
        <f t="shared" si="51"/>
        <v>Média/Pequena</v>
      </c>
      <c r="Y775" s="122" t="str" cm="1">
        <f t="array" ref="Y775">_xlfn.IFS(ISNUMBER(W775)=FALSE,"Sem dado",W775&gt;0.075,"Excelente",W775&gt;0.04,"Bom",W775&gt;0,"Fraco",TRUE,"Prejuízo")</f>
        <v>Prejuízo</v>
      </c>
    </row>
    <row r="776" spans="1:25" ht="15" customHeight="1" x14ac:dyDescent="0.2">
      <c r="A776" s="15" t="s">
        <v>1657</v>
      </c>
      <c r="B776" s="60">
        <v>37076205</v>
      </c>
      <c r="C776" s="15"/>
      <c r="D776" s="15"/>
      <c r="E776" s="15"/>
      <c r="F776" s="15" t="s">
        <v>265</v>
      </c>
      <c r="G776" s="34">
        <v>2</v>
      </c>
      <c r="H776" s="34">
        <v>9</v>
      </c>
      <c r="I776" s="15" t="s">
        <v>27</v>
      </c>
      <c r="J776" s="15" t="s">
        <v>28</v>
      </c>
      <c r="K776" s="74" t="s">
        <v>29</v>
      </c>
      <c r="L776" s="16">
        <v>318594</v>
      </c>
      <c r="M776" s="16">
        <v>129551</v>
      </c>
      <c r="N776" s="16">
        <v>32939</v>
      </c>
      <c r="O776" s="16">
        <v>252018</v>
      </c>
      <c r="P776" s="16">
        <v>246964</v>
      </c>
      <c r="Q776" s="16">
        <v>66576</v>
      </c>
      <c r="R776" s="16">
        <v>1814</v>
      </c>
      <c r="S776" s="16">
        <v>0</v>
      </c>
      <c r="T776" s="16">
        <v>12</v>
      </c>
      <c r="U776" s="15" t="str">
        <f t="shared" si="48"/>
        <v>Privado Nacional</v>
      </c>
      <c r="V776" s="17">
        <f t="shared" si="49"/>
        <v>0.4066335210330389</v>
      </c>
      <c r="W776" s="17">
        <f t="shared" si="50"/>
        <v>2.7247055996154769E-2</v>
      </c>
      <c r="X776" s="15" t="str">
        <f t="shared" si="51"/>
        <v>Média/Pequena</v>
      </c>
      <c r="Y776" s="121" t="str" cm="1">
        <f t="array" ref="Y776">_xlfn.IFS(ISNUMBER(W776)=FALSE,"Sem dado",W776&gt;0.075,"Excelente",W776&gt;0.04,"Bom",W776&gt;0,"Fraco",TRUE,"Prejuízo")</f>
        <v>Fraco</v>
      </c>
    </row>
    <row r="777" spans="1:25" ht="15" customHeight="1" x14ac:dyDescent="0.2">
      <c r="A777" s="12" t="s">
        <v>1658</v>
      </c>
      <c r="B777" s="56">
        <v>24431221</v>
      </c>
      <c r="C777" s="12"/>
      <c r="D777" s="12"/>
      <c r="E777" s="12"/>
      <c r="F777" s="12" t="s">
        <v>265</v>
      </c>
      <c r="G777" s="33">
        <v>2</v>
      </c>
      <c r="H777" s="33">
        <v>9</v>
      </c>
      <c r="I777" s="12" t="s">
        <v>1659</v>
      </c>
      <c r="J777" s="12" t="s">
        <v>144</v>
      </c>
      <c r="K777" s="73" t="s">
        <v>29</v>
      </c>
      <c r="L777" s="13">
        <v>316584</v>
      </c>
      <c r="M777" s="13">
        <v>187566</v>
      </c>
      <c r="N777" s="13">
        <v>0</v>
      </c>
      <c r="O777" s="13">
        <v>285155</v>
      </c>
      <c r="P777" s="13">
        <v>241811</v>
      </c>
      <c r="Q777" s="13">
        <v>31429</v>
      </c>
      <c r="R777" s="13">
        <v>559</v>
      </c>
      <c r="S777" s="13">
        <v>0</v>
      </c>
      <c r="T777" s="13">
        <v>12</v>
      </c>
      <c r="U777" s="12" t="str">
        <f t="shared" si="48"/>
        <v>Privado Nacional</v>
      </c>
      <c r="V777" s="14">
        <f t="shared" si="49"/>
        <v>0.59246834963232509</v>
      </c>
      <c r="W777" s="14">
        <f t="shared" si="50"/>
        <v>1.7786121098348658E-2</v>
      </c>
      <c r="X777" s="12" t="str">
        <f t="shared" si="51"/>
        <v>Média/Pequena</v>
      </c>
      <c r="Y777" s="122" t="str" cm="1">
        <f t="array" ref="Y777">_xlfn.IFS(ISNUMBER(W777)=FALSE,"Sem dado",W777&gt;0.075,"Excelente",W777&gt;0.04,"Bom",W777&gt;0,"Fraco",TRUE,"Prejuízo")</f>
        <v>Fraco</v>
      </c>
    </row>
    <row r="778" spans="1:25" ht="15" customHeight="1" x14ac:dyDescent="0.2">
      <c r="A778" s="15" t="s">
        <v>1660</v>
      </c>
      <c r="B778" s="60">
        <v>30798783</v>
      </c>
      <c r="C778" s="15" t="s">
        <v>1661</v>
      </c>
      <c r="D778" s="15"/>
      <c r="E778" s="15" t="s">
        <v>1662</v>
      </c>
      <c r="F778" s="15" t="s">
        <v>84</v>
      </c>
      <c r="G778" s="34">
        <v>3</v>
      </c>
      <c r="H778" s="34">
        <v>41</v>
      </c>
      <c r="I778" s="15" t="s">
        <v>38</v>
      </c>
      <c r="J778" s="15" t="s">
        <v>39</v>
      </c>
      <c r="K778" s="74" t="s">
        <v>29</v>
      </c>
      <c r="L778" s="16">
        <v>313643</v>
      </c>
      <c r="M778" s="16">
        <v>0</v>
      </c>
      <c r="N778" s="16">
        <v>277906</v>
      </c>
      <c r="O778" s="16">
        <v>223344</v>
      </c>
      <c r="P778" s="16">
        <v>187735</v>
      </c>
      <c r="Q778" s="16">
        <v>90299</v>
      </c>
      <c r="R778" s="16">
        <v>11231</v>
      </c>
      <c r="S778" s="16">
        <v>1</v>
      </c>
      <c r="T778" s="16">
        <v>0</v>
      </c>
      <c r="U778" s="15" t="str">
        <f t="shared" si="48"/>
        <v>Privado Estrangeiro</v>
      </c>
      <c r="V778" s="17">
        <f t="shared" si="49"/>
        <v>0</v>
      </c>
      <c r="W778" s="17">
        <f t="shared" si="50"/>
        <v>0.12437568522353515</v>
      </c>
      <c r="X778" s="15" t="str">
        <f t="shared" si="51"/>
        <v>Média/Pequena</v>
      </c>
      <c r="Y778" s="121" t="str" cm="1">
        <f t="array" ref="Y778">_xlfn.IFS(ISNUMBER(W778)=FALSE,"Sem dado",W778&gt;0.075,"Excelente",W778&gt;0.04,"Bom",W778&gt;0,"Fraco",TRUE,"Prejuízo")</f>
        <v>Excelente</v>
      </c>
    </row>
    <row r="779" spans="1:25" ht="15" customHeight="1" x14ac:dyDescent="0.2">
      <c r="A779" s="12" t="s">
        <v>1663</v>
      </c>
      <c r="B779" s="56">
        <v>94243839</v>
      </c>
      <c r="C779" s="12"/>
      <c r="D779" s="12"/>
      <c r="E779" s="12"/>
      <c r="F779" s="12" t="s">
        <v>265</v>
      </c>
      <c r="G779" s="33">
        <v>2</v>
      </c>
      <c r="H779" s="33">
        <v>9</v>
      </c>
      <c r="I779" s="12" t="s">
        <v>1664</v>
      </c>
      <c r="J779" s="12" t="s">
        <v>74</v>
      </c>
      <c r="K779" s="73" t="s">
        <v>29</v>
      </c>
      <c r="L779" s="13">
        <v>311237</v>
      </c>
      <c r="M779" s="13">
        <v>206357</v>
      </c>
      <c r="N779" s="13">
        <v>6355</v>
      </c>
      <c r="O779" s="13">
        <v>275279</v>
      </c>
      <c r="P779" s="13">
        <v>265111</v>
      </c>
      <c r="Q779" s="13">
        <v>35958</v>
      </c>
      <c r="R779" s="13">
        <v>293</v>
      </c>
      <c r="S779" s="13">
        <v>0</v>
      </c>
      <c r="T779" s="13">
        <v>4</v>
      </c>
      <c r="U779" s="12" t="str">
        <f t="shared" si="48"/>
        <v>Privado Nacional</v>
      </c>
      <c r="V779" s="14">
        <f t="shared" si="49"/>
        <v>0.66302206999810431</v>
      </c>
      <c r="W779" s="14">
        <f t="shared" si="50"/>
        <v>8.1483953501307084E-3</v>
      </c>
      <c r="X779" s="12" t="str">
        <f t="shared" si="51"/>
        <v>Média/Pequena</v>
      </c>
      <c r="Y779" s="122" t="str" cm="1">
        <f t="array" ref="Y779">_xlfn.IFS(ISNUMBER(W779)=FALSE,"Sem dado",W779&gt;0.075,"Excelente",W779&gt;0.04,"Bom",W779&gt;0,"Fraco",TRUE,"Prejuízo")</f>
        <v>Fraco</v>
      </c>
    </row>
    <row r="780" spans="1:25" ht="15" customHeight="1" x14ac:dyDescent="0.2">
      <c r="A780" s="15" t="s">
        <v>1665</v>
      </c>
      <c r="B780" s="60">
        <v>9552111</v>
      </c>
      <c r="C780" s="15"/>
      <c r="D780" s="15"/>
      <c r="E780" s="15"/>
      <c r="F780" s="15" t="s">
        <v>265</v>
      </c>
      <c r="G780" s="34">
        <v>2</v>
      </c>
      <c r="H780" s="34">
        <v>9</v>
      </c>
      <c r="I780" s="15" t="s">
        <v>388</v>
      </c>
      <c r="J780" s="15" t="s">
        <v>389</v>
      </c>
      <c r="K780" s="74" t="s">
        <v>29</v>
      </c>
      <c r="L780" s="16">
        <v>308899</v>
      </c>
      <c r="M780" s="16">
        <v>112940</v>
      </c>
      <c r="N780" s="16">
        <v>23584</v>
      </c>
      <c r="O780" s="16">
        <v>241409</v>
      </c>
      <c r="P780" s="16">
        <v>232005</v>
      </c>
      <c r="Q780" s="16">
        <v>67490</v>
      </c>
      <c r="R780" s="16">
        <v>2228</v>
      </c>
      <c r="S780" s="16">
        <v>0</v>
      </c>
      <c r="T780" s="16">
        <v>2</v>
      </c>
      <c r="U780" s="15" t="str">
        <f t="shared" si="48"/>
        <v>Privado Nacional</v>
      </c>
      <c r="V780" s="17">
        <f t="shared" si="49"/>
        <v>0.36562112535165214</v>
      </c>
      <c r="W780" s="17">
        <f t="shared" si="50"/>
        <v>3.301229811823974E-2</v>
      </c>
      <c r="X780" s="15" t="str">
        <f t="shared" si="51"/>
        <v>Média/Pequena</v>
      </c>
      <c r="Y780" s="121" t="str" cm="1">
        <f t="array" ref="Y780">_xlfn.IFS(ISNUMBER(W780)=FALSE,"Sem dado",W780&gt;0.075,"Excelente",W780&gt;0.04,"Bom",W780&gt;0,"Fraco",TRUE,"Prejuízo")</f>
        <v>Fraco</v>
      </c>
    </row>
    <row r="781" spans="1:25" ht="15" customHeight="1" x14ac:dyDescent="0.2">
      <c r="A781" s="12" t="s">
        <v>1666</v>
      </c>
      <c r="B781" s="56">
        <v>803287</v>
      </c>
      <c r="C781" s="12"/>
      <c r="D781" s="12"/>
      <c r="E781" s="12"/>
      <c r="F781" s="12" t="s">
        <v>265</v>
      </c>
      <c r="G781" s="33">
        <v>2</v>
      </c>
      <c r="H781" s="33">
        <v>9</v>
      </c>
      <c r="I781" s="12" t="s">
        <v>1667</v>
      </c>
      <c r="J781" s="12" t="s">
        <v>120</v>
      </c>
      <c r="K781" s="73" t="s">
        <v>29</v>
      </c>
      <c r="L781" s="13">
        <v>307124</v>
      </c>
      <c r="M781" s="13">
        <v>139964</v>
      </c>
      <c r="N781" s="13">
        <v>8812</v>
      </c>
      <c r="O781" s="13">
        <v>252748</v>
      </c>
      <c r="P781" s="13">
        <v>230196</v>
      </c>
      <c r="Q781" s="13">
        <v>54376</v>
      </c>
      <c r="R781" s="13">
        <v>-4121</v>
      </c>
      <c r="S781" s="13">
        <v>0</v>
      </c>
      <c r="T781" s="13">
        <v>4</v>
      </c>
      <c r="U781" s="12" t="str">
        <f t="shared" si="48"/>
        <v>Privado Nacional</v>
      </c>
      <c r="V781" s="14">
        <f t="shared" si="49"/>
        <v>0.45572472356442351</v>
      </c>
      <c r="W781" s="14">
        <f t="shared" si="50"/>
        <v>-7.5787111961159337E-2</v>
      </c>
      <c r="X781" s="12" t="str">
        <f t="shared" si="51"/>
        <v>Média/Pequena</v>
      </c>
      <c r="Y781" s="122" t="str" cm="1">
        <f t="array" ref="Y781">_xlfn.IFS(ISNUMBER(W781)=FALSE,"Sem dado",W781&gt;0.075,"Excelente",W781&gt;0.04,"Bom",W781&gt;0,"Fraco",TRUE,"Prejuízo")</f>
        <v>Prejuízo</v>
      </c>
    </row>
    <row r="782" spans="1:25" ht="15" customHeight="1" x14ac:dyDescent="0.2">
      <c r="A782" s="15" t="s">
        <v>1668</v>
      </c>
      <c r="B782" s="60">
        <v>10143499</v>
      </c>
      <c r="C782" s="15"/>
      <c r="D782" s="15"/>
      <c r="E782" s="15"/>
      <c r="F782" s="15" t="s">
        <v>265</v>
      </c>
      <c r="G782" s="34">
        <v>2</v>
      </c>
      <c r="H782" s="34">
        <v>9</v>
      </c>
      <c r="I782" s="15" t="s">
        <v>1669</v>
      </c>
      <c r="J782" s="15" t="s">
        <v>389</v>
      </c>
      <c r="K782" s="74" t="s">
        <v>29</v>
      </c>
      <c r="L782" s="16">
        <v>305596</v>
      </c>
      <c r="M782" s="16">
        <v>194060</v>
      </c>
      <c r="N782" s="16">
        <v>2684</v>
      </c>
      <c r="O782" s="16">
        <v>263101</v>
      </c>
      <c r="P782" s="16">
        <v>252512</v>
      </c>
      <c r="Q782" s="16">
        <v>42494</v>
      </c>
      <c r="R782" s="16">
        <v>-667</v>
      </c>
      <c r="S782" s="16">
        <v>0</v>
      </c>
      <c r="T782" s="16">
        <v>5</v>
      </c>
      <c r="U782" s="15" t="str">
        <f t="shared" si="48"/>
        <v>Privado Nacional</v>
      </c>
      <c r="V782" s="17">
        <f t="shared" si="49"/>
        <v>0.63502140080367542</v>
      </c>
      <c r="W782" s="17">
        <f t="shared" si="50"/>
        <v>-1.5696333600037651E-2</v>
      </c>
      <c r="X782" s="15" t="str">
        <f t="shared" si="51"/>
        <v>Média/Pequena</v>
      </c>
      <c r="Y782" s="121" t="str" cm="1">
        <f t="array" ref="Y782">_xlfn.IFS(ISNUMBER(W782)=FALSE,"Sem dado",W782&gt;0.075,"Excelente",W782&gt;0.04,"Bom",W782&gt;0,"Fraco",TRUE,"Prejuízo")</f>
        <v>Prejuízo</v>
      </c>
    </row>
    <row r="783" spans="1:25" ht="15" customHeight="1" x14ac:dyDescent="0.2">
      <c r="A783" s="12" t="s">
        <v>1670</v>
      </c>
      <c r="B783" s="56">
        <v>35210410</v>
      </c>
      <c r="C783" s="12" t="s">
        <v>1671</v>
      </c>
      <c r="D783" s="12"/>
      <c r="E783" s="12" t="s">
        <v>1672</v>
      </c>
      <c r="F783" s="12" t="s">
        <v>84</v>
      </c>
      <c r="G783" s="33">
        <v>3</v>
      </c>
      <c r="H783" s="33">
        <v>41</v>
      </c>
      <c r="I783" s="12" t="s">
        <v>107</v>
      </c>
      <c r="J783" s="12" t="s">
        <v>39</v>
      </c>
      <c r="K783" s="73" t="s">
        <v>29</v>
      </c>
      <c r="L783" s="13">
        <v>303537</v>
      </c>
      <c r="M783" s="13">
        <v>0</v>
      </c>
      <c r="N783" s="13">
        <v>5810</v>
      </c>
      <c r="O783" s="13">
        <v>285027</v>
      </c>
      <c r="P783" s="13">
        <v>271125</v>
      </c>
      <c r="Q783" s="13">
        <v>18509</v>
      </c>
      <c r="R783" s="13">
        <v>4736</v>
      </c>
      <c r="S783" s="13">
        <v>1</v>
      </c>
      <c r="T783" s="13">
        <v>0</v>
      </c>
      <c r="U783" s="12" t="str">
        <f t="shared" si="48"/>
        <v>Privado Estrangeiro</v>
      </c>
      <c r="V783" s="14">
        <f t="shared" si="49"/>
        <v>0</v>
      </c>
      <c r="W783" s="14">
        <f t="shared" si="50"/>
        <v>0.25587552001728886</v>
      </c>
      <c r="X783" s="12" t="str">
        <f t="shared" si="51"/>
        <v>Média/Pequena</v>
      </c>
      <c r="Y783" s="122" t="str" cm="1">
        <f t="array" ref="Y783">_xlfn.IFS(ISNUMBER(W783)=FALSE,"Sem dado",W783&gt;0.075,"Excelente",W783&gt;0.04,"Bom",W783&gt;0,"Fraco",TRUE,"Prejuízo")</f>
        <v>Excelente</v>
      </c>
    </row>
    <row r="784" spans="1:25" ht="15" customHeight="1" x14ac:dyDescent="0.2">
      <c r="A784" s="15" t="s">
        <v>1673</v>
      </c>
      <c r="B784" s="60">
        <v>4079285</v>
      </c>
      <c r="C784" s="15"/>
      <c r="D784" s="15"/>
      <c r="E784" s="15"/>
      <c r="F784" s="15" t="s">
        <v>265</v>
      </c>
      <c r="G784" s="34">
        <v>2</v>
      </c>
      <c r="H784" s="34">
        <v>9</v>
      </c>
      <c r="I784" s="15" t="s">
        <v>1674</v>
      </c>
      <c r="J784" s="15" t="s">
        <v>120</v>
      </c>
      <c r="K784" s="74" t="s">
        <v>29</v>
      </c>
      <c r="L784" s="16">
        <v>302580</v>
      </c>
      <c r="M784" s="16">
        <v>127758</v>
      </c>
      <c r="N784" s="16">
        <v>4730</v>
      </c>
      <c r="O784" s="16">
        <v>277261</v>
      </c>
      <c r="P784" s="16">
        <v>268803</v>
      </c>
      <c r="Q784" s="16">
        <v>25319</v>
      </c>
      <c r="R784" s="16">
        <v>317</v>
      </c>
      <c r="S784" s="16">
        <v>0</v>
      </c>
      <c r="T784" s="16">
        <v>9</v>
      </c>
      <c r="U784" s="15" t="str">
        <f t="shared" si="48"/>
        <v>Privado Nacional</v>
      </c>
      <c r="V784" s="17">
        <f t="shared" si="49"/>
        <v>0.42222883204441802</v>
      </c>
      <c r="W784" s="17">
        <f t="shared" si="50"/>
        <v>1.2520241715707571E-2</v>
      </c>
      <c r="X784" s="15" t="str">
        <f t="shared" si="51"/>
        <v>Média/Pequena</v>
      </c>
      <c r="Y784" s="121" t="str" cm="1">
        <f t="array" ref="Y784">_xlfn.IFS(ISNUMBER(W784)=FALSE,"Sem dado",W784&gt;0.075,"Excelente",W784&gt;0.04,"Bom",W784&gt;0,"Fraco",TRUE,"Prejuízo")</f>
        <v>Fraco</v>
      </c>
    </row>
    <row r="785" spans="1:25" ht="15" customHeight="1" x14ac:dyDescent="0.2">
      <c r="A785" s="12" t="s">
        <v>1675</v>
      </c>
      <c r="B785" s="56">
        <v>5070112</v>
      </c>
      <c r="C785" s="12"/>
      <c r="D785" s="12"/>
      <c r="E785" s="12"/>
      <c r="F785" s="12" t="s">
        <v>265</v>
      </c>
      <c r="G785" s="33">
        <v>2</v>
      </c>
      <c r="H785" s="33">
        <v>9</v>
      </c>
      <c r="I785" s="12" t="s">
        <v>1676</v>
      </c>
      <c r="J785" s="12" t="s">
        <v>217</v>
      </c>
      <c r="K785" s="73" t="s">
        <v>29</v>
      </c>
      <c r="L785" s="13">
        <v>302467</v>
      </c>
      <c r="M785" s="13">
        <v>206994</v>
      </c>
      <c r="N785" s="13">
        <v>9362</v>
      </c>
      <c r="O785" s="13">
        <v>265874</v>
      </c>
      <c r="P785" s="13">
        <v>161157</v>
      </c>
      <c r="Q785" s="13">
        <v>36593</v>
      </c>
      <c r="R785" s="13">
        <v>1341</v>
      </c>
      <c r="S785" s="13">
        <v>0</v>
      </c>
      <c r="T785" s="13">
        <v>11</v>
      </c>
      <c r="U785" s="12" t="str">
        <f t="shared" si="48"/>
        <v>Privado Nacional</v>
      </c>
      <c r="V785" s="14">
        <f t="shared" si="49"/>
        <v>0.68435234256960265</v>
      </c>
      <c r="W785" s="14">
        <f t="shared" si="50"/>
        <v>3.6646353127647364E-2</v>
      </c>
      <c r="X785" s="12" t="str">
        <f t="shared" si="51"/>
        <v>Média/Pequena</v>
      </c>
      <c r="Y785" s="122" t="str" cm="1">
        <f t="array" ref="Y785">_xlfn.IFS(ISNUMBER(W785)=FALSE,"Sem dado",W785&gt;0.075,"Excelente",W785&gt;0.04,"Bom",W785&gt;0,"Fraco",TRUE,"Prejuízo")</f>
        <v>Fraco</v>
      </c>
    </row>
    <row r="786" spans="1:25" ht="15" customHeight="1" x14ac:dyDescent="0.2">
      <c r="A786" s="15" t="s">
        <v>1677</v>
      </c>
      <c r="B786" s="60">
        <v>694877</v>
      </c>
      <c r="C786" s="15"/>
      <c r="D786" s="15"/>
      <c r="E786" s="15"/>
      <c r="F786" s="15" t="s">
        <v>265</v>
      </c>
      <c r="G786" s="34">
        <v>2</v>
      </c>
      <c r="H786" s="34">
        <v>9</v>
      </c>
      <c r="I786" s="15" t="s">
        <v>27</v>
      </c>
      <c r="J786" s="15" t="s">
        <v>28</v>
      </c>
      <c r="K786" s="74" t="s">
        <v>29</v>
      </c>
      <c r="L786" s="16">
        <v>302424</v>
      </c>
      <c r="M786" s="16">
        <v>153006</v>
      </c>
      <c r="N786" s="16">
        <v>23328</v>
      </c>
      <c r="O786" s="16">
        <v>248812</v>
      </c>
      <c r="P786" s="16">
        <v>242179</v>
      </c>
      <c r="Q786" s="16">
        <v>53612</v>
      </c>
      <c r="R786" s="16">
        <v>2527</v>
      </c>
      <c r="S786" s="16">
        <v>0</v>
      </c>
      <c r="T786" s="16">
        <v>8</v>
      </c>
      <c r="U786" s="15" t="str">
        <f t="shared" si="48"/>
        <v>Privado Nacional</v>
      </c>
      <c r="V786" s="17">
        <f t="shared" si="49"/>
        <v>0.5059320688834219</v>
      </c>
      <c r="W786" s="17">
        <f t="shared" si="50"/>
        <v>4.713496978288443E-2</v>
      </c>
      <c r="X786" s="15" t="str">
        <f t="shared" si="51"/>
        <v>Média/Pequena</v>
      </c>
      <c r="Y786" s="121" t="str" cm="1">
        <f t="array" ref="Y786">_xlfn.IFS(ISNUMBER(W786)=FALSE,"Sem dado",W786&gt;0.075,"Excelente",W786&gt;0.04,"Bom",W786&gt;0,"Fraco",TRUE,"Prejuízo")</f>
        <v>Bom</v>
      </c>
    </row>
    <row r="787" spans="1:25" ht="15" customHeight="1" x14ac:dyDescent="0.2">
      <c r="A787" s="12" t="s">
        <v>1678</v>
      </c>
      <c r="B787" s="56">
        <v>3015152</v>
      </c>
      <c r="C787" s="12"/>
      <c r="D787" s="12"/>
      <c r="E787" s="12"/>
      <c r="F787" s="12" t="s">
        <v>265</v>
      </c>
      <c r="G787" s="33">
        <v>2</v>
      </c>
      <c r="H787" s="33">
        <v>9</v>
      </c>
      <c r="I787" s="12" t="s">
        <v>1679</v>
      </c>
      <c r="J787" s="12" t="s">
        <v>74</v>
      </c>
      <c r="K787" s="73" t="s">
        <v>29</v>
      </c>
      <c r="L787" s="13">
        <v>301387</v>
      </c>
      <c r="M787" s="13">
        <v>194182</v>
      </c>
      <c r="N787" s="13">
        <v>12203</v>
      </c>
      <c r="O787" s="13">
        <v>267496</v>
      </c>
      <c r="P787" s="13">
        <v>177283</v>
      </c>
      <c r="Q787" s="13">
        <v>33891</v>
      </c>
      <c r="R787" s="13">
        <v>-325</v>
      </c>
      <c r="S787" s="13">
        <v>0</v>
      </c>
      <c r="T787" s="13">
        <v>14</v>
      </c>
      <c r="U787" s="12" t="str">
        <f t="shared" si="48"/>
        <v>Privado Nacional</v>
      </c>
      <c r="V787" s="14">
        <f t="shared" si="49"/>
        <v>0.64429454488747029</v>
      </c>
      <c r="W787" s="14">
        <f t="shared" si="50"/>
        <v>-9.5895665515918684E-3</v>
      </c>
      <c r="X787" s="12" t="str">
        <f t="shared" si="51"/>
        <v>Média/Pequena</v>
      </c>
      <c r="Y787" s="122" t="str" cm="1">
        <f t="array" ref="Y787">_xlfn.IFS(ISNUMBER(W787)=FALSE,"Sem dado",W787&gt;0.075,"Excelente",W787&gt;0.04,"Bom",W787&gt;0,"Fraco",TRUE,"Prejuízo")</f>
        <v>Prejuízo</v>
      </c>
    </row>
    <row r="788" spans="1:25" ht="15" customHeight="1" x14ac:dyDescent="0.2">
      <c r="A788" s="15" t="s">
        <v>1680</v>
      </c>
      <c r="B788" s="60">
        <v>35523352</v>
      </c>
      <c r="C788" s="15" t="s">
        <v>1681</v>
      </c>
      <c r="D788" s="15"/>
      <c r="E788" s="15" t="s">
        <v>1682</v>
      </c>
      <c r="F788" s="15" t="s">
        <v>84</v>
      </c>
      <c r="G788" s="34">
        <v>3</v>
      </c>
      <c r="H788" s="34">
        <v>41</v>
      </c>
      <c r="I788" s="15" t="s">
        <v>38</v>
      </c>
      <c r="J788" s="15" t="s">
        <v>39</v>
      </c>
      <c r="K788" s="74" t="s">
        <v>29</v>
      </c>
      <c r="L788" s="16">
        <v>299784</v>
      </c>
      <c r="M788" s="16">
        <v>0</v>
      </c>
      <c r="N788" s="16">
        <v>20367</v>
      </c>
      <c r="O788" s="16">
        <v>231694</v>
      </c>
      <c r="P788" s="16">
        <v>229364</v>
      </c>
      <c r="Q788" s="16">
        <v>68090</v>
      </c>
      <c r="R788" s="16">
        <v>9075</v>
      </c>
      <c r="S788" s="16">
        <v>1</v>
      </c>
      <c r="T788" s="16">
        <v>0</v>
      </c>
      <c r="U788" s="15" t="str">
        <f t="shared" si="48"/>
        <v>Privado Estrangeiro</v>
      </c>
      <c r="V788" s="17">
        <f t="shared" si="49"/>
        <v>0</v>
      </c>
      <c r="W788" s="17">
        <f t="shared" si="50"/>
        <v>0.1332794830371567</v>
      </c>
      <c r="X788" s="15" t="str">
        <f t="shared" si="51"/>
        <v>Média/Pequena</v>
      </c>
      <c r="Y788" s="121" t="str" cm="1">
        <f t="array" ref="Y788">_xlfn.IFS(ISNUMBER(W788)=FALSE,"Sem dado",W788&gt;0.075,"Excelente",W788&gt;0.04,"Bom",W788&gt;0,"Fraco",TRUE,"Prejuízo")</f>
        <v>Excelente</v>
      </c>
    </row>
    <row r="789" spans="1:25" ht="15" customHeight="1" x14ac:dyDescent="0.2">
      <c r="A789" s="12" t="s">
        <v>1683</v>
      </c>
      <c r="B789" s="56">
        <v>16721078</v>
      </c>
      <c r="C789" s="12"/>
      <c r="D789" s="12"/>
      <c r="E789" s="12"/>
      <c r="F789" s="12" t="s">
        <v>265</v>
      </c>
      <c r="G789" s="33">
        <v>2</v>
      </c>
      <c r="H789" s="33">
        <v>9</v>
      </c>
      <c r="I789" s="12" t="s">
        <v>119</v>
      </c>
      <c r="J789" s="12" t="s">
        <v>120</v>
      </c>
      <c r="K789" s="73" t="s">
        <v>29</v>
      </c>
      <c r="L789" s="13">
        <v>295543</v>
      </c>
      <c r="M789" s="13">
        <v>85519</v>
      </c>
      <c r="N789" s="13">
        <v>22643</v>
      </c>
      <c r="O789" s="13">
        <v>205165</v>
      </c>
      <c r="P789" s="13">
        <v>191202</v>
      </c>
      <c r="Q789" s="13">
        <v>90377</v>
      </c>
      <c r="R789" s="13">
        <v>4772</v>
      </c>
      <c r="S789" s="13">
        <v>0</v>
      </c>
      <c r="T789" s="13">
        <v>0</v>
      </c>
      <c r="U789" s="12" t="str">
        <f t="shared" si="48"/>
        <v>Privado Nacional</v>
      </c>
      <c r="V789" s="14">
        <f t="shared" si="49"/>
        <v>0.28936229245828865</v>
      </c>
      <c r="W789" s="14">
        <f t="shared" si="50"/>
        <v>5.2801044513537738E-2</v>
      </c>
      <c r="X789" s="12" t="str">
        <f t="shared" si="51"/>
        <v>Média/Pequena</v>
      </c>
      <c r="Y789" s="122" t="str" cm="1">
        <f t="array" ref="Y789">_xlfn.IFS(ISNUMBER(W789)=FALSE,"Sem dado",W789&gt;0.075,"Excelente",W789&gt;0.04,"Bom",W789&gt;0,"Fraco",TRUE,"Prejuízo")</f>
        <v>Bom</v>
      </c>
    </row>
    <row r="790" spans="1:25" ht="15" customHeight="1" x14ac:dyDescent="0.2">
      <c r="A790" s="15" t="s">
        <v>1684</v>
      </c>
      <c r="B790" s="60">
        <v>53623781</v>
      </c>
      <c r="C790" s="15"/>
      <c r="D790" s="15"/>
      <c r="E790" s="15"/>
      <c r="F790" s="15" t="s">
        <v>265</v>
      </c>
      <c r="G790" s="34">
        <v>2</v>
      </c>
      <c r="H790" s="34">
        <v>9</v>
      </c>
      <c r="I790" s="15" t="s">
        <v>1685</v>
      </c>
      <c r="J790" s="15" t="s">
        <v>39</v>
      </c>
      <c r="K790" s="74" t="s">
        <v>29</v>
      </c>
      <c r="L790" s="16">
        <v>293113</v>
      </c>
      <c r="M790" s="16">
        <v>83868</v>
      </c>
      <c r="N790" s="16">
        <v>22012</v>
      </c>
      <c r="O790" s="16">
        <v>243673</v>
      </c>
      <c r="P790" s="16">
        <v>205153</v>
      </c>
      <c r="Q790" s="16">
        <v>49440</v>
      </c>
      <c r="R790" s="16">
        <v>2520</v>
      </c>
      <c r="S790" s="16">
        <v>0</v>
      </c>
      <c r="T790" s="16">
        <v>7</v>
      </c>
      <c r="U790" s="15" t="str">
        <f t="shared" si="48"/>
        <v>Privado Nacional</v>
      </c>
      <c r="V790" s="17">
        <f t="shared" si="49"/>
        <v>0.28612855792817105</v>
      </c>
      <c r="W790" s="17">
        <f t="shared" si="50"/>
        <v>5.0970873786407765E-2</v>
      </c>
      <c r="X790" s="15" t="str">
        <f t="shared" si="51"/>
        <v>Média/Pequena</v>
      </c>
      <c r="Y790" s="121" t="str" cm="1">
        <f t="array" ref="Y790">_xlfn.IFS(ISNUMBER(W790)=FALSE,"Sem dado",W790&gt;0.075,"Excelente",W790&gt;0.04,"Bom",W790&gt;0,"Fraco",TRUE,"Prejuízo")</f>
        <v>Bom</v>
      </c>
    </row>
    <row r="791" spans="1:25" ht="15" customHeight="1" x14ac:dyDescent="0.2">
      <c r="A791" s="12" t="s">
        <v>1686</v>
      </c>
      <c r="B791" s="56">
        <v>952415</v>
      </c>
      <c r="C791" s="12"/>
      <c r="D791" s="12"/>
      <c r="E791" s="12"/>
      <c r="F791" s="12" t="s">
        <v>265</v>
      </c>
      <c r="G791" s="33">
        <v>2</v>
      </c>
      <c r="H791" s="33">
        <v>9</v>
      </c>
      <c r="I791" s="12" t="s">
        <v>27</v>
      </c>
      <c r="J791" s="12" t="s">
        <v>28</v>
      </c>
      <c r="K791" s="73" t="s">
        <v>29</v>
      </c>
      <c r="L791" s="13">
        <v>292898</v>
      </c>
      <c r="M791" s="13">
        <v>125496</v>
      </c>
      <c r="N791" s="13">
        <v>67961</v>
      </c>
      <c r="O791" s="13">
        <v>159770</v>
      </c>
      <c r="P791" s="13">
        <v>151232</v>
      </c>
      <c r="Q791" s="13">
        <v>133127</v>
      </c>
      <c r="R791" s="13">
        <v>4740</v>
      </c>
      <c r="S791" s="13">
        <v>0</v>
      </c>
      <c r="T791" s="13">
        <v>5</v>
      </c>
      <c r="U791" s="12" t="str">
        <f t="shared" si="48"/>
        <v>Privado Nacional</v>
      </c>
      <c r="V791" s="14">
        <f t="shared" si="49"/>
        <v>0.42846315099454418</v>
      </c>
      <c r="W791" s="14">
        <f t="shared" si="50"/>
        <v>3.56050988905331E-2</v>
      </c>
      <c r="X791" s="12" t="str">
        <f t="shared" si="51"/>
        <v>Média/Pequena</v>
      </c>
      <c r="Y791" s="122" t="str" cm="1">
        <f t="array" ref="Y791">_xlfn.IFS(ISNUMBER(W791)=FALSE,"Sem dado",W791&gt;0.075,"Excelente",W791&gt;0.04,"Bom",W791&gt;0,"Fraco",TRUE,"Prejuízo")</f>
        <v>Fraco</v>
      </c>
    </row>
    <row r="792" spans="1:25" ht="15" customHeight="1" x14ac:dyDescent="0.2">
      <c r="A792" s="15" t="s">
        <v>1687</v>
      </c>
      <c r="B792" s="60">
        <v>42887133</v>
      </c>
      <c r="C792" s="15"/>
      <c r="D792" s="15"/>
      <c r="E792" s="15"/>
      <c r="F792" s="15" t="s">
        <v>265</v>
      </c>
      <c r="G792" s="34">
        <v>2</v>
      </c>
      <c r="H792" s="34">
        <v>9</v>
      </c>
      <c r="I792" s="15" t="s">
        <v>1688</v>
      </c>
      <c r="J792" s="15" t="s">
        <v>120</v>
      </c>
      <c r="K792" s="74" t="s">
        <v>29</v>
      </c>
      <c r="L792" s="16">
        <v>288716</v>
      </c>
      <c r="M792" s="16">
        <v>79438</v>
      </c>
      <c r="N792" s="16">
        <v>4648</v>
      </c>
      <c r="O792" s="16">
        <v>246072</v>
      </c>
      <c r="P792" s="16">
        <v>240666</v>
      </c>
      <c r="Q792" s="16">
        <v>42644</v>
      </c>
      <c r="R792" s="16">
        <v>4792</v>
      </c>
      <c r="S792" s="16">
        <v>0</v>
      </c>
      <c r="T792" s="16">
        <v>6</v>
      </c>
      <c r="U792" s="15" t="str">
        <f t="shared" si="48"/>
        <v>Privado Nacional</v>
      </c>
      <c r="V792" s="17">
        <f t="shared" si="49"/>
        <v>0.27514235442441709</v>
      </c>
      <c r="W792" s="17">
        <f t="shared" si="50"/>
        <v>0.11237219773004409</v>
      </c>
      <c r="X792" s="15" t="str">
        <f t="shared" si="51"/>
        <v>Média/Pequena</v>
      </c>
      <c r="Y792" s="121" t="str" cm="1">
        <f t="array" ref="Y792">_xlfn.IFS(ISNUMBER(W792)=FALSE,"Sem dado",W792&gt;0.075,"Excelente",W792&gt;0.04,"Bom",W792&gt;0,"Fraco",TRUE,"Prejuízo")</f>
        <v>Excelente</v>
      </c>
    </row>
    <row r="793" spans="1:25" ht="15" customHeight="1" x14ac:dyDescent="0.2">
      <c r="A793" s="12" t="s">
        <v>1689</v>
      </c>
      <c r="B793" s="56">
        <v>62090873</v>
      </c>
      <c r="C793" s="12" t="s">
        <v>1690</v>
      </c>
      <c r="D793" s="12" t="s">
        <v>1691</v>
      </c>
      <c r="E793" s="12" t="s">
        <v>1692</v>
      </c>
      <c r="F793" s="12" t="s">
        <v>98</v>
      </c>
      <c r="G793" s="33">
        <v>3</v>
      </c>
      <c r="H793" s="33">
        <v>16</v>
      </c>
      <c r="I793" s="12" t="s">
        <v>38</v>
      </c>
      <c r="J793" s="12" t="s">
        <v>39</v>
      </c>
      <c r="K793" s="73" t="s">
        <v>29</v>
      </c>
      <c r="L793" s="13">
        <v>284870</v>
      </c>
      <c r="M793" s="13">
        <v>0</v>
      </c>
      <c r="N793" s="13">
        <v>104314</v>
      </c>
      <c r="O793" s="13">
        <v>47485</v>
      </c>
      <c r="P793" s="13">
        <v>28003</v>
      </c>
      <c r="Q793" s="13">
        <v>237385</v>
      </c>
      <c r="R793" s="13">
        <v>19515</v>
      </c>
      <c r="S793" s="13">
        <v>2</v>
      </c>
      <c r="T793" s="13">
        <v>0</v>
      </c>
      <c r="U793" s="12" t="str">
        <f t="shared" si="48"/>
        <v>Privado Estrangeiro</v>
      </c>
      <c r="V793" s="14">
        <f t="shared" si="49"/>
        <v>0</v>
      </c>
      <c r="W793" s="14">
        <f t="shared" si="50"/>
        <v>8.2208227141563284E-2</v>
      </c>
      <c r="X793" s="12" t="str">
        <f t="shared" si="51"/>
        <v>Média/Pequena</v>
      </c>
      <c r="Y793" s="122" t="str" cm="1">
        <f t="array" ref="Y793">_xlfn.IFS(ISNUMBER(W793)=FALSE,"Sem dado",W793&gt;0.075,"Excelente",W793&gt;0.04,"Bom",W793&gt;0,"Fraco",TRUE,"Prejuízo")</f>
        <v>Excelente</v>
      </c>
    </row>
    <row r="794" spans="1:25" ht="15" customHeight="1" x14ac:dyDescent="0.2">
      <c r="A794" s="15" t="s">
        <v>1693</v>
      </c>
      <c r="B794" s="60">
        <v>71230338</v>
      </c>
      <c r="C794" s="15"/>
      <c r="D794" s="15"/>
      <c r="E794" s="15"/>
      <c r="F794" s="15" t="s">
        <v>265</v>
      </c>
      <c r="G794" s="34">
        <v>2</v>
      </c>
      <c r="H794" s="34">
        <v>9</v>
      </c>
      <c r="I794" s="15" t="s">
        <v>1694</v>
      </c>
      <c r="J794" s="15" t="s">
        <v>120</v>
      </c>
      <c r="K794" s="74" t="s">
        <v>29</v>
      </c>
      <c r="L794" s="16">
        <v>282660</v>
      </c>
      <c r="M794" s="16">
        <v>88682</v>
      </c>
      <c r="N794" s="16">
        <v>5662</v>
      </c>
      <c r="O794" s="16">
        <v>236822</v>
      </c>
      <c r="P794" s="16">
        <v>231867</v>
      </c>
      <c r="Q794" s="16">
        <v>45838</v>
      </c>
      <c r="R794" s="16">
        <v>4861</v>
      </c>
      <c r="S794" s="16">
        <v>0</v>
      </c>
      <c r="T794" s="16">
        <v>2</v>
      </c>
      <c r="U794" s="15" t="str">
        <f t="shared" si="48"/>
        <v>Privado Nacional</v>
      </c>
      <c r="V794" s="17">
        <f t="shared" si="49"/>
        <v>0.3137408901153329</v>
      </c>
      <c r="W794" s="17">
        <f t="shared" si="50"/>
        <v>0.10604738426632924</v>
      </c>
      <c r="X794" s="15" t="str">
        <f t="shared" si="51"/>
        <v>Média/Pequena</v>
      </c>
      <c r="Y794" s="121" t="str" cm="1">
        <f t="array" ref="Y794">_xlfn.IFS(ISNUMBER(W794)=FALSE,"Sem dado",W794&gt;0.075,"Excelente",W794&gt;0.04,"Bom",W794&gt;0,"Fraco",TRUE,"Prejuízo")</f>
        <v>Excelente</v>
      </c>
    </row>
    <row r="795" spans="1:25" ht="15" customHeight="1" x14ac:dyDescent="0.2">
      <c r="A795" s="12" t="s">
        <v>1695</v>
      </c>
      <c r="B795" s="56">
        <v>69720910</v>
      </c>
      <c r="C795" s="12" t="s">
        <v>296</v>
      </c>
      <c r="D795" s="12" t="s">
        <v>297</v>
      </c>
      <c r="E795" s="12" t="s">
        <v>298</v>
      </c>
      <c r="F795" s="12" t="s">
        <v>65</v>
      </c>
      <c r="G795" s="33">
        <v>3</v>
      </c>
      <c r="H795" s="33">
        <v>19</v>
      </c>
      <c r="I795" s="12" t="s">
        <v>38</v>
      </c>
      <c r="J795" s="12" t="s">
        <v>39</v>
      </c>
      <c r="K795" s="73" t="s">
        <v>29</v>
      </c>
      <c r="L795" s="13">
        <v>281686</v>
      </c>
      <c r="M795" s="13">
        <v>230646</v>
      </c>
      <c r="N795" s="13">
        <v>0</v>
      </c>
      <c r="O795" s="13">
        <v>45933</v>
      </c>
      <c r="P795" s="13">
        <v>0</v>
      </c>
      <c r="Q795" s="13">
        <v>235754</v>
      </c>
      <c r="R795" s="13">
        <v>10044</v>
      </c>
      <c r="S795" s="13">
        <v>2</v>
      </c>
      <c r="T795" s="13">
        <v>0</v>
      </c>
      <c r="U795" s="12" t="str">
        <f t="shared" si="48"/>
        <v>Privado Estrangeiro</v>
      </c>
      <c r="V795" s="14">
        <f t="shared" si="49"/>
        <v>0.81880533643844566</v>
      </c>
      <c r="W795" s="14">
        <f t="shared" si="50"/>
        <v>4.2603731007745359E-2</v>
      </c>
      <c r="X795" s="12" t="str">
        <f t="shared" si="51"/>
        <v>Média/Pequena</v>
      </c>
      <c r="Y795" s="122" t="str" cm="1">
        <f t="array" ref="Y795">_xlfn.IFS(ISNUMBER(W795)=FALSE,"Sem dado",W795&gt;0.075,"Excelente",W795&gt;0.04,"Bom",W795&gt;0,"Fraco",TRUE,"Prejuízo")</f>
        <v>Bom</v>
      </c>
    </row>
    <row r="796" spans="1:25" ht="15" customHeight="1" x14ac:dyDescent="0.2">
      <c r="A796" s="15" t="s">
        <v>1696</v>
      </c>
      <c r="B796" s="60">
        <v>4307598</v>
      </c>
      <c r="C796" s="15" t="s">
        <v>1697</v>
      </c>
      <c r="D796" s="15"/>
      <c r="E796" s="15" t="s">
        <v>1698</v>
      </c>
      <c r="F796" s="15" t="s">
        <v>65</v>
      </c>
      <c r="G796" s="34">
        <v>2</v>
      </c>
      <c r="H796" s="34">
        <v>10</v>
      </c>
      <c r="I796" s="15" t="s">
        <v>770</v>
      </c>
      <c r="J796" s="15" t="s">
        <v>39</v>
      </c>
      <c r="K796" s="74" t="s">
        <v>29</v>
      </c>
      <c r="L796" s="16">
        <v>281533</v>
      </c>
      <c r="M796" s="16">
        <v>1334</v>
      </c>
      <c r="N796" s="16">
        <v>67</v>
      </c>
      <c r="O796" s="16">
        <v>258222</v>
      </c>
      <c r="P796" s="16">
        <v>130001</v>
      </c>
      <c r="Q796" s="16">
        <v>23312</v>
      </c>
      <c r="R796" s="16">
        <v>9946</v>
      </c>
      <c r="S796" s="16">
        <v>2</v>
      </c>
      <c r="T796" s="16">
        <v>0</v>
      </c>
      <c r="U796" s="15" t="str">
        <f t="shared" si="48"/>
        <v>Privado Nacional</v>
      </c>
      <c r="V796" s="17">
        <f t="shared" si="49"/>
        <v>4.7383432848014263E-3</v>
      </c>
      <c r="W796" s="17">
        <f t="shared" si="50"/>
        <v>0.42664722031571722</v>
      </c>
      <c r="X796" s="15" t="str">
        <f t="shared" si="51"/>
        <v>Média/Pequena</v>
      </c>
      <c r="Y796" s="121" t="str" cm="1">
        <f t="array" ref="Y796">_xlfn.IFS(ISNUMBER(W796)=FALSE,"Sem dado",W796&gt;0.075,"Excelente",W796&gt;0.04,"Bom",W796&gt;0,"Fraco",TRUE,"Prejuízo")</f>
        <v>Excelente</v>
      </c>
    </row>
    <row r="797" spans="1:25" ht="15" customHeight="1" x14ac:dyDescent="0.2">
      <c r="A797" s="12" t="s">
        <v>1699</v>
      </c>
      <c r="B797" s="56">
        <v>25363615</v>
      </c>
      <c r="C797" s="12"/>
      <c r="D797" s="12"/>
      <c r="E797" s="12"/>
      <c r="F797" s="12" t="s">
        <v>265</v>
      </c>
      <c r="G797" s="33">
        <v>2</v>
      </c>
      <c r="H797" s="33">
        <v>9</v>
      </c>
      <c r="I797" s="12" t="s">
        <v>119</v>
      </c>
      <c r="J797" s="12" t="s">
        <v>120</v>
      </c>
      <c r="K797" s="73" t="s">
        <v>29</v>
      </c>
      <c r="L797" s="13">
        <v>280266</v>
      </c>
      <c r="M797" s="13">
        <v>108471</v>
      </c>
      <c r="N797" s="13">
        <v>11723</v>
      </c>
      <c r="O797" s="13">
        <v>197173</v>
      </c>
      <c r="P797" s="13">
        <v>188662</v>
      </c>
      <c r="Q797" s="13">
        <v>83093</v>
      </c>
      <c r="R797" s="13">
        <v>3008</v>
      </c>
      <c r="S797" s="13">
        <v>0</v>
      </c>
      <c r="T797" s="13">
        <v>4</v>
      </c>
      <c r="U797" s="12" t="str">
        <f t="shared" si="48"/>
        <v>Privado Nacional</v>
      </c>
      <c r="V797" s="14">
        <f t="shared" si="49"/>
        <v>0.38702875125773373</v>
      </c>
      <c r="W797" s="14">
        <f t="shared" si="50"/>
        <v>3.6200401959250478E-2</v>
      </c>
      <c r="X797" s="12" t="str">
        <f t="shared" si="51"/>
        <v>Média/Pequena</v>
      </c>
      <c r="Y797" s="122" t="str" cm="1">
        <f t="array" ref="Y797">_xlfn.IFS(ISNUMBER(W797)=FALSE,"Sem dado",W797&gt;0.075,"Excelente",W797&gt;0.04,"Bom",W797&gt;0,"Fraco",TRUE,"Prejuízo")</f>
        <v>Fraco</v>
      </c>
    </row>
    <row r="798" spans="1:25" ht="15" customHeight="1" x14ac:dyDescent="0.2">
      <c r="A798" s="15" t="s">
        <v>1700</v>
      </c>
      <c r="B798" s="60">
        <v>4120633</v>
      </c>
      <c r="C798" s="15"/>
      <c r="D798" s="15"/>
      <c r="E798" s="15"/>
      <c r="F798" s="15" t="s">
        <v>265</v>
      </c>
      <c r="G798" s="34">
        <v>2</v>
      </c>
      <c r="H798" s="34">
        <v>9</v>
      </c>
      <c r="I798" s="15" t="s">
        <v>53</v>
      </c>
      <c r="J798" s="15" t="s">
        <v>54</v>
      </c>
      <c r="K798" s="74" t="s">
        <v>29</v>
      </c>
      <c r="L798" s="16">
        <v>279597</v>
      </c>
      <c r="M798" s="16">
        <v>84150</v>
      </c>
      <c r="N798" s="16">
        <v>11461</v>
      </c>
      <c r="O798" s="16">
        <v>224787</v>
      </c>
      <c r="P798" s="16">
        <v>209516</v>
      </c>
      <c r="Q798" s="16">
        <v>54810</v>
      </c>
      <c r="R798" s="16">
        <v>1375</v>
      </c>
      <c r="S798" s="16">
        <v>0</v>
      </c>
      <c r="T798" s="16">
        <v>7</v>
      </c>
      <c r="U798" s="15" t="str">
        <f t="shared" si="48"/>
        <v>Privado Nacional</v>
      </c>
      <c r="V798" s="17">
        <f t="shared" si="49"/>
        <v>0.30096889451603559</v>
      </c>
      <c r="W798" s="17">
        <f t="shared" si="50"/>
        <v>2.5086663017697502E-2</v>
      </c>
      <c r="X798" s="15" t="str">
        <f t="shared" si="51"/>
        <v>Média/Pequena</v>
      </c>
      <c r="Y798" s="121" t="str" cm="1">
        <f t="array" ref="Y798">_xlfn.IFS(ISNUMBER(W798)=FALSE,"Sem dado",W798&gt;0.075,"Excelente",W798&gt;0.04,"Bom",W798&gt;0,"Fraco",TRUE,"Prejuízo")</f>
        <v>Fraco</v>
      </c>
    </row>
    <row r="799" spans="1:25" ht="15" customHeight="1" x14ac:dyDescent="0.2">
      <c r="A799" s="12" t="s">
        <v>1701</v>
      </c>
      <c r="B799" s="56">
        <v>54190525</v>
      </c>
      <c r="C799" s="12"/>
      <c r="D799" s="12"/>
      <c r="E799" s="12"/>
      <c r="F799" s="12" t="s">
        <v>265</v>
      </c>
      <c r="G799" s="33">
        <v>2</v>
      </c>
      <c r="H799" s="33">
        <v>9</v>
      </c>
      <c r="I799" s="12" t="s">
        <v>587</v>
      </c>
      <c r="J799" s="12" t="s">
        <v>39</v>
      </c>
      <c r="K799" s="73" t="s">
        <v>29</v>
      </c>
      <c r="L799" s="13">
        <v>278960</v>
      </c>
      <c r="M799" s="13">
        <v>157082</v>
      </c>
      <c r="N799" s="13">
        <v>105331</v>
      </c>
      <c r="O799" s="13">
        <v>124494</v>
      </c>
      <c r="P799" s="13">
        <v>107071</v>
      </c>
      <c r="Q799" s="13">
        <v>154466</v>
      </c>
      <c r="R799" s="13">
        <v>3592</v>
      </c>
      <c r="S799" s="13">
        <v>0</v>
      </c>
      <c r="T799" s="13">
        <v>19</v>
      </c>
      <c r="U799" s="12" t="str">
        <f t="shared" si="48"/>
        <v>Privado Nacional</v>
      </c>
      <c r="V799" s="14">
        <f t="shared" si="49"/>
        <v>0.56309865213650701</v>
      </c>
      <c r="W799" s="14">
        <f t="shared" si="50"/>
        <v>2.3254308391490685E-2</v>
      </c>
      <c r="X799" s="12" t="str">
        <f t="shared" si="51"/>
        <v>Média/Pequena</v>
      </c>
      <c r="Y799" s="122" t="str" cm="1">
        <f t="array" ref="Y799">_xlfn.IFS(ISNUMBER(W799)=FALSE,"Sem dado",W799&gt;0.075,"Excelente",W799&gt;0.04,"Bom",W799&gt;0,"Fraco",TRUE,"Prejuízo")</f>
        <v>Fraco</v>
      </c>
    </row>
    <row r="800" spans="1:25" ht="15" customHeight="1" x14ac:dyDescent="0.2">
      <c r="A800" s="15" t="s">
        <v>1702</v>
      </c>
      <c r="B800" s="60">
        <v>47381104</v>
      </c>
      <c r="C800" s="15" t="s">
        <v>1703</v>
      </c>
      <c r="D800" s="15"/>
      <c r="E800" s="15" t="s">
        <v>1704</v>
      </c>
      <c r="F800" s="15" t="s">
        <v>84</v>
      </c>
      <c r="G800" s="34">
        <v>3</v>
      </c>
      <c r="H800" s="34">
        <v>41</v>
      </c>
      <c r="I800" s="15" t="s">
        <v>528</v>
      </c>
      <c r="J800" s="15" t="s">
        <v>217</v>
      </c>
      <c r="K800" s="74" t="s">
        <v>29</v>
      </c>
      <c r="L800" s="16">
        <v>276139</v>
      </c>
      <c r="M800" s="16">
        <v>0</v>
      </c>
      <c r="N800" s="16">
        <v>746</v>
      </c>
      <c r="O800" s="16">
        <v>262403</v>
      </c>
      <c r="P800" s="16">
        <v>257618</v>
      </c>
      <c r="Q800" s="16">
        <v>13735</v>
      </c>
      <c r="R800" s="16">
        <v>3944</v>
      </c>
      <c r="S800" s="16">
        <v>1</v>
      </c>
      <c r="T800" s="16">
        <v>0</v>
      </c>
      <c r="U800" s="15" t="str">
        <f t="shared" si="48"/>
        <v>Privado Estrangeiro</v>
      </c>
      <c r="V800" s="17">
        <f t="shared" si="49"/>
        <v>0</v>
      </c>
      <c r="W800" s="17">
        <f t="shared" si="50"/>
        <v>0.28714961776483439</v>
      </c>
      <c r="X800" s="15" t="str">
        <f t="shared" si="51"/>
        <v>Média/Pequena</v>
      </c>
      <c r="Y800" s="121" t="str" cm="1">
        <f t="array" ref="Y800">_xlfn.IFS(ISNUMBER(W800)=FALSE,"Sem dado",W800&gt;0.075,"Excelente",W800&gt;0.04,"Bom",W800&gt;0,"Fraco",TRUE,"Prejuízo")</f>
        <v>Excelente</v>
      </c>
    </row>
    <row r="801" spans="1:25" ht="15" customHeight="1" x14ac:dyDescent="0.2">
      <c r="A801" s="12" t="s">
        <v>1705</v>
      </c>
      <c r="B801" s="56">
        <v>62673470</v>
      </c>
      <c r="C801" s="12"/>
      <c r="D801" s="12"/>
      <c r="E801" s="12"/>
      <c r="F801" s="12" t="s">
        <v>265</v>
      </c>
      <c r="G801" s="33">
        <v>2</v>
      </c>
      <c r="H801" s="33">
        <v>9</v>
      </c>
      <c r="I801" s="12" t="s">
        <v>38</v>
      </c>
      <c r="J801" s="12" t="s">
        <v>39</v>
      </c>
      <c r="K801" s="73" t="s">
        <v>29</v>
      </c>
      <c r="L801" s="13">
        <v>274055</v>
      </c>
      <c r="M801" s="13">
        <v>174611</v>
      </c>
      <c r="N801" s="13">
        <v>51750</v>
      </c>
      <c r="O801" s="13">
        <v>203523</v>
      </c>
      <c r="P801" s="13">
        <v>182302</v>
      </c>
      <c r="Q801" s="13">
        <v>70531</v>
      </c>
      <c r="R801" s="13">
        <v>3262</v>
      </c>
      <c r="S801" s="13">
        <v>0</v>
      </c>
      <c r="T801" s="13">
        <v>20</v>
      </c>
      <c r="U801" s="12" t="str">
        <f t="shared" si="48"/>
        <v>Privado Nacional</v>
      </c>
      <c r="V801" s="14">
        <f t="shared" si="49"/>
        <v>0.63713853058692593</v>
      </c>
      <c r="W801" s="14">
        <f t="shared" si="50"/>
        <v>4.624916703293587E-2</v>
      </c>
      <c r="X801" s="12" t="str">
        <f t="shared" si="51"/>
        <v>Média/Pequena</v>
      </c>
      <c r="Y801" s="122" t="str" cm="1">
        <f t="array" ref="Y801">_xlfn.IFS(ISNUMBER(W801)=FALSE,"Sem dado",W801&gt;0.075,"Excelente",W801&gt;0.04,"Bom",W801&gt;0,"Fraco",TRUE,"Prejuízo")</f>
        <v>Bom</v>
      </c>
    </row>
    <row r="802" spans="1:25" ht="15" customHeight="1" x14ac:dyDescent="0.2">
      <c r="A802" s="15" t="s">
        <v>1706</v>
      </c>
      <c r="B802" s="60">
        <v>68512748</v>
      </c>
      <c r="C802" s="15"/>
      <c r="D802" s="15"/>
      <c r="E802" s="15"/>
      <c r="F802" s="15" t="s">
        <v>265</v>
      </c>
      <c r="G802" s="34">
        <v>2</v>
      </c>
      <c r="H802" s="34">
        <v>9</v>
      </c>
      <c r="I802" s="15" t="s">
        <v>1707</v>
      </c>
      <c r="J802" s="15" t="s">
        <v>120</v>
      </c>
      <c r="K802" s="74" t="s">
        <v>29</v>
      </c>
      <c r="L802" s="16">
        <v>273931</v>
      </c>
      <c r="M802" s="16">
        <v>94719</v>
      </c>
      <c r="N802" s="16">
        <v>4163</v>
      </c>
      <c r="O802" s="16">
        <v>243270</v>
      </c>
      <c r="P802" s="16">
        <v>234019</v>
      </c>
      <c r="Q802" s="16">
        <v>30661</v>
      </c>
      <c r="R802" s="16">
        <v>4826</v>
      </c>
      <c r="S802" s="16">
        <v>0</v>
      </c>
      <c r="T802" s="16">
        <v>13</v>
      </c>
      <c r="U802" s="15" t="str">
        <f t="shared" si="48"/>
        <v>Privado Nacional</v>
      </c>
      <c r="V802" s="17">
        <f t="shared" si="49"/>
        <v>0.34577685621561632</v>
      </c>
      <c r="W802" s="17">
        <f t="shared" si="50"/>
        <v>0.15739864975049739</v>
      </c>
      <c r="X802" s="15" t="str">
        <f t="shared" si="51"/>
        <v>Média/Pequena</v>
      </c>
      <c r="Y802" s="121" t="str" cm="1">
        <f t="array" ref="Y802">_xlfn.IFS(ISNUMBER(W802)=FALSE,"Sem dado",W802&gt;0.075,"Excelente",W802&gt;0.04,"Bom",W802&gt;0,"Fraco",TRUE,"Prejuízo")</f>
        <v>Excelente</v>
      </c>
    </row>
    <row r="803" spans="1:25" ht="15" customHeight="1" x14ac:dyDescent="0.2">
      <c r="A803" s="12" t="s">
        <v>1708</v>
      </c>
      <c r="B803" s="56">
        <v>4649337</v>
      </c>
      <c r="C803" s="12"/>
      <c r="D803" s="12"/>
      <c r="E803" s="12"/>
      <c r="F803" s="12" t="s">
        <v>265</v>
      </c>
      <c r="G803" s="33">
        <v>2</v>
      </c>
      <c r="H803" s="33">
        <v>9</v>
      </c>
      <c r="I803" s="12" t="s">
        <v>27</v>
      </c>
      <c r="J803" s="12" t="s">
        <v>28</v>
      </c>
      <c r="K803" s="73" t="s">
        <v>29</v>
      </c>
      <c r="L803" s="13">
        <v>273536</v>
      </c>
      <c r="M803" s="13">
        <v>123460</v>
      </c>
      <c r="N803" s="13">
        <v>16648</v>
      </c>
      <c r="O803" s="13">
        <v>231904</v>
      </c>
      <c r="P803" s="13">
        <v>226426</v>
      </c>
      <c r="Q803" s="13">
        <v>41632</v>
      </c>
      <c r="R803" s="13">
        <v>4438</v>
      </c>
      <c r="S803" s="13">
        <v>0</v>
      </c>
      <c r="T803" s="13">
        <v>1</v>
      </c>
      <c r="U803" s="12" t="str">
        <f t="shared" si="48"/>
        <v>Privado Nacional</v>
      </c>
      <c r="V803" s="14">
        <f t="shared" si="49"/>
        <v>0.45134826860084232</v>
      </c>
      <c r="W803" s="14">
        <f t="shared" si="50"/>
        <v>0.10660069177555727</v>
      </c>
      <c r="X803" s="12" t="str">
        <f t="shared" si="51"/>
        <v>Média/Pequena</v>
      </c>
      <c r="Y803" s="122" t="str" cm="1">
        <f t="array" ref="Y803">_xlfn.IFS(ISNUMBER(W803)=FALSE,"Sem dado",W803&gt;0.075,"Excelente",W803&gt;0.04,"Bom",W803&gt;0,"Fraco",TRUE,"Prejuízo")</f>
        <v>Excelente</v>
      </c>
    </row>
    <row r="804" spans="1:25" ht="15" customHeight="1" x14ac:dyDescent="0.2">
      <c r="A804" s="15" t="s">
        <v>1709</v>
      </c>
      <c r="B804" s="60">
        <v>7512441</v>
      </c>
      <c r="C804" s="15" t="s">
        <v>1710</v>
      </c>
      <c r="D804" s="15"/>
      <c r="E804" s="15" t="s">
        <v>1711</v>
      </c>
      <c r="F804" s="15" t="s">
        <v>65</v>
      </c>
      <c r="G804" s="34">
        <v>2</v>
      </c>
      <c r="H804" s="34">
        <v>14</v>
      </c>
      <c r="I804" s="15" t="s">
        <v>1712</v>
      </c>
      <c r="J804" s="15" t="s">
        <v>74</v>
      </c>
      <c r="K804" s="74" t="s">
        <v>29</v>
      </c>
      <c r="L804" s="16">
        <v>273336</v>
      </c>
      <c r="M804" s="16">
        <v>220576</v>
      </c>
      <c r="N804" s="16">
        <v>0</v>
      </c>
      <c r="O804" s="16">
        <v>245528</v>
      </c>
      <c r="P804" s="16">
        <v>205094</v>
      </c>
      <c r="Q804" s="16">
        <v>27809</v>
      </c>
      <c r="R804" s="16">
        <v>-19163</v>
      </c>
      <c r="S804" s="16">
        <v>2</v>
      </c>
      <c r="T804" s="16">
        <v>0</v>
      </c>
      <c r="U804" s="15" t="str">
        <f t="shared" si="48"/>
        <v>Privado Nacional</v>
      </c>
      <c r="V804" s="17">
        <f t="shared" si="49"/>
        <v>0.80697749290250831</v>
      </c>
      <c r="W804" s="17">
        <f t="shared" si="50"/>
        <v>-0.68909345895213781</v>
      </c>
      <c r="X804" s="15" t="str">
        <f t="shared" si="51"/>
        <v>Média/Pequena</v>
      </c>
      <c r="Y804" s="121" t="str" cm="1">
        <f t="array" ref="Y804">_xlfn.IFS(ISNUMBER(W804)=FALSE,"Sem dado",W804&gt;0.075,"Excelente",W804&gt;0.04,"Bom",W804&gt;0,"Fraco",TRUE,"Prejuízo")</f>
        <v>Prejuízo</v>
      </c>
    </row>
    <row r="805" spans="1:25" ht="15" customHeight="1" x14ac:dyDescent="0.2">
      <c r="A805" s="12" t="s">
        <v>1713</v>
      </c>
      <c r="B805" s="56">
        <v>39696395</v>
      </c>
      <c r="C805" s="12" t="s">
        <v>1714</v>
      </c>
      <c r="D805" s="12"/>
      <c r="E805" s="12" t="s">
        <v>1715</v>
      </c>
      <c r="F805" s="12" t="s">
        <v>84</v>
      </c>
      <c r="G805" s="33">
        <v>2</v>
      </c>
      <c r="H805" s="33">
        <v>41</v>
      </c>
      <c r="I805" s="12" t="s">
        <v>38</v>
      </c>
      <c r="J805" s="12" t="s">
        <v>39</v>
      </c>
      <c r="K805" s="73" t="s">
        <v>29</v>
      </c>
      <c r="L805" s="13">
        <v>271996</v>
      </c>
      <c r="M805" s="13">
        <v>0</v>
      </c>
      <c r="N805" s="13">
        <v>217707</v>
      </c>
      <c r="O805" s="13">
        <v>241918</v>
      </c>
      <c r="P805" s="13">
        <v>125515</v>
      </c>
      <c r="Q805" s="13">
        <v>30079</v>
      </c>
      <c r="R805" s="13">
        <v>7368</v>
      </c>
      <c r="S805" s="13">
        <v>1</v>
      </c>
      <c r="T805" s="13">
        <v>0</v>
      </c>
      <c r="U805" s="12" t="str">
        <f t="shared" si="48"/>
        <v>Privado Nacional</v>
      </c>
      <c r="V805" s="14">
        <f t="shared" si="49"/>
        <v>0</v>
      </c>
      <c r="W805" s="14">
        <f t="shared" si="50"/>
        <v>0.2449549519598391</v>
      </c>
      <c r="X805" s="12" t="str">
        <f t="shared" si="51"/>
        <v>Média/Pequena</v>
      </c>
      <c r="Y805" s="122" t="str" cm="1">
        <f t="array" ref="Y805">_xlfn.IFS(ISNUMBER(W805)=FALSE,"Sem dado",W805&gt;0.075,"Excelente",W805&gt;0.04,"Bom",W805&gt;0,"Fraco",TRUE,"Prejuízo")</f>
        <v>Excelente</v>
      </c>
    </row>
    <row r="806" spans="1:25" ht="15" customHeight="1" x14ac:dyDescent="0.2">
      <c r="A806" s="15" t="s">
        <v>1716</v>
      </c>
      <c r="B806" s="60">
        <v>6249129</v>
      </c>
      <c r="C806" s="15" t="s">
        <v>1717</v>
      </c>
      <c r="D806" s="15"/>
      <c r="E806" s="15" t="s">
        <v>1718</v>
      </c>
      <c r="F806" s="15" t="s">
        <v>65</v>
      </c>
      <c r="G806" s="34">
        <v>2</v>
      </c>
      <c r="H806" s="34">
        <v>14</v>
      </c>
      <c r="I806" s="15" t="s">
        <v>38</v>
      </c>
      <c r="J806" s="15" t="s">
        <v>39</v>
      </c>
      <c r="K806" s="74" t="s">
        <v>29</v>
      </c>
      <c r="L806" s="16">
        <v>270058</v>
      </c>
      <c r="M806" s="16">
        <v>209533</v>
      </c>
      <c r="N806" s="16">
        <v>7435</v>
      </c>
      <c r="O806" s="16">
        <v>230499</v>
      </c>
      <c r="P806" s="16">
        <v>217912</v>
      </c>
      <c r="Q806" s="16">
        <v>39559</v>
      </c>
      <c r="R806" s="16">
        <v>1118</v>
      </c>
      <c r="S806" s="16">
        <v>2</v>
      </c>
      <c r="T806" s="16">
        <v>0</v>
      </c>
      <c r="U806" s="15" t="str">
        <f t="shared" si="48"/>
        <v>Privado Nacional</v>
      </c>
      <c r="V806" s="17">
        <f t="shared" si="49"/>
        <v>0.77588147731228108</v>
      </c>
      <c r="W806" s="17">
        <f t="shared" si="50"/>
        <v>2.8261583963194215E-2</v>
      </c>
      <c r="X806" s="15" t="str">
        <f t="shared" si="51"/>
        <v>Média/Pequena</v>
      </c>
      <c r="Y806" s="121" t="str" cm="1">
        <f t="array" ref="Y806">_xlfn.IFS(ISNUMBER(W806)=FALSE,"Sem dado",W806&gt;0.075,"Excelente",W806&gt;0.04,"Bom",W806&gt;0,"Fraco",TRUE,"Prejuízo")</f>
        <v>Fraco</v>
      </c>
    </row>
    <row r="807" spans="1:25" ht="15" customHeight="1" x14ac:dyDescent="0.2">
      <c r="A807" s="12" t="s">
        <v>1719</v>
      </c>
      <c r="B807" s="56">
        <v>39908427</v>
      </c>
      <c r="C807" s="12" t="s">
        <v>1104</v>
      </c>
      <c r="D807" s="12"/>
      <c r="E807" s="12" t="s">
        <v>1105</v>
      </c>
      <c r="F807" s="12" t="s">
        <v>65</v>
      </c>
      <c r="G807" s="33">
        <v>2</v>
      </c>
      <c r="H807" s="33">
        <v>43</v>
      </c>
      <c r="I807" s="12" t="s">
        <v>38</v>
      </c>
      <c r="J807" s="12" t="s">
        <v>39</v>
      </c>
      <c r="K807" s="73" t="s">
        <v>29</v>
      </c>
      <c r="L807" s="13">
        <v>268484</v>
      </c>
      <c r="M807" s="13">
        <v>29466</v>
      </c>
      <c r="N807" s="13">
        <v>0</v>
      </c>
      <c r="O807" s="13">
        <v>141609</v>
      </c>
      <c r="P807" s="13">
        <v>0</v>
      </c>
      <c r="Q807" s="13">
        <v>126874</v>
      </c>
      <c r="R807" s="13">
        <v>11208</v>
      </c>
      <c r="S807" s="13">
        <v>1</v>
      </c>
      <c r="T807" s="13">
        <v>0</v>
      </c>
      <c r="U807" s="12" t="str">
        <f t="shared" si="48"/>
        <v>Privado Nacional</v>
      </c>
      <c r="V807" s="14">
        <f t="shared" si="49"/>
        <v>0.1097495567706083</v>
      </c>
      <c r="W807" s="14">
        <f t="shared" si="50"/>
        <v>8.8339612528965744E-2</v>
      </c>
      <c r="X807" s="12" t="str">
        <f t="shared" si="51"/>
        <v>Média/Pequena</v>
      </c>
      <c r="Y807" s="122" t="str" cm="1">
        <f t="array" ref="Y807">_xlfn.IFS(ISNUMBER(W807)=FALSE,"Sem dado",W807&gt;0.075,"Excelente",W807&gt;0.04,"Bom",W807&gt;0,"Fraco",TRUE,"Prejuízo")</f>
        <v>Excelente</v>
      </c>
    </row>
    <row r="808" spans="1:25" ht="15" customHeight="1" x14ac:dyDescent="0.2">
      <c r="A808" s="15" t="s">
        <v>1720</v>
      </c>
      <c r="B808" s="60">
        <v>707903</v>
      </c>
      <c r="C808" s="15"/>
      <c r="D808" s="15"/>
      <c r="E808" s="15"/>
      <c r="F808" s="15" t="s">
        <v>265</v>
      </c>
      <c r="G808" s="34">
        <v>2</v>
      </c>
      <c r="H808" s="34">
        <v>9</v>
      </c>
      <c r="I808" s="15" t="s">
        <v>1721</v>
      </c>
      <c r="J808" s="15" t="s">
        <v>217</v>
      </c>
      <c r="K808" s="74" t="s">
        <v>29</v>
      </c>
      <c r="L808" s="16">
        <v>267384</v>
      </c>
      <c r="M808" s="16">
        <v>131257</v>
      </c>
      <c r="N808" s="16">
        <v>5515</v>
      </c>
      <c r="O808" s="16">
        <v>223991</v>
      </c>
      <c r="P808" s="16">
        <v>189250</v>
      </c>
      <c r="Q808" s="16">
        <v>43393</v>
      </c>
      <c r="R808" s="16">
        <v>1668</v>
      </c>
      <c r="S808" s="16">
        <v>0</v>
      </c>
      <c r="T808" s="16">
        <v>5</v>
      </c>
      <c r="U808" s="15" t="str">
        <f t="shared" si="48"/>
        <v>Privado Nacional</v>
      </c>
      <c r="V808" s="17">
        <f t="shared" si="49"/>
        <v>0.49089324716512583</v>
      </c>
      <c r="W808" s="17">
        <f t="shared" si="50"/>
        <v>3.8439379623441572E-2</v>
      </c>
      <c r="X808" s="15" t="str">
        <f t="shared" si="51"/>
        <v>Média/Pequena</v>
      </c>
      <c r="Y808" s="121" t="str" cm="1">
        <f t="array" ref="Y808">_xlfn.IFS(ISNUMBER(W808)=FALSE,"Sem dado",W808&gt;0.075,"Excelente",W808&gt;0.04,"Bom",W808&gt;0,"Fraco",TRUE,"Prejuízo")</f>
        <v>Fraco</v>
      </c>
    </row>
    <row r="809" spans="1:25" ht="15" customHeight="1" x14ac:dyDescent="0.2">
      <c r="A809" s="12" t="s">
        <v>1722</v>
      </c>
      <c r="B809" s="56">
        <v>71506513</v>
      </c>
      <c r="C809" s="12"/>
      <c r="D809" s="12"/>
      <c r="E809" s="12"/>
      <c r="F809" s="12" t="s">
        <v>265</v>
      </c>
      <c r="G809" s="33">
        <v>2</v>
      </c>
      <c r="H809" s="33">
        <v>9</v>
      </c>
      <c r="I809" s="12" t="s">
        <v>1723</v>
      </c>
      <c r="J809" s="12" t="s">
        <v>120</v>
      </c>
      <c r="K809" s="73" t="s">
        <v>29</v>
      </c>
      <c r="L809" s="13">
        <v>265258</v>
      </c>
      <c r="M809" s="13">
        <v>127869</v>
      </c>
      <c r="N809" s="13">
        <v>8998</v>
      </c>
      <c r="O809" s="13">
        <v>208729</v>
      </c>
      <c r="P809" s="13">
        <v>138049</v>
      </c>
      <c r="Q809" s="13">
        <v>56529</v>
      </c>
      <c r="R809" s="13">
        <v>3947</v>
      </c>
      <c r="S809" s="13">
        <v>0</v>
      </c>
      <c r="T809" s="13">
        <v>0</v>
      </c>
      <c r="U809" s="12" t="str">
        <f t="shared" si="48"/>
        <v>Privado Nacional</v>
      </c>
      <c r="V809" s="14">
        <f t="shared" si="49"/>
        <v>0.4820552066290178</v>
      </c>
      <c r="W809" s="14">
        <f t="shared" si="50"/>
        <v>6.9822568946912203E-2</v>
      </c>
      <c r="X809" s="12" t="str">
        <f t="shared" si="51"/>
        <v>Média/Pequena</v>
      </c>
      <c r="Y809" s="122" t="str" cm="1">
        <f t="array" ref="Y809">_xlfn.IFS(ISNUMBER(W809)=FALSE,"Sem dado",W809&gt;0.075,"Excelente",W809&gt;0.04,"Bom",W809&gt;0,"Fraco",TRUE,"Prejuízo")</f>
        <v>Bom</v>
      </c>
    </row>
    <row r="810" spans="1:25" ht="15" customHeight="1" x14ac:dyDescent="0.2">
      <c r="A810" s="15" t="s">
        <v>1724</v>
      </c>
      <c r="B810" s="60">
        <v>28156057</v>
      </c>
      <c r="C810" s="15" t="s">
        <v>179</v>
      </c>
      <c r="D810" s="15" t="s">
        <v>180</v>
      </c>
      <c r="E810" s="15" t="s">
        <v>181</v>
      </c>
      <c r="F810" s="15" t="s">
        <v>98</v>
      </c>
      <c r="G810" s="34">
        <v>1</v>
      </c>
      <c r="H810" s="34">
        <v>16</v>
      </c>
      <c r="I810" s="15" t="s">
        <v>182</v>
      </c>
      <c r="J810" s="15" t="s">
        <v>183</v>
      </c>
      <c r="K810" s="74" t="s">
        <v>29</v>
      </c>
      <c r="L810" s="16">
        <v>262807</v>
      </c>
      <c r="M810" s="16">
        <v>0</v>
      </c>
      <c r="N810" s="16">
        <v>0</v>
      </c>
      <c r="O810" s="16">
        <v>11260</v>
      </c>
      <c r="P810" s="16">
        <v>398</v>
      </c>
      <c r="Q810" s="16">
        <v>251547</v>
      </c>
      <c r="R810" s="16">
        <v>35717</v>
      </c>
      <c r="S810" s="16">
        <v>2</v>
      </c>
      <c r="T810" s="16">
        <v>0</v>
      </c>
      <c r="U810" s="15" t="str">
        <f t="shared" si="48"/>
        <v>Público</v>
      </c>
      <c r="V810" s="17">
        <f t="shared" si="49"/>
        <v>0</v>
      </c>
      <c r="W810" s="17">
        <f t="shared" si="50"/>
        <v>0.14198936977980259</v>
      </c>
      <c r="X810" s="15" t="str">
        <f t="shared" si="51"/>
        <v>Média/Pequena</v>
      </c>
      <c r="Y810" s="121" t="str" cm="1">
        <f t="array" ref="Y810">_xlfn.IFS(ISNUMBER(W810)=FALSE,"Sem dado",W810&gt;0.075,"Excelente",W810&gt;0.04,"Bom",W810&gt;0,"Fraco",TRUE,"Prejuízo")</f>
        <v>Excelente</v>
      </c>
    </row>
    <row r="811" spans="1:25" ht="15" customHeight="1" x14ac:dyDescent="0.2">
      <c r="A811" s="12" t="s">
        <v>1725</v>
      </c>
      <c r="B811" s="56">
        <v>13966572</v>
      </c>
      <c r="C811" s="12" t="s">
        <v>1726</v>
      </c>
      <c r="D811" s="12"/>
      <c r="E811" s="12" t="s">
        <v>1727</v>
      </c>
      <c r="F811" s="12" t="s">
        <v>84</v>
      </c>
      <c r="G811" s="33">
        <v>2</v>
      </c>
      <c r="H811" s="33">
        <v>41</v>
      </c>
      <c r="I811" s="12" t="s">
        <v>38</v>
      </c>
      <c r="J811" s="12" t="s">
        <v>39</v>
      </c>
      <c r="K811" s="73" t="s">
        <v>29</v>
      </c>
      <c r="L811" s="13">
        <v>259578</v>
      </c>
      <c r="M811" s="13">
        <v>0</v>
      </c>
      <c r="N811" s="13">
        <v>2269</v>
      </c>
      <c r="O811" s="13">
        <v>227474</v>
      </c>
      <c r="P811" s="13">
        <v>51474</v>
      </c>
      <c r="Q811" s="13">
        <v>32104</v>
      </c>
      <c r="R811" s="13">
        <v>23216</v>
      </c>
      <c r="S811" s="13">
        <v>1</v>
      </c>
      <c r="T811" s="13">
        <v>0</v>
      </c>
      <c r="U811" s="12" t="str">
        <f t="shared" si="48"/>
        <v>Privado Nacional</v>
      </c>
      <c r="V811" s="14">
        <f t="shared" si="49"/>
        <v>0</v>
      </c>
      <c r="W811" s="14">
        <f t="shared" si="50"/>
        <v>0.72314976326937452</v>
      </c>
      <c r="X811" s="12" t="str">
        <f t="shared" si="51"/>
        <v>Média/Pequena</v>
      </c>
      <c r="Y811" s="122" t="str" cm="1">
        <f t="array" ref="Y811">_xlfn.IFS(ISNUMBER(W811)=FALSE,"Sem dado",W811&gt;0.075,"Excelente",W811&gt;0.04,"Bom",W811&gt;0,"Fraco",TRUE,"Prejuízo")</f>
        <v>Excelente</v>
      </c>
    </row>
    <row r="812" spans="1:25" ht="15" customHeight="1" x14ac:dyDescent="0.2">
      <c r="A812" s="15" t="s">
        <v>1728</v>
      </c>
      <c r="B812" s="60">
        <v>6284531</v>
      </c>
      <c r="C812" s="15" t="s">
        <v>1729</v>
      </c>
      <c r="D812" s="15"/>
      <c r="E812" s="15" t="s">
        <v>1730</v>
      </c>
      <c r="F812" s="15" t="s">
        <v>65</v>
      </c>
      <c r="G812" s="34">
        <v>1</v>
      </c>
      <c r="H812" s="34">
        <v>30</v>
      </c>
      <c r="I812" s="15" t="s">
        <v>803</v>
      </c>
      <c r="J812" s="15" t="s">
        <v>329</v>
      </c>
      <c r="K812" s="74" t="s">
        <v>29</v>
      </c>
      <c r="L812" s="16">
        <v>258298</v>
      </c>
      <c r="M812" s="16">
        <v>129320</v>
      </c>
      <c r="N812" s="16">
        <v>110331</v>
      </c>
      <c r="O812" s="16">
        <v>32121</v>
      </c>
      <c r="P812" s="16">
        <v>25422</v>
      </c>
      <c r="Q812" s="16">
        <v>226177</v>
      </c>
      <c r="R812" s="16">
        <v>-387</v>
      </c>
      <c r="S812" s="16">
        <v>1</v>
      </c>
      <c r="T812" s="16">
        <v>0</v>
      </c>
      <c r="U812" s="15" t="str">
        <f t="shared" si="48"/>
        <v>Público</v>
      </c>
      <c r="V812" s="17">
        <f t="shared" si="49"/>
        <v>0.50066202603194765</v>
      </c>
      <c r="W812" s="17">
        <f t="shared" si="50"/>
        <v>-1.7110493109378938E-3</v>
      </c>
      <c r="X812" s="15" t="str">
        <f t="shared" si="51"/>
        <v>Média/Pequena</v>
      </c>
      <c r="Y812" s="121" t="str" cm="1">
        <f t="array" ref="Y812">_xlfn.IFS(ISNUMBER(W812)=FALSE,"Sem dado",W812&gt;0.075,"Excelente",W812&gt;0.04,"Bom",W812&gt;0,"Fraco",TRUE,"Prejuízo")</f>
        <v>Prejuízo</v>
      </c>
    </row>
    <row r="813" spans="1:25" ht="15" customHeight="1" x14ac:dyDescent="0.2">
      <c r="A813" s="12" t="s">
        <v>1731</v>
      </c>
      <c r="B813" s="56">
        <v>6910457</v>
      </c>
      <c r="C813" s="12"/>
      <c r="D813" s="12"/>
      <c r="E813" s="12"/>
      <c r="F813" s="12" t="s">
        <v>265</v>
      </c>
      <c r="G813" s="33">
        <v>2</v>
      </c>
      <c r="H813" s="33">
        <v>9</v>
      </c>
      <c r="I813" s="12" t="s">
        <v>1732</v>
      </c>
      <c r="J813" s="12" t="s">
        <v>39</v>
      </c>
      <c r="K813" s="73" t="s">
        <v>29</v>
      </c>
      <c r="L813" s="13">
        <v>257638</v>
      </c>
      <c r="M813" s="13">
        <v>132261</v>
      </c>
      <c r="N813" s="13">
        <v>86986</v>
      </c>
      <c r="O813" s="13">
        <v>223361</v>
      </c>
      <c r="P813" s="13">
        <v>207939</v>
      </c>
      <c r="Q813" s="13">
        <v>34277</v>
      </c>
      <c r="R813" s="13">
        <v>-2566</v>
      </c>
      <c r="S813" s="13">
        <v>0</v>
      </c>
      <c r="T813" s="13">
        <v>3</v>
      </c>
      <c r="U813" s="12" t="str">
        <f t="shared" si="48"/>
        <v>Privado Nacional</v>
      </c>
      <c r="V813" s="14">
        <f t="shared" si="49"/>
        <v>0.51335983045979239</v>
      </c>
      <c r="W813" s="14">
        <f t="shared" si="50"/>
        <v>-7.4860693759663921E-2</v>
      </c>
      <c r="X813" s="12" t="str">
        <f t="shared" si="51"/>
        <v>Média/Pequena</v>
      </c>
      <c r="Y813" s="122" t="str" cm="1">
        <f t="array" ref="Y813">_xlfn.IFS(ISNUMBER(W813)=FALSE,"Sem dado",W813&gt;0.075,"Excelente",W813&gt;0.04,"Bom",W813&gt;0,"Fraco",TRUE,"Prejuízo")</f>
        <v>Prejuízo</v>
      </c>
    </row>
    <row r="814" spans="1:25" ht="15" customHeight="1" x14ac:dyDescent="0.2">
      <c r="A814" s="15" t="s">
        <v>1733</v>
      </c>
      <c r="B814" s="60">
        <v>38316293</v>
      </c>
      <c r="C814" s="15" t="s">
        <v>1734</v>
      </c>
      <c r="D814" s="15"/>
      <c r="E814" s="15" t="s">
        <v>1735</v>
      </c>
      <c r="F814" s="15" t="s">
        <v>65</v>
      </c>
      <c r="G814" s="34">
        <v>3</v>
      </c>
      <c r="H814" s="34">
        <v>43</v>
      </c>
      <c r="I814" s="15" t="s">
        <v>165</v>
      </c>
      <c r="J814" s="15" t="s">
        <v>39</v>
      </c>
      <c r="K814" s="74" t="s">
        <v>29</v>
      </c>
      <c r="L814" s="16">
        <v>257254</v>
      </c>
      <c r="M814" s="16">
        <v>189581</v>
      </c>
      <c r="N814" s="16">
        <v>0</v>
      </c>
      <c r="O814" s="16">
        <v>61376</v>
      </c>
      <c r="P814" s="16">
        <v>0</v>
      </c>
      <c r="Q814" s="16">
        <v>195878</v>
      </c>
      <c r="R814" s="16">
        <v>47935</v>
      </c>
      <c r="S814" s="16">
        <v>2</v>
      </c>
      <c r="T814" s="16">
        <v>0</v>
      </c>
      <c r="U814" s="15" t="str">
        <f t="shared" si="48"/>
        <v>Privado Estrangeiro</v>
      </c>
      <c r="V814" s="17">
        <f t="shared" si="49"/>
        <v>0.73694092220140406</v>
      </c>
      <c r="W814" s="17">
        <f t="shared" si="50"/>
        <v>0.24471865140546667</v>
      </c>
      <c r="X814" s="15" t="str">
        <f t="shared" si="51"/>
        <v>Média/Pequena</v>
      </c>
      <c r="Y814" s="121" t="str" cm="1">
        <f t="array" ref="Y814">_xlfn.IFS(ISNUMBER(W814)=FALSE,"Sem dado",W814&gt;0.075,"Excelente",W814&gt;0.04,"Bom",W814&gt;0,"Fraco",TRUE,"Prejuízo")</f>
        <v>Excelente</v>
      </c>
    </row>
    <row r="815" spans="1:25" ht="15" customHeight="1" x14ac:dyDescent="0.2">
      <c r="A815" s="12" t="s">
        <v>1736</v>
      </c>
      <c r="B815" s="56">
        <v>4174720</v>
      </c>
      <c r="C815" s="12"/>
      <c r="D815" s="12"/>
      <c r="E815" s="12"/>
      <c r="F815" s="12" t="s">
        <v>265</v>
      </c>
      <c r="G815" s="33">
        <v>2</v>
      </c>
      <c r="H815" s="33">
        <v>9</v>
      </c>
      <c r="I815" s="12" t="s">
        <v>1737</v>
      </c>
      <c r="J815" s="12" t="s">
        <v>211</v>
      </c>
      <c r="K815" s="73" t="s">
        <v>29</v>
      </c>
      <c r="L815" s="13">
        <v>257250</v>
      </c>
      <c r="M815" s="13">
        <v>87995</v>
      </c>
      <c r="N815" s="13">
        <v>23539</v>
      </c>
      <c r="O815" s="13">
        <v>220460</v>
      </c>
      <c r="P815" s="13">
        <v>212255</v>
      </c>
      <c r="Q815" s="13">
        <v>36790</v>
      </c>
      <c r="R815" s="13">
        <v>3156</v>
      </c>
      <c r="S815" s="13">
        <v>0</v>
      </c>
      <c r="T815" s="13">
        <v>11</v>
      </c>
      <c r="U815" s="12" t="str">
        <f t="shared" si="48"/>
        <v>Privado Nacional</v>
      </c>
      <c r="V815" s="14">
        <f t="shared" si="49"/>
        <v>0.34206025267249757</v>
      </c>
      <c r="W815" s="14">
        <f t="shared" si="50"/>
        <v>8.5784180483827133E-2</v>
      </c>
      <c r="X815" s="12" t="str">
        <f t="shared" si="51"/>
        <v>Média/Pequena</v>
      </c>
      <c r="Y815" s="122" t="str" cm="1">
        <f t="array" ref="Y815">_xlfn.IFS(ISNUMBER(W815)=FALSE,"Sem dado",W815&gt;0.075,"Excelente",W815&gt;0.04,"Bom",W815&gt;0,"Fraco",TRUE,"Prejuízo")</f>
        <v>Excelente</v>
      </c>
    </row>
    <row r="816" spans="1:25" ht="15" customHeight="1" x14ac:dyDescent="0.2">
      <c r="A816" s="15" t="s">
        <v>1738</v>
      </c>
      <c r="B816" s="60">
        <v>14046512</v>
      </c>
      <c r="C816" s="15"/>
      <c r="D816" s="15"/>
      <c r="E816" s="15"/>
      <c r="F816" s="15" t="s">
        <v>265</v>
      </c>
      <c r="G816" s="34">
        <v>2</v>
      </c>
      <c r="H816" s="34">
        <v>9</v>
      </c>
      <c r="I816" s="15" t="s">
        <v>1739</v>
      </c>
      <c r="J816" s="15" t="s">
        <v>120</v>
      </c>
      <c r="K816" s="74" t="s">
        <v>29</v>
      </c>
      <c r="L816" s="16">
        <v>254323</v>
      </c>
      <c r="M816" s="16">
        <v>168817</v>
      </c>
      <c r="N816" s="16">
        <v>5638</v>
      </c>
      <c r="O816" s="16">
        <v>209068</v>
      </c>
      <c r="P816" s="16">
        <v>128450</v>
      </c>
      <c r="Q816" s="16">
        <v>45255</v>
      </c>
      <c r="R816" s="16">
        <v>2141</v>
      </c>
      <c r="S816" s="16">
        <v>0</v>
      </c>
      <c r="T816" s="16">
        <v>7</v>
      </c>
      <c r="U816" s="15" t="str">
        <f t="shared" si="48"/>
        <v>Privado Nacional</v>
      </c>
      <c r="V816" s="17">
        <f t="shared" si="49"/>
        <v>0.66378974768306442</v>
      </c>
      <c r="W816" s="17">
        <f t="shared" si="50"/>
        <v>4.7309689537067726E-2</v>
      </c>
      <c r="X816" s="15" t="str">
        <f t="shared" si="51"/>
        <v>Média/Pequena</v>
      </c>
      <c r="Y816" s="121" t="str" cm="1">
        <f t="array" ref="Y816">_xlfn.IFS(ISNUMBER(W816)=FALSE,"Sem dado",W816&gt;0.075,"Excelente",W816&gt;0.04,"Bom",W816&gt;0,"Fraco",TRUE,"Prejuízo")</f>
        <v>Bom</v>
      </c>
    </row>
    <row r="817" spans="1:25" ht="15" customHeight="1" x14ac:dyDescent="0.2">
      <c r="A817" s="12" t="s">
        <v>1740</v>
      </c>
      <c r="B817" s="56">
        <v>27084098</v>
      </c>
      <c r="C817" s="12" t="s">
        <v>1741</v>
      </c>
      <c r="D817" s="12"/>
      <c r="E817" s="12" t="s">
        <v>1742</v>
      </c>
      <c r="F817" s="12" t="s">
        <v>84</v>
      </c>
      <c r="G817" s="33">
        <v>3</v>
      </c>
      <c r="H817" s="33">
        <v>41</v>
      </c>
      <c r="I817" s="12" t="s">
        <v>228</v>
      </c>
      <c r="J817" s="12" t="s">
        <v>229</v>
      </c>
      <c r="K817" s="73" t="s">
        <v>29</v>
      </c>
      <c r="L817" s="13">
        <v>253487</v>
      </c>
      <c r="M817" s="13">
        <v>0</v>
      </c>
      <c r="N817" s="13">
        <v>0</v>
      </c>
      <c r="O817" s="13">
        <v>236535</v>
      </c>
      <c r="P817" s="13">
        <v>226704</v>
      </c>
      <c r="Q817" s="13">
        <v>16953</v>
      </c>
      <c r="R817" s="13">
        <v>4122</v>
      </c>
      <c r="S817" s="13">
        <v>1</v>
      </c>
      <c r="T817" s="13">
        <v>0</v>
      </c>
      <c r="U817" s="12" t="str">
        <f t="shared" si="48"/>
        <v>Privado Estrangeiro</v>
      </c>
      <c r="V817" s="14">
        <f t="shared" si="49"/>
        <v>0</v>
      </c>
      <c r="W817" s="14">
        <f t="shared" si="50"/>
        <v>0.24314280658290569</v>
      </c>
      <c r="X817" s="12" t="str">
        <f t="shared" si="51"/>
        <v>Média/Pequena</v>
      </c>
      <c r="Y817" s="122" t="str" cm="1">
        <f t="array" ref="Y817">_xlfn.IFS(ISNUMBER(W817)=FALSE,"Sem dado",W817&gt;0.075,"Excelente",W817&gt;0.04,"Bom",W817&gt;0,"Fraco",TRUE,"Prejuízo")</f>
        <v>Excelente</v>
      </c>
    </row>
    <row r="818" spans="1:25" ht="15" customHeight="1" x14ac:dyDescent="0.2">
      <c r="A818" s="15" t="s">
        <v>1743</v>
      </c>
      <c r="B818" s="60">
        <v>2382755</v>
      </c>
      <c r="C818" s="15"/>
      <c r="D818" s="15"/>
      <c r="E818" s="15"/>
      <c r="F818" s="15" t="s">
        <v>265</v>
      </c>
      <c r="G818" s="34">
        <v>2</v>
      </c>
      <c r="H818" s="34">
        <v>9</v>
      </c>
      <c r="I818" s="15" t="s">
        <v>821</v>
      </c>
      <c r="J818" s="15" t="s">
        <v>822</v>
      </c>
      <c r="K818" s="74" t="s">
        <v>29</v>
      </c>
      <c r="L818" s="16">
        <v>252687</v>
      </c>
      <c r="M818" s="16">
        <v>131461</v>
      </c>
      <c r="N818" s="16">
        <v>13478</v>
      </c>
      <c r="O818" s="16">
        <v>223187</v>
      </c>
      <c r="P818" s="16">
        <v>212632</v>
      </c>
      <c r="Q818" s="16">
        <v>29500</v>
      </c>
      <c r="R818" s="16">
        <v>-5000</v>
      </c>
      <c r="S818" s="16">
        <v>0</v>
      </c>
      <c r="T818" s="16">
        <v>5</v>
      </c>
      <c r="U818" s="15" t="str">
        <f t="shared" si="48"/>
        <v>Privado Nacional</v>
      </c>
      <c r="V818" s="17">
        <f t="shared" si="49"/>
        <v>0.52025232797888299</v>
      </c>
      <c r="W818" s="17">
        <f t="shared" si="50"/>
        <v>-0.16949152542372881</v>
      </c>
      <c r="X818" s="15" t="str">
        <f t="shared" si="51"/>
        <v>Média/Pequena</v>
      </c>
      <c r="Y818" s="121" t="str" cm="1">
        <f t="array" ref="Y818">_xlfn.IFS(ISNUMBER(W818)=FALSE,"Sem dado",W818&gt;0.075,"Excelente",W818&gt;0.04,"Bom",W818&gt;0,"Fraco",TRUE,"Prejuízo")</f>
        <v>Prejuízo</v>
      </c>
    </row>
    <row r="819" spans="1:25" ht="15" customHeight="1" x14ac:dyDescent="0.2">
      <c r="A819" s="12" t="s">
        <v>1744</v>
      </c>
      <c r="B819" s="56">
        <v>7958405</v>
      </c>
      <c r="C819" s="12"/>
      <c r="D819" s="12"/>
      <c r="E819" s="12"/>
      <c r="F819" s="12" t="s">
        <v>265</v>
      </c>
      <c r="G819" s="33">
        <v>2</v>
      </c>
      <c r="H819" s="33">
        <v>9</v>
      </c>
      <c r="I819" s="12" t="s">
        <v>1745</v>
      </c>
      <c r="J819" s="12" t="s">
        <v>217</v>
      </c>
      <c r="K819" s="73" t="s">
        <v>29</v>
      </c>
      <c r="L819" s="13">
        <v>248599</v>
      </c>
      <c r="M819" s="13">
        <v>168713</v>
      </c>
      <c r="N819" s="13">
        <v>6138</v>
      </c>
      <c r="O819" s="13">
        <v>212091</v>
      </c>
      <c r="P819" s="13">
        <v>145750</v>
      </c>
      <c r="Q819" s="13">
        <v>36507</v>
      </c>
      <c r="R819" s="13">
        <v>3400</v>
      </c>
      <c r="S819" s="13">
        <v>0</v>
      </c>
      <c r="T819" s="13">
        <v>5</v>
      </c>
      <c r="U819" s="12" t="str">
        <f t="shared" si="48"/>
        <v>Privado Nacional</v>
      </c>
      <c r="V819" s="14">
        <f t="shared" si="49"/>
        <v>0.67865518364916999</v>
      </c>
      <c r="W819" s="14">
        <f t="shared" si="50"/>
        <v>9.3132823842002901E-2</v>
      </c>
      <c r="X819" s="12" t="str">
        <f t="shared" si="51"/>
        <v>Média/Pequena</v>
      </c>
      <c r="Y819" s="122" t="str" cm="1">
        <f t="array" ref="Y819">_xlfn.IFS(ISNUMBER(W819)=FALSE,"Sem dado",W819&gt;0.075,"Excelente",W819&gt;0.04,"Bom",W819&gt;0,"Fraco",TRUE,"Prejuízo")</f>
        <v>Excelente</v>
      </c>
    </row>
    <row r="820" spans="1:25" ht="15" customHeight="1" x14ac:dyDescent="0.2">
      <c r="A820" s="15" t="s">
        <v>1746</v>
      </c>
      <c r="B820" s="60">
        <v>411939</v>
      </c>
      <c r="C820" s="15" t="s">
        <v>1747</v>
      </c>
      <c r="D820" s="15"/>
      <c r="E820" s="15" t="s">
        <v>1748</v>
      </c>
      <c r="F820" s="15" t="s">
        <v>65</v>
      </c>
      <c r="G820" s="34">
        <v>2</v>
      </c>
      <c r="H820" s="34">
        <v>14</v>
      </c>
      <c r="I820" s="15" t="s">
        <v>1749</v>
      </c>
      <c r="J820" s="15" t="s">
        <v>39</v>
      </c>
      <c r="K820" s="74" t="s">
        <v>29</v>
      </c>
      <c r="L820" s="16">
        <v>248498</v>
      </c>
      <c r="M820" s="16">
        <v>126012</v>
      </c>
      <c r="N820" s="16">
        <v>80287</v>
      </c>
      <c r="O820" s="16">
        <v>212564</v>
      </c>
      <c r="P820" s="16">
        <v>207421</v>
      </c>
      <c r="Q820" s="16">
        <v>35934</v>
      </c>
      <c r="R820" s="16">
        <v>-1236</v>
      </c>
      <c r="S820" s="16">
        <v>4</v>
      </c>
      <c r="T820" s="16">
        <v>0</v>
      </c>
      <c r="U820" s="15" t="str">
        <f t="shared" si="48"/>
        <v>Privado Nacional</v>
      </c>
      <c r="V820" s="17">
        <f t="shared" si="49"/>
        <v>0.50709462450402021</v>
      </c>
      <c r="W820" s="17">
        <f t="shared" si="50"/>
        <v>-3.4396393387877776E-2</v>
      </c>
      <c r="X820" s="15" t="str">
        <f t="shared" si="51"/>
        <v>Média/Pequena</v>
      </c>
      <c r="Y820" s="121" t="str" cm="1">
        <f t="array" ref="Y820">_xlfn.IFS(ISNUMBER(W820)=FALSE,"Sem dado",W820&gt;0.075,"Excelente",W820&gt;0.04,"Bom",W820&gt;0,"Fraco",TRUE,"Prejuízo")</f>
        <v>Prejuízo</v>
      </c>
    </row>
    <row r="821" spans="1:25" ht="15" customHeight="1" x14ac:dyDescent="0.2">
      <c r="A821" s="12" t="s">
        <v>1750</v>
      </c>
      <c r="B821" s="56">
        <v>84156470</v>
      </c>
      <c r="C821" s="12"/>
      <c r="D821" s="12"/>
      <c r="E821" s="12"/>
      <c r="F821" s="12" t="s">
        <v>265</v>
      </c>
      <c r="G821" s="33">
        <v>2</v>
      </c>
      <c r="H821" s="33">
        <v>9</v>
      </c>
      <c r="I821" s="12" t="s">
        <v>143</v>
      </c>
      <c r="J821" s="12" t="s">
        <v>144</v>
      </c>
      <c r="K821" s="73" t="s">
        <v>29</v>
      </c>
      <c r="L821" s="13">
        <v>247060</v>
      </c>
      <c r="M821" s="13">
        <v>105286</v>
      </c>
      <c r="N821" s="13">
        <v>14059</v>
      </c>
      <c r="O821" s="13">
        <v>163384</v>
      </c>
      <c r="P821" s="13">
        <v>151697</v>
      </c>
      <c r="Q821" s="13">
        <v>83676</v>
      </c>
      <c r="R821" s="13">
        <v>3850</v>
      </c>
      <c r="S821" s="13">
        <v>0</v>
      </c>
      <c r="T821" s="13">
        <v>0</v>
      </c>
      <c r="U821" s="12" t="str">
        <f t="shared" si="48"/>
        <v>Privado Nacional</v>
      </c>
      <c r="V821" s="14">
        <f t="shared" si="49"/>
        <v>0.426155589735287</v>
      </c>
      <c r="W821" s="14">
        <f t="shared" si="50"/>
        <v>4.6010803575696736E-2</v>
      </c>
      <c r="X821" s="12" t="str">
        <f t="shared" si="51"/>
        <v>Média/Pequena</v>
      </c>
      <c r="Y821" s="122" t="str" cm="1">
        <f t="array" ref="Y821">_xlfn.IFS(ISNUMBER(W821)=FALSE,"Sem dado",W821&gt;0.075,"Excelente",W821&gt;0.04,"Bom",W821&gt;0,"Fraco",TRUE,"Prejuízo")</f>
        <v>Bom</v>
      </c>
    </row>
    <row r="822" spans="1:25" ht="15" customHeight="1" x14ac:dyDescent="0.2">
      <c r="A822" s="15" t="s">
        <v>1751</v>
      </c>
      <c r="B822" s="60">
        <v>70119680</v>
      </c>
      <c r="C822" s="15"/>
      <c r="D822" s="15"/>
      <c r="E822" s="15"/>
      <c r="F822" s="15" t="s">
        <v>199</v>
      </c>
      <c r="G822" s="34">
        <v>2</v>
      </c>
      <c r="H822" s="34">
        <v>9</v>
      </c>
      <c r="I822" s="15" t="s">
        <v>577</v>
      </c>
      <c r="J822" s="15" t="s">
        <v>578</v>
      </c>
      <c r="K822" s="74" t="s">
        <v>29</v>
      </c>
      <c r="L822" s="16">
        <v>246440</v>
      </c>
      <c r="M822" s="16">
        <v>0</v>
      </c>
      <c r="N822" s="16">
        <v>170597</v>
      </c>
      <c r="O822" s="16">
        <v>98193</v>
      </c>
      <c r="P822" s="16">
        <v>0</v>
      </c>
      <c r="Q822" s="16">
        <v>148246</v>
      </c>
      <c r="R822" s="16">
        <v>747</v>
      </c>
      <c r="S822" s="16">
        <v>0</v>
      </c>
      <c r="T822" s="16">
        <v>0</v>
      </c>
      <c r="U822" s="15" t="str">
        <f t="shared" si="48"/>
        <v>Privado Nacional</v>
      </c>
      <c r="V822" s="17">
        <f t="shared" si="49"/>
        <v>0</v>
      </c>
      <c r="W822" s="17">
        <f t="shared" si="50"/>
        <v>5.0389217921562807E-3</v>
      </c>
      <c r="X822" s="15" t="str">
        <f t="shared" si="51"/>
        <v>Média/Pequena</v>
      </c>
      <c r="Y822" s="121" t="str" cm="1">
        <f t="array" ref="Y822">_xlfn.IFS(ISNUMBER(W822)=FALSE,"Sem dado",W822&gt;0.075,"Excelente",W822&gt;0.04,"Bom",W822&gt;0,"Fraco",TRUE,"Prejuízo")</f>
        <v>Fraco</v>
      </c>
    </row>
    <row r="823" spans="1:25" ht="15" customHeight="1" x14ac:dyDescent="0.2">
      <c r="A823" s="12" t="s">
        <v>1752</v>
      </c>
      <c r="B823" s="56">
        <v>3428338</v>
      </c>
      <c r="C823" s="12"/>
      <c r="D823" s="12"/>
      <c r="E823" s="12"/>
      <c r="F823" s="12" t="s">
        <v>265</v>
      </c>
      <c r="G823" s="33">
        <v>2</v>
      </c>
      <c r="H823" s="33">
        <v>9</v>
      </c>
      <c r="I823" s="12" t="s">
        <v>907</v>
      </c>
      <c r="J823" s="12" t="s">
        <v>578</v>
      </c>
      <c r="K823" s="73" t="s">
        <v>29</v>
      </c>
      <c r="L823" s="13">
        <v>245863</v>
      </c>
      <c r="M823" s="13">
        <v>173543</v>
      </c>
      <c r="N823" s="13">
        <v>9470</v>
      </c>
      <c r="O823" s="13">
        <v>194960</v>
      </c>
      <c r="P823" s="13">
        <v>188982</v>
      </c>
      <c r="Q823" s="13">
        <v>50902</v>
      </c>
      <c r="R823" s="13">
        <v>-1835</v>
      </c>
      <c r="S823" s="13">
        <v>0</v>
      </c>
      <c r="T823" s="13">
        <v>10</v>
      </c>
      <c r="U823" s="12" t="str">
        <f t="shared" si="48"/>
        <v>Privado Nacional</v>
      </c>
      <c r="V823" s="14">
        <f t="shared" si="49"/>
        <v>0.70585244628105892</v>
      </c>
      <c r="W823" s="14">
        <f t="shared" si="50"/>
        <v>-3.6049664060351261E-2</v>
      </c>
      <c r="X823" s="12" t="str">
        <f t="shared" si="51"/>
        <v>Média/Pequena</v>
      </c>
      <c r="Y823" s="122" t="str" cm="1">
        <f t="array" ref="Y823">_xlfn.IFS(ISNUMBER(W823)=FALSE,"Sem dado",W823&gt;0.075,"Excelente",W823&gt;0.04,"Bom",W823&gt;0,"Fraco",TRUE,"Prejuízo")</f>
        <v>Prejuízo</v>
      </c>
    </row>
    <row r="824" spans="1:25" ht="15" customHeight="1" x14ac:dyDescent="0.2">
      <c r="A824" s="15" t="s">
        <v>1753</v>
      </c>
      <c r="B824" s="60">
        <v>33775974</v>
      </c>
      <c r="C824" s="15" t="s">
        <v>1754</v>
      </c>
      <c r="D824" s="15"/>
      <c r="E824" s="15" t="s">
        <v>1755</v>
      </c>
      <c r="F824" s="15" t="s">
        <v>98</v>
      </c>
      <c r="G824" s="34">
        <v>2</v>
      </c>
      <c r="H824" s="34">
        <v>15</v>
      </c>
      <c r="I824" s="15" t="s">
        <v>53</v>
      </c>
      <c r="J824" s="15" t="s">
        <v>54</v>
      </c>
      <c r="K824" s="74" t="s">
        <v>29</v>
      </c>
      <c r="L824" s="16">
        <v>244828</v>
      </c>
      <c r="M824" s="16">
        <v>0</v>
      </c>
      <c r="N824" s="16">
        <v>57609</v>
      </c>
      <c r="O824" s="16">
        <v>198719</v>
      </c>
      <c r="P824" s="16">
        <v>85319</v>
      </c>
      <c r="Q824" s="16">
        <v>46109</v>
      </c>
      <c r="R824" s="16">
        <v>-367</v>
      </c>
      <c r="S824" s="16">
        <v>3</v>
      </c>
      <c r="T824" s="16">
        <v>0</v>
      </c>
      <c r="U824" s="15" t="str">
        <f t="shared" si="48"/>
        <v>Privado Nacional</v>
      </c>
      <c r="V824" s="17">
        <f t="shared" si="49"/>
        <v>0</v>
      </c>
      <c r="W824" s="17">
        <f t="shared" si="50"/>
        <v>-7.959400550868594E-3</v>
      </c>
      <c r="X824" s="15" t="str">
        <f t="shared" si="51"/>
        <v>Média/Pequena</v>
      </c>
      <c r="Y824" s="121" t="str" cm="1">
        <f t="array" ref="Y824">_xlfn.IFS(ISNUMBER(W824)=FALSE,"Sem dado",W824&gt;0.075,"Excelente",W824&gt;0.04,"Bom",W824&gt;0,"Fraco",TRUE,"Prejuízo")</f>
        <v>Prejuízo</v>
      </c>
    </row>
    <row r="825" spans="1:25" ht="15" customHeight="1" x14ac:dyDescent="0.2">
      <c r="A825" s="12" t="s">
        <v>1756</v>
      </c>
      <c r="B825" s="56">
        <v>50489148</v>
      </c>
      <c r="C825" s="12" t="s">
        <v>1757</v>
      </c>
      <c r="D825" s="12"/>
      <c r="E825" s="12" t="s">
        <v>1758</v>
      </c>
      <c r="F825" s="12" t="s">
        <v>98</v>
      </c>
      <c r="G825" s="33">
        <v>2</v>
      </c>
      <c r="H825" s="33">
        <v>15</v>
      </c>
      <c r="I825" s="12" t="s">
        <v>38</v>
      </c>
      <c r="J825" s="12" t="s">
        <v>39</v>
      </c>
      <c r="K825" s="73" t="s">
        <v>29</v>
      </c>
      <c r="L825" s="13">
        <v>244156</v>
      </c>
      <c r="M825" s="13">
        <v>0</v>
      </c>
      <c r="N825" s="13">
        <v>128821</v>
      </c>
      <c r="O825" s="13">
        <v>102153</v>
      </c>
      <c r="P825" s="13">
        <v>0</v>
      </c>
      <c r="Q825" s="13">
        <v>142003</v>
      </c>
      <c r="R825" s="13">
        <v>-5785</v>
      </c>
      <c r="S825" s="13">
        <v>2</v>
      </c>
      <c r="T825" s="13">
        <v>8</v>
      </c>
      <c r="U825" s="12" t="str">
        <f t="shared" si="48"/>
        <v>Privado Nacional</v>
      </c>
      <c r="V825" s="14">
        <f t="shared" si="49"/>
        <v>0</v>
      </c>
      <c r="W825" s="14">
        <f t="shared" si="50"/>
        <v>-4.0738575945578615E-2</v>
      </c>
      <c r="X825" s="12" t="str">
        <f t="shared" si="51"/>
        <v>Média/Pequena</v>
      </c>
      <c r="Y825" s="122" t="str" cm="1">
        <f t="array" ref="Y825">_xlfn.IFS(ISNUMBER(W825)=FALSE,"Sem dado",W825&gt;0.075,"Excelente",W825&gt;0.04,"Bom",W825&gt;0,"Fraco",TRUE,"Prejuízo")</f>
        <v>Prejuízo</v>
      </c>
    </row>
    <row r="826" spans="1:25" ht="15" customHeight="1" x14ac:dyDescent="0.2">
      <c r="A826" s="15" t="s">
        <v>1759</v>
      </c>
      <c r="B826" s="60">
        <v>3985375</v>
      </c>
      <c r="C826" s="15"/>
      <c r="D826" s="15"/>
      <c r="E826" s="15"/>
      <c r="F826" s="15" t="s">
        <v>265</v>
      </c>
      <c r="G826" s="34">
        <v>2</v>
      </c>
      <c r="H826" s="34">
        <v>9</v>
      </c>
      <c r="I826" s="15" t="s">
        <v>1760</v>
      </c>
      <c r="J826" s="15" t="s">
        <v>432</v>
      </c>
      <c r="K826" s="74" t="s">
        <v>29</v>
      </c>
      <c r="L826" s="16">
        <v>243868</v>
      </c>
      <c r="M826" s="16">
        <v>126891</v>
      </c>
      <c r="N826" s="16">
        <v>9789</v>
      </c>
      <c r="O826" s="16">
        <v>207573</v>
      </c>
      <c r="P826" s="16">
        <v>184734</v>
      </c>
      <c r="Q826" s="16">
        <v>36295</v>
      </c>
      <c r="R826" s="16">
        <v>1415</v>
      </c>
      <c r="S826" s="16">
        <v>0</v>
      </c>
      <c r="T826" s="16">
        <v>5</v>
      </c>
      <c r="U826" s="15" t="str">
        <f t="shared" si="48"/>
        <v>Privado Nacional</v>
      </c>
      <c r="V826" s="17">
        <f t="shared" si="49"/>
        <v>0.5203265701116998</v>
      </c>
      <c r="W826" s="17">
        <f t="shared" si="50"/>
        <v>3.8986086237773797E-2</v>
      </c>
      <c r="X826" s="15" t="str">
        <f t="shared" si="51"/>
        <v>Média/Pequena</v>
      </c>
      <c r="Y826" s="121" t="str" cm="1">
        <f t="array" ref="Y826">_xlfn.IFS(ISNUMBER(W826)=FALSE,"Sem dado",W826&gt;0.075,"Excelente",W826&gt;0.04,"Bom",W826&gt;0,"Fraco",TRUE,"Prejuízo")</f>
        <v>Fraco</v>
      </c>
    </row>
    <row r="827" spans="1:25" ht="15" customHeight="1" x14ac:dyDescent="0.2">
      <c r="A827" s="12" t="s">
        <v>1761</v>
      </c>
      <c r="B827" s="56">
        <v>9576849</v>
      </c>
      <c r="C827" s="12"/>
      <c r="D827" s="12"/>
      <c r="E827" s="12"/>
      <c r="F827" s="12" t="s">
        <v>265</v>
      </c>
      <c r="G827" s="33">
        <v>2</v>
      </c>
      <c r="H827" s="33">
        <v>9</v>
      </c>
      <c r="I827" s="12" t="s">
        <v>1762</v>
      </c>
      <c r="J827" s="12" t="s">
        <v>389</v>
      </c>
      <c r="K827" s="73" t="s">
        <v>29</v>
      </c>
      <c r="L827" s="13">
        <v>240845</v>
      </c>
      <c r="M827" s="13">
        <v>59968</v>
      </c>
      <c r="N827" s="13">
        <v>12021</v>
      </c>
      <c r="O827" s="13">
        <v>203480</v>
      </c>
      <c r="P827" s="13">
        <v>176780</v>
      </c>
      <c r="Q827" s="13">
        <v>37365</v>
      </c>
      <c r="R827" s="13">
        <v>2296</v>
      </c>
      <c r="S827" s="13">
        <v>0</v>
      </c>
      <c r="T827" s="13">
        <v>5</v>
      </c>
      <c r="U827" s="12" t="str">
        <f t="shared" si="48"/>
        <v>Privado Nacional</v>
      </c>
      <c r="V827" s="14">
        <f t="shared" si="49"/>
        <v>0.24899001432456558</v>
      </c>
      <c r="W827" s="14">
        <f t="shared" si="50"/>
        <v>6.1447879031178911E-2</v>
      </c>
      <c r="X827" s="12" t="str">
        <f t="shared" si="51"/>
        <v>Média/Pequena</v>
      </c>
      <c r="Y827" s="122" t="str" cm="1">
        <f t="array" ref="Y827">_xlfn.IFS(ISNUMBER(W827)=FALSE,"Sem dado",W827&gt;0.075,"Excelente",W827&gt;0.04,"Bom",W827&gt;0,"Fraco",TRUE,"Prejuízo")</f>
        <v>Bom</v>
      </c>
    </row>
    <row r="828" spans="1:25" ht="15" customHeight="1" x14ac:dyDescent="0.2">
      <c r="A828" s="15" t="s">
        <v>1763</v>
      </c>
      <c r="B828" s="60">
        <v>2179673</v>
      </c>
      <c r="C828" s="15"/>
      <c r="D828" s="15"/>
      <c r="E828" s="15"/>
      <c r="F828" s="15" t="s">
        <v>265</v>
      </c>
      <c r="G828" s="34">
        <v>2</v>
      </c>
      <c r="H828" s="34">
        <v>9</v>
      </c>
      <c r="I828" s="15" t="s">
        <v>1764</v>
      </c>
      <c r="J828" s="15" t="s">
        <v>39</v>
      </c>
      <c r="K828" s="74" t="s">
        <v>29</v>
      </c>
      <c r="L828" s="16">
        <v>240608</v>
      </c>
      <c r="M828" s="16">
        <v>108997</v>
      </c>
      <c r="N828" s="16">
        <v>125027</v>
      </c>
      <c r="O828" s="16">
        <v>203904</v>
      </c>
      <c r="P828" s="16">
        <v>198522</v>
      </c>
      <c r="Q828" s="16">
        <v>36704</v>
      </c>
      <c r="R828" s="16">
        <v>2507</v>
      </c>
      <c r="S828" s="16">
        <v>0</v>
      </c>
      <c r="T828" s="16">
        <v>6</v>
      </c>
      <c r="U828" s="15" t="str">
        <f t="shared" si="48"/>
        <v>Privado Nacional</v>
      </c>
      <c r="V828" s="17">
        <f t="shared" si="49"/>
        <v>0.45300655007314805</v>
      </c>
      <c r="W828" s="17">
        <f t="shared" si="50"/>
        <v>6.8303182214472541E-2</v>
      </c>
      <c r="X828" s="15" t="str">
        <f t="shared" si="51"/>
        <v>Média/Pequena</v>
      </c>
      <c r="Y828" s="121" t="str" cm="1">
        <f t="array" ref="Y828">_xlfn.IFS(ISNUMBER(W828)=FALSE,"Sem dado",W828&gt;0.075,"Excelente",W828&gt;0.04,"Bom",W828&gt;0,"Fraco",TRUE,"Prejuízo")</f>
        <v>Bom</v>
      </c>
    </row>
    <row r="829" spans="1:25" ht="15" customHeight="1" x14ac:dyDescent="0.2">
      <c r="A829" s="12" t="s">
        <v>1765</v>
      </c>
      <c r="B829" s="56">
        <v>61855045</v>
      </c>
      <c r="C829" s="12" t="s">
        <v>41</v>
      </c>
      <c r="D829" s="12" t="s">
        <v>42</v>
      </c>
      <c r="E829" s="12" t="s">
        <v>43</v>
      </c>
      <c r="F829" s="12" t="s">
        <v>98</v>
      </c>
      <c r="G829" s="33">
        <v>2</v>
      </c>
      <c r="H829" s="33">
        <v>15</v>
      </c>
      <c r="I829" s="12" t="s">
        <v>44</v>
      </c>
      <c r="J829" s="12" t="s">
        <v>39</v>
      </c>
      <c r="K829" s="73" t="s">
        <v>29</v>
      </c>
      <c r="L829" s="13">
        <v>240444</v>
      </c>
      <c r="M829" s="13">
        <v>0</v>
      </c>
      <c r="N829" s="13">
        <v>0</v>
      </c>
      <c r="O829" s="13">
        <v>155769</v>
      </c>
      <c r="P829" s="13">
        <v>0</v>
      </c>
      <c r="Q829" s="13">
        <v>84676</v>
      </c>
      <c r="R829" s="13">
        <v>1373</v>
      </c>
      <c r="S829" s="13">
        <v>3</v>
      </c>
      <c r="T829" s="13">
        <v>0</v>
      </c>
      <c r="U829" s="12" t="str">
        <f t="shared" si="48"/>
        <v>Privado Nacional</v>
      </c>
      <c r="V829" s="14">
        <f t="shared" si="49"/>
        <v>0</v>
      </c>
      <c r="W829" s="14">
        <f t="shared" si="50"/>
        <v>1.621474798053758E-2</v>
      </c>
      <c r="X829" s="12" t="str">
        <f t="shared" si="51"/>
        <v>Média/Pequena</v>
      </c>
      <c r="Y829" s="122" t="str" cm="1">
        <f t="array" ref="Y829">_xlfn.IFS(ISNUMBER(W829)=FALSE,"Sem dado",W829&gt;0.075,"Excelente",W829&gt;0.04,"Bom",W829&gt;0,"Fraco",TRUE,"Prejuízo")</f>
        <v>Fraco</v>
      </c>
    </row>
    <row r="830" spans="1:25" ht="15" customHeight="1" x14ac:dyDescent="0.2">
      <c r="A830" s="15" t="s">
        <v>1766</v>
      </c>
      <c r="B830" s="60">
        <v>36272465</v>
      </c>
      <c r="C830" s="15" t="s">
        <v>1767</v>
      </c>
      <c r="D830" s="15"/>
      <c r="E830" s="15" t="s">
        <v>1768</v>
      </c>
      <c r="F830" s="15" t="s">
        <v>84</v>
      </c>
      <c r="G830" s="34">
        <v>2</v>
      </c>
      <c r="H830" s="34">
        <v>41</v>
      </c>
      <c r="I830" s="15" t="s">
        <v>38</v>
      </c>
      <c r="J830" s="15" t="s">
        <v>39</v>
      </c>
      <c r="K830" s="74" t="s">
        <v>29</v>
      </c>
      <c r="L830" s="16">
        <v>239069</v>
      </c>
      <c r="M830" s="16">
        <v>-11013</v>
      </c>
      <c r="N830" s="16">
        <v>144717</v>
      </c>
      <c r="O830" s="16">
        <v>8271</v>
      </c>
      <c r="P830" s="16">
        <v>0</v>
      </c>
      <c r="Q830" s="16">
        <v>230798</v>
      </c>
      <c r="R830" s="16">
        <v>-210931</v>
      </c>
      <c r="S830" s="16">
        <v>1</v>
      </c>
      <c r="T830" s="16">
        <v>0</v>
      </c>
      <c r="U830" s="15" t="str">
        <f t="shared" si="48"/>
        <v>Privado Nacional</v>
      </c>
      <c r="V830" s="17">
        <f t="shared" si="49"/>
        <v>-4.6066198461532024E-2</v>
      </c>
      <c r="W830" s="17">
        <f t="shared" si="50"/>
        <v>-0.91392039792372548</v>
      </c>
      <c r="X830" s="15" t="str">
        <f t="shared" si="51"/>
        <v>Média/Pequena</v>
      </c>
      <c r="Y830" s="121" t="str" cm="1">
        <f t="array" ref="Y830">_xlfn.IFS(ISNUMBER(W830)=FALSE,"Sem dado",W830&gt;0.075,"Excelente",W830&gt;0.04,"Bom",W830&gt;0,"Fraco",TRUE,"Prejuízo")</f>
        <v>Prejuízo</v>
      </c>
    </row>
    <row r="831" spans="1:25" ht="15" customHeight="1" x14ac:dyDescent="0.2">
      <c r="A831" s="12" t="s">
        <v>1769</v>
      </c>
      <c r="B831" s="56">
        <v>86585049</v>
      </c>
      <c r="C831" s="12"/>
      <c r="D831" s="12"/>
      <c r="E831" s="12"/>
      <c r="F831" s="12" t="s">
        <v>265</v>
      </c>
      <c r="G831" s="33">
        <v>2</v>
      </c>
      <c r="H831" s="33">
        <v>9</v>
      </c>
      <c r="I831" s="12" t="s">
        <v>1350</v>
      </c>
      <c r="J831" s="12" t="s">
        <v>120</v>
      </c>
      <c r="K831" s="73" t="s">
        <v>29</v>
      </c>
      <c r="L831" s="13">
        <v>238567</v>
      </c>
      <c r="M831" s="13">
        <v>138235</v>
      </c>
      <c r="N831" s="13">
        <v>4249</v>
      </c>
      <c r="O831" s="13">
        <v>208029</v>
      </c>
      <c r="P831" s="13">
        <v>190222</v>
      </c>
      <c r="Q831" s="13">
        <v>30538</v>
      </c>
      <c r="R831" s="13">
        <v>3281</v>
      </c>
      <c r="S831" s="13">
        <v>0</v>
      </c>
      <c r="T831" s="13">
        <v>4</v>
      </c>
      <c r="U831" s="12" t="str">
        <f t="shared" si="48"/>
        <v>Privado Nacional</v>
      </c>
      <c r="V831" s="14">
        <f t="shared" si="49"/>
        <v>0.57943889976400764</v>
      </c>
      <c r="W831" s="14">
        <f t="shared" si="50"/>
        <v>0.10743991093064378</v>
      </c>
      <c r="X831" s="12" t="str">
        <f t="shared" si="51"/>
        <v>Média/Pequena</v>
      </c>
      <c r="Y831" s="122" t="str" cm="1">
        <f t="array" ref="Y831">_xlfn.IFS(ISNUMBER(W831)=FALSE,"Sem dado",W831&gt;0.075,"Excelente",W831&gt;0.04,"Bom",W831&gt;0,"Fraco",TRUE,"Prejuízo")</f>
        <v>Excelente</v>
      </c>
    </row>
    <row r="832" spans="1:25" ht="15" customHeight="1" x14ac:dyDescent="0.2">
      <c r="A832" s="15" t="s">
        <v>1770</v>
      </c>
      <c r="B832" s="60">
        <v>5439425</v>
      </c>
      <c r="C832" s="15"/>
      <c r="D832" s="15"/>
      <c r="E832" s="15"/>
      <c r="F832" s="15" t="s">
        <v>265</v>
      </c>
      <c r="G832" s="34">
        <v>2</v>
      </c>
      <c r="H832" s="34">
        <v>9</v>
      </c>
      <c r="I832" s="15" t="s">
        <v>1406</v>
      </c>
      <c r="J832" s="15" t="s">
        <v>1407</v>
      </c>
      <c r="K832" s="74" t="s">
        <v>29</v>
      </c>
      <c r="L832" s="16">
        <v>236693</v>
      </c>
      <c r="M832" s="16">
        <v>71875</v>
      </c>
      <c r="N832" s="16">
        <v>12255</v>
      </c>
      <c r="O832" s="16">
        <v>194445</v>
      </c>
      <c r="P832" s="16">
        <v>181765</v>
      </c>
      <c r="Q832" s="16">
        <v>42248</v>
      </c>
      <c r="R832" s="16">
        <v>3904</v>
      </c>
      <c r="S832" s="16">
        <v>0</v>
      </c>
      <c r="T832" s="16">
        <v>2</v>
      </c>
      <c r="U832" s="15" t="str">
        <f t="shared" si="48"/>
        <v>Privado Nacional</v>
      </c>
      <c r="V832" s="17">
        <f t="shared" si="49"/>
        <v>0.30366339519968905</v>
      </c>
      <c r="W832" s="17">
        <f t="shared" si="50"/>
        <v>9.2406741147509935E-2</v>
      </c>
      <c r="X832" s="15" t="str">
        <f t="shared" si="51"/>
        <v>Média/Pequena</v>
      </c>
      <c r="Y832" s="121" t="str" cm="1">
        <f t="array" ref="Y832">_xlfn.IFS(ISNUMBER(W832)=FALSE,"Sem dado",W832&gt;0.075,"Excelente",W832&gt;0.04,"Bom",W832&gt;0,"Fraco",TRUE,"Prejuízo")</f>
        <v>Excelente</v>
      </c>
    </row>
    <row r="833" spans="1:25" ht="15" customHeight="1" x14ac:dyDescent="0.2">
      <c r="A833" s="12" t="s">
        <v>1771</v>
      </c>
      <c r="B833" s="56">
        <v>5463934</v>
      </c>
      <c r="C833" s="12"/>
      <c r="D833" s="12"/>
      <c r="E833" s="12"/>
      <c r="F833" s="12" t="s">
        <v>265</v>
      </c>
      <c r="G833" s="33">
        <v>2</v>
      </c>
      <c r="H833" s="33">
        <v>9</v>
      </c>
      <c r="I833" s="12" t="s">
        <v>1772</v>
      </c>
      <c r="J833" s="12" t="s">
        <v>39</v>
      </c>
      <c r="K833" s="73" t="s">
        <v>29</v>
      </c>
      <c r="L833" s="13">
        <v>236594</v>
      </c>
      <c r="M833" s="13">
        <v>45045</v>
      </c>
      <c r="N833" s="13">
        <v>13069</v>
      </c>
      <c r="O833" s="13">
        <v>188503</v>
      </c>
      <c r="P833" s="13">
        <v>175382</v>
      </c>
      <c r="Q833" s="13">
        <v>48092</v>
      </c>
      <c r="R833" s="13">
        <v>3001</v>
      </c>
      <c r="S833" s="13">
        <v>0</v>
      </c>
      <c r="T833" s="13">
        <v>3</v>
      </c>
      <c r="U833" s="12" t="str">
        <f t="shared" si="48"/>
        <v>Privado Nacional</v>
      </c>
      <c r="V833" s="14">
        <f t="shared" si="49"/>
        <v>0.19038944351927775</v>
      </c>
      <c r="W833" s="14">
        <f t="shared" si="50"/>
        <v>6.2401230973966562E-2</v>
      </c>
      <c r="X833" s="12" t="str">
        <f t="shared" si="51"/>
        <v>Média/Pequena</v>
      </c>
      <c r="Y833" s="122" t="str" cm="1">
        <f t="array" ref="Y833">_xlfn.IFS(ISNUMBER(W833)=FALSE,"Sem dado",W833&gt;0.075,"Excelente",W833&gt;0.04,"Bom",W833&gt;0,"Fraco",TRUE,"Prejuízo")</f>
        <v>Bom</v>
      </c>
    </row>
    <row r="834" spans="1:25" ht="15" customHeight="1" x14ac:dyDescent="0.2">
      <c r="A834" s="15" t="s">
        <v>1773</v>
      </c>
      <c r="B834" s="60">
        <v>1699652</v>
      </c>
      <c r="C834" s="15"/>
      <c r="D834" s="15"/>
      <c r="E834" s="15"/>
      <c r="F834" s="15" t="s">
        <v>265</v>
      </c>
      <c r="G834" s="34">
        <v>2</v>
      </c>
      <c r="H834" s="34">
        <v>9</v>
      </c>
      <c r="I834" s="15" t="s">
        <v>663</v>
      </c>
      <c r="J834" s="15" t="s">
        <v>120</v>
      </c>
      <c r="K834" s="74" t="s">
        <v>29</v>
      </c>
      <c r="L834" s="16">
        <v>235463</v>
      </c>
      <c r="M834" s="16">
        <v>112144</v>
      </c>
      <c r="N834" s="16">
        <v>4913</v>
      </c>
      <c r="O834" s="16">
        <v>191517</v>
      </c>
      <c r="P834" s="16">
        <v>185525</v>
      </c>
      <c r="Q834" s="16">
        <v>43946</v>
      </c>
      <c r="R834" s="16">
        <v>5679</v>
      </c>
      <c r="S834" s="16">
        <v>0</v>
      </c>
      <c r="T834" s="16">
        <v>4</v>
      </c>
      <c r="U834" s="15" t="str">
        <f t="shared" si="48"/>
        <v>Privado Nacional</v>
      </c>
      <c r="V834" s="17">
        <f t="shared" si="49"/>
        <v>0.47627015709474524</v>
      </c>
      <c r="W834" s="17">
        <f t="shared" si="50"/>
        <v>0.12922677831884585</v>
      </c>
      <c r="X834" s="15" t="str">
        <f t="shared" si="51"/>
        <v>Média/Pequena</v>
      </c>
      <c r="Y834" s="121" t="str" cm="1">
        <f t="array" ref="Y834">_xlfn.IFS(ISNUMBER(W834)=FALSE,"Sem dado",W834&gt;0.075,"Excelente",W834&gt;0.04,"Bom",W834&gt;0,"Fraco",TRUE,"Prejuízo")</f>
        <v>Excelente</v>
      </c>
    </row>
    <row r="835" spans="1:25" ht="15" customHeight="1" x14ac:dyDescent="0.2">
      <c r="A835" s="12" t="s">
        <v>1774</v>
      </c>
      <c r="B835" s="56">
        <v>12815827</v>
      </c>
      <c r="C835" s="12" t="s">
        <v>1775</v>
      </c>
      <c r="D835" s="12"/>
      <c r="E835" s="12" t="s">
        <v>1776</v>
      </c>
      <c r="F835" s="12" t="s">
        <v>84</v>
      </c>
      <c r="G835" s="33">
        <v>2</v>
      </c>
      <c r="H835" s="33">
        <v>41</v>
      </c>
      <c r="I835" s="12" t="s">
        <v>38</v>
      </c>
      <c r="J835" s="12" t="s">
        <v>39</v>
      </c>
      <c r="K835" s="73" t="s">
        <v>29</v>
      </c>
      <c r="L835" s="13">
        <v>233622</v>
      </c>
      <c r="M835" s="13">
        <v>0</v>
      </c>
      <c r="N835" s="13">
        <v>1622</v>
      </c>
      <c r="O835" s="13">
        <v>190865</v>
      </c>
      <c r="P835" s="13">
        <v>127416</v>
      </c>
      <c r="Q835" s="13">
        <v>42756</v>
      </c>
      <c r="R835" s="13">
        <v>16445</v>
      </c>
      <c r="S835" s="13">
        <v>1</v>
      </c>
      <c r="T835" s="13">
        <v>0</v>
      </c>
      <c r="U835" s="12" t="str">
        <f t="shared" si="48"/>
        <v>Privado Nacional</v>
      </c>
      <c r="V835" s="14">
        <f t="shared" si="49"/>
        <v>0</v>
      </c>
      <c r="W835" s="14">
        <f t="shared" si="50"/>
        <v>0.38462438020394796</v>
      </c>
      <c r="X835" s="12" t="str">
        <f t="shared" si="51"/>
        <v>Média/Pequena</v>
      </c>
      <c r="Y835" s="122" t="str" cm="1">
        <f t="array" ref="Y835">_xlfn.IFS(ISNUMBER(W835)=FALSE,"Sem dado",W835&gt;0.075,"Excelente",W835&gt;0.04,"Bom",W835&gt;0,"Fraco",TRUE,"Prejuízo")</f>
        <v>Excelente</v>
      </c>
    </row>
    <row r="836" spans="1:25" ht="15" customHeight="1" x14ac:dyDescent="0.2">
      <c r="A836" s="15" t="s">
        <v>1777</v>
      </c>
      <c r="B836" s="60">
        <v>4886317</v>
      </c>
      <c r="C836" s="15"/>
      <c r="D836" s="15"/>
      <c r="E836" s="15"/>
      <c r="F836" s="15" t="s">
        <v>265</v>
      </c>
      <c r="G836" s="34">
        <v>2</v>
      </c>
      <c r="H836" s="34">
        <v>9</v>
      </c>
      <c r="I836" s="15" t="s">
        <v>228</v>
      </c>
      <c r="J836" s="15" t="s">
        <v>229</v>
      </c>
      <c r="K836" s="74" t="s">
        <v>29</v>
      </c>
      <c r="L836" s="16">
        <v>231905</v>
      </c>
      <c r="M836" s="16">
        <v>45433</v>
      </c>
      <c r="N836" s="16">
        <v>152815</v>
      </c>
      <c r="O836" s="16">
        <v>204428</v>
      </c>
      <c r="P836" s="16">
        <v>190449</v>
      </c>
      <c r="Q836" s="16">
        <v>27476</v>
      </c>
      <c r="R836" s="16">
        <v>1573</v>
      </c>
      <c r="S836" s="16">
        <v>0</v>
      </c>
      <c r="T836" s="16">
        <v>2</v>
      </c>
      <c r="U836" s="15" t="str">
        <f t="shared" si="48"/>
        <v>Privado Nacional</v>
      </c>
      <c r="V836" s="17">
        <f t="shared" si="49"/>
        <v>0.19591211918673596</v>
      </c>
      <c r="W836" s="17">
        <f t="shared" si="50"/>
        <v>5.7249963604600378E-2</v>
      </c>
      <c r="X836" s="15" t="str">
        <f t="shared" si="51"/>
        <v>Média/Pequena</v>
      </c>
      <c r="Y836" s="121" t="str" cm="1">
        <f t="array" ref="Y836">_xlfn.IFS(ISNUMBER(W836)=FALSE,"Sem dado",W836&gt;0.075,"Excelente",W836&gt;0.04,"Bom",W836&gt;0,"Fraco",TRUE,"Prejuízo")</f>
        <v>Bom</v>
      </c>
    </row>
    <row r="837" spans="1:25" ht="15" customHeight="1" x14ac:dyDescent="0.2">
      <c r="A837" s="12" t="s">
        <v>1778</v>
      </c>
      <c r="B837" s="56">
        <v>10868663</v>
      </c>
      <c r="C837" s="12" t="s">
        <v>1779</v>
      </c>
      <c r="D837" s="12"/>
      <c r="E837" s="12" t="s">
        <v>1780</v>
      </c>
      <c r="F837" s="12" t="s">
        <v>84</v>
      </c>
      <c r="G837" s="33">
        <v>2</v>
      </c>
      <c r="H837" s="33">
        <v>41</v>
      </c>
      <c r="I837" s="12" t="s">
        <v>38</v>
      </c>
      <c r="J837" s="12" t="s">
        <v>39</v>
      </c>
      <c r="K837" s="73" t="s">
        <v>29</v>
      </c>
      <c r="L837" s="13">
        <v>231821</v>
      </c>
      <c r="M837" s="13">
        <v>71072</v>
      </c>
      <c r="N837" s="13">
        <v>149346</v>
      </c>
      <c r="O837" s="13">
        <v>202938</v>
      </c>
      <c r="P837" s="13">
        <v>34836</v>
      </c>
      <c r="Q837" s="13">
        <v>28882</v>
      </c>
      <c r="R837" s="13">
        <v>1821</v>
      </c>
      <c r="S837" s="13">
        <v>1</v>
      </c>
      <c r="T837" s="13">
        <v>0</v>
      </c>
      <c r="U837" s="12" t="str">
        <f t="shared" ref="U837:U900" si="52">IFERROR(CHOOSE(G837,"Público","Privado Nacional","Privado Estrangeiro"),"n.d.")</f>
        <v>Privado Nacional</v>
      </c>
      <c r="V837" s="14">
        <f t="shared" ref="V837:V900" si="53">IF(AND(ISNUMBER(M837),ISNUMBER(L837)),IF(L837&gt;0,M837/L837,"n.d."),"NI")</f>
        <v>0.30658137097156857</v>
      </c>
      <c r="W837" s="14">
        <f t="shared" ref="W837:W900" si="54">IF(AND(ISNUMBER(R837),ISNUMBER(Q837)),IF(Q837&gt;0,R837/Q837,"n.d."),"NI")</f>
        <v>6.3049650301225682E-2</v>
      </c>
      <c r="X837" s="12" t="str">
        <f t="shared" ref="X837:X900" si="55">IF(ISNUMBER(L837),IF(L837&gt;100000000,"Grande","Média/Pequena"),"Sem dado")</f>
        <v>Média/Pequena</v>
      </c>
      <c r="Y837" s="122" t="str" cm="1">
        <f t="array" ref="Y837">_xlfn.IFS(ISNUMBER(W837)=FALSE,"Sem dado",W837&gt;0.075,"Excelente",W837&gt;0.04,"Bom",W837&gt;0,"Fraco",TRUE,"Prejuízo")</f>
        <v>Bom</v>
      </c>
    </row>
    <row r="838" spans="1:25" ht="15" customHeight="1" x14ac:dyDescent="0.2">
      <c r="A838" s="15" t="s">
        <v>1781</v>
      </c>
      <c r="B838" s="60">
        <v>62928320</v>
      </c>
      <c r="C838" s="15"/>
      <c r="D838" s="15"/>
      <c r="E838" s="15"/>
      <c r="F838" s="15" t="s">
        <v>265</v>
      </c>
      <c r="G838" s="34">
        <v>2</v>
      </c>
      <c r="H838" s="34">
        <v>9</v>
      </c>
      <c r="I838" s="15" t="s">
        <v>38</v>
      </c>
      <c r="J838" s="15" t="s">
        <v>39</v>
      </c>
      <c r="K838" s="74" t="s">
        <v>29</v>
      </c>
      <c r="L838" s="16">
        <v>231372</v>
      </c>
      <c r="M838" s="16">
        <v>189648</v>
      </c>
      <c r="N838" s="16">
        <v>41118</v>
      </c>
      <c r="O838" s="16">
        <v>6683</v>
      </c>
      <c r="P838" s="16">
        <v>0</v>
      </c>
      <c r="Q838" s="16">
        <v>224689</v>
      </c>
      <c r="R838" s="16">
        <v>12676</v>
      </c>
      <c r="S838" s="16">
        <v>0</v>
      </c>
      <c r="T838" s="16">
        <v>0</v>
      </c>
      <c r="U838" s="15" t="str">
        <f t="shared" si="52"/>
        <v>Privado Nacional</v>
      </c>
      <c r="V838" s="17">
        <f t="shared" si="53"/>
        <v>0.81966702971837557</v>
      </c>
      <c r="W838" s="17">
        <f t="shared" si="54"/>
        <v>5.64157568906355E-2</v>
      </c>
      <c r="X838" s="15" t="str">
        <f t="shared" si="55"/>
        <v>Média/Pequena</v>
      </c>
      <c r="Y838" s="121" t="str" cm="1">
        <f t="array" ref="Y838">_xlfn.IFS(ISNUMBER(W838)=FALSE,"Sem dado",W838&gt;0.075,"Excelente",W838&gt;0.04,"Bom",W838&gt;0,"Fraco",TRUE,"Prejuízo")</f>
        <v>Bom</v>
      </c>
    </row>
    <row r="839" spans="1:25" ht="15" customHeight="1" x14ac:dyDescent="0.2">
      <c r="A839" s="12" t="s">
        <v>1782</v>
      </c>
      <c r="B839" s="56">
        <v>61384004</v>
      </c>
      <c r="C839" s="12" t="s">
        <v>35</v>
      </c>
      <c r="D839" s="12" t="s">
        <v>36</v>
      </c>
      <c r="E839" s="12" t="s">
        <v>37</v>
      </c>
      <c r="F839" s="12" t="s">
        <v>60</v>
      </c>
      <c r="G839" s="33">
        <v>2</v>
      </c>
      <c r="H839" s="33">
        <v>13</v>
      </c>
      <c r="I839" s="12" t="s">
        <v>38</v>
      </c>
      <c r="J839" s="12" t="s">
        <v>39</v>
      </c>
      <c r="K839" s="73" t="s">
        <v>29</v>
      </c>
      <c r="L839" s="13">
        <v>228403</v>
      </c>
      <c r="M839" s="13">
        <v>0</v>
      </c>
      <c r="N839" s="13">
        <v>5069</v>
      </c>
      <c r="O839" s="13">
        <v>185587</v>
      </c>
      <c r="P839" s="13">
        <v>153286</v>
      </c>
      <c r="Q839" s="13">
        <v>42815</v>
      </c>
      <c r="R839" s="13">
        <v>-12557</v>
      </c>
      <c r="S839" s="13">
        <v>2</v>
      </c>
      <c r="T839" s="13">
        <v>0</v>
      </c>
      <c r="U839" s="12" t="str">
        <f t="shared" si="52"/>
        <v>Privado Nacional</v>
      </c>
      <c r="V839" s="14">
        <f t="shared" si="53"/>
        <v>0</v>
      </c>
      <c r="W839" s="14">
        <f t="shared" si="54"/>
        <v>-0.2932850636459185</v>
      </c>
      <c r="X839" s="12" t="str">
        <f t="shared" si="55"/>
        <v>Média/Pequena</v>
      </c>
      <c r="Y839" s="122" t="str" cm="1">
        <f t="array" ref="Y839">_xlfn.IFS(ISNUMBER(W839)=FALSE,"Sem dado",W839&gt;0.075,"Excelente",W839&gt;0.04,"Bom",W839&gt;0,"Fraco",TRUE,"Prejuízo")</f>
        <v>Prejuízo</v>
      </c>
    </row>
    <row r="840" spans="1:25" ht="15" customHeight="1" x14ac:dyDescent="0.2">
      <c r="A840" s="15" t="s">
        <v>1783</v>
      </c>
      <c r="B840" s="60">
        <v>32206435</v>
      </c>
      <c r="C840" s="15" t="s">
        <v>1784</v>
      </c>
      <c r="D840" s="15"/>
      <c r="E840" s="15" t="s">
        <v>1785</v>
      </c>
      <c r="F840" s="15" t="s">
        <v>98</v>
      </c>
      <c r="G840" s="34">
        <v>3</v>
      </c>
      <c r="H840" s="34">
        <v>16</v>
      </c>
      <c r="I840" s="15" t="s">
        <v>38</v>
      </c>
      <c r="J840" s="15" t="s">
        <v>39</v>
      </c>
      <c r="K840" s="74" t="s">
        <v>29</v>
      </c>
      <c r="L840" s="16">
        <v>228176</v>
      </c>
      <c r="M840" s="16">
        <v>0</v>
      </c>
      <c r="N840" s="16">
        <v>168728</v>
      </c>
      <c r="O840" s="16">
        <v>30958</v>
      </c>
      <c r="P840" s="16">
        <v>943</v>
      </c>
      <c r="Q840" s="16">
        <v>197218</v>
      </c>
      <c r="R840" s="16">
        <v>30391</v>
      </c>
      <c r="S840" s="16">
        <v>3</v>
      </c>
      <c r="T840" s="16">
        <v>0</v>
      </c>
      <c r="U840" s="15" t="str">
        <f t="shared" si="52"/>
        <v>Privado Estrangeiro</v>
      </c>
      <c r="V840" s="17">
        <f t="shared" si="53"/>
        <v>0</v>
      </c>
      <c r="W840" s="17">
        <f t="shared" si="54"/>
        <v>0.15409851027796651</v>
      </c>
      <c r="X840" s="15" t="str">
        <f t="shared" si="55"/>
        <v>Média/Pequena</v>
      </c>
      <c r="Y840" s="121" t="str" cm="1">
        <f t="array" ref="Y840">_xlfn.IFS(ISNUMBER(W840)=FALSE,"Sem dado",W840&gt;0.075,"Excelente",W840&gt;0.04,"Bom",W840&gt;0,"Fraco",TRUE,"Prejuízo")</f>
        <v>Excelente</v>
      </c>
    </row>
    <row r="841" spans="1:25" ht="15" customHeight="1" x14ac:dyDescent="0.2">
      <c r="A841" s="12" t="s">
        <v>1786</v>
      </c>
      <c r="B841" s="56">
        <v>29759316</v>
      </c>
      <c r="C841" s="12" t="s">
        <v>1787</v>
      </c>
      <c r="D841" s="12"/>
      <c r="E841" s="12" t="s">
        <v>1788</v>
      </c>
      <c r="F841" s="12" t="s">
        <v>84</v>
      </c>
      <c r="G841" s="33">
        <v>2</v>
      </c>
      <c r="H841" s="33">
        <v>41</v>
      </c>
      <c r="I841" s="12" t="s">
        <v>564</v>
      </c>
      <c r="J841" s="12" t="s">
        <v>120</v>
      </c>
      <c r="K841" s="73" t="s">
        <v>29</v>
      </c>
      <c r="L841" s="13">
        <v>226717</v>
      </c>
      <c r="M841" s="13">
        <v>15361</v>
      </c>
      <c r="N841" s="13">
        <v>3475</v>
      </c>
      <c r="O841" s="13">
        <v>216708</v>
      </c>
      <c r="P841" s="13">
        <v>8262</v>
      </c>
      <c r="Q841" s="13">
        <v>10009</v>
      </c>
      <c r="R841" s="13">
        <v>-743</v>
      </c>
      <c r="S841" s="13">
        <v>1</v>
      </c>
      <c r="T841" s="13">
        <v>0</v>
      </c>
      <c r="U841" s="12" t="str">
        <f t="shared" si="52"/>
        <v>Privado Nacional</v>
      </c>
      <c r="V841" s="14">
        <f t="shared" si="53"/>
        <v>6.7754072257484005E-2</v>
      </c>
      <c r="W841" s="14">
        <f t="shared" si="54"/>
        <v>-7.4233190128884005E-2</v>
      </c>
      <c r="X841" s="12" t="str">
        <f t="shared" si="55"/>
        <v>Média/Pequena</v>
      </c>
      <c r="Y841" s="122" t="str" cm="1">
        <f t="array" ref="Y841">_xlfn.IFS(ISNUMBER(W841)=FALSE,"Sem dado",W841&gt;0.075,"Excelente",W841&gt;0.04,"Bom",W841&gt;0,"Fraco",TRUE,"Prejuízo")</f>
        <v>Prejuízo</v>
      </c>
    </row>
    <row r="842" spans="1:25" ht="15" customHeight="1" x14ac:dyDescent="0.2">
      <c r="A842" s="15" t="s">
        <v>1789</v>
      </c>
      <c r="B842" s="60">
        <v>2031139</v>
      </c>
      <c r="C842" s="15"/>
      <c r="D842" s="15"/>
      <c r="E842" s="15"/>
      <c r="F842" s="15" t="s">
        <v>265</v>
      </c>
      <c r="G842" s="34">
        <v>2</v>
      </c>
      <c r="H842" s="34">
        <v>9</v>
      </c>
      <c r="I842" s="15" t="s">
        <v>973</v>
      </c>
      <c r="J842" s="15" t="s">
        <v>120</v>
      </c>
      <c r="K842" s="74" t="s">
        <v>29</v>
      </c>
      <c r="L842" s="16">
        <v>226339</v>
      </c>
      <c r="M842" s="16">
        <v>66297</v>
      </c>
      <c r="N842" s="16">
        <v>4508</v>
      </c>
      <c r="O842" s="16">
        <v>186123</v>
      </c>
      <c r="P842" s="16">
        <v>177585</v>
      </c>
      <c r="Q842" s="16">
        <v>40216</v>
      </c>
      <c r="R842" s="16">
        <v>4177</v>
      </c>
      <c r="S842" s="16">
        <v>0</v>
      </c>
      <c r="T842" s="16">
        <v>5</v>
      </c>
      <c r="U842" s="15" t="str">
        <f t="shared" si="52"/>
        <v>Privado Nacional</v>
      </c>
      <c r="V842" s="17">
        <f t="shared" si="53"/>
        <v>0.29291019223377324</v>
      </c>
      <c r="W842" s="17">
        <f t="shared" si="54"/>
        <v>0.10386413367813806</v>
      </c>
      <c r="X842" s="15" t="str">
        <f t="shared" si="55"/>
        <v>Média/Pequena</v>
      </c>
      <c r="Y842" s="121" t="str" cm="1">
        <f t="array" ref="Y842">_xlfn.IFS(ISNUMBER(W842)=FALSE,"Sem dado",W842&gt;0.075,"Excelente",W842&gt;0.04,"Bom",W842&gt;0,"Fraco",TRUE,"Prejuízo")</f>
        <v>Excelente</v>
      </c>
    </row>
    <row r="843" spans="1:25" ht="15" customHeight="1" x14ac:dyDescent="0.2">
      <c r="A843" s="12" t="s">
        <v>1790</v>
      </c>
      <c r="B843" s="56">
        <v>1657678</v>
      </c>
      <c r="C843" s="12"/>
      <c r="D843" s="12"/>
      <c r="E843" s="12"/>
      <c r="F843" s="12" t="s">
        <v>265</v>
      </c>
      <c r="G843" s="33">
        <v>2</v>
      </c>
      <c r="H843" s="33">
        <v>9</v>
      </c>
      <c r="I843" s="12" t="s">
        <v>1018</v>
      </c>
      <c r="J843" s="12" t="s">
        <v>120</v>
      </c>
      <c r="K843" s="73" t="s">
        <v>29</v>
      </c>
      <c r="L843" s="13">
        <v>219823</v>
      </c>
      <c r="M843" s="13">
        <v>106594</v>
      </c>
      <c r="N843" s="13">
        <v>5720</v>
      </c>
      <c r="O843" s="13">
        <v>188500</v>
      </c>
      <c r="P843" s="13">
        <v>182238</v>
      </c>
      <c r="Q843" s="13">
        <v>31323</v>
      </c>
      <c r="R843" s="13">
        <v>3910</v>
      </c>
      <c r="S843" s="13">
        <v>0</v>
      </c>
      <c r="T843" s="13">
        <v>6</v>
      </c>
      <c r="U843" s="12" t="str">
        <f t="shared" si="52"/>
        <v>Privado Nacional</v>
      </c>
      <c r="V843" s="14">
        <f t="shared" si="53"/>
        <v>0.484908312596953</v>
      </c>
      <c r="W843" s="14">
        <f t="shared" si="54"/>
        <v>0.12482840085560132</v>
      </c>
      <c r="X843" s="12" t="str">
        <f t="shared" si="55"/>
        <v>Média/Pequena</v>
      </c>
      <c r="Y843" s="122" t="str" cm="1">
        <f t="array" ref="Y843">_xlfn.IFS(ISNUMBER(W843)=FALSE,"Sem dado",W843&gt;0.075,"Excelente",W843&gt;0.04,"Bom",W843&gt;0,"Fraco",TRUE,"Prejuízo")</f>
        <v>Excelente</v>
      </c>
    </row>
    <row r="844" spans="1:25" ht="15" customHeight="1" x14ac:dyDescent="0.2">
      <c r="A844" s="15" t="s">
        <v>1791</v>
      </c>
      <c r="B844" s="60">
        <v>22575466</v>
      </c>
      <c r="C844" s="15" t="s">
        <v>1792</v>
      </c>
      <c r="D844" s="15"/>
      <c r="E844" s="15" t="s">
        <v>1793</v>
      </c>
      <c r="F844" s="15" t="s">
        <v>84</v>
      </c>
      <c r="G844" s="34">
        <v>2</v>
      </c>
      <c r="H844" s="34">
        <v>41</v>
      </c>
      <c r="I844" s="15" t="s">
        <v>38</v>
      </c>
      <c r="J844" s="15" t="s">
        <v>39</v>
      </c>
      <c r="K844" s="74" t="s">
        <v>29</v>
      </c>
      <c r="L844" s="16">
        <v>219609</v>
      </c>
      <c r="M844" s="16">
        <v>0</v>
      </c>
      <c r="N844" s="16">
        <v>9347</v>
      </c>
      <c r="O844" s="16">
        <v>198337</v>
      </c>
      <c r="P844" s="16">
        <v>181017</v>
      </c>
      <c r="Q844" s="16">
        <v>21272</v>
      </c>
      <c r="R844" s="16">
        <v>12856</v>
      </c>
      <c r="S844" s="16">
        <v>1</v>
      </c>
      <c r="T844" s="16">
        <v>0</v>
      </c>
      <c r="U844" s="15" t="str">
        <f t="shared" si="52"/>
        <v>Privado Nacional</v>
      </c>
      <c r="V844" s="17">
        <f t="shared" si="53"/>
        <v>0</v>
      </c>
      <c r="W844" s="17">
        <f t="shared" si="54"/>
        <v>0.60436254230913877</v>
      </c>
      <c r="X844" s="15" t="str">
        <f t="shared" si="55"/>
        <v>Média/Pequena</v>
      </c>
      <c r="Y844" s="121" t="str" cm="1">
        <f t="array" ref="Y844">_xlfn.IFS(ISNUMBER(W844)=FALSE,"Sem dado",W844&gt;0.075,"Excelente",W844&gt;0.04,"Bom",W844&gt;0,"Fraco",TRUE,"Prejuízo")</f>
        <v>Excelente</v>
      </c>
    </row>
    <row r="845" spans="1:25" ht="15" customHeight="1" x14ac:dyDescent="0.2">
      <c r="A845" s="12" t="s">
        <v>1794</v>
      </c>
      <c r="B845" s="56">
        <v>28080769</v>
      </c>
      <c r="C845" s="12" t="s">
        <v>799</v>
      </c>
      <c r="D845" s="12"/>
      <c r="E845" s="12" t="s">
        <v>800</v>
      </c>
      <c r="F845" s="12" t="s">
        <v>84</v>
      </c>
      <c r="G845" s="33">
        <v>2</v>
      </c>
      <c r="H845" s="33">
        <v>41</v>
      </c>
      <c r="I845" s="12" t="s">
        <v>801</v>
      </c>
      <c r="J845" s="12" t="s">
        <v>120</v>
      </c>
      <c r="K845" s="73" t="s">
        <v>29</v>
      </c>
      <c r="L845" s="13">
        <v>218166</v>
      </c>
      <c r="M845" s="13">
        <v>0</v>
      </c>
      <c r="N845" s="13">
        <v>1629</v>
      </c>
      <c r="O845" s="13">
        <v>124240</v>
      </c>
      <c r="P845" s="13">
        <v>0</v>
      </c>
      <c r="Q845" s="13">
        <v>93927</v>
      </c>
      <c r="R845" s="13">
        <v>573</v>
      </c>
      <c r="S845" s="13">
        <v>1</v>
      </c>
      <c r="T845" s="13">
        <v>0</v>
      </c>
      <c r="U845" s="12" t="str">
        <f t="shared" si="52"/>
        <v>Privado Nacional</v>
      </c>
      <c r="V845" s="14">
        <f t="shared" si="53"/>
        <v>0</v>
      </c>
      <c r="W845" s="14">
        <f t="shared" si="54"/>
        <v>6.1004822894375416E-3</v>
      </c>
      <c r="X845" s="12" t="str">
        <f t="shared" si="55"/>
        <v>Média/Pequena</v>
      </c>
      <c r="Y845" s="122" t="str" cm="1">
        <f t="array" ref="Y845">_xlfn.IFS(ISNUMBER(W845)=FALSE,"Sem dado",W845&gt;0.075,"Excelente",W845&gt;0.04,"Bom",W845&gt;0,"Fraco",TRUE,"Prejuízo")</f>
        <v>Fraco</v>
      </c>
    </row>
    <row r="846" spans="1:25" ht="15" customHeight="1" x14ac:dyDescent="0.2">
      <c r="A846" s="15" t="s">
        <v>1795</v>
      </c>
      <c r="B846" s="60">
        <v>11836226</v>
      </c>
      <c r="C846" s="15" t="s">
        <v>1796</v>
      </c>
      <c r="D846" s="15"/>
      <c r="E846" s="15" t="s">
        <v>1797</v>
      </c>
      <c r="F846" s="15" t="s">
        <v>65</v>
      </c>
      <c r="G846" s="34">
        <v>1</v>
      </c>
      <c r="H846" s="34">
        <v>30</v>
      </c>
      <c r="I846" s="15" t="s">
        <v>1357</v>
      </c>
      <c r="J846" s="15" t="s">
        <v>1358</v>
      </c>
      <c r="K846" s="74" t="s">
        <v>29</v>
      </c>
      <c r="L846" s="16">
        <v>218103</v>
      </c>
      <c r="M846" s="16">
        <v>132341</v>
      </c>
      <c r="N846" s="16">
        <v>75475</v>
      </c>
      <c r="O846" s="16">
        <v>109358</v>
      </c>
      <c r="P846" s="16">
        <v>102584</v>
      </c>
      <c r="Q846" s="16">
        <v>108745</v>
      </c>
      <c r="R846" s="16">
        <v>809</v>
      </c>
      <c r="S846" s="16">
        <v>1</v>
      </c>
      <c r="T846" s="16">
        <v>0</v>
      </c>
      <c r="U846" s="15" t="str">
        <f t="shared" si="52"/>
        <v>Público</v>
      </c>
      <c r="V846" s="17">
        <f t="shared" si="53"/>
        <v>0.60678211670632687</v>
      </c>
      <c r="W846" s="17">
        <f t="shared" si="54"/>
        <v>7.4394225021840081E-3</v>
      </c>
      <c r="X846" s="15" t="str">
        <f t="shared" si="55"/>
        <v>Média/Pequena</v>
      </c>
      <c r="Y846" s="121" t="str" cm="1">
        <f t="array" ref="Y846">_xlfn.IFS(ISNUMBER(W846)=FALSE,"Sem dado",W846&gt;0.075,"Excelente",W846&gt;0.04,"Bom",W846&gt;0,"Fraco",TRUE,"Prejuízo")</f>
        <v>Fraco</v>
      </c>
    </row>
    <row r="847" spans="1:25" ht="15" customHeight="1" x14ac:dyDescent="0.2">
      <c r="A847" s="12" t="s">
        <v>1798</v>
      </c>
      <c r="B847" s="56">
        <v>2338666</v>
      </c>
      <c r="C847" s="12"/>
      <c r="D847" s="12"/>
      <c r="E847" s="12"/>
      <c r="F847" s="12" t="s">
        <v>265</v>
      </c>
      <c r="G847" s="33">
        <v>2</v>
      </c>
      <c r="H847" s="33">
        <v>9</v>
      </c>
      <c r="I847" s="12" t="s">
        <v>27</v>
      </c>
      <c r="J847" s="12" t="s">
        <v>28</v>
      </c>
      <c r="K847" s="73" t="s">
        <v>29</v>
      </c>
      <c r="L847" s="13">
        <v>216980</v>
      </c>
      <c r="M847" s="13">
        <v>112091</v>
      </c>
      <c r="N847" s="13">
        <v>34277</v>
      </c>
      <c r="O847" s="13">
        <v>152983</v>
      </c>
      <c r="P847" s="13">
        <v>146774</v>
      </c>
      <c r="Q847" s="13">
        <v>63996</v>
      </c>
      <c r="R847" s="13">
        <v>609</v>
      </c>
      <c r="S847" s="13">
        <v>0</v>
      </c>
      <c r="T847" s="13">
        <v>2</v>
      </c>
      <c r="U847" s="12" t="str">
        <f t="shared" si="52"/>
        <v>Privado Nacional</v>
      </c>
      <c r="V847" s="14">
        <f t="shared" si="53"/>
        <v>0.51659599963130243</v>
      </c>
      <c r="W847" s="14">
        <f t="shared" si="54"/>
        <v>9.5162197637352341E-3</v>
      </c>
      <c r="X847" s="12" t="str">
        <f t="shared" si="55"/>
        <v>Média/Pequena</v>
      </c>
      <c r="Y847" s="122" t="str" cm="1">
        <f t="array" ref="Y847">_xlfn.IFS(ISNUMBER(W847)=FALSE,"Sem dado",W847&gt;0.075,"Excelente",W847&gt;0.04,"Bom",W847&gt;0,"Fraco",TRUE,"Prejuízo")</f>
        <v>Fraco</v>
      </c>
    </row>
    <row r="848" spans="1:25" ht="15" customHeight="1" x14ac:dyDescent="0.2">
      <c r="A848" s="15" t="s">
        <v>1799</v>
      </c>
      <c r="B848" s="60">
        <v>13486793</v>
      </c>
      <c r="C848" s="15" t="s">
        <v>1800</v>
      </c>
      <c r="D848" s="15" t="s">
        <v>1801</v>
      </c>
      <c r="E848" s="15" t="s">
        <v>1802</v>
      </c>
      <c r="F848" s="15" t="s">
        <v>98</v>
      </c>
      <c r="G848" s="34">
        <v>2</v>
      </c>
      <c r="H848" s="34">
        <v>16</v>
      </c>
      <c r="I848" s="15" t="s">
        <v>38</v>
      </c>
      <c r="J848" s="15" t="s">
        <v>39</v>
      </c>
      <c r="K848" s="74" t="s">
        <v>29</v>
      </c>
      <c r="L848" s="16">
        <v>214859</v>
      </c>
      <c r="M848" s="16">
        <v>0</v>
      </c>
      <c r="N848" s="16">
        <v>19635</v>
      </c>
      <c r="O848" s="16">
        <v>186308</v>
      </c>
      <c r="P848" s="16">
        <v>166254</v>
      </c>
      <c r="Q848" s="16">
        <v>28552</v>
      </c>
      <c r="R848" s="16">
        <v>10780</v>
      </c>
      <c r="S848" s="16">
        <v>1</v>
      </c>
      <c r="T848" s="16">
        <v>0</v>
      </c>
      <c r="U848" s="15" t="str">
        <f t="shared" si="52"/>
        <v>Privado Nacional</v>
      </c>
      <c r="V848" s="17">
        <f t="shared" si="53"/>
        <v>0</v>
      </c>
      <c r="W848" s="17">
        <f t="shared" si="54"/>
        <v>0.37755673858223593</v>
      </c>
      <c r="X848" s="15" t="str">
        <f t="shared" si="55"/>
        <v>Média/Pequena</v>
      </c>
      <c r="Y848" s="121" t="str" cm="1">
        <f t="array" ref="Y848">_xlfn.IFS(ISNUMBER(W848)=FALSE,"Sem dado",W848&gt;0.075,"Excelente",W848&gt;0.04,"Bom",W848&gt;0,"Fraco",TRUE,"Prejuízo")</f>
        <v>Excelente</v>
      </c>
    </row>
    <row r="849" spans="1:25" ht="15" customHeight="1" x14ac:dyDescent="0.2">
      <c r="A849" s="12" t="s">
        <v>1803</v>
      </c>
      <c r="B849" s="56">
        <v>162760</v>
      </c>
      <c r="C849" s="12" t="s">
        <v>252</v>
      </c>
      <c r="D849" s="12" t="s">
        <v>253</v>
      </c>
      <c r="E849" s="12" t="s">
        <v>254</v>
      </c>
      <c r="F849" s="12" t="s">
        <v>65</v>
      </c>
      <c r="G849" s="33">
        <v>3</v>
      </c>
      <c r="H849" s="33">
        <v>19</v>
      </c>
      <c r="I849" s="12" t="s">
        <v>255</v>
      </c>
      <c r="J849" s="12" t="s">
        <v>39</v>
      </c>
      <c r="K849" s="73" t="s">
        <v>29</v>
      </c>
      <c r="L849" s="13">
        <v>214564</v>
      </c>
      <c r="M849" s="13">
        <v>9126</v>
      </c>
      <c r="N849" s="13">
        <v>154925</v>
      </c>
      <c r="O849" s="13">
        <v>53788</v>
      </c>
      <c r="P849" s="13">
        <v>0</v>
      </c>
      <c r="Q849" s="13">
        <v>160776</v>
      </c>
      <c r="R849" s="13">
        <v>5160</v>
      </c>
      <c r="S849" s="13">
        <v>2</v>
      </c>
      <c r="T849" s="13">
        <v>0</v>
      </c>
      <c r="U849" s="12" t="str">
        <f t="shared" si="52"/>
        <v>Privado Estrangeiro</v>
      </c>
      <c r="V849" s="14">
        <f t="shared" si="53"/>
        <v>4.2532764117000056E-2</v>
      </c>
      <c r="W849" s="14">
        <f t="shared" si="54"/>
        <v>3.2094342439170025E-2</v>
      </c>
      <c r="X849" s="12" t="str">
        <f t="shared" si="55"/>
        <v>Média/Pequena</v>
      </c>
      <c r="Y849" s="122" t="str" cm="1">
        <f t="array" ref="Y849">_xlfn.IFS(ISNUMBER(W849)=FALSE,"Sem dado",W849&gt;0.075,"Excelente",W849&gt;0.04,"Bom",W849&gt;0,"Fraco",TRUE,"Prejuízo")</f>
        <v>Fraco</v>
      </c>
    </row>
    <row r="850" spans="1:25" ht="15" customHeight="1" x14ac:dyDescent="0.2">
      <c r="A850" s="15" t="s">
        <v>1804</v>
      </c>
      <c r="B850" s="60">
        <v>49173791</v>
      </c>
      <c r="C850" s="15" t="s">
        <v>1805</v>
      </c>
      <c r="D850" s="15"/>
      <c r="E850" s="15" t="s">
        <v>1806</v>
      </c>
      <c r="F850" s="15" t="s">
        <v>65</v>
      </c>
      <c r="G850" s="34">
        <v>3</v>
      </c>
      <c r="H850" s="34">
        <v>43</v>
      </c>
      <c r="I850" s="15" t="s">
        <v>107</v>
      </c>
      <c r="J850" s="15" t="s">
        <v>39</v>
      </c>
      <c r="K850" s="74" t="s">
        <v>29</v>
      </c>
      <c r="L850" s="16">
        <v>212161</v>
      </c>
      <c r="M850" s="16">
        <v>0</v>
      </c>
      <c r="N850" s="16">
        <v>158481</v>
      </c>
      <c r="O850" s="16">
        <v>52413</v>
      </c>
      <c r="P850" s="16">
        <v>0</v>
      </c>
      <c r="Q850" s="16">
        <v>159749</v>
      </c>
      <c r="R850" s="16">
        <v>8990</v>
      </c>
      <c r="S850" s="16">
        <v>2</v>
      </c>
      <c r="T850" s="16">
        <v>0</v>
      </c>
      <c r="U850" s="15" t="str">
        <f t="shared" si="52"/>
        <v>Privado Estrangeiro</v>
      </c>
      <c r="V850" s="17">
        <f t="shared" si="53"/>
        <v>0</v>
      </c>
      <c r="W850" s="17">
        <f t="shared" si="54"/>
        <v>5.62757826340071E-2</v>
      </c>
      <c r="X850" s="15" t="str">
        <f t="shared" si="55"/>
        <v>Média/Pequena</v>
      </c>
      <c r="Y850" s="121" t="str" cm="1">
        <f t="array" ref="Y850">_xlfn.IFS(ISNUMBER(W850)=FALSE,"Sem dado",W850&gt;0.075,"Excelente",W850&gt;0.04,"Bom",W850&gt;0,"Fraco",TRUE,"Prejuízo")</f>
        <v>Bom</v>
      </c>
    </row>
    <row r="851" spans="1:25" ht="15" customHeight="1" x14ac:dyDescent="0.2">
      <c r="A851" s="12" t="s">
        <v>1807</v>
      </c>
      <c r="B851" s="56">
        <v>34711571</v>
      </c>
      <c r="C851" s="12" t="s">
        <v>56</v>
      </c>
      <c r="D851" s="12" t="s">
        <v>57</v>
      </c>
      <c r="E851" s="12" t="s">
        <v>58</v>
      </c>
      <c r="F851" s="12" t="s">
        <v>98</v>
      </c>
      <c r="G851" s="33">
        <v>2</v>
      </c>
      <c r="H851" s="33">
        <v>16</v>
      </c>
      <c r="I851" s="12" t="s">
        <v>53</v>
      </c>
      <c r="J851" s="12" t="s">
        <v>54</v>
      </c>
      <c r="K851" s="73" t="s">
        <v>29</v>
      </c>
      <c r="L851" s="13">
        <v>210736</v>
      </c>
      <c r="M851" s="13">
        <v>0</v>
      </c>
      <c r="N851" s="13">
        <v>135765</v>
      </c>
      <c r="O851" s="13">
        <v>19065</v>
      </c>
      <c r="P851" s="13">
        <v>0</v>
      </c>
      <c r="Q851" s="13">
        <v>191671</v>
      </c>
      <c r="R851" s="13">
        <v>7966</v>
      </c>
      <c r="S851" s="13">
        <v>2</v>
      </c>
      <c r="T851" s="13">
        <v>0</v>
      </c>
      <c r="U851" s="12" t="str">
        <f t="shared" si="52"/>
        <v>Privado Nacional</v>
      </c>
      <c r="V851" s="14">
        <f t="shared" si="53"/>
        <v>0</v>
      </c>
      <c r="W851" s="14">
        <f t="shared" si="54"/>
        <v>4.1560799494967937E-2</v>
      </c>
      <c r="X851" s="12" t="str">
        <f t="shared" si="55"/>
        <v>Média/Pequena</v>
      </c>
      <c r="Y851" s="122" t="str" cm="1">
        <f t="array" ref="Y851">_xlfn.IFS(ISNUMBER(W851)=FALSE,"Sem dado",W851&gt;0.075,"Excelente",W851&gt;0.04,"Bom",W851&gt;0,"Fraco",TRUE,"Prejuízo")</f>
        <v>Bom</v>
      </c>
    </row>
    <row r="852" spans="1:25" ht="15" customHeight="1" x14ac:dyDescent="0.2">
      <c r="A852" s="15" t="s">
        <v>1808</v>
      </c>
      <c r="B852" s="60">
        <v>37554441</v>
      </c>
      <c r="C852" s="15"/>
      <c r="D852" s="15"/>
      <c r="E852" s="15"/>
      <c r="F852" s="15" t="s">
        <v>265</v>
      </c>
      <c r="G852" s="34">
        <v>2</v>
      </c>
      <c r="H852" s="34">
        <v>9</v>
      </c>
      <c r="I852" s="15" t="s">
        <v>400</v>
      </c>
      <c r="J852" s="15" t="s">
        <v>401</v>
      </c>
      <c r="K852" s="74" t="s">
        <v>29</v>
      </c>
      <c r="L852" s="16">
        <v>207463</v>
      </c>
      <c r="M852" s="16">
        <v>84847</v>
      </c>
      <c r="N852" s="16">
        <v>2469</v>
      </c>
      <c r="O852" s="16">
        <v>161310</v>
      </c>
      <c r="P852" s="16">
        <v>148585</v>
      </c>
      <c r="Q852" s="16">
        <v>46152</v>
      </c>
      <c r="R852" s="16">
        <v>4005</v>
      </c>
      <c r="S852" s="16">
        <v>0</v>
      </c>
      <c r="T852" s="16">
        <v>5</v>
      </c>
      <c r="U852" s="15" t="str">
        <f t="shared" si="52"/>
        <v>Privado Nacional</v>
      </c>
      <c r="V852" s="17">
        <f t="shared" si="53"/>
        <v>0.40897413032685348</v>
      </c>
      <c r="W852" s="17">
        <f t="shared" si="54"/>
        <v>8.6778471138845556E-2</v>
      </c>
      <c r="X852" s="15" t="str">
        <f t="shared" si="55"/>
        <v>Média/Pequena</v>
      </c>
      <c r="Y852" s="121" t="str" cm="1">
        <f t="array" ref="Y852">_xlfn.IFS(ISNUMBER(W852)=FALSE,"Sem dado",W852&gt;0.075,"Excelente",W852&gt;0.04,"Bom",W852&gt;0,"Fraco",TRUE,"Prejuízo")</f>
        <v>Excelente</v>
      </c>
    </row>
    <row r="853" spans="1:25" ht="15" customHeight="1" x14ac:dyDescent="0.2">
      <c r="A853" s="12" t="s">
        <v>1809</v>
      </c>
      <c r="B853" s="56">
        <v>5410056</v>
      </c>
      <c r="C853" s="12"/>
      <c r="D853" s="12"/>
      <c r="E853" s="12"/>
      <c r="F853" s="12" t="s">
        <v>265</v>
      </c>
      <c r="G853" s="33">
        <v>2</v>
      </c>
      <c r="H853" s="33">
        <v>9</v>
      </c>
      <c r="I853" s="12" t="s">
        <v>1810</v>
      </c>
      <c r="J853" s="12" t="s">
        <v>217</v>
      </c>
      <c r="K853" s="73" t="s">
        <v>29</v>
      </c>
      <c r="L853" s="13">
        <v>207391</v>
      </c>
      <c r="M853" s="13">
        <v>146038</v>
      </c>
      <c r="N853" s="13">
        <v>5426</v>
      </c>
      <c r="O853" s="13">
        <v>187591</v>
      </c>
      <c r="P853" s="13">
        <v>135600</v>
      </c>
      <c r="Q853" s="13">
        <v>19800</v>
      </c>
      <c r="R853" s="13">
        <v>-513</v>
      </c>
      <c r="S853" s="13">
        <v>0</v>
      </c>
      <c r="T853" s="13">
        <v>7</v>
      </c>
      <c r="U853" s="12" t="str">
        <f t="shared" si="52"/>
        <v>Privado Nacional</v>
      </c>
      <c r="V853" s="14">
        <f t="shared" si="53"/>
        <v>0.70416749039254356</v>
      </c>
      <c r="W853" s="14">
        <f t="shared" si="54"/>
        <v>-2.5909090909090909E-2</v>
      </c>
      <c r="X853" s="12" t="str">
        <f t="shared" si="55"/>
        <v>Média/Pequena</v>
      </c>
      <c r="Y853" s="122" t="str" cm="1">
        <f t="array" ref="Y853">_xlfn.IFS(ISNUMBER(W853)=FALSE,"Sem dado",W853&gt;0.075,"Excelente",W853&gt;0.04,"Bom",W853&gt;0,"Fraco",TRUE,"Prejuízo")</f>
        <v>Prejuízo</v>
      </c>
    </row>
    <row r="854" spans="1:25" ht="15" customHeight="1" x14ac:dyDescent="0.2">
      <c r="A854" s="15" t="s">
        <v>1811</v>
      </c>
      <c r="B854" s="60">
        <v>4525997</v>
      </c>
      <c r="C854" s="15"/>
      <c r="D854" s="15"/>
      <c r="E854" s="15"/>
      <c r="F854" s="15" t="s">
        <v>265</v>
      </c>
      <c r="G854" s="34">
        <v>2</v>
      </c>
      <c r="H854" s="34">
        <v>9</v>
      </c>
      <c r="I854" s="15" t="s">
        <v>782</v>
      </c>
      <c r="J854" s="15" t="s">
        <v>74</v>
      </c>
      <c r="K854" s="74" t="s">
        <v>29</v>
      </c>
      <c r="L854" s="16">
        <v>206267</v>
      </c>
      <c r="M854" s="16">
        <v>116761</v>
      </c>
      <c r="N854" s="16">
        <v>73519</v>
      </c>
      <c r="O854" s="16">
        <v>181499</v>
      </c>
      <c r="P854" s="16">
        <v>153729</v>
      </c>
      <c r="Q854" s="16">
        <v>24768</v>
      </c>
      <c r="R854" s="16">
        <v>-513</v>
      </c>
      <c r="S854" s="16">
        <v>0</v>
      </c>
      <c r="T854" s="16">
        <v>1</v>
      </c>
      <c r="U854" s="15" t="str">
        <f t="shared" si="52"/>
        <v>Privado Nacional</v>
      </c>
      <c r="V854" s="17">
        <f t="shared" si="53"/>
        <v>0.56606728172708187</v>
      </c>
      <c r="W854" s="17">
        <f t="shared" si="54"/>
        <v>-2.071220930232558E-2</v>
      </c>
      <c r="X854" s="15" t="str">
        <f t="shared" si="55"/>
        <v>Média/Pequena</v>
      </c>
      <c r="Y854" s="121" t="str" cm="1">
        <f t="array" ref="Y854">_xlfn.IFS(ISNUMBER(W854)=FALSE,"Sem dado",W854&gt;0.075,"Excelente",W854&gt;0.04,"Bom",W854&gt;0,"Fraco",TRUE,"Prejuízo")</f>
        <v>Prejuízo</v>
      </c>
    </row>
    <row r="855" spans="1:25" ht="15" customHeight="1" x14ac:dyDescent="0.2">
      <c r="A855" s="12" t="s">
        <v>1812</v>
      </c>
      <c r="B855" s="56">
        <v>804046</v>
      </c>
      <c r="C855" s="12"/>
      <c r="D855" s="12"/>
      <c r="E855" s="12"/>
      <c r="F855" s="12" t="s">
        <v>265</v>
      </c>
      <c r="G855" s="33">
        <v>2</v>
      </c>
      <c r="H855" s="33">
        <v>9</v>
      </c>
      <c r="I855" s="12" t="s">
        <v>1813</v>
      </c>
      <c r="J855" s="12" t="s">
        <v>120</v>
      </c>
      <c r="K855" s="73" t="s">
        <v>29</v>
      </c>
      <c r="L855" s="13">
        <v>204350</v>
      </c>
      <c r="M855" s="13">
        <v>113549</v>
      </c>
      <c r="N855" s="13">
        <v>4399</v>
      </c>
      <c r="O855" s="13">
        <v>170129</v>
      </c>
      <c r="P855" s="13">
        <v>143148</v>
      </c>
      <c r="Q855" s="13">
        <v>34220</v>
      </c>
      <c r="R855" s="13">
        <v>2575</v>
      </c>
      <c r="S855" s="13">
        <v>0</v>
      </c>
      <c r="T855" s="13">
        <v>0</v>
      </c>
      <c r="U855" s="12" t="str">
        <f t="shared" si="52"/>
        <v>Privado Nacional</v>
      </c>
      <c r="V855" s="14">
        <f t="shared" si="53"/>
        <v>0.55565940787863954</v>
      </c>
      <c r="W855" s="14">
        <f t="shared" si="54"/>
        <v>7.5248392752776158E-2</v>
      </c>
      <c r="X855" s="12" t="str">
        <f t="shared" si="55"/>
        <v>Média/Pequena</v>
      </c>
      <c r="Y855" s="122" t="str" cm="1">
        <f t="array" ref="Y855">_xlfn.IFS(ISNUMBER(W855)=FALSE,"Sem dado",W855&gt;0.075,"Excelente",W855&gt;0.04,"Bom",W855&gt;0,"Fraco",TRUE,"Prejuízo")</f>
        <v>Excelente</v>
      </c>
    </row>
    <row r="856" spans="1:25" ht="15" customHeight="1" x14ac:dyDescent="0.2">
      <c r="A856" s="15" t="s">
        <v>1814</v>
      </c>
      <c r="B856" s="60">
        <v>13728156</v>
      </c>
      <c r="C856" s="15" t="s">
        <v>1815</v>
      </c>
      <c r="D856" s="15" t="s">
        <v>1816</v>
      </c>
      <c r="E856" s="15" t="s">
        <v>1817</v>
      </c>
      <c r="F856" s="15" t="s">
        <v>98</v>
      </c>
      <c r="G856" s="34">
        <v>3</v>
      </c>
      <c r="H856" s="34">
        <v>21</v>
      </c>
      <c r="I856" s="15" t="s">
        <v>38</v>
      </c>
      <c r="J856" s="15" t="s">
        <v>39</v>
      </c>
      <c r="K856" s="74" t="s">
        <v>29</v>
      </c>
      <c r="L856" s="16">
        <v>201668</v>
      </c>
      <c r="M856" s="16">
        <v>0</v>
      </c>
      <c r="N856" s="16">
        <v>8155</v>
      </c>
      <c r="O856" s="16">
        <v>48255</v>
      </c>
      <c r="P856" s="16">
        <v>0</v>
      </c>
      <c r="Q856" s="16">
        <v>153413</v>
      </c>
      <c r="R856" s="16">
        <v>2352</v>
      </c>
      <c r="S856" s="16">
        <v>2</v>
      </c>
      <c r="T856" s="16">
        <v>0</v>
      </c>
      <c r="U856" s="15" t="str">
        <f t="shared" si="52"/>
        <v>Privado Estrangeiro</v>
      </c>
      <c r="V856" s="17">
        <f t="shared" si="53"/>
        <v>0</v>
      </c>
      <c r="W856" s="17">
        <f t="shared" si="54"/>
        <v>1.53311648947612E-2</v>
      </c>
      <c r="X856" s="15" t="str">
        <f t="shared" si="55"/>
        <v>Média/Pequena</v>
      </c>
      <c r="Y856" s="121" t="str" cm="1">
        <f t="array" ref="Y856">_xlfn.IFS(ISNUMBER(W856)=FALSE,"Sem dado",W856&gt;0.075,"Excelente",W856&gt;0.04,"Bom",W856&gt;0,"Fraco",TRUE,"Prejuízo")</f>
        <v>Fraco</v>
      </c>
    </row>
    <row r="857" spans="1:25" ht="15" customHeight="1" x14ac:dyDescent="0.2">
      <c r="A857" s="12" t="s">
        <v>1818</v>
      </c>
      <c r="B857" s="56">
        <v>30507541</v>
      </c>
      <c r="C857" s="12" t="s">
        <v>1819</v>
      </c>
      <c r="D857" s="12"/>
      <c r="E857" s="12" t="s">
        <v>1820</v>
      </c>
      <c r="F857" s="12" t="s">
        <v>84</v>
      </c>
      <c r="G857" s="33">
        <v>2</v>
      </c>
      <c r="H857" s="33">
        <v>41</v>
      </c>
      <c r="I857" s="12" t="s">
        <v>107</v>
      </c>
      <c r="J857" s="12" t="s">
        <v>39</v>
      </c>
      <c r="K857" s="73" t="s">
        <v>29</v>
      </c>
      <c r="L857" s="13">
        <v>200059</v>
      </c>
      <c r="M857" s="13">
        <v>0</v>
      </c>
      <c r="N857" s="13">
        <v>176589</v>
      </c>
      <c r="O857" s="13">
        <v>193964</v>
      </c>
      <c r="P857" s="13">
        <v>187798</v>
      </c>
      <c r="Q857" s="13">
        <v>6095</v>
      </c>
      <c r="R857" s="13">
        <v>938</v>
      </c>
      <c r="S857" s="13">
        <v>1</v>
      </c>
      <c r="T857" s="13">
        <v>0</v>
      </c>
      <c r="U857" s="12" t="str">
        <f t="shared" si="52"/>
        <v>Privado Nacional</v>
      </c>
      <c r="V857" s="14">
        <f t="shared" si="53"/>
        <v>0</v>
      </c>
      <c r="W857" s="14">
        <f t="shared" si="54"/>
        <v>0.15389663658736669</v>
      </c>
      <c r="X857" s="12" t="str">
        <f t="shared" si="55"/>
        <v>Média/Pequena</v>
      </c>
      <c r="Y857" s="122" t="str" cm="1">
        <f t="array" ref="Y857">_xlfn.IFS(ISNUMBER(W857)=FALSE,"Sem dado",W857&gt;0.075,"Excelente",W857&gt;0.04,"Bom",W857&gt;0,"Fraco",TRUE,"Prejuízo")</f>
        <v>Excelente</v>
      </c>
    </row>
    <row r="858" spans="1:25" ht="15" customHeight="1" x14ac:dyDescent="0.2">
      <c r="A858" s="15" t="s">
        <v>1821</v>
      </c>
      <c r="B858" s="60">
        <v>14630124</v>
      </c>
      <c r="C858" s="15" t="s">
        <v>1822</v>
      </c>
      <c r="D858" s="15"/>
      <c r="E858" s="15" t="s">
        <v>1823</v>
      </c>
      <c r="F858" s="15" t="s">
        <v>84</v>
      </c>
      <c r="G858" s="34">
        <v>2</v>
      </c>
      <c r="H858" s="34">
        <v>41</v>
      </c>
      <c r="I858" s="15" t="s">
        <v>73</v>
      </c>
      <c r="J858" s="15" t="s">
        <v>74</v>
      </c>
      <c r="K858" s="74" t="s">
        <v>29</v>
      </c>
      <c r="L858" s="16">
        <v>199921</v>
      </c>
      <c r="M858" s="16">
        <v>0</v>
      </c>
      <c r="N858" s="16">
        <v>6912</v>
      </c>
      <c r="O858" s="16">
        <v>179013</v>
      </c>
      <c r="P858" s="16">
        <v>5596</v>
      </c>
      <c r="Q858" s="16">
        <v>20907</v>
      </c>
      <c r="R858" s="16">
        <v>11507</v>
      </c>
      <c r="S858" s="16">
        <v>1</v>
      </c>
      <c r="T858" s="16">
        <v>0</v>
      </c>
      <c r="U858" s="15" t="str">
        <f t="shared" si="52"/>
        <v>Privado Nacional</v>
      </c>
      <c r="V858" s="17">
        <f t="shared" si="53"/>
        <v>0</v>
      </c>
      <c r="W858" s="17">
        <f t="shared" si="54"/>
        <v>0.5503898215908547</v>
      </c>
      <c r="X858" s="15" t="str">
        <f t="shared" si="55"/>
        <v>Média/Pequena</v>
      </c>
      <c r="Y858" s="121" t="str" cm="1">
        <f t="array" ref="Y858">_xlfn.IFS(ISNUMBER(W858)=FALSE,"Sem dado",W858&gt;0.075,"Excelente",W858&gt;0.04,"Bom",W858&gt;0,"Fraco",TRUE,"Prejuízo")</f>
        <v>Excelente</v>
      </c>
    </row>
    <row r="859" spans="1:25" ht="15" customHeight="1" x14ac:dyDescent="0.2">
      <c r="A859" s="12" t="s">
        <v>1824</v>
      </c>
      <c r="B859" s="56">
        <v>93026847</v>
      </c>
      <c r="C859" s="12" t="s">
        <v>86</v>
      </c>
      <c r="D859" s="12" t="s">
        <v>87</v>
      </c>
      <c r="E859" s="12" t="s">
        <v>88</v>
      </c>
      <c r="F859" s="12" t="s">
        <v>98</v>
      </c>
      <c r="G859" s="33">
        <v>1</v>
      </c>
      <c r="H859" s="33">
        <v>15</v>
      </c>
      <c r="I859" s="12" t="s">
        <v>73</v>
      </c>
      <c r="J859" s="12" t="s">
        <v>74</v>
      </c>
      <c r="K859" s="73" t="s">
        <v>29</v>
      </c>
      <c r="L859" s="13">
        <v>199097</v>
      </c>
      <c r="M859" s="13">
        <v>0</v>
      </c>
      <c r="N859" s="13">
        <v>70002</v>
      </c>
      <c r="O859" s="13">
        <v>20525</v>
      </c>
      <c r="P859" s="13">
        <v>2577</v>
      </c>
      <c r="Q859" s="13">
        <v>178572</v>
      </c>
      <c r="R859" s="13">
        <v>21299</v>
      </c>
      <c r="S859" s="13">
        <v>2</v>
      </c>
      <c r="T859" s="13">
        <v>0</v>
      </c>
      <c r="U859" s="12" t="str">
        <f t="shared" si="52"/>
        <v>Público</v>
      </c>
      <c r="V859" s="14">
        <f t="shared" si="53"/>
        <v>0</v>
      </c>
      <c r="W859" s="14">
        <f t="shared" si="54"/>
        <v>0.11927401832314137</v>
      </c>
      <c r="X859" s="12" t="str">
        <f t="shared" si="55"/>
        <v>Média/Pequena</v>
      </c>
      <c r="Y859" s="122" t="str" cm="1">
        <f t="array" ref="Y859">_xlfn.IFS(ISNUMBER(W859)=FALSE,"Sem dado",W859&gt;0.075,"Excelente",W859&gt;0.04,"Bom",W859&gt;0,"Fraco",TRUE,"Prejuízo")</f>
        <v>Excelente</v>
      </c>
    </row>
    <row r="860" spans="1:25" ht="15" customHeight="1" x14ac:dyDescent="0.2">
      <c r="A860" s="15" t="s">
        <v>1825</v>
      </c>
      <c r="B860" s="60">
        <v>44189447</v>
      </c>
      <c r="C860" s="15" t="s">
        <v>1826</v>
      </c>
      <c r="D860" s="15"/>
      <c r="E860" s="15" t="s">
        <v>1827</v>
      </c>
      <c r="F860" s="15" t="s">
        <v>26</v>
      </c>
      <c r="G860" s="34">
        <v>3</v>
      </c>
      <c r="H860" s="34">
        <v>28</v>
      </c>
      <c r="I860" s="15" t="s">
        <v>38</v>
      </c>
      <c r="J860" s="15" t="s">
        <v>39</v>
      </c>
      <c r="K860" s="74" t="s">
        <v>29</v>
      </c>
      <c r="L860" s="16">
        <v>197601</v>
      </c>
      <c r="M860" s="16">
        <v>42411</v>
      </c>
      <c r="N860" s="16">
        <v>53499</v>
      </c>
      <c r="O860" s="16">
        <v>48387</v>
      </c>
      <c r="P860" s="16">
        <v>43051</v>
      </c>
      <c r="Q860" s="16">
        <v>149214</v>
      </c>
      <c r="R860" s="16">
        <v>2830</v>
      </c>
      <c r="S860" s="16">
        <v>2</v>
      </c>
      <c r="T860" s="16">
        <v>0</v>
      </c>
      <c r="U860" s="15" t="str">
        <f t="shared" si="52"/>
        <v>Privado Estrangeiro</v>
      </c>
      <c r="V860" s="17">
        <f t="shared" si="53"/>
        <v>0.21462948062003734</v>
      </c>
      <c r="W860" s="17">
        <f t="shared" si="54"/>
        <v>1.8966048762180492E-2</v>
      </c>
      <c r="X860" s="15" t="str">
        <f t="shared" si="55"/>
        <v>Média/Pequena</v>
      </c>
      <c r="Y860" s="121" t="str" cm="1">
        <f t="array" ref="Y860">_xlfn.IFS(ISNUMBER(W860)=FALSE,"Sem dado",W860&gt;0.075,"Excelente",W860&gt;0.04,"Bom",W860&gt;0,"Fraco",TRUE,"Prejuízo")</f>
        <v>Fraco</v>
      </c>
    </row>
    <row r="861" spans="1:25" ht="15" customHeight="1" x14ac:dyDescent="0.2">
      <c r="A861" s="12" t="s">
        <v>1828</v>
      </c>
      <c r="B861" s="56">
        <v>5597773</v>
      </c>
      <c r="C861" s="12"/>
      <c r="D861" s="12"/>
      <c r="E861" s="12"/>
      <c r="F861" s="12" t="s">
        <v>265</v>
      </c>
      <c r="G861" s="33">
        <v>2</v>
      </c>
      <c r="H861" s="33">
        <v>9</v>
      </c>
      <c r="I861" s="12" t="s">
        <v>1829</v>
      </c>
      <c r="J861" s="12" t="s">
        <v>432</v>
      </c>
      <c r="K861" s="73" t="s">
        <v>29</v>
      </c>
      <c r="L861" s="13">
        <v>196834</v>
      </c>
      <c r="M861" s="13">
        <v>98570</v>
      </c>
      <c r="N861" s="13">
        <v>8153</v>
      </c>
      <c r="O861" s="13">
        <v>155397</v>
      </c>
      <c r="P861" s="13">
        <v>135066</v>
      </c>
      <c r="Q861" s="13">
        <v>41437</v>
      </c>
      <c r="R861" s="13">
        <v>3677</v>
      </c>
      <c r="S861" s="13">
        <v>0</v>
      </c>
      <c r="T861" s="13">
        <v>3</v>
      </c>
      <c r="U861" s="12" t="str">
        <f t="shared" si="52"/>
        <v>Privado Nacional</v>
      </c>
      <c r="V861" s="14">
        <f t="shared" si="53"/>
        <v>0.50077730473393822</v>
      </c>
      <c r="W861" s="14">
        <f t="shared" si="54"/>
        <v>8.8737118999927603E-2</v>
      </c>
      <c r="X861" s="12" t="str">
        <f t="shared" si="55"/>
        <v>Média/Pequena</v>
      </c>
      <c r="Y861" s="122" t="str" cm="1">
        <f t="array" ref="Y861">_xlfn.IFS(ISNUMBER(W861)=FALSE,"Sem dado",W861&gt;0.075,"Excelente",W861&gt;0.04,"Bom",W861&gt;0,"Fraco",TRUE,"Prejuízo")</f>
        <v>Excelente</v>
      </c>
    </row>
    <row r="862" spans="1:25" ht="15" customHeight="1" x14ac:dyDescent="0.2">
      <c r="A862" s="15" t="s">
        <v>1830</v>
      </c>
      <c r="B862" s="60">
        <v>60394079</v>
      </c>
      <c r="C862" s="15" t="s">
        <v>35</v>
      </c>
      <c r="D862" s="15" t="s">
        <v>36</v>
      </c>
      <c r="E862" s="15" t="s">
        <v>37</v>
      </c>
      <c r="F862" s="15" t="s">
        <v>26</v>
      </c>
      <c r="G862" s="34">
        <v>2</v>
      </c>
      <c r="H862" s="34">
        <v>8</v>
      </c>
      <c r="I862" s="15" t="s">
        <v>38</v>
      </c>
      <c r="J862" s="15" t="s">
        <v>39</v>
      </c>
      <c r="K862" s="74" t="s">
        <v>29</v>
      </c>
      <c r="L862" s="16">
        <v>193882</v>
      </c>
      <c r="M862" s="16">
        <v>0</v>
      </c>
      <c r="N862" s="16">
        <v>1237</v>
      </c>
      <c r="O862" s="16">
        <v>15522</v>
      </c>
      <c r="P862" s="16">
        <v>0</v>
      </c>
      <c r="Q862" s="16">
        <v>178360</v>
      </c>
      <c r="R862" s="16">
        <v>6329</v>
      </c>
      <c r="S862" s="16">
        <v>2</v>
      </c>
      <c r="T862" s="16">
        <v>0</v>
      </c>
      <c r="U862" s="15" t="str">
        <f t="shared" si="52"/>
        <v>Privado Nacional</v>
      </c>
      <c r="V862" s="17">
        <f t="shared" si="53"/>
        <v>0</v>
      </c>
      <c r="W862" s="17">
        <f t="shared" si="54"/>
        <v>3.5484413545638034E-2</v>
      </c>
      <c r="X862" s="15" t="str">
        <f t="shared" si="55"/>
        <v>Média/Pequena</v>
      </c>
      <c r="Y862" s="121" t="str" cm="1">
        <f t="array" ref="Y862">_xlfn.IFS(ISNUMBER(W862)=FALSE,"Sem dado",W862&gt;0.075,"Excelente",W862&gt;0.04,"Bom",W862&gt;0,"Fraco",TRUE,"Prejuízo")</f>
        <v>Fraco</v>
      </c>
    </row>
    <row r="863" spans="1:25" ht="15" customHeight="1" x14ac:dyDescent="0.2">
      <c r="A863" s="12" t="s">
        <v>1831</v>
      </c>
      <c r="B863" s="56">
        <v>44128548</v>
      </c>
      <c r="C863" s="12" t="s">
        <v>1832</v>
      </c>
      <c r="D863" s="12"/>
      <c r="E863" s="12" t="s">
        <v>1833</v>
      </c>
      <c r="F863" s="12" t="s">
        <v>84</v>
      </c>
      <c r="G863" s="33">
        <v>3</v>
      </c>
      <c r="H863" s="33">
        <v>41</v>
      </c>
      <c r="I863" s="12" t="s">
        <v>38</v>
      </c>
      <c r="J863" s="12" t="s">
        <v>39</v>
      </c>
      <c r="K863" s="73" t="s">
        <v>29</v>
      </c>
      <c r="L863" s="13">
        <v>192020</v>
      </c>
      <c r="M863" s="13">
        <v>51606</v>
      </c>
      <c r="N863" s="13">
        <v>106757</v>
      </c>
      <c r="O863" s="13">
        <v>172049</v>
      </c>
      <c r="P863" s="13">
        <v>0</v>
      </c>
      <c r="Q863" s="13">
        <v>19971</v>
      </c>
      <c r="R863" s="13">
        <v>-3174</v>
      </c>
      <c r="S863" s="13">
        <v>1</v>
      </c>
      <c r="T863" s="13">
        <v>0</v>
      </c>
      <c r="U863" s="12" t="str">
        <f t="shared" si="52"/>
        <v>Privado Estrangeiro</v>
      </c>
      <c r="V863" s="14">
        <f t="shared" si="53"/>
        <v>0.26875325486928447</v>
      </c>
      <c r="W863" s="14">
        <f t="shared" si="54"/>
        <v>-0.15893044915126933</v>
      </c>
      <c r="X863" s="12" t="str">
        <f t="shared" si="55"/>
        <v>Média/Pequena</v>
      </c>
      <c r="Y863" s="122" t="str" cm="1">
        <f t="array" ref="Y863">_xlfn.IFS(ISNUMBER(W863)=FALSE,"Sem dado",W863&gt;0.075,"Excelente",W863&gt;0.04,"Bom",W863&gt;0,"Fraco",TRUE,"Prejuízo")</f>
        <v>Prejuízo</v>
      </c>
    </row>
    <row r="864" spans="1:25" ht="15" customHeight="1" x14ac:dyDescent="0.2">
      <c r="A864" s="15" t="s">
        <v>1834</v>
      </c>
      <c r="B864" s="60">
        <v>2254376</v>
      </c>
      <c r="C864" s="15"/>
      <c r="D864" s="15"/>
      <c r="E864" s="15"/>
      <c r="F864" s="15" t="s">
        <v>265</v>
      </c>
      <c r="G864" s="34">
        <v>2</v>
      </c>
      <c r="H864" s="34">
        <v>9</v>
      </c>
      <c r="I864" s="15" t="s">
        <v>1835</v>
      </c>
      <c r="J864" s="15" t="s">
        <v>120</v>
      </c>
      <c r="K864" s="74" t="s">
        <v>29</v>
      </c>
      <c r="L864" s="16">
        <v>190467</v>
      </c>
      <c r="M864" s="16">
        <v>47468</v>
      </c>
      <c r="N864" s="16">
        <v>4238</v>
      </c>
      <c r="O864" s="16">
        <v>161836</v>
      </c>
      <c r="P864" s="16">
        <v>159044</v>
      </c>
      <c r="Q864" s="16">
        <v>28630</v>
      </c>
      <c r="R864" s="16">
        <v>3586</v>
      </c>
      <c r="S864" s="16">
        <v>0</v>
      </c>
      <c r="T864" s="16">
        <v>1</v>
      </c>
      <c r="U864" s="15" t="str">
        <f t="shared" si="52"/>
        <v>Privado Nacional</v>
      </c>
      <c r="V864" s="17">
        <f t="shared" si="53"/>
        <v>0.24921902481794747</v>
      </c>
      <c r="W864" s="17">
        <f t="shared" si="54"/>
        <v>0.12525323087670276</v>
      </c>
      <c r="X864" s="15" t="str">
        <f t="shared" si="55"/>
        <v>Média/Pequena</v>
      </c>
      <c r="Y864" s="121" t="str" cm="1">
        <f t="array" ref="Y864">_xlfn.IFS(ISNUMBER(W864)=FALSE,"Sem dado",W864&gt;0.075,"Excelente",W864&gt;0.04,"Bom",W864&gt;0,"Fraco",TRUE,"Prejuízo")</f>
        <v>Excelente</v>
      </c>
    </row>
    <row r="865" spans="1:25" ht="15" customHeight="1" x14ac:dyDescent="0.2">
      <c r="A865" s="12" t="s">
        <v>1836</v>
      </c>
      <c r="B865" s="56">
        <v>806535</v>
      </c>
      <c r="C865" s="12" t="s">
        <v>1837</v>
      </c>
      <c r="D865" s="12" t="s">
        <v>1838</v>
      </c>
      <c r="E865" s="12" t="s">
        <v>1839</v>
      </c>
      <c r="F865" s="12" t="s">
        <v>98</v>
      </c>
      <c r="G865" s="33">
        <v>2</v>
      </c>
      <c r="H865" s="33">
        <v>15</v>
      </c>
      <c r="I865" s="12" t="s">
        <v>38</v>
      </c>
      <c r="J865" s="12" t="s">
        <v>39</v>
      </c>
      <c r="K865" s="73" t="s">
        <v>29</v>
      </c>
      <c r="L865" s="13">
        <v>190445</v>
      </c>
      <c r="M865" s="13">
        <v>0</v>
      </c>
      <c r="N865" s="13">
        <v>73636</v>
      </c>
      <c r="O865" s="13">
        <v>211830</v>
      </c>
      <c r="P865" s="13">
        <v>153286</v>
      </c>
      <c r="Q865" s="13">
        <v>-21385</v>
      </c>
      <c r="R865" s="13">
        <v>-36048</v>
      </c>
      <c r="S865" s="13">
        <v>3</v>
      </c>
      <c r="T865" s="13">
        <v>0</v>
      </c>
      <c r="U865" s="12" t="str">
        <f t="shared" si="52"/>
        <v>Privado Nacional</v>
      </c>
      <c r="V865" s="14">
        <f t="shared" si="53"/>
        <v>0</v>
      </c>
      <c r="W865" s="14" t="str">
        <f t="shared" si="54"/>
        <v>n.d.</v>
      </c>
      <c r="X865" s="12" t="str">
        <f t="shared" si="55"/>
        <v>Média/Pequena</v>
      </c>
      <c r="Y865" s="122" t="str" cm="1">
        <f t="array" ref="Y865">_xlfn.IFS(ISNUMBER(W865)=FALSE,"Sem dado",W865&gt;0.075,"Excelente",W865&gt;0.04,"Bom",W865&gt;0,"Fraco",TRUE,"Prejuízo")</f>
        <v>Sem dado</v>
      </c>
    </row>
    <row r="866" spans="1:25" ht="15" customHeight="1" x14ac:dyDescent="0.2">
      <c r="A866" s="15" t="s">
        <v>1840</v>
      </c>
      <c r="B866" s="60">
        <v>52046299</v>
      </c>
      <c r="C866" s="15"/>
      <c r="D866" s="15"/>
      <c r="E866" s="15"/>
      <c r="F866" s="15" t="s">
        <v>265</v>
      </c>
      <c r="G866" s="34">
        <v>2</v>
      </c>
      <c r="H866" s="34">
        <v>9</v>
      </c>
      <c r="I866" s="15" t="s">
        <v>38</v>
      </c>
      <c r="J866" s="15" t="s">
        <v>39</v>
      </c>
      <c r="K866" s="74" t="s">
        <v>29</v>
      </c>
      <c r="L866" s="16">
        <v>190193</v>
      </c>
      <c r="M866" s="16">
        <v>79646</v>
      </c>
      <c r="N866" s="16">
        <v>100355</v>
      </c>
      <c r="O866" s="16">
        <v>20568</v>
      </c>
      <c r="P866" s="16">
        <v>0</v>
      </c>
      <c r="Q866" s="16">
        <v>169625</v>
      </c>
      <c r="R866" s="16">
        <v>15316</v>
      </c>
      <c r="S866" s="16">
        <v>0</v>
      </c>
      <c r="T866" s="16">
        <v>0</v>
      </c>
      <c r="U866" s="15" t="str">
        <f t="shared" si="52"/>
        <v>Privado Nacional</v>
      </c>
      <c r="V866" s="17">
        <f t="shared" si="53"/>
        <v>0.41876409752199084</v>
      </c>
      <c r="W866" s="17">
        <f t="shared" si="54"/>
        <v>9.0293294030950627E-2</v>
      </c>
      <c r="X866" s="15" t="str">
        <f t="shared" si="55"/>
        <v>Média/Pequena</v>
      </c>
      <c r="Y866" s="121" t="str" cm="1">
        <f t="array" ref="Y866">_xlfn.IFS(ISNUMBER(W866)=FALSE,"Sem dado",W866&gt;0.075,"Excelente",W866&gt;0.04,"Bom",W866&gt;0,"Fraco",TRUE,"Prejuízo")</f>
        <v>Excelente</v>
      </c>
    </row>
    <row r="867" spans="1:25" ht="15" customHeight="1" x14ac:dyDescent="0.2">
      <c r="A867" s="12" t="s">
        <v>1841</v>
      </c>
      <c r="B867" s="56">
        <v>61747085</v>
      </c>
      <c r="C867" s="12" t="s">
        <v>1842</v>
      </c>
      <c r="D867" s="12" t="s">
        <v>1843</v>
      </c>
      <c r="E867" s="12" t="s">
        <v>1844</v>
      </c>
      <c r="F867" s="12" t="s">
        <v>98</v>
      </c>
      <c r="G867" s="33">
        <v>3</v>
      </c>
      <c r="H867" s="33">
        <v>15</v>
      </c>
      <c r="I867" s="12" t="s">
        <v>38</v>
      </c>
      <c r="J867" s="12" t="s">
        <v>39</v>
      </c>
      <c r="K867" s="73" t="s">
        <v>29</v>
      </c>
      <c r="L867" s="13">
        <v>186360</v>
      </c>
      <c r="M867" s="13">
        <v>0</v>
      </c>
      <c r="N867" s="13">
        <v>99615</v>
      </c>
      <c r="O867" s="13">
        <v>85347</v>
      </c>
      <c r="P867" s="13">
        <v>2623</v>
      </c>
      <c r="Q867" s="13">
        <v>101013</v>
      </c>
      <c r="R867" s="13">
        <v>4328</v>
      </c>
      <c r="S867" s="13">
        <v>4</v>
      </c>
      <c r="T867" s="13">
        <v>0</v>
      </c>
      <c r="U867" s="12" t="str">
        <f t="shared" si="52"/>
        <v>Privado Estrangeiro</v>
      </c>
      <c r="V867" s="14">
        <f t="shared" si="53"/>
        <v>0</v>
      </c>
      <c r="W867" s="14">
        <f t="shared" si="54"/>
        <v>4.2845970320651794E-2</v>
      </c>
      <c r="X867" s="12" t="str">
        <f t="shared" si="55"/>
        <v>Média/Pequena</v>
      </c>
      <c r="Y867" s="122" t="str" cm="1">
        <f t="array" ref="Y867">_xlfn.IFS(ISNUMBER(W867)=FALSE,"Sem dado",W867&gt;0.075,"Excelente",W867&gt;0.04,"Bom",W867&gt;0,"Fraco",TRUE,"Prejuízo")</f>
        <v>Bom</v>
      </c>
    </row>
    <row r="868" spans="1:25" ht="15" customHeight="1" x14ac:dyDescent="0.2">
      <c r="A868" s="15" t="s">
        <v>1845</v>
      </c>
      <c r="B868" s="60">
        <v>7946216</v>
      </c>
      <c r="C868" s="15"/>
      <c r="D868" s="15"/>
      <c r="E868" s="15"/>
      <c r="F868" s="15" t="s">
        <v>265</v>
      </c>
      <c r="G868" s="34">
        <v>2</v>
      </c>
      <c r="H868" s="34">
        <v>9</v>
      </c>
      <c r="I868" s="15" t="s">
        <v>1846</v>
      </c>
      <c r="J868" s="15" t="s">
        <v>39</v>
      </c>
      <c r="K868" s="74" t="s">
        <v>29</v>
      </c>
      <c r="L868" s="16">
        <v>185907</v>
      </c>
      <c r="M868" s="16">
        <v>70087</v>
      </c>
      <c r="N868" s="16">
        <v>99383</v>
      </c>
      <c r="O868" s="16">
        <v>170298</v>
      </c>
      <c r="P868" s="16">
        <v>165546</v>
      </c>
      <c r="Q868" s="16">
        <v>15609</v>
      </c>
      <c r="R868" s="16">
        <v>-52</v>
      </c>
      <c r="S868" s="16">
        <v>0</v>
      </c>
      <c r="T868" s="16">
        <v>8</v>
      </c>
      <c r="U868" s="15" t="str">
        <f t="shared" si="52"/>
        <v>Privado Nacional</v>
      </c>
      <c r="V868" s="17">
        <f t="shared" si="53"/>
        <v>0.37700032812104978</v>
      </c>
      <c r="W868" s="17">
        <f t="shared" si="54"/>
        <v>-3.3314113652380037E-3</v>
      </c>
      <c r="X868" s="15" t="str">
        <f t="shared" si="55"/>
        <v>Média/Pequena</v>
      </c>
      <c r="Y868" s="121" t="str" cm="1">
        <f t="array" ref="Y868">_xlfn.IFS(ISNUMBER(W868)=FALSE,"Sem dado",W868&gt;0.075,"Excelente",W868&gt;0.04,"Bom",W868&gt;0,"Fraco",TRUE,"Prejuízo")</f>
        <v>Prejuízo</v>
      </c>
    </row>
    <row r="869" spans="1:25" ht="15" customHeight="1" x14ac:dyDescent="0.2">
      <c r="A869" s="12" t="s">
        <v>1847</v>
      </c>
      <c r="B869" s="56">
        <v>73326449</v>
      </c>
      <c r="C869" s="12"/>
      <c r="D869" s="12"/>
      <c r="E869" s="12"/>
      <c r="F869" s="12" t="s">
        <v>265</v>
      </c>
      <c r="G869" s="33">
        <v>2</v>
      </c>
      <c r="H869" s="33">
        <v>9</v>
      </c>
      <c r="I869" s="12" t="s">
        <v>445</v>
      </c>
      <c r="J869" s="12" t="s">
        <v>74</v>
      </c>
      <c r="K869" s="73" t="s">
        <v>29</v>
      </c>
      <c r="L869" s="13">
        <v>185706</v>
      </c>
      <c r="M869" s="13">
        <v>99288</v>
      </c>
      <c r="N869" s="13">
        <v>16275</v>
      </c>
      <c r="O869" s="13">
        <v>164030</v>
      </c>
      <c r="P869" s="13">
        <v>157994</v>
      </c>
      <c r="Q869" s="13">
        <v>21677</v>
      </c>
      <c r="R869" s="13">
        <v>-9978</v>
      </c>
      <c r="S869" s="13">
        <v>0</v>
      </c>
      <c r="T869" s="13">
        <v>6</v>
      </c>
      <c r="U869" s="12" t="str">
        <f t="shared" si="52"/>
        <v>Privado Nacional</v>
      </c>
      <c r="V869" s="14">
        <f t="shared" si="53"/>
        <v>0.534651545992052</v>
      </c>
      <c r="W869" s="14">
        <f t="shared" si="54"/>
        <v>-0.4603035475388661</v>
      </c>
      <c r="X869" s="12" t="str">
        <f t="shared" si="55"/>
        <v>Média/Pequena</v>
      </c>
      <c r="Y869" s="122" t="str" cm="1">
        <f t="array" ref="Y869">_xlfn.IFS(ISNUMBER(W869)=FALSE,"Sem dado",W869&gt;0.075,"Excelente",W869&gt;0.04,"Bom",W869&gt;0,"Fraco",TRUE,"Prejuízo")</f>
        <v>Prejuízo</v>
      </c>
    </row>
    <row r="870" spans="1:25" ht="15" customHeight="1" x14ac:dyDescent="0.2">
      <c r="A870" s="15" t="s">
        <v>1848</v>
      </c>
      <c r="B870" s="60">
        <v>32062580</v>
      </c>
      <c r="C870" s="15" t="s">
        <v>352</v>
      </c>
      <c r="D870" s="15" t="s">
        <v>353</v>
      </c>
      <c r="E870" s="15" t="s">
        <v>354</v>
      </c>
      <c r="F870" s="15" t="s">
        <v>26</v>
      </c>
      <c r="G870" s="34">
        <v>3</v>
      </c>
      <c r="H870" s="34">
        <v>8</v>
      </c>
      <c r="I870" s="15" t="s">
        <v>38</v>
      </c>
      <c r="J870" s="15" t="s">
        <v>39</v>
      </c>
      <c r="K870" s="74" t="s">
        <v>29</v>
      </c>
      <c r="L870" s="16">
        <v>181906</v>
      </c>
      <c r="M870" s="16">
        <v>175552</v>
      </c>
      <c r="N870" s="16">
        <v>0</v>
      </c>
      <c r="O870" s="16">
        <v>18685</v>
      </c>
      <c r="P870" s="16">
        <v>13710</v>
      </c>
      <c r="Q870" s="16">
        <v>163221</v>
      </c>
      <c r="R870" s="16">
        <v>7077</v>
      </c>
      <c r="S870" s="16">
        <v>2</v>
      </c>
      <c r="T870" s="16">
        <v>0</v>
      </c>
      <c r="U870" s="15" t="str">
        <f t="shared" si="52"/>
        <v>Privado Estrangeiro</v>
      </c>
      <c r="V870" s="17">
        <f t="shared" si="53"/>
        <v>0.96506987125218524</v>
      </c>
      <c r="W870" s="17">
        <f t="shared" si="54"/>
        <v>4.3358391383461689E-2</v>
      </c>
      <c r="X870" s="15" t="str">
        <f t="shared" si="55"/>
        <v>Média/Pequena</v>
      </c>
      <c r="Y870" s="121" t="str" cm="1">
        <f t="array" ref="Y870">_xlfn.IFS(ISNUMBER(W870)=FALSE,"Sem dado",W870&gt;0.075,"Excelente",W870&gt;0.04,"Bom",W870&gt;0,"Fraco",TRUE,"Prejuízo")</f>
        <v>Bom</v>
      </c>
    </row>
    <row r="871" spans="1:25" ht="15" customHeight="1" x14ac:dyDescent="0.2">
      <c r="A871" s="12" t="s">
        <v>1849</v>
      </c>
      <c r="B871" s="56">
        <v>22639377</v>
      </c>
      <c r="C871" s="12" t="s">
        <v>1850</v>
      </c>
      <c r="D871" s="12"/>
      <c r="E871" s="12" t="s">
        <v>1851</v>
      </c>
      <c r="F871" s="12" t="s">
        <v>65</v>
      </c>
      <c r="G871" s="33">
        <v>2</v>
      </c>
      <c r="H871" s="33">
        <v>14</v>
      </c>
      <c r="I871" s="12" t="s">
        <v>1852</v>
      </c>
      <c r="J871" s="12" t="s">
        <v>74</v>
      </c>
      <c r="K871" s="73" t="s">
        <v>29</v>
      </c>
      <c r="L871" s="13">
        <v>180024</v>
      </c>
      <c r="M871" s="13">
        <v>163348</v>
      </c>
      <c r="N871" s="13">
        <v>8024</v>
      </c>
      <c r="O871" s="13">
        <v>154507</v>
      </c>
      <c r="P871" s="13">
        <v>141453</v>
      </c>
      <c r="Q871" s="13">
        <v>25516</v>
      </c>
      <c r="R871" s="13">
        <v>1290</v>
      </c>
      <c r="S871" s="13">
        <v>2</v>
      </c>
      <c r="T871" s="13">
        <v>0</v>
      </c>
      <c r="U871" s="12" t="str">
        <f t="shared" si="52"/>
        <v>Privado Nacional</v>
      </c>
      <c r="V871" s="14">
        <f t="shared" si="53"/>
        <v>0.90736790650135535</v>
      </c>
      <c r="W871" s="14">
        <f t="shared" si="54"/>
        <v>5.0556513560119143E-2</v>
      </c>
      <c r="X871" s="12" t="str">
        <f t="shared" si="55"/>
        <v>Média/Pequena</v>
      </c>
      <c r="Y871" s="122" t="str" cm="1">
        <f t="array" ref="Y871">_xlfn.IFS(ISNUMBER(W871)=FALSE,"Sem dado",W871&gt;0.075,"Excelente",W871&gt;0.04,"Bom",W871&gt;0,"Fraco",TRUE,"Prejuízo")</f>
        <v>Bom</v>
      </c>
    </row>
    <row r="872" spans="1:25" ht="15" customHeight="1" x14ac:dyDescent="0.2">
      <c r="A872" s="15" t="s">
        <v>1853</v>
      </c>
      <c r="B872" s="60">
        <v>37122487</v>
      </c>
      <c r="C872" s="15" t="s">
        <v>1619</v>
      </c>
      <c r="D872" s="15"/>
      <c r="E872" s="15" t="s">
        <v>1620</v>
      </c>
      <c r="F872" s="15" t="s">
        <v>65</v>
      </c>
      <c r="G872" s="34">
        <v>2</v>
      </c>
      <c r="H872" s="34">
        <v>14</v>
      </c>
      <c r="I872" s="15" t="s">
        <v>1621</v>
      </c>
      <c r="J872" s="15" t="s">
        <v>217</v>
      </c>
      <c r="K872" s="74" t="s">
        <v>29</v>
      </c>
      <c r="L872" s="16">
        <v>179977</v>
      </c>
      <c r="M872" s="16">
        <v>60128</v>
      </c>
      <c r="N872" s="16">
        <v>21873</v>
      </c>
      <c r="O872" s="16">
        <v>134205</v>
      </c>
      <c r="P872" s="16">
        <v>128012</v>
      </c>
      <c r="Q872" s="16">
        <v>45772</v>
      </c>
      <c r="R872" s="16">
        <v>7868</v>
      </c>
      <c r="S872" s="16">
        <v>2</v>
      </c>
      <c r="T872" s="16">
        <v>0</v>
      </c>
      <c r="U872" s="15" t="str">
        <f t="shared" si="52"/>
        <v>Privado Nacional</v>
      </c>
      <c r="V872" s="17">
        <f t="shared" si="53"/>
        <v>0.33408713335592882</v>
      </c>
      <c r="W872" s="17">
        <f t="shared" si="54"/>
        <v>0.17189548195403304</v>
      </c>
      <c r="X872" s="15" t="str">
        <f t="shared" si="55"/>
        <v>Média/Pequena</v>
      </c>
      <c r="Y872" s="121" t="str" cm="1">
        <f t="array" ref="Y872">_xlfn.IFS(ISNUMBER(W872)=FALSE,"Sem dado",W872&gt;0.075,"Excelente",W872&gt;0.04,"Bom",W872&gt;0,"Fraco",TRUE,"Prejuízo")</f>
        <v>Excelente</v>
      </c>
    </row>
    <row r="873" spans="1:25" ht="15" customHeight="1" x14ac:dyDescent="0.2">
      <c r="A873" s="12" t="s">
        <v>1854</v>
      </c>
      <c r="B873" s="56">
        <v>9424988</v>
      </c>
      <c r="C873" s="12"/>
      <c r="D873" s="12"/>
      <c r="E873" s="12"/>
      <c r="F873" s="12" t="s">
        <v>265</v>
      </c>
      <c r="G873" s="33">
        <v>2</v>
      </c>
      <c r="H873" s="33">
        <v>9</v>
      </c>
      <c r="I873" s="12" t="s">
        <v>1855</v>
      </c>
      <c r="J873" s="12" t="s">
        <v>1209</v>
      </c>
      <c r="K873" s="73" t="s">
        <v>29</v>
      </c>
      <c r="L873" s="13">
        <v>179139</v>
      </c>
      <c r="M873" s="13">
        <v>114553</v>
      </c>
      <c r="N873" s="13">
        <v>16941</v>
      </c>
      <c r="O873" s="13">
        <v>141717</v>
      </c>
      <c r="P873" s="13">
        <v>130110</v>
      </c>
      <c r="Q873" s="13">
        <v>37421</v>
      </c>
      <c r="R873" s="13">
        <v>3711</v>
      </c>
      <c r="S873" s="13">
        <v>0</v>
      </c>
      <c r="T873" s="13">
        <v>10</v>
      </c>
      <c r="U873" s="12" t="str">
        <f t="shared" si="52"/>
        <v>Privado Nacional</v>
      </c>
      <c r="V873" s="14">
        <f t="shared" si="53"/>
        <v>0.63946432658438424</v>
      </c>
      <c r="W873" s="14">
        <f t="shared" si="54"/>
        <v>9.9168915849389375E-2</v>
      </c>
      <c r="X873" s="12" t="str">
        <f t="shared" si="55"/>
        <v>Média/Pequena</v>
      </c>
      <c r="Y873" s="122" t="str" cm="1">
        <f t="array" ref="Y873">_xlfn.IFS(ISNUMBER(W873)=FALSE,"Sem dado",W873&gt;0.075,"Excelente",W873&gt;0.04,"Bom",W873&gt;0,"Fraco",TRUE,"Prejuízo")</f>
        <v>Excelente</v>
      </c>
    </row>
    <row r="874" spans="1:25" ht="15" customHeight="1" x14ac:dyDescent="0.2">
      <c r="A874" s="15" t="s">
        <v>1856</v>
      </c>
      <c r="B874" s="60">
        <v>39696805</v>
      </c>
      <c r="C874" s="15" t="s">
        <v>285</v>
      </c>
      <c r="D874" s="15" t="s">
        <v>286</v>
      </c>
      <c r="E874" s="15" t="s">
        <v>287</v>
      </c>
      <c r="F874" s="15" t="s">
        <v>98</v>
      </c>
      <c r="G874" s="34">
        <v>3</v>
      </c>
      <c r="H874" s="34">
        <v>15</v>
      </c>
      <c r="I874" s="15" t="s">
        <v>38</v>
      </c>
      <c r="J874" s="15" t="s">
        <v>39</v>
      </c>
      <c r="K874" s="74" t="s">
        <v>29</v>
      </c>
      <c r="L874" s="16">
        <v>178846</v>
      </c>
      <c r="M874" s="16">
        <v>0</v>
      </c>
      <c r="N874" s="16">
        <v>13166</v>
      </c>
      <c r="O874" s="16">
        <v>115760</v>
      </c>
      <c r="P874" s="16">
        <v>0</v>
      </c>
      <c r="Q874" s="16">
        <v>63086</v>
      </c>
      <c r="R874" s="16">
        <v>-1168</v>
      </c>
      <c r="S874" s="16">
        <v>2</v>
      </c>
      <c r="T874" s="16">
        <v>0</v>
      </c>
      <c r="U874" s="15" t="str">
        <f t="shared" si="52"/>
        <v>Privado Estrangeiro</v>
      </c>
      <c r="V874" s="17">
        <f t="shared" si="53"/>
        <v>0</v>
      </c>
      <c r="W874" s="17">
        <f t="shared" si="54"/>
        <v>-1.8514408902133597E-2</v>
      </c>
      <c r="X874" s="15" t="str">
        <f t="shared" si="55"/>
        <v>Média/Pequena</v>
      </c>
      <c r="Y874" s="121" t="str" cm="1">
        <f t="array" ref="Y874">_xlfn.IFS(ISNUMBER(W874)=FALSE,"Sem dado",W874&gt;0.075,"Excelente",W874&gt;0.04,"Bom",W874&gt;0,"Fraco",TRUE,"Prejuízo")</f>
        <v>Prejuízo</v>
      </c>
    </row>
    <row r="875" spans="1:25" ht="15" customHeight="1" x14ac:dyDescent="0.2">
      <c r="A875" s="12" t="s">
        <v>1857</v>
      </c>
      <c r="B875" s="56">
        <v>54647259</v>
      </c>
      <c r="C875" s="12" t="s">
        <v>396</v>
      </c>
      <c r="D875" s="12" t="s">
        <v>397</v>
      </c>
      <c r="E875" s="12" t="s">
        <v>397</v>
      </c>
      <c r="F875" s="12" t="s">
        <v>65</v>
      </c>
      <c r="G875" s="33">
        <v>2</v>
      </c>
      <c r="H875" s="33">
        <v>43</v>
      </c>
      <c r="I875" s="12" t="s">
        <v>73</v>
      </c>
      <c r="J875" s="12" t="s">
        <v>74</v>
      </c>
      <c r="K875" s="73" t="s">
        <v>29</v>
      </c>
      <c r="L875" s="13">
        <v>177781</v>
      </c>
      <c r="M875" s="13">
        <v>53456</v>
      </c>
      <c r="N875" s="13">
        <v>111802</v>
      </c>
      <c r="O875" s="13">
        <v>41467</v>
      </c>
      <c r="P875" s="13">
        <v>0</v>
      </c>
      <c r="Q875" s="13">
        <v>136314</v>
      </c>
      <c r="R875" s="13">
        <v>78214</v>
      </c>
      <c r="S875" s="13">
        <v>2</v>
      </c>
      <c r="T875" s="13">
        <v>0</v>
      </c>
      <c r="U875" s="12" t="str">
        <f t="shared" si="52"/>
        <v>Privado Nacional</v>
      </c>
      <c r="V875" s="14">
        <f t="shared" si="53"/>
        <v>0.30068455009252959</v>
      </c>
      <c r="W875" s="14">
        <f t="shared" si="54"/>
        <v>0.57377818859398155</v>
      </c>
      <c r="X875" s="12" t="str">
        <f t="shared" si="55"/>
        <v>Média/Pequena</v>
      </c>
      <c r="Y875" s="122" t="str" cm="1">
        <f t="array" ref="Y875">_xlfn.IFS(ISNUMBER(W875)=FALSE,"Sem dado",W875&gt;0.075,"Excelente",W875&gt;0.04,"Bom",W875&gt;0,"Fraco",TRUE,"Prejuízo")</f>
        <v>Excelente</v>
      </c>
    </row>
    <row r="876" spans="1:25" ht="15" customHeight="1" x14ac:dyDescent="0.2">
      <c r="A876" s="15" t="s">
        <v>1858</v>
      </c>
      <c r="B876" s="60">
        <v>7314204</v>
      </c>
      <c r="C876" s="15" t="s">
        <v>1859</v>
      </c>
      <c r="D876" s="15"/>
      <c r="E876" s="15" t="s">
        <v>1860</v>
      </c>
      <c r="F876" s="15" t="s">
        <v>84</v>
      </c>
      <c r="G876" s="34">
        <v>2</v>
      </c>
      <c r="H876" s="34">
        <v>41</v>
      </c>
      <c r="I876" s="15" t="s">
        <v>1861</v>
      </c>
      <c r="J876" s="15" t="s">
        <v>39</v>
      </c>
      <c r="K876" s="74" t="s">
        <v>29</v>
      </c>
      <c r="L876" s="16">
        <v>177465</v>
      </c>
      <c r="M876" s="16">
        <v>99231</v>
      </c>
      <c r="N876" s="16">
        <v>1561</v>
      </c>
      <c r="O876" s="16">
        <v>156860</v>
      </c>
      <c r="P876" s="16">
        <v>42875</v>
      </c>
      <c r="Q876" s="16">
        <v>20605</v>
      </c>
      <c r="R876" s="16">
        <v>-653</v>
      </c>
      <c r="S876" s="16">
        <v>1</v>
      </c>
      <c r="T876" s="16">
        <v>0</v>
      </c>
      <c r="U876" s="15" t="str">
        <f t="shared" si="52"/>
        <v>Privado Nacional</v>
      </c>
      <c r="V876" s="17">
        <f t="shared" si="53"/>
        <v>0.55915814385935259</v>
      </c>
      <c r="W876" s="17">
        <f t="shared" si="54"/>
        <v>-3.1691337054113082E-2</v>
      </c>
      <c r="X876" s="15" t="str">
        <f t="shared" si="55"/>
        <v>Média/Pequena</v>
      </c>
      <c r="Y876" s="121" t="str" cm="1">
        <f t="array" ref="Y876">_xlfn.IFS(ISNUMBER(W876)=FALSE,"Sem dado",W876&gt;0.075,"Excelente",W876&gt;0.04,"Bom",W876&gt;0,"Fraco",TRUE,"Prejuízo")</f>
        <v>Prejuízo</v>
      </c>
    </row>
    <row r="877" spans="1:25" ht="15" customHeight="1" x14ac:dyDescent="0.2">
      <c r="A877" s="12" t="s">
        <v>1862</v>
      </c>
      <c r="B877" s="56">
        <v>5477038</v>
      </c>
      <c r="C877" s="12"/>
      <c r="D877" s="12"/>
      <c r="E877" s="12"/>
      <c r="F877" s="12" t="s">
        <v>265</v>
      </c>
      <c r="G877" s="33">
        <v>2</v>
      </c>
      <c r="H877" s="33">
        <v>9</v>
      </c>
      <c r="I877" s="12" t="s">
        <v>1357</v>
      </c>
      <c r="J877" s="12" t="s">
        <v>1358</v>
      </c>
      <c r="K877" s="73" t="s">
        <v>29</v>
      </c>
      <c r="L877" s="13">
        <v>177424</v>
      </c>
      <c r="M877" s="13">
        <v>83618</v>
      </c>
      <c r="N877" s="13">
        <v>10680</v>
      </c>
      <c r="O877" s="13">
        <v>153477</v>
      </c>
      <c r="P877" s="13">
        <v>144462</v>
      </c>
      <c r="Q877" s="13">
        <v>23947</v>
      </c>
      <c r="R877" s="13">
        <v>-406</v>
      </c>
      <c r="S877" s="13">
        <v>0</v>
      </c>
      <c r="T877" s="13">
        <v>6</v>
      </c>
      <c r="U877" s="12" t="str">
        <f t="shared" si="52"/>
        <v>Privado Nacional</v>
      </c>
      <c r="V877" s="14">
        <f t="shared" si="53"/>
        <v>0.47128911533952567</v>
      </c>
      <c r="W877" s="14">
        <f t="shared" si="54"/>
        <v>-1.6954106986261326E-2</v>
      </c>
      <c r="X877" s="12" t="str">
        <f t="shared" si="55"/>
        <v>Média/Pequena</v>
      </c>
      <c r="Y877" s="122" t="str" cm="1">
        <f t="array" ref="Y877">_xlfn.IFS(ISNUMBER(W877)=FALSE,"Sem dado",W877&gt;0.075,"Excelente",W877&gt;0.04,"Bom",W877&gt;0,"Fraco",TRUE,"Prejuízo")</f>
        <v>Prejuízo</v>
      </c>
    </row>
    <row r="878" spans="1:25" ht="15" customHeight="1" x14ac:dyDescent="0.2">
      <c r="A878" s="15" t="s">
        <v>1863</v>
      </c>
      <c r="B878" s="60">
        <v>4572960</v>
      </c>
      <c r="C878" s="15"/>
      <c r="D878" s="15"/>
      <c r="E878" s="15"/>
      <c r="F878" s="15" t="s">
        <v>265</v>
      </c>
      <c r="G878" s="34">
        <v>2</v>
      </c>
      <c r="H878" s="34">
        <v>9</v>
      </c>
      <c r="I878" s="15" t="s">
        <v>216</v>
      </c>
      <c r="J878" s="15" t="s">
        <v>217</v>
      </c>
      <c r="K878" s="74" t="s">
        <v>29</v>
      </c>
      <c r="L878" s="16">
        <v>177348</v>
      </c>
      <c r="M878" s="16">
        <v>92498</v>
      </c>
      <c r="N878" s="16">
        <v>1968</v>
      </c>
      <c r="O878" s="16">
        <v>160877</v>
      </c>
      <c r="P878" s="16">
        <v>157942</v>
      </c>
      <c r="Q878" s="16">
        <v>16472</v>
      </c>
      <c r="R878" s="16">
        <v>1447</v>
      </c>
      <c r="S878" s="16">
        <v>0</v>
      </c>
      <c r="T878" s="16">
        <v>6</v>
      </c>
      <c r="U878" s="15" t="str">
        <f t="shared" si="52"/>
        <v>Privado Nacional</v>
      </c>
      <c r="V878" s="17">
        <f t="shared" si="53"/>
        <v>0.52156212644067035</v>
      </c>
      <c r="W878" s="17">
        <f t="shared" si="54"/>
        <v>8.7846041767848465E-2</v>
      </c>
      <c r="X878" s="15" t="str">
        <f t="shared" si="55"/>
        <v>Média/Pequena</v>
      </c>
      <c r="Y878" s="121" t="str" cm="1">
        <f t="array" ref="Y878">_xlfn.IFS(ISNUMBER(W878)=FALSE,"Sem dado",W878&gt;0.075,"Excelente",W878&gt;0.04,"Bom",W878&gt;0,"Fraco",TRUE,"Prejuízo")</f>
        <v>Excelente</v>
      </c>
    </row>
    <row r="879" spans="1:25" ht="15" customHeight="1" x14ac:dyDescent="0.2">
      <c r="A879" s="12" t="s">
        <v>1864</v>
      </c>
      <c r="B879" s="56">
        <v>3941182</v>
      </c>
      <c r="C879" s="12"/>
      <c r="D879" s="12"/>
      <c r="E879" s="12"/>
      <c r="F879" s="12" t="s">
        <v>265</v>
      </c>
      <c r="G879" s="33">
        <v>2</v>
      </c>
      <c r="H879" s="33">
        <v>9</v>
      </c>
      <c r="I879" s="12" t="s">
        <v>1865</v>
      </c>
      <c r="J879" s="12" t="s">
        <v>39</v>
      </c>
      <c r="K879" s="73" t="s">
        <v>29</v>
      </c>
      <c r="L879" s="13">
        <v>173520</v>
      </c>
      <c r="M879" s="13">
        <v>89497</v>
      </c>
      <c r="N879" s="13">
        <v>22431</v>
      </c>
      <c r="O879" s="13">
        <v>157309</v>
      </c>
      <c r="P879" s="13">
        <v>137562</v>
      </c>
      <c r="Q879" s="13">
        <v>16210</v>
      </c>
      <c r="R879" s="13">
        <v>-286</v>
      </c>
      <c r="S879" s="13">
        <v>0</v>
      </c>
      <c r="T879" s="13">
        <v>5</v>
      </c>
      <c r="U879" s="12" t="str">
        <f t="shared" si="52"/>
        <v>Privado Nacional</v>
      </c>
      <c r="V879" s="14">
        <f t="shared" si="53"/>
        <v>0.51577339787920706</v>
      </c>
      <c r="W879" s="14">
        <f t="shared" si="54"/>
        <v>-1.7643429981492906E-2</v>
      </c>
      <c r="X879" s="12" t="str">
        <f t="shared" si="55"/>
        <v>Média/Pequena</v>
      </c>
      <c r="Y879" s="122" t="str" cm="1">
        <f t="array" ref="Y879">_xlfn.IFS(ISNUMBER(W879)=FALSE,"Sem dado",W879&gt;0.075,"Excelente",W879&gt;0.04,"Bom",W879&gt;0,"Fraco",TRUE,"Prejuízo")</f>
        <v>Prejuízo</v>
      </c>
    </row>
    <row r="880" spans="1:25" ht="15" customHeight="1" x14ac:dyDescent="0.2">
      <c r="A880" s="15" t="s">
        <v>1866</v>
      </c>
      <c r="B880" s="60">
        <v>1330387</v>
      </c>
      <c r="C880" s="15"/>
      <c r="D880" s="15"/>
      <c r="E880" s="15"/>
      <c r="F880" s="15" t="s">
        <v>265</v>
      </c>
      <c r="G880" s="34">
        <v>2</v>
      </c>
      <c r="H880" s="34">
        <v>9</v>
      </c>
      <c r="I880" s="15" t="s">
        <v>809</v>
      </c>
      <c r="J880" s="15" t="s">
        <v>229</v>
      </c>
      <c r="K880" s="74" t="s">
        <v>29</v>
      </c>
      <c r="L880" s="16">
        <v>173390</v>
      </c>
      <c r="M880" s="16">
        <v>27939</v>
      </c>
      <c r="N880" s="16">
        <v>1670</v>
      </c>
      <c r="O880" s="16">
        <v>157147</v>
      </c>
      <c r="P880" s="16">
        <v>146175</v>
      </c>
      <c r="Q880" s="16">
        <v>16243</v>
      </c>
      <c r="R880" s="16">
        <v>2581</v>
      </c>
      <c r="S880" s="16">
        <v>0</v>
      </c>
      <c r="T880" s="16">
        <v>3</v>
      </c>
      <c r="U880" s="15" t="str">
        <f t="shared" si="52"/>
        <v>Privado Nacional</v>
      </c>
      <c r="V880" s="17">
        <f t="shared" si="53"/>
        <v>0.16113386008420325</v>
      </c>
      <c r="W880" s="17">
        <f t="shared" si="54"/>
        <v>0.15889921812473065</v>
      </c>
      <c r="X880" s="15" t="str">
        <f t="shared" si="55"/>
        <v>Média/Pequena</v>
      </c>
      <c r="Y880" s="121" t="str" cm="1">
        <f t="array" ref="Y880">_xlfn.IFS(ISNUMBER(W880)=FALSE,"Sem dado",W880&gt;0.075,"Excelente",W880&gt;0.04,"Bom",W880&gt;0,"Fraco",TRUE,"Prejuízo")</f>
        <v>Excelente</v>
      </c>
    </row>
    <row r="881" spans="1:25" ht="15" customHeight="1" x14ac:dyDescent="0.2">
      <c r="A881" s="12" t="s">
        <v>1867</v>
      </c>
      <c r="B881" s="56">
        <v>24610065</v>
      </c>
      <c r="C881" s="12"/>
      <c r="D881" s="12"/>
      <c r="E881" s="12"/>
      <c r="F881" s="12" t="s">
        <v>265</v>
      </c>
      <c r="G881" s="33">
        <v>2</v>
      </c>
      <c r="H881" s="33">
        <v>9</v>
      </c>
      <c r="I881" s="12" t="s">
        <v>404</v>
      </c>
      <c r="J881" s="12" t="s">
        <v>401</v>
      </c>
      <c r="K881" s="73" t="s">
        <v>29</v>
      </c>
      <c r="L881" s="13">
        <v>173303</v>
      </c>
      <c r="M881" s="13">
        <v>123024</v>
      </c>
      <c r="N881" s="13">
        <v>4400</v>
      </c>
      <c r="O881" s="13">
        <v>148871</v>
      </c>
      <c r="P881" s="13">
        <v>144762</v>
      </c>
      <c r="Q881" s="13">
        <v>24432</v>
      </c>
      <c r="R881" s="13">
        <v>1392</v>
      </c>
      <c r="S881" s="13">
        <v>0</v>
      </c>
      <c r="T881" s="13">
        <v>3</v>
      </c>
      <c r="U881" s="12" t="str">
        <f t="shared" si="52"/>
        <v>Privado Nacional</v>
      </c>
      <c r="V881" s="14">
        <f t="shared" si="53"/>
        <v>0.7098780748169391</v>
      </c>
      <c r="W881" s="14">
        <f t="shared" si="54"/>
        <v>5.6974459724950882E-2</v>
      </c>
      <c r="X881" s="12" t="str">
        <f t="shared" si="55"/>
        <v>Média/Pequena</v>
      </c>
      <c r="Y881" s="122" t="str" cm="1">
        <f t="array" ref="Y881">_xlfn.IFS(ISNUMBER(W881)=FALSE,"Sem dado",W881&gt;0.075,"Excelente",W881&gt;0.04,"Bom",W881&gt;0,"Fraco",TRUE,"Prejuízo")</f>
        <v>Bom</v>
      </c>
    </row>
    <row r="882" spans="1:25" ht="15" customHeight="1" x14ac:dyDescent="0.2">
      <c r="A882" s="15" t="s">
        <v>1868</v>
      </c>
      <c r="B882" s="60">
        <v>35551187</v>
      </c>
      <c r="C882" s="15" t="s">
        <v>1869</v>
      </c>
      <c r="D882" s="15"/>
      <c r="E882" s="15" t="s">
        <v>1870</v>
      </c>
      <c r="F882" s="15" t="s">
        <v>65</v>
      </c>
      <c r="G882" s="34">
        <v>2</v>
      </c>
      <c r="H882" s="34">
        <v>14</v>
      </c>
      <c r="I882" s="15" t="s">
        <v>1049</v>
      </c>
      <c r="J882" s="15" t="s">
        <v>39</v>
      </c>
      <c r="K882" s="74" t="s">
        <v>29</v>
      </c>
      <c r="L882" s="16">
        <v>173299</v>
      </c>
      <c r="M882" s="16">
        <v>153367</v>
      </c>
      <c r="N882" s="16">
        <v>6948</v>
      </c>
      <c r="O882" s="16">
        <v>147199</v>
      </c>
      <c r="P882" s="16">
        <v>145212</v>
      </c>
      <c r="Q882" s="16">
        <v>26101</v>
      </c>
      <c r="R882" s="16">
        <v>323</v>
      </c>
      <c r="S882" s="16">
        <v>2</v>
      </c>
      <c r="T882" s="16">
        <v>0</v>
      </c>
      <c r="U882" s="15" t="str">
        <f t="shared" si="52"/>
        <v>Privado Nacional</v>
      </c>
      <c r="V882" s="17">
        <f t="shared" si="53"/>
        <v>0.88498491047265126</v>
      </c>
      <c r="W882" s="17">
        <f t="shared" si="54"/>
        <v>1.2375004789088541E-2</v>
      </c>
      <c r="X882" s="15" t="str">
        <f t="shared" si="55"/>
        <v>Média/Pequena</v>
      </c>
      <c r="Y882" s="121" t="str" cm="1">
        <f t="array" ref="Y882">_xlfn.IFS(ISNUMBER(W882)=FALSE,"Sem dado",W882&gt;0.075,"Excelente",W882&gt;0.04,"Bom",W882&gt;0,"Fraco",TRUE,"Prejuízo")</f>
        <v>Fraco</v>
      </c>
    </row>
    <row r="883" spans="1:25" ht="15" customHeight="1" x14ac:dyDescent="0.2">
      <c r="A883" s="12" t="s">
        <v>1871</v>
      </c>
      <c r="B883" s="56">
        <v>2448839</v>
      </c>
      <c r="C883" s="12"/>
      <c r="D883" s="12"/>
      <c r="E883" s="12"/>
      <c r="F883" s="12" t="s">
        <v>265</v>
      </c>
      <c r="G883" s="33">
        <v>2</v>
      </c>
      <c r="H883" s="33">
        <v>9</v>
      </c>
      <c r="I883" s="12" t="s">
        <v>1872</v>
      </c>
      <c r="J883" s="12" t="s">
        <v>217</v>
      </c>
      <c r="K883" s="73" t="s">
        <v>29</v>
      </c>
      <c r="L883" s="13">
        <v>172499</v>
      </c>
      <c r="M883" s="13">
        <v>109767</v>
      </c>
      <c r="N883" s="13">
        <v>5647</v>
      </c>
      <c r="O883" s="13">
        <v>146857</v>
      </c>
      <c r="P883" s="13">
        <v>114979</v>
      </c>
      <c r="Q883" s="13">
        <v>25643</v>
      </c>
      <c r="R883" s="13">
        <v>780</v>
      </c>
      <c r="S883" s="13">
        <v>0</v>
      </c>
      <c r="T883" s="13">
        <v>3</v>
      </c>
      <c r="U883" s="12" t="str">
        <f t="shared" si="52"/>
        <v>Privado Nacional</v>
      </c>
      <c r="V883" s="14">
        <f t="shared" si="53"/>
        <v>0.63633412367607933</v>
      </c>
      <c r="W883" s="14">
        <f t="shared" si="54"/>
        <v>3.0417657840346293E-2</v>
      </c>
      <c r="X883" s="12" t="str">
        <f t="shared" si="55"/>
        <v>Média/Pequena</v>
      </c>
      <c r="Y883" s="122" t="str" cm="1">
        <f t="array" ref="Y883">_xlfn.IFS(ISNUMBER(W883)=FALSE,"Sem dado",W883&gt;0.075,"Excelente",W883&gt;0.04,"Bom",W883&gt;0,"Fraco",TRUE,"Prejuízo")</f>
        <v>Fraco</v>
      </c>
    </row>
    <row r="884" spans="1:25" ht="15" customHeight="1" x14ac:dyDescent="0.2">
      <c r="A884" s="15" t="s">
        <v>1873</v>
      </c>
      <c r="B884" s="60">
        <v>28811341</v>
      </c>
      <c r="C884" s="15" t="s">
        <v>1690</v>
      </c>
      <c r="D884" s="15" t="s">
        <v>1691</v>
      </c>
      <c r="E884" s="15" t="s">
        <v>1692</v>
      </c>
      <c r="F884" s="15" t="s">
        <v>26</v>
      </c>
      <c r="G884" s="34">
        <v>3</v>
      </c>
      <c r="H884" s="34">
        <v>2</v>
      </c>
      <c r="I884" s="15" t="s">
        <v>38</v>
      </c>
      <c r="J884" s="15" t="s">
        <v>39</v>
      </c>
      <c r="K884" s="74" t="s">
        <v>29</v>
      </c>
      <c r="L884" s="16">
        <v>171689</v>
      </c>
      <c r="M884" s="16">
        <v>0</v>
      </c>
      <c r="N884" s="16">
        <v>15492</v>
      </c>
      <c r="O884" s="16">
        <v>61263</v>
      </c>
      <c r="P884" s="16">
        <v>0</v>
      </c>
      <c r="Q884" s="16">
        <v>110427</v>
      </c>
      <c r="R884" s="16">
        <v>10699</v>
      </c>
      <c r="S884" s="16">
        <v>2</v>
      </c>
      <c r="T884" s="16">
        <v>0</v>
      </c>
      <c r="U884" s="15" t="str">
        <f t="shared" si="52"/>
        <v>Privado Estrangeiro</v>
      </c>
      <c r="V884" s="17">
        <f t="shared" si="53"/>
        <v>0</v>
      </c>
      <c r="W884" s="17">
        <f t="shared" si="54"/>
        <v>9.6887536562616033E-2</v>
      </c>
      <c r="X884" s="15" t="str">
        <f t="shared" si="55"/>
        <v>Média/Pequena</v>
      </c>
      <c r="Y884" s="121" t="str" cm="1">
        <f t="array" ref="Y884">_xlfn.IFS(ISNUMBER(W884)=FALSE,"Sem dado",W884&gt;0.075,"Excelente",W884&gt;0.04,"Bom",W884&gt;0,"Fraco",TRUE,"Prejuízo")</f>
        <v>Excelente</v>
      </c>
    </row>
    <row r="885" spans="1:25" ht="15" customHeight="1" x14ac:dyDescent="0.2">
      <c r="A885" s="12" t="s">
        <v>1874</v>
      </c>
      <c r="B885" s="56">
        <v>20757199</v>
      </c>
      <c r="C885" s="12" t="s">
        <v>1875</v>
      </c>
      <c r="D885" s="12"/>
      <c r="E885" s="12" t="s">
        <v>1876</v>
      </c>
      <c r="F885" s="12" t="s">
        <v>84</v>
      </c>
      <c r="G885" s="33">
        <v>2</v>
      </c>
      <c r="H885" s="33">
        <v>41</v>
      </c>
      <c r="I885" s="12" t="s">
        <v>38</v>
      </c>
      <c r="J885" s="12" t="s">
        <v>39</v>
      </c>
      <c r="K885" s="73" t="s">
        <v>29</v>
      </c>
      <c r="L885" s="13">
        <v>171606</v>
      </c>
      <c r="M885" s="13">
        <v>0</v>
      </c>
      <c r="N885" s="13">
        <v>39888</v>
      </c>
      <c r="O885" s="13">
        <v>133592</v>
      </c>
      <c r="P885" s="13">
        <v>123494</v>
      </c>
      <c r="Q885" s="13">
        <v>38014</v>
      </c>
      <c r="R885" s="13">
        <v>-2291</v>
      </c>
      <c r="S885" s="13">
        <v>1</v>
      </c>
      <c r="T885" s="13">
        <v>0</v>
      </c>
      <c r="U885" s="12" t="str">
        <f t="shared" si="52"/>
        <v>Privado Nacional</v>
      </c>
      <c r="V885" s="14">
        <f t="shared" si="53"/>
        <v>0</v>
      </c>
      <c r="W885" s="14">
        <f t="shared" si="54"/>
        <v>-6.0267269953175148E-2</v>
      </c>
      <c r="X885" s="12" t="str">
        <f t="shared" si="55"/>
        <v>Média/Pequena</v>
      </c>
      <c r="Y885" s="122" t="str" cm="1">
        <f t="array" ref="Y885">_xlfn.IFS(ISNUMBER(W885)=FALSE,"Sem dado",W885&gt;0.075,"Excelente",W885&gt;0.04,"Bom",W885&gt;0,"Fraco",TRUE,"Prejuízo")</f>
        <v>Prejuízo</v>
      </c>
    </row>
    <row r="886" spans="1:25" ht="15" customHeight="1" x14ac:dyDescent="0.2">
      <c r="A886" s="15" t="s">
        <v>1877</v>
      </c>
      <c r="B886" s="60">
        <v>46277273</v>
      </c>
      <c r="C886" s="15"/>
      <c r="D886" s="15"/>
      <c r="E886" s="15"/>
      <c r="F886" s="15" t="s">
        <v>265</v>
      </c>
      <c r="G886" s="34">
        <v>2</v>
      </c>
      <c r="H886" s="34">
        <v>9</v>
      </c>
      <c r="I886" s="15" t="s">
        <v>38</v>
      </c>
      <c r="J886" s="15" t="s">
        <v>39</v>
      </c>
      <c r="K886" s="74" t="s">
        <v>29</v>
      </c>
      <c r="L886" s="16">
        <v>170226</v>
      </c>
      <c r="M886" s="16">
        <v>42149</v>
      </c>
      <c r="N886" s="16">
        <v>12</v>
      </c>
      <c r="O886" s="16">
        <v>83450</v>
      </c>
      <c r="P886" s="16">
        <v>0</v>
      </c>
      <c r="Q886" s="16">
        <v>86777</v>
      </c>
      <c r="R886" s="16">
        <v>8471</v>
      </c>
      <c r="S886" s="16">
        <v>0</v>
      </c>
      <c r="T886" s="16">
        <v>0</v>
      </c>
      <c r="U886" s="15" t="str">
        <f t="shared" si="52"/>
        <v>Privado Nacional</v>
      </c>
      <c r="V886" s="17">
        <f t="shared" si="53"/>
        <v>0.24760612362388823</v>
      </c>
      <c r="W886" s="17">
        <f t="shared" si="54"/>
        <v>9.7618032427947504E-2</v>
      </c>
      <c r="X886" s="15" t="str">
        <f t="shared" si="55"/>
        <v>Média/Pequena</v>
      </c>
      <c r="Y886" s="121" t="str" cm="1">
        <f t="array" ref="Y886">_xlfn.IFS(ISNUMBER(W886)=FALSE,"Sem dado",W886&gt;0.075,"Excelente",W886&gt;0.04,"Bom",W886&gt;0,"Fraco",TRUE,"Prejuízo")</f>
        <v>Excelente</v>
      </c>
    </row>
    <row r="887" spans="1:25" ht="15" customHeight="1" x14ac:dyDescent="0.2">
      <c r="A887" s="12" t="s">
        <v>1878</v>
      </c>
      <c r="B887" s="56">
        <v>49654502</v>
      </c>
      <c r="C887" s="12"/>
      <c r="D887" s="12"/>
      <c r="E887" s="12"/>
      <c r="F887" s="12" t="s">
        <v>265</v>
      </c>
      <c r="G887" s="33">
        <v>2</v>
      </c>
      <c r="H887" s="33">
        <v>9</v>
      </c>
      <c r="I887" s="12" t="s">
        <v>1879</v>
      </c>
      <c r="J887" s="12" t="s">
        <v>39</v>
      </c>
      <c r="K887" s="73" t="s">
        <v>29</v>
      </c>
      <c r="L887" s="13">
        <v>169216</v>
      </c>
      <c r="M887" s="13">
        <v>69470</v>
      </c>
      <c r="N887" s="13">
        <v>94932</v>
      </c>
      <c r="O887" s="13">
        <v>12679</v>
      </c>
      <c r="P887" s="13">
        <v>0</v>
      </c>
      <c r="Q887" s="13">
        <v>156537</v>
      </c>
      <c r="R887" s="13">
        <v>9987</v>
      </c>
      <c r="S887" s="13">
        <v>0</v>
      </c>
      <c r="T887" s="13">
        <v>0</v>
      </c>
      <c r="U887" s="12" t="str">
        <f t="shared" si="52"/>
        <v>Privado Nacional</v>
      </c>
      <c r="V887" s="14">
        <f t="shared" si="53"/>
        <v>0.41054037443267777</v>
      </c>
      <c r="W887" s="14">
        <f t="shared" si="54"/>
        <v>6.3799612871078409E-2</v>
      </c>
      <c r="X887" s="12" t="str">
        <f t="shared" si="55"/>
        <v>Média/Pequena</v>
      </c>
      <c r="Y887" s="122" t="str" cm="1">
        <f t="array" ref="Y887">_xlfn.IFS(ISNUMBER(W887)=FALSE,"Sem dado",W887&gt;0.075,"Excelente",W887&gt;0.04,"Bom",W887&gt;0,"Fraco",TRUE,"Prejuízo")</f>
        <v>Bom</v>
      </c>
    </row>
    <row r="888" spans="1:25" ht="15" customHeight="1" x14ac:dyDescent="0.2">
      <c r="A888" s="15" t="s">
        <v>1880</v>
      </c>
      <c r="B888" s="60">
        <v>17079937</v>
      </c>
      <c r="C888" s="15" t="s">
        <v>1881</v>
      </c>
      <c r="D888" s="15"/>
      <c r="E888" s="15" t="s">
        <v>1882</v>
      </c>
      <c r="F888" s="15" t="s">
        <v>84</v>
      </c>
      <c r="G888" s="34">
        <v>3</v>
      </c>
      <c r="H888" s="34">
        <v>41</v>
      </c>
      <c r="I888" s="15" t="s">
        <v>38</v>
      </c>
      <c r="J888" s="15" t="s">
        <v>39</v>
      </c>
      <c r="K888" s="74" t="s">
        <v>29</v>
      </c>
      <c r="L888" s="16">
        <v>167872</v>
      </c>
      <c r="M888" s="16">
        <v>0</v>
      </c>
      <c r="N888" s="16">
        <v>9748</v>
      </c>
      <c r="O888" s="16">
        <v>151664</v>
      </c>
      <c r="P888" s="16">
        <v>72427</v>
      </c>
      <c r="Q888" s="16">
        <v>16207</v>
      </c>
      <c r="R888" s="16">
        <v>1377</v>
      </c>
      <c r="S888" s="16">
        <v>1</v>
      </c>
      <c r="T888" s="16">
        <v>0</v>
      </c>
      <c r="U888" s="15" t="str">
        <f t="shared" si="52"/>
        <v>Privado Estrangeiro</v>
      </c>
      <c r="V888" s="17">
        <f t="shared" si="53"/>
        <v>0</v>
      </c>
      <c r="W888" s="17">
        <f t="shared" si="54"/>
        <v>8.4963287468377863E-2</v>
      </c>
      <c r="X888" s="15" t="str">
        <f t="shared" si="55"/>
        <v>Média/Pequena</v>
      </c>
      <c r="Y888" s="121" t="str" cm="1">
        <f t="array" ref="Y888">_xlfn.IFS(ISNUMBER(W888)=FALSE,"Sem dado",W888&gt;0.075,"Excelente",W888&gt;0.04,"Bom",W888&gt;0,"Fraco",TRUE,"Prejuízo")</f>
        <v>Excelente</v>
      </c>
    </row>
    <row r="889" spans="1:25" ht="15" customHeight="1" x14ac:dyDescent="0.2">
      <c r="A889" s="12" t="s">
        <v>1883</v>
      </c>
      <c r="B889" s="56">
        <v>64480833</v>
      </c>
      <c r="C889" s="12"/>
      <c r="D889" s="12"/>
      <c r="E889" s="12"/>
      <c r="F889" s="12" t="s">
        <v>265</v>
      </c>
      <c r="G889" s="33">
        <v>2</v>
      </c>
      <c r="H889" s="33">
        <v>9</v>
      </c>
      <c r="I889" s="12" t="s">
        <v>1884</v>
      </c>
      <c r="J889" s="12" t="s">
        <v>120</v>
      </c>
      <c r="K889" s="73" t="s">
        <v>29</v>
      </c>
      <c r="L889" s="13">
        <v>165725</v>
      </c>
      <c r="M889" s="13">
        <v>64282</v>
      </c>
      <c r="N889" s="13">
        <v>4223</v>
      </c>
      <c r="O889" s="13">
        <v>135175</v>
      </c>
      <c r="P889" s="13">
        <v>122932</v>
      </c>
      <c r="Q889" s="13">
        <v>30550</v>
      </c>
      <c r="R889" s="13">
        <v>1616</v>
      </c>
      <c r="S889" s="13">
        <v>0</v>
      </c>
      <c r="T889" s="13">
        <v>1</v>
      </c>
      <c r="U889" s="12" t="str">
        <f t="shared" si="52"/>
        <v>Privado Nacional</v>
      </c>
      <c r="V889" s="14">
        <f t="shared" si="53"/>
        <v>0.38788354201236991</v>
      </c>
      <c r="W889" s="14">
        <f t="shared" si="54"/>
        <v>5.2896890343698856E-2</v>
      </c>
      <c r="X889" s="12" t="str">
        <f t="shared" si="55"/>
        <v>Média/Pequena</v>
      </c>
      <c r="Y889" s="122" t="str" cm="1">
        <f t="array" ref="Y889">_xlfn.IFS(ISNUMBER(W889)=FALSE,"Sem dado",W889&gt;0.075,"Excelente",W889&gt;0.04,"Bom",W889&gt;0,"Fraco",TRUE,"Prejuízo")</f>
        <v>Bom</v>
      </c>
    </row>
    <row r="890" spans="1:25" ht="15" customHeight="1" x14ac:dyDescent="0.2">
      <c r="A890" s="15" t="s">
        <v>1885</v>
      </c>
      <c r="B890" s="60">
        <v>83836114</v>
      </c>
      <c r="C890" s="15"/>
      <c r="D890" s="15"/>
      <c r="E890" s="15"/>
      <c r="F890" s="15" t="s">
        <v>265</v>
      </c>
      <c r="G890" s="34">
        <v>2</v>
      </c>
      <c r="H890" s="34">
        <v>9</v>
      </c>
      <c r="I890" s="15" t="s">
        <v>143</v>
      </c>
      <c r="J890" s="15" t="s">
        <v>144</v>
      </c>
      <c r="K890" s="74" t="s">
        <v>29</v>
      </c>
      <c r="L890" s="16">
        <v>165105</v>
      </c>
      <c r="M890" s="16">
        <v>103080</v>
      </c>
      <c r="N890" s="16">
        <v>4466</v>
      </c>
      <c r="O890" s="16">
        <v>141837</v>
      </c>
      <c r="P890" s="16">
        <v>136416</v>
      </c>
      <c r="Q890" s="16">
        <v>23268</v>
      </c>
      <c r="R890" s="16">
        <v>-654</v>
      </c>
      <c r="S890" s="16">
        <v>0</v>
      </c>
      <c r="T890" s="16">
        <v>3</v>
      </c>
      <c r="U890" s="15" t="str">
        <f t="shared" si="52"/>
        <v>Privado Nacional</v>
      </c>
      <c r="V890" s="17">
        <f t="shared" si="53"/>
        <v>0.62432997183610428</v>
      </c>
      <c r="W890" s="17">
        <f t="shared" si="54"/>
        <v>-2.810727178958226E-2</v>
      </c>
      <c r="X890" s="15" t="str">
        <f t="shared" si="55"/>
        <v>Média/Pequena</v>
      </c>
      <c r="Y890" s="121" t="str" cm="1">
        <f t="array" ref="Y890">_xlfn.IFS(ISNUMBER(W890)=FALSE,"Sem dado",W890&gt;0.075,"Excelente",W890&gt;0.04,"Bom",W890&gt;0,"Fraco",TRUE,"Prejuízo")</f>
        <v>Prejuízo</v>
      </c>
    </row>
    <row r="891" spans="1:25" ht="15" customHeight="1" x14ac:dyDescent="0.2">
      <c r="A891" s="12" t="s">
        <v>1886</v>
      </c>
      <c r="B891" s="56">
        <v>12481100</v>
      </c>
      <c r="C891" s="12" t="s">
        <v>448</v>
      </c>
      <c r="D891" s="12"/>
      <c r="E891" s="12" t="s">
        <v>450</v>
      </c>
      <c r="F891" s="12" t="s">
        <v>84</v>
      </c>
      <c r="G891" s="33">
        <v>2</v>
      </c>
      <c r="H891" s="33">
        <v>41</v>
      </c>
      <c r="I891" s="12" t="s">
        <v>38</v>
      </c>
      <c r="J891" s="12" t="s">
        <v>39</v>
      </c>
      <c r="K891" s="73" t="s">
        <v>29</v>
      </c>
      <c r="L891" s="13">
        <v>164527</v>
      </c>
      <c r="M891" s="13">
        <v>2018</v>
      </c>
      <c r="N891" s="13">
        <v>0</v>
      </c>
      <c r="O891" s="13">
        <v>157466</v>
      </c>
      <c r="P891" s="13">
        <v>113583</v>
      </c>
      <c r="Q891" s="13">
        <v>7061</v>
      </c>
      <c r="R891" s="13">
        <v>-340</v>
      </c>
      <c r="S891" s="13">
        <v>1</v>
      </c>
      <c r="T891" s="13">
        <v>0</v>
      </c>
      <c r="U891" s="12" t="str">
        <f t="shared" si="52"/>
        <v>Privado Nacional</v>
      </c>
      <c r="V891" s="14">
        <f t="shared" si="53"/>
        <v>1.2265464027180949E-2</v>
      </c>
      <c r="W891" s="14">
        <f t="shared" si="54"/>
        <v>-4.8151819855544543E-2</v>
      </c>
      <c r="X891" s="12" t="str">
        <f t="shared" si="55"/>
        <v>Média/Pequena</v>
      </c>
      <c r="Y891" s="122" t="str" cm="1">
        <f t="array" ref="Y891">_xlfn.IFS(ISNUMBER(W891)=FALSE,"Sem dado",W891&gt;0.075,"Excelente",W891&gt;0.04,"Bom",W891&gt;0,"Fraco",TRUE,"Prejuízo")</f>
        <v>Prejuízo</v>
      </c>
    </row>
    <row r="892" spans="1:25" ht="15" customHeight="1" x14ac:dyDescent="0.2">
      <c r="A892" s="15" t="s">
        <v>1887</v>
      </c>
      <c r="B892" s="60">
        <v>2562412</v>
      </c>
      <c r="C892" s="15"/>
      <c r="D892" s="15"/>
      <c r="E892" s="15"/>
      <c r="F892" s="15" t="s">
        <v>265</v>
      </c>
      <c r="G892" s="34">
        <v>2</v>
      </c>
      <c r="H892" s="34">
        <v>9</v>
      </c>
      <c r="I892" s="15" t="s">
        <v>1888</v>
      </c>
      <c r="J892" s="15" t="s">
        <v>39</v>
      </c>
      <c r="K892" s="74" t="s">
        <v>29</v>
      </c>
      <c r="L892" s="16">
        <v>161052</v>
      </c>
      <c r="M892" s="16">
        <v>126152</v>
      </c>
      <c r="N892" s="16">
        <v>30053</v>
      </c>
      <c r="O892" s="16">
        <v>6519</v>
      </c>
      <c r="P892" s="16">
        <v>2313</v>
      </c>
      <c r="Q892" s="16">
        <v>154532</v>
      </c>
      <c r="R892" s="16">
        <v>11395</v>
      </c>
      <c r="S892" s="16">
        <v>0</v>
      </c>
      <c r="T892" s="16">
        <v>0</v>
      </c>
      <c r="U892" s="15" t="str">
        <f t="shared" si="52"/>
        <v>Privado Nacional</v>
      </c>
      <c r="V892" s="17">
        <f t="shared" si="53"/>
        <v>0.78329980379008024</v>
      </c>
      <c r="W892" s="17">
        <f t="shared" si="54"/>
        <v>7.3738772551963344E-2</v>
      </c>
      <c r="X892" s="15" t="str">
        <f t="shared" si="55"/>
        <v>Média/Pequena</v>
      </c>
      <c r="Y892" s="121" t="str" cm="1">
        <f t="array" ref="Y892">_xlfn.IFS(ISNUMBER(W892)=FALSE,"Sem dado",W892&gt;0.075,"Excelente",W892&gt;0.04,"Bom",W892&gt;0,"Fraco",TRUE,"Prejuízo")</f>
        <v>Bom</v>
      </c>
    </row>
    <row r="893" spans="1:25" ht="15" customHeight="1" x14ac:dyDescent="0.2">
      <c r="A893" s="12" t="s">
        <v>1889</v>
      </c>
      <c r="B893" s="56">
        <v>45691128</v>
      </c>
      <c r="C893" s="12"/>
      <c r="D893" s="12"/>
      <c r="E893" s="12"/>
      <c r="F893" s="12" t="s">
        <v>265</v>
      </c>
      <c r="G893" s="33">
        <v>2</v>
      </c>
      <c r="H893" s="33">
        <v>9</v>
      </c>
      <c r="I893" s="12" t="s">
        <v>587</v>
      </c>
      <c r="J893" s="12" t="s">
        <v>39</v>
      </c>
      <c r="K893" s="73" t="s">
        <v>29</v>
      </c>
      <c r="L893" s="13">
        <v>159469</v>
      </c>
      <c r="M893" s="13">
        <v>89133</v>
      </c>
      <c r="N893" s="13">
        <v>56439</v>
      </c>
      <c r="O893" s="13">
        <v>18077</v>
      </c>
      <c r="P893" s="13">
        <v>0</v>
      </c>
      <c r="Q893" s="13">
        <v>141391</v>
      </c>
      <c r="R893" s="13">
        <v>7437</v>
      </c>
      <c r="S893" s="13">
        <v>0</v>
      </c>
      <c r="T893" s="13">
        <v>0</v>
      </c>
      <c r="U893" s="12" t="str">
        <f t="shared" si="52"/>
        <v>Privado Nacional</v>
      </c>
      <c r="V893" s="14">
        <f t="shared" si="53"/>
        <v>0.55893621957872686</v>
      </c>
      <c r="W893" s="14">
        <f t="shared" si="54"/>
        <v>5.2598821707180797E-2</v>
      </c>
      <c r="X893" s="12" t="str">
        <f t="shared" si="55"/>
        <v>Média/Pequena</v>
      </c>
      <c r="Y893" s="122" t="str" cm="1">
        <f t="array" ref="Y893">_xlfn.IFS(ISNUMBER(W893)=FALSE,"Sem dado",W893&gt;0.075,"Excelente",W893&gt;0.04,"Bom",W893&gt;0,"Fraco",TRUE,"Prejuízo")</f>
        <v>Bom</v>
      </c>
    </row>
    <row r="894" spans="1:25" ht="15" customHeight="1" x14ac:dyDescent="0.2">
      <c r="A894" s="15" t="s">
        <v>1890</v>
      </c>
      <c r="B894" s="60">
        <v>3620772</v>
      </c>
      <c r="C894" s="15"/>
      <c r="D894" s="15"/>
      <c r="E894" s="15"/>
      <c r="F894" s="15" t="s">
        <v>265</v>
      </c>
      <c r="G894" s="34">
        <v>2</v>
      </c>
      <c r="H894" s="34">
        <v>9</v>
      </c>
      <c r="I894" s="15" t="s">
        <v>132</v>
      </c>
      <c r="J894" s="15" t="s">
        <v>133</v>
      </c>
      <c r="K894" s="74" t="s">
        <v>29</v>
      </c>
      <c r="L894" s="16">
        <v>159453</v>
      </c>
      <c r="M894" s="16">
        <v>120724</v>
      </c>
      <c r="N894" s="16">
        <v>8829</v>
      </c>
      <c r="O894" s="16">
        <v>136897</v>
      </c>
      <c r="P894" s="16">
        <v>132004</v>
      </c>
      <c r="Q894" s="16">
        <v>22556</v>
      </c>
      <c r="R894" s="16">
        <v>569</v>
      </c>
      <c r="S894" s="16">
        <v>0</v>
      </c>
      <c r="T894" s="16">
        <v>3</v>
      </c>
      <c r="U894" s="15" t="str">
        <f t="shared" si="52"/>
        <v>Privado Nacional</v>
      </c>
      <c r="V894" s="17">
        <f t="shared" si="53"/>
        <v>0.75711338137256745</v>
      </c>
      <c r="W894" s="17">
        <f t="shared" si="54"/>
        <v>2.5226103919134598E-2</v>
      </c>
      <c r="X894" s="15" t="str">
        <f t="shared" si="55"/>
        <v>Média/Pequena</v>
      </c>
      <c r="Y894" s="121" t="str" cm="1">
        <f t="array" ref="Y894">_xlfn.IFS(ISNUMBER(W894)=FALSE,"Sem dado",W894&gt;0.075,"Excelente",W894&gt;0.04,"Bom",W894&gt;0,"Fraco",TRUE,"Prejuízo")</f>
        <v>Fraco</v>
      </c>
    </row>
    <row r="895" spans="1:25" ht="15" customHeight="1" x14ac:dyDescent="0.2">
      <c r="A895" s="12" t="s">
        <v>1891</v>
      </c>
      <c r="B895" s="56">
        <v>2528151</v>
      </c>
      <c r="C895" s="12"/>
      <c r="D895" s="12"/>
      <c r="E895" s="12"/>
      <c r="F895" s="12" t="s">
        <v>265</v>
      </c>
      <c r="G895" s="33">
        <v>2</v>
      </c>
      <c r="H895" s="33">
        <v>9</v>
      </c>
      <c r="I895" s="12" t="s">
        <v>1566</v>
      </c>
      <c r="J895" s="12" t="s">
        <v>211</v>
      </c>
      <c r="K895" s="73" t="s">
        <v>29</v>
      </c>
      <c r="L895" s="13">
        <v>158067</v>
      </c>
      <c r="M895" s="13">
        <v>105653</v>
      </c>
      <c r="N895" s="13">
        <v>13102</v>
      </c>
      <c r="O895" s="13">
        <v>122514</v>
      </c>
      <c r="P895" s="13">
        <v>116483</v>
      </c>
      <c r="Q895" s="13">
        <v>35553</v>
      </c>
      <c r="R895" s="13">
        <v>606</v>
      </c>
      <c r="S895" s="13">
        <v>0</v>
      </c>
      <c r="T895" s="13">
        <v>5</v>
      </c>
      <c r="U895" s="12" t="str">
        <f t="shared" si="52"/>
        <v>Privado Nacional</v>
      </c>
      <c r="V895" s="14">
        <f t="shared" si="53"/>
        <v>0.66840643524581345</v>
      </c>
      <c r="W895" s="14">
        <f t="shared" si="54"/>
        <v>1.7044975107585857E-2</v>
      </c>
      <c r="X895" s="12" t="str">
        <f t="shared" si="55"/>
        <v>Média/Pequena</v>
      </c>
      <c r="Y895" s="122" t="str" cm="1">
        <f t="array" ref="Y895">_xlfn.IFS(ISNUMBER(W895)=FALSE,"Sem dado",W895&gt;0.075,"Excelente",W895&gt;0.04,"Bom",W895&gt;0,"Fraco",TRUE,"Prejuízo")</f>
        <v>Fraco</v>
      </c>
    </row>
    <row r="896" spans="1:25" ht="15" customHeight="1" x14ac:dyDescent="0.2">
      <c r="A896" s="15" t="s">
        <v>1892</v>
      </c>
      <c r="B896" s="60">
        <v>5938780</v>
      </c>
      <c r="C896" s="15" t="s">
        <v>1893</v>
      </c>
      <c r="D896" s="15"/>
      <c r="E896" s="15" t="s">
        <v>1894</v>
      </c>
      <c r="F896" s="15" t="s">
        <v>84</v>
      </c>
      <c r="G896" s="34">
        <v>2</v>
      </c>
      <c r="H896" s="34">
        <v>41</v>
      </c>
      <c r="I896" s="15" t="s">
        <v>107</v>
      </c>
      <c r="J896" s="15" t="s">
        <v>39</v>
      </c>
      <c r="K896" s="74" t="s">
        <v>29</v>
      </c>
      <c r="L896" s="16">
        <v>156161</v>
      </c>
      <c r="M896" s="16">
        <v>110756</v>
      </c>
      <c r="N896" s="16">
        <v>6405</v>
      </c>
      <c r="O896" s="16">
        <v>131435</v>
      </c>
      <c r="P896" s="16">
        <v>937</v>
      </c>
      <c r="Q896" s="16">
        <v>24727</v>
      </c>
      <c r="R896" s="16">
        <v>-4133</v>
      </c>
      <c r="S896" s="16">
        <v>1</v>
      </c>
      <c r="T896" s="16">
        <v>0</v>
      </c>
      <c r="U896" s="15" t="str">
        <f t="shared" si="52"/>
        <v>Privado Nacional</v>
      </c>
      <c r="V896" s="17">
        <f t="shared" si="53"/>
        <v>0.70924238446218968</v>
      </c>
      <c r="W896" s="17">
        <f t="shared" si="54"/>
        <v>-0.16714522586646177</v>
      </c>
      <c r="X896" s="15" t="str">
        <f t="shared" si="55"/>
        <v>Média/Pequena</v>
      </c>
      <c r="Y896" s="121" t="str" cm="1">
        <f t="array" ref="Y896">_xlfn.IFS(ISNUMBER(W896)=FALSE,"Sem dado",W896&gt;0.075,"Excelente",W896&gt;0.04,"Bom",W896&gt;0,"Fraco",TRUE,"Prejuízo")</f>
        <v>Prejuízo</v>
      </c>
    </row>
    <row r="897" spans="1:25" ht="15" customHeight="1" x14ac:dyDescent="0.2">
      <c r="A897" s="12" t="s">
        <v>1895</v>
      </c>
      <c r="B897" s="56">
        <v>2833202</v>
      </c>
      <c r="C897" s="12"/>
      <c r="D897" s="12"/>
      <c r="E897" s="12"/>
      <c r="F897" s="12" t="s">
        <v>265</v>
      </c>
      <c r="G897" s="33">
        <v>2</v>
      </c>
      <c r="H897" s="33">
        <v>9</v>
      </c>
      <c r="I897" s="12" t="s">
        <v>1566</v>
      </c>
      <c r="J897" s="12" t="s">
        <v>211</v>
      </c>
      <c r="K897" s="73" t="s">
        <v>29</v>
      </c>
      <c r="L897" s="13">
        <v>155768</v>
      </c>
      <c r="M897" s="13">
        <v>104949</v>
      </c>
      <c r="N897" s="13">
        <v>4830</v>
      </c>
      <c r="O897" s="13">
        <v>134262</v>
      </c>
      <c r="P897" s="13">
        <v>98797</v>
      </c>
      <c r="Q897" s="13">
        <v>21506</v>
      </c>
      <c r="R897" s="13">
        <v>399</v>
      </c>
      <c r="S897" s="13">
        <v>0</v>
      </c>
      <c r="T897" s="13">
        <v>3</v>
      </c>
      <c r="U897" s="12" t="str">
        <f t="shared" si="52"/>
        <v>Privado Nacional</v>
      </c>
      <c r="V897" s="14">
        <f t="shared" si="53"/>
        <v>0.6737519901391813</v>
      </c>
      <c r="W897" s="14">
        <f t="shared" si="54"/>
        <v>1.855296196410304E-2</v>
      </c>
      <c r="X897" s="12" t="str">
        <f t="shared" si="55"/>
        <v>Média/Pequena</v>
      </c>
      <c r="Y897" s="122" t="str" cm="1">
        <f t="array" ref="Y897">_xlfn.IFS(ISNUMBER(W897)=FALSE,"Sem dado",W897&gt;0.075,"Excelente",W897&gt;0.04,"Bom",W897&gt;0,"Fraco",TRUE,"Prejuízo")</f>
        <v>Fraco</v>
      </c>
    </row>
    <row r="898" spans="1:25" ht="15" customHeight="1" x14ac:dyDescent="0.2">
      <c r="A898" s="15" t="s">
        <v>1896</v>
      </c>
      <c r="B898" s="60">
        <v>2794761</v>
      </c>
      <c r="C898" s="15"/>
      <c r="D898" s="15"/>
      <c r="E898" s="15"/>
      <c r="F898" s="15" t="s">
        <v>265</v>
      </c>
      <c r="G898" s="34">
        <v>2</v>
      </c>
      <c r="H898" s="34">
        <v>9</v>
      </c>
      <c r="I898" s="15" t="s">
        <v>1897</v>
      </c>
      <c r="J898" s="15" t="s">
        <v>120</v>
      </c>
      <c r="K898" s="74" t="s">
        <v>29</v>
      </c>
      <c r="L898" s="16">
        <v>155133</v>
      </c>
      <c r="M898" s="16">
        <v>50832</v>
      </c>
      <c r="N898" s="16">
        <v>5561</v>
      </c>
      <c r="O898" s="16">
        <v>116552</v>
      </c>
      <c r="P898" s="16">
        <v>112894</v>
      </c>
      <c r="Q898" s="16">
        <v>38581</v>
      </c>
      <c r="R898" s="16">
        <v>3360</v>
      </c>
      <c r="S898" s="16">
        <v>0</v>
      </c>
      <c r="T898" s="16">
        <v>2</v>
      </c>
      <c r="U898" s="15" t="str">
        <f t="shared" si="52"/>
        <v>Privado Nacional</v>
      </c>
      <c r="V898" s="17">
        <f t="shared" si="53"/>
        <v>0.32766722747577887</v>
      </c>
      <c r="W898" s="17">
        <f t="shared" si="54"/>
        <v>8.7089500012959745E-2</v>
      </c>
      <c r="X898" s="15" t="str">
        <f t="shared" si="55"/>
        <v>Média/Pequena</v>
      </c>
      <c r="Y898" s="121" t="str" cm="1">
        <f t="array" ref="Y898">_xlfn.IFS(ISNUMBER(W898)=FALSE,"Sem dado",W898&gt;0.075,"Excelente",W898&gt;0.04,"Bom",W898&gt;0,"Fraco",TRUE,"Prejuízo")</f>
        <v>Excelente</v>
      </c>
    </row>
    <row r="899" spans="1:25" ht="15" customHeight="1" x14ac:dyDescent="0.2">
      <c r="A899" s="12" t="s">
        <v>1898</v>
      </c>
      <c r="B899" s="56">
        <v>39587424</v>
      </c>
      <c r="C899" s="12" t="s">
        <v>1899</v>
      </c>
      <c r="D899" s="12"/>
      <c r="E899" s="12" t="s">
        <v>1900</v>
      </c>
      <c r="F899" s="12" t="s">
        <v>65</v>
      </c>
      <c r="G899" s="33">
        <v>2</v>
      </c>
      <c r="H899" s="33">
        <v>43</v>
      </c>
      <c r="I899" s="12" t="s">
        <v>73</v>
      </c>
      <c r="J899" s="12" t="s">
        <v>74</v>
      </c>
      <c r="K899" s="73" t="s">
        <v>29</v>
      </c>
      <c r="L899" s="13">
        <v>154672</v>
      </c>
      <c r="M899" s="13">
        <v>30573</v>
      </c>
      <c r="N899" s="13">
        <v>1927</v>
      </c>
      <c r="O899" s="13">
        <v>113728</v>
      </c>
      <c r="P899" s="13">
        <v>81204</v>
      </c>
      <c r="Q899" s="13">
        <v>40944</v>
      </c>
      <c r="R899" s="13">
        <v>16854</v>
      </c>
      <c r="S899" s="13">
        <v>2</v>
      </c>
      <c r="T899" s="13">
        <v>0</v>
      </c>
      <c r="U899" s="12" t="str">
        <f t="shared" si="52"/>
        <v>Privado Nacional</v>
      </c>
      <c r="V899" s="14">
        <f t="shared" si="53"/>
        <v>0.19766344263990898</v>
      </c>
      <c r="W899" s="14">
        <f t="shared" si="54"/>
        <v>0.41163540445486518</v>
      </c>
      <c r="X899" s="12" t="str">
        <f t="shared" si="55"/>
        <v>Média/Pequena</v>
      </c>
      <c r="Y899" s="122" t="str" cm="1">
        <f t="array" ref="Y899">_xlfn.IFS(ISNUMBER(W899)=FALSE,"Sem dado",W899&gt;0.075,"Excelente",W899&gt;0.04,"Bom",W899&gt;0,"Fraco",TRUE,"Prejuízo")</f>
        <v>Excelente</v>
      </c>
    </row>
    <row r="900" spans="1:25" ht="15" customHeight="1" x14ac:dyDescent="0.2">
      <c r="A900" s="15" t="s">
        <v>1901</v>
      </c>
      <c r="B900" s="60">
        <v>9463721</v>
      </c>
      <c r="C900" s="15"/>
      <c r="D900" s="15"/>
      <c r="E900" s="15"/>
      <c r="F900" s="15" t="s">
        <v>265</v>
      </c>
      <c r="G900" s="34">
        <v>2</v>
      </c>
      <c r="H900" s="34">
        <v>9</v>
      </c>
      <c r="I900" s="15" t="s">
        <v>760</v>
      </c>
      <c r="J900" s="15" t="s">
        <v>217</v>
      </c>
      <c r="K900" s="74" t="s">
        <v>29</v>
      </c>
      <c r="L900" s="16">
        <v>153110</v>
      </c>
      <c r="M900" s="16">
        <v>102195</v>
      </c>
      <c r="N900" s="16">
        <v>4954</v>
      </c>
      <c r="O900" s="16">
        <v>133526</v>
      </c>
      <c r="P900" s="16">
        <v>84518</v>
      </c>
      <c r="Q900" s="16">
        <v>19584</v>
      </c>
      <c r="R900" s="16">
        <v>1767</v>
      </c>
      <c r="S900" s="16">
        <v>0</v>
      </c>
      <c r="T900" s="16">
        <v>8</v>
      </c>
      <c r="U900" s="15" t="str">
        <f t="shared" si="52"/>
        <v>Privado Nacional</v>
      </c>
      <c r="V900" s="17">
        <f t="shared" si="53"/>
        <v>0.66746130233165701</v>
      </c>
      <c r="W900" s="17">
        <f t="shared" si="54"/>
        <v>9.0226715686274508E-2</v>
      </c>
      <c r="X900" s="15" t="str">
        <f t="shared" si="55"/>
        <v>Média/Pequena</v>
      </c>
      <c r="Y900" s="121" t="str" cm="1">
        <f t="array" ref="Y900">_xlfn.IFS(ISNUMBER(W900)=FALSE,"Sem dado",W900&gt;0.075,"Excelente",W900&gt;0.04,"Bom",W900&gt;0,"Fraco",TRUE,"Prejuízo")</f>
        <v>Excelente</v>
      </c>
    </row>
    <row r="901" spans="1:25" ht="15" customHeight="1" x14ac:dyDescent="0.2">
      <c r="A901" s="12" t="s">
        <v>1902</v>
      </c>
      <c r="B901" s="56">
        <v>18810553</v>
      </c>
      <c r="C901" s="12" t="s">
        <v>448</v>
      </c>
      <c r="D901" s="12" t="s">
        <v>449</v>
      </c>
      <c r="E901" s="12" t="s">
        <v>450</v>
      </c>
      <c r="F901" s="12" t="s">
        <v>65</v>
      </c>
      <c r="G901" s="33">
        <v>2</v>
      </c>
      <c r="H901" s="33">
        <v>10</v>
      </c>
      <c r="I901" s="12" t="s">
        <v>38</v>
      </c>
      <c r="J901" s="12" t="s">
        <v>39</v>
      </c>
      <c r="K901" s="73" t="s">
        <v>29</v>
      </c>
      <c r="L901" s="13">
        <v>152668</v>
      </c>
      <c r="M901" s="13">
        <v>121628</v>
      </c>
      <c r="N901" s="13">
        <v>13324</v>
      </c>
      <c r="O901" s="13">
        <v>126627</v>
      </c>
      <c r="P901" s="13">
        <v>120130</v>
      </c>
      <c r="Q901" s="13">
        <v>26042</v>
      </c>
      <c r="R901" s="13">
        <v>-50</v>
      </c>
      <c r="S901" s="13">
        <v>2</v>
      </c>
      <c r="T901" s="13">
        <v>0</v>
      </c>
      <c r="U901" s="12" t="str">
        <f t="shared" ref="U901:U964" si="56">IFERROR(CHOOSE(G901,"Público","Privado Nacional","Privado Estrangeiro"),"n.d.")</f>
        <v>Privado Nacional</v>
      </c>
      <c r="V901" s="14">
        <f t="shared" ref="V901:V964" si="57">IF(AND(ISNUMBER(M901),ISNUMBER(L901)),IF(L901&gt;0,M901/L901,"n.d."),"NI")</f>
        <v>0.79668299840176071</v>
      </c>
      <c r="W901" s="14">
        <f t="shared" ref="W901:W964" si="58">IF(AND(ISNUMBER(R901),ISNUMBER(Q901)),IF(Q901&gt;0,R901/Q901,"n.d."),"NI")</f>
        <v>-1.9199754243145687E-3</v>
      </c>
      <c r="X901" s="12" t="str">
        <f t="shared" ref="X901:X964" si="59">IF(ISNUMBER(L901),IF(L901&gt;100000000,"Grande","Média/Pequena"),"Sem dado")</f>
        <v>Média/Pequena</v>
      </c>
      <c r="Y901" s="122" t="str" cm="1">
        <f t="array" ref="Y901">_xlfn.IFS(ISNUMBER(W901)=FALSE,"Sem dado",W901&gt;0.075,"Excelente",W901&gt;0.04,"Bom",W901&gt;0,"Fraco",TRUE,"Prejuízo")</f>
        <v>Prejuízo</v>
      </c>
    </row>
    <row r="902" spans="1:25" ht="15" customHeight="1" x14ac:dyDescent="0.2">
      <c r="A902" s="15" t="s">
        <v>1903</v>
      </c>
      <c r="B902" s="60">
        <v>3212823</v>
      </c>
      <c r="C902" s="15"/>
      <c r="D902" s="15"/>
      <c r="E902" s="15"/>
      <c r="F902" s="15" t="s">
        <v>265</v>
      </c>
      <c r="G902" s="34">
        <v>2</v>
      </c>
      <c r="H902" s="34">
        <v>9</v>
      </c>
      <c r="I902" s="15" t="s">
        <v>73</v>
      </c>
      <c r="J902" s="15" t="s">
        <v>74</v>
      </c>
      <c r="K902" s="74" t="s">
        <v>29</v>
      </c>
      <c r="L902" s="16">
        <v>151248</v>
      </c>
      <c r="M902" s="16">
        <v>76651</v>
      </c>
      <c r="N902" s="16">
        <v>49275</v>
      </c>
      <c r="O902" s="16">
        <v>129572</v>
      </c>
      <c r="P902" s="16">
        <v>113642</v>
      </c>
      <c r="Q902" s="16">
        <v>21676</v>
      </c>
      <c r="R902" s="16">
        <v>1083</v>
      </c>
      <c r="S902" s="16">
        <v>0</v>
      </c>
      <c r="T902" s="16">
        <v>2</v>
      </c>
      <c r="U902" s="15" t="str">
        <f t="shared" si="56"/>
        <v>Privado Nacional</v>
      </c>
      <c r="V902" s="17">
        <f t="shared" si="57"/>
        <v>0.50679017243203217</v>
      </c>
      <c r="W902" s="17">
        <f t="shared" si="58"/>
        <v>4.9963092821553791E-2</v>
      </c>
      <c r="X902" s="15" t="str">
        <f t="shared" si="59"/>
        <v>Média/Pequena</v>
      </c>
      <c r="Y902" s="121" t="str" cm="1">
        <f t="array" ref="Y902">_xlfn.IFS(ISNUMBER(W902)=FALSE,"Sem dado",W902&gt;0.075,"Excelente",W902&gt;0.04,"Bom",W902&gt;0,"Fraco",TRUE,"Prejuízo")</f>
        <v>Bom</v>
      </c>
    </row>
    <row r="903" spans="1:25" ht="15" customHeight="1" x14ac:dyDescent="0.2">
      <c r="A903" s="12" t="s">
        <v>1904</v>
      </c>
      <c r="B903" s="56">
        <v>2347114</v>
      </c>
      <c r="C903" s="12"/>
      <c r="D903" s="12"/>
      <c r="E903" s="12"/>
      <c r="F903" s="12" t="s">
        <v>265</v>
      </c>
      <c r="G903" s="33">
        <v>2</v>
      </c>
      <c r="H903" s="33">
        <v>9</v>
      </c>
      <c r="I903" s="12" t="s">
        <v>228</v>
      </c>
      <c r="J903" s="12" t="s">
        <v>229</v>
      </c>
      <c r="K903" s="73" t="s">
        <v>29</v>
      </c>
      <c r="L903" s="13">
        <v>149240</v>
      </c>
      <c r="M903" s="13">
        <v>57422</v>
      </c>
      <c r="N903" s="13">
        <v>53929</v>
      </c>
      <c r="O903" s="13">
        <v>120254</v>
      </c>
      <c r="P903" s="13">
        <v>116464</v>
      </c>
      <c r="Q903" s="13">
        <v>28985</v>
      </c>
      <c r="R903" s="13">
        <v>201</v>
      </c>
      <c r="S903" s="13">
        <v>0</v>
      </c>
      <c r="T903" s="13">
        <v>4</v>
      </c>
      <c r="U903" s="12" t="str">
        <f t="shared" si="56"/>
        <v>Privado Nacional</v>
      </c>
      <c r="V903" s="14">
        <f t="shared" si="57"/>
        <v>0.38476279817743231</v>
      </c>
      <c r="W903" s="14">
        <f t="shared" si="58"/>
        <v>6.9346213558737274E-3</v>
      </c>
      <c r="X903" s="12" t="str">
        <f t="shared" si="59"/>
        <v>Média/Pequena</v>
      </c>
      <c r="Y903" s="122" t="str" cm="1">
        <f t="array" ref="Y903">_xlfn.IFS(ISNUMBER(W903)=FALSE,"Sem dado",W903&gt;0.075,"Excelente",W903&gt;0.04,"Bom",W903&gt;0,"Fraco",TRUE,"Prejuízo")</f>
        <v>Fraco</v>
      </c>
    </row>
    <row r="904" spans="1:25" ht="15" customHeight="1" x14ac:dyDescent="0.2">
      <c r="A904" s="15" t="s">
        <v>1905</v>
      </c>
      <c r="B904" s="60">
        <v>4833655</v>
      </c>
      <c r="C904" s="15"/>
      <c r="D904" s="15"/>
      <c r="E904" s="15"/>
      <c r="F904" s="15" t="s">
        <v>265</v>
      </c>
      <c r="G904" s="34">
        <v>2</v>
      </c>
      <c r="H904" s="34">
        <v>9</v>
      </c>
      <c r="I904" s="15" t="s">
        <v>38</v>
      </c>
      <c r="J904" s="15" t="s">
        <v>39</v>
      </c>
      <c r="K904" s="74" t="s">
        <v>29</v>
      </c>
      <c r="L904" s="16">
        <v>148834</v>
      </c>
      <c r="M904" s="16">
        <v>99024</v>
      </c>
      <c r="N904" s="16">
        <v>34512</v>
      </c>
      <c r="O904" s="16">
        <v>116453</v>
      </c>
      <c r="P904" s="16">
        <v>110555</v>
      </c>
      <c r="Q904" s="16">
        <v>32380</v>
      </c>
      <c r="R904" s="16">
        <v>-5493</v>
      </c>
      <c r="S904" s="16">
        <v>0</v>
      </c>
      <c r="T904" s="16">
        <v>6</v>
      </c>
      <c r="U904" s="15" t="str">
        <f t="shared" si="56"/>
        <v>Privado Nacional</v>
      </c>
      <c r="V904" s="17">
        <f t="shared" si="57"/>
        <v>0.66533184621793406</v>
      </c>
      <c r="W904" s="17">
        <f t="shared" si="58"/>
        <v>-0.16964175416924027</v>
      </c>
      <c r="X904" s="15" t="str">
        <f t="shared" si="59"/>
        <v>Média/Pequena</v>
      </c>
      <c r="Y904" s="121" t="str" cm="1">
        <f t="array" ref="Y904">_xlfn.IFS(ISNUMBER(W904)=FALSE,"Sem dado",W904&gt;0.075,"Excelente",W904&gt;0.04,"Bom",W904&gt;0,"Fraco",TRUE,"Prejuízo")</f>
        <v>Prejuízo</v>
      </c>
    </row>
    <row r="905" spans="1:25" ht="15" customHeight="1" x14ac:dyDescent="0.2">
      <c r="A905" s="12" t="s">
        <v>1906</v>
      </c>
      <c r="B905" s="56">
        <v>8030602</v>
      </c>
      <c r="C905" s="12"/>
      <c r="D905" s="12"/>
      <c r="E905" s="12"/>
      <c r="F905" s="12" t="s">
        <v>265</v>
      </c>
      <c r="G905" s="33">
        <v>2</v>
      </c>
      <c r="H905" s="33">
        <v>9</v>
      </c>
      <c r="I905" s="12" t="s">
        <v>38</v>
      </c>
      <c r="J905" s="12" t="s">
        <v>39</v>
      </c>
      <c r="K905" s="73" t="s">
        <v>29</v>
      </c>
      <c r="L905" s="13">
        <v>148687</v>
      </c>
      <c r="M905" s="13">
        <v>4560</v>
      </c>
      <c r="N905" s="13">
        <v>143645</v>
      </c>
      <c r="O905" s="13">
        <v>131829</v>
      </c>
      <c r="P905" s="13">
        <v>130691</v>
      </c>
      <c r="Q905" s="13">
        <v>16858</v>
      </c>
      <c r="R905" s="13">
        <v>2015</v>
      </c>
      <c r="S905" s="13">
        <v>0</v>
      </c>
      <c r="T905" s="13">
        <v>0</v>
      </c>
      <c r="U905" s="12" t="str">
        <f t="shared" si="56"/>
        <v>Privado Nacional</v>
      </c>
      <c r="V905" s="14">
        <f t="shared" si="57"/>
        <v>3.0668451175960239E-2</v>
      </c>
      <c r="W905" s="14">
        <f t="shared" si="58"/>
        <v>0.11952782061929054</v>
      </c>
      <c r="X905" s="12" t="str">
        <f t="shared" si="59"/>
        <v>Média/Pequena</v>
      </c>
      <c r="Y905" s="122" t="str" cm="1">
        <f t="array" ref="Y905">_xlfn.IFS(ISNUMBER(W905)=FALSE,"Sem dado",W905&gt;0.075,"Excelente",W905&gt;0.04,"Bom",W905&gt;0,"Fraco",TRUE,"Prejuízo")</f>
        <v>Excelente</v>
      </c>
    </row>
    <row r="906" spans="1:25" ht="15" customHeight="1" x14ac:dyDescent="0.2">
      <c r="A906" s="15" t="s">
        <v>1907</v>
      </c>
      <c r="B906" s="60">
        <v>9330158</v>
      </c>
      <c r="C906" s="15"/>
      <c r="D906" s="15"/>
      <c r="E906" s="15"/>
      <c r="F906" s="15" t="s">
        <v>265</v>
      </c>
      <c r="G906" s="34">
        <v>2</v>
      </c>
      <c r="H906" s="34">
        <v>9</v>
      </c>
      <c r="I906" s="15" t="s">
        <v>1908</v>
      </c>
      <c r="J906" s="15" t="s">
        <v>217</v>
      </c>
      <c r="K906" s="74" t="s">
        <v>29</v>
      </c>
      <c r="L906" s="16">
        <v>146990</v>
      </c>
      <c r="M906" s="16">
        <v>82584</v>
      </c>
      <c r="N906" s="16">
        <v>4534</v>
      </c>
      <c r="O906" s="16">
        <v>132935</v>
      </c>
      <c r="P906" s="16">
        <v>100770</v>
      </c>
      <c r="Q906" s="16">
        <v>14054</v>
      </c>
      <c r="R906" s="16">
        <v>-667</v>
      </c>
      <c r="S906" s="16">
        <v>0</v>
      </c>
      <c r="T906" s="16">
        <v>3</v>
      </c>
      <c r="U906" s="15" t="str">
        <f t="shared" si="56"/>
        <v>Privado Nacional</v>
      </c>
      <c r="V906" s="17">
        <f t="shared" si="57"/>
        <v>0.56183413837676033</v>
      </c>
      <c r="W906" s="17">
        <f t="shared" si="58"/>
        <v>-4.74597979222997E-2</v>
      </c>
      <c r="X906" s="15" t="str">
        <f t="shared" si="59"/>
        <v>Média/Pequena</v>
      </c>
      <c r="Y906" s="121" t="str" cm="1">
        <f t="array" ref="Y906">_xlfn.IFS(ISNUMBER(W906)=FALSE,"Sem dado",W906&gt;0.075,"Excelente",W906&gt;0.04,"Bom",W906&gt;0,"Fraco",TRUE,"Prejuízo")</f>
        <v>Prejuízo</v>
      </c>
    </row>
    <row r="907" spans="1:25" ht="15" customHeight="1" x14ac:dyDescent="0.2">
      <c r="A907" s="12" t="s">
        <v>1909</v>
      </c>
      <c r="B907" s="56">
        <v>25238191</v>
      </c>
      <c r="C907" s="12" t="s">
        <v>1910</v>
      </c>
      <c r="D907" s="12"/>
      <c r="E907" s="12" t="s">
        <v>1911</v>
      </c>
      <c r="F907" s="12" t="s">
        <v>84</v>
      </c>
      <c r="G907" s="33">
        <v>2</v>
      </c>
      <c r="H907" s="33">
        <v>41</v>
      </c>
      <c r="I907" s="12" t="s">
        <v>1912</v>
      </c>
      <c r="J907" s="12" t="s">
        <v>217</v>
      </c>
      <c r="K907" s="73" t="s">
        <v>29</v>
      </c>
      <c r="L907" s="13">
        <v>145935</v>
      </c>
      <c r="M907" s="13">
        <v>0</v>
      </c>
      <c r="N907" s="13">
        <v>1902</v>
      </c>
      <c r="O907" s="13">
        <v>137868</v>
      </c>
      <c r="P907" s="13">
        <v>13078</v>
      </c>
      <c r="Q907" s="13">
        <v>8067</v>
      </c>
      <c r="R907" s="13">
        <v>347</v>
      </c>
      <c r="S907" s="13">
        <v>1</v>
      </c>
      <c r="T907" s="13">
        <v>0</v>
      </c>
      <c r="U907" s="12" t="str">
        <f t="shared" si="56"/>
        <v>Privado Nacional</v>
      </c>
      <c r="V907" s="14">
        <f t="shared" si="57"/>
        <v>0</v>
      </c>
      <c r="W907" s="14">
        <f t="shared" si="58"/>
        <v>4.3014751456551384E-2</v>
      </c>
      <c r="X907" s="12" t="str">
        <f t="shared" si="59"/>
        <v>Média/Pequena</v>
      </c>
      <c r="Y907" s="122" t="str" cm="1">
        <f t="array" ref="Y907">_xlfn.IFS(ISNUMBER(W907)=FALSE,"Sem dado",W907&gt;0.075,"Excelente",W907&gt;0.04,"Bom",W907&gt;0,"Fraco",TRUE,"Prejuízo")</f>
        <v>Bom</v>
      </c>
    </row>
    <row r="908" spans="1:25" ht="15" customHeight="1" x14ac:dyDescent="0.2">
      <c r="A908" s="15" t="s">
        <v>1913</v>
      </c>
      <c r="B908" s="60">
        <v>4751713</v>
      </c>
      <c r="C908" s="15"/>
      <c r="D908" s="15"/>
      <c r="E908" s="15"/>
      <c r="F908" s="15" t="s">
        <v>265</v>
      </c>
      <c r="G908" s="34">
        <v>2</v>
      </c>
      <c r="H908" s="34">
        <v>9</v>
      </c>
      <c r="I908" s="15" t="s">
        <v>457</v>
      </c>
      <c r="J908" s="15" t="s">
        <v>432</v>
      </c>
      <c r="K908" s="74" t="s">
        <v>29</v>
      </c>
      <c r="L908" s="16">
        <v>145754</v>
      </c>
      <c r="M908" s="16">
        <v>79079</v>
      </c>
      <c r="N908" s="16">
        <v>9468</v>
      </c>
      <c r="O908" s="16">
        <v>107636</v>
      </c>
      <c r="P908" s="16">
        <v>102841</v>
      </c>
      <c r="Q908" s="16">
        <v>38118</v>
      </c>
      <c r="R908" s="16">
        <v>2265</v>
      </c>
      <c r="S908" s="16">
        <v>0</v>
      </c>
      <c r="T908" s="16">
        <v>4</v>
      </c>
      <c r="U908" s="15" t="str">
        <f t="shared" si="56"/>
        <v>Privado Nacional</v>
      </c>
      <c r="V908" s="17">
        <f t="shared" si="57"/>
        <v>0.54255114782441649</v>
      </c>
      <c r="W908" s="17">
        <f t="shared" si="58"/>
        <v>5.942074610420274E-2</v>
      </c>
      <c r="X908" s="15" t="str">
        <f t="shared" si="59"/>
        <v>Média/Pequena</v>
      </c>
      <c r="Y908" s="121" t="str" cm="1">
        <f t="array" ref="Y908">_xlfn.IFS(ISNUMBER(W908)=FALSE,"Sem dado",W908&gt;0.075,"Excelente",W908&gt;0.04,"Bom",W908&gt;0,"Fraco",TRUE,"Prejuízo")</f>
        <v>Bom</v>
      </c>
    </row>
    <row r="909" spans="1:25" ht="15" customHeight="1" x14ac:dyDescent="0.2">
      <c r="A909" s="12" t="s">
        <v>1914</v>
      </c>
      <c r="B909" s="56">
        <v>44373041</v>
      </c>
      <c r="C909" s="12"/>
      <c r="D909" s="12"/>
      <c r="E909" s="12"/>
      <c r="F909" s="12" t="s">
        <v>265</v>
      </c>
      <c r="G909" s="33">
        <v>2</v>
      </c>
      <c r="H909" s="33">
        <v>9</v>
      </c>
      <c r="I909" s="12" t="s">
        <v>1915</v>
      </c>
      <c r="J909" s="12" t="s">
        <v>39</v>
      </c>
      <c r="K909" s="73" t="s">
        <v>29</v>
      </c>
      <c r="L909" s="13">
        <v>145359</v>
      </c>
      <c r="M909" s="13">
        <v>44426</v>
      </c>
      <c r="N909" s="13">
        <v>3112</v>
      </c>
      <c r="O909" s="13">
        <v>121399</v>
      </c>
      <c r="P909" s="13">
        <v>119385</v>
      </c>
      <c r="Q909" s="13">
        <v>23961</v>
      </c>
      <c r="R909" s="13">
        <v>1528</v>
      </c>
      <c r="S909" s="13">
        <v>0</v>
      </c>
      <c r="T909" s="13">
        <v>1</v>
      </c>
      <c r="U909" s="12" t="str">
        <f t="shared" si="56"/>
        <v>Privado Nacional</v>
      </c>
      <c r="V909" s="14">
        <f t="shared" si="57"/>
        <v>0.30562951038463393</v>
      </c>
      <c r="W909" s="14">
        <f t="shared" si="58"/>
        <v>6.3770293393430988E-2</v>
      </c>
      <c r="X909" s="12" t="str">
        <f t="shared" si="59"/>
        <v>Média/Pequena</v>
      </c>
      <c r="Y909" s="122" t="str" cm="1">
        <f t="array" ref="Y909">_xlfn.IFS(ISNUMBER(W909)=FALSE,"Sem dado",W909&gt;0.075,"Excelente",W909&gt;0.04,"Bom",W909&gt;0,"Fraco",TRUE,"Prejuízo")</f>
        <v>Bom</v>
      </c>
    </row>
    <row r="910" spans="1:25" ht="15" customHeight="1" x14ac:dyDescent="0.2">
      <c r="A910" s="15" t="s">
        <v>1916</v>
      </c>
      <c r="B910" s="60">
        <v>7138049</v>
      </c>
      <c r="C910" s="15" t="s">
        <v>171</v>
      </c>
      <c r="D910" s="15" t="s">
        <v>172</v>
      </c>
      <c r="E910" s="15" t="s">
        <v>173</v>
      </c>
      <c r="F910" s="15" t="s">
        <v>98</v>
      </c>
      <c r="G910" s="34">
        <v>2</v>
      </c>
      <c r="H910" s="34">
        <v>16</v>
      </c>
      <c r="I910" s="15" t="s">
        <v>38</v>
      </c>
      <c r="J910" s="15" t="s">
        <v>39</v>
      </c>
      <c r="K910" s="74" t="s">
        <v>29</v>
      </c>
      <c r="L910" s="16">
        <v>144121</v>
      </c>
      <c r="M910" s="16">
        <v>0</v>
      </c>
      <c r="N910" s="16">
        <v>9677</v>
      </c>
      <c r="O910" s="16">
        <v>66880</v>
      </c>
      <c r="P910" s="16">
        <v>42567</v>
      </c>
      <c r="Q910" s="16">
        <v>77241</v>
      </c>
      <c r="R910" s="16">
        <v>-3957</v>
      </c>
      <c r="S910" s="16">
        <v>2</v>
      </c>
      <c r="T910" s="16">
        <v>0</v>
      </c>
      <c r="U910" s="15" t="str">
        <f t="shared" si="56"/>
        <v>Privado Nacional</v>
      </c>
      <c r="V910" s="17">
        <f t="shared" si="57"/>
        <v>0</v>
      </c>
      <c r="W910" s="17">
        <f t="shared" si="58"/>
        <v>-5.1229269429448089E-2</v>
      </c>
      <c r="X910" s="15" t="str">
        <f t="shared" si="59"/>
        <v>Média/Pequena</v>
      </c>
      <c r="Y910" s="121" t="str" cm="1">
        <f t="array" ref="Y910">_xlfn.IFS(ISNUMBER(W910)=FALSE,"Sem dado",W910&gt;0.075,"Excelente",W910&gt;0.04,"Bom",W910&gt;0,"Fraco",TRUE,"Prejuízo")</f>
        <v>Prejuízo</v>
      </c>
    </row>
    <row r="911" spans="1:25" ht="15" customHeight="1" x14ac:dyDescent="0.2">
      <c r="A911" s="12" t="s">
        <v>1917</v>
      </c>
      <c r="B911" s="56">
        <v>34006497</v>
      </c>
      <c r="C911" s="12" t="s">
        <v>1918</v>
      </c>
      <c r="D911" s="12"/>
      <c r="E911" s="12" t="s">
        <v>1919</v>
      </c>
      <c r="F911" s="12" t="s">
        <v>84</v>
      </c>
      <c r="G911" s="33">
        <v>3</v>
      </c>
      <c r="H911" s="33">
        <v>41</v>
      </c>
      <c r="I911" s="12" t="s">
        <v>38</v>
      </c>
      <c r="J911" s="12" t="s">
        <v>39</v>
      </c>
      <c r="K911" s="73" t="s">
        <v>29</v>
      </c>
      <c r="L911" s="13">
        <v>143904</v>
      </c>
      <c r="M911" s="13">
        <v>0</v>
      </c>
      <c r="N911" s="13">
        <v>108916</v>
      </c>
      <c r="O911" s="13">
        <v>131207</v>
      </c>
      <c r="P911" s="13">
        <v>107026</v>
      </c>
      <c r="Q911" s="13">
        <v>12698</v>
      </c>
      <c r="R911" s="13">
        <v>4763</v>
      </c>
      <c r="S911" s="13">
        <v>1</v>
      </c>
      <c r="T911" s="13">
        <v>0</v>
      </c>
      <c r="U911" s="12" t="str">
        <f t="shared" si="56"/>
        <v>Privado Estrangeiro</v>
      </c>
      <c r="V911" s="14">
        <f t="shared" si="57"/>
        <v>0</v>
      </c>
      <c r="W911" s="14">
        <f t="shared" si="58"/>
        <v>0.37509844069932274</v>
      </c>
      <c r="X911" s="12" t="str">
        <f t="shared" si="59"/>
        <v>Média/Pequena</v>
      </c>
      <c r="Y911" s="122" t="str" cm="1">
        <f t="array" ref="Y911">_xlfn.IFS(ISNUMBER(W911)=FALSE,"Sem dado",W911&gt;0.075,"Excelente",W911&gt;0.04,"Bom",W911&gt;0,"Fraco",TRUE,"Prejuízo")</f>
        <v>Excelente</v>
      </c>
    </row>
    <row r="912" spans="1:25" ht="15" customHeight="1" x14ac:dyDescent="0.2">
      <c r="A912" s="15" t="s">
        <v>1920</v>
      </c>
      <c r="B912" s="60">
        <v>6324872</v>
      </c>
      <c r="C912" s="15"/>
      <c r="D912" s="15"/>
      <c r="E912" s="15"/>
      <c r="F912" s="15" t="s">
        <v>265</v>
      </c>
      <c r="G912" s="34">
        <v>2</v>
      </c>
      <c r="H912" s="34">
        <v>9</v>
      </c>
      <c r="I912" s="15" t="s">
        <v>973</v>
      </c>
      <c r="J912" s="15" t="s">
        <v>120</v>
      </c>
      <c r="K912" s="74" t="s">
        <v>29</v>
      </c>
      <c r="L912" s="16">
        <v>143478</v>
      </c>
      <c r="M912" s="16">
        <v>56530</v>
      </c>
      <c r="N912" s="16">
        <v>2607</v>
      </c>
      <c r="O912" s="16">
        <v>123131</v>
      </c>
      <c r="P912" s="16">
        <v>119496</v>
      </c>
      <c r="Q912" s="16">
        <v>20348</v>
      </c>
      <c r="R912" s="16">
        <v>1601</v>
      </c>
      <c r="S912" s="16">
        <v>0</v>
      </c>
      <c r="T912" s="16">
        <v>3</v>
      </c>
      <c r="U912" s="15" t="str">
        <f t="shared" si="56"/>
        <v>Privado Nacional</v>
      </c>
      <c r="V912" s="17">
        <f t="shared" si="57"/>
        <v>0.3939976860563989</v>
      </c>
      <c r="W912" s="17">
        <f t="shared" si="58"/>
        <v>7.868095144485944E-2</v>
      </c>
      <c r="X912" s="15" t="str">
        <f t="shared" si="59"/>
        <v>Média/Pequena</v>
      </c>
      <c r="Y912" s="121" t="str" cm="1">
        <f t="array" ref="Y912">_xlfn.IFS(ISNUMBER(W912)=FALSE,"Sem dado",W912&gt;0.075,"Excelente",W912&gt;0.04,"Bom",W912&gt;0,"Fraco",TRUE,"Prejuízo")</f>
        <v>Excelente</v>
      </c>
    </row>
    <row r="913" spans="1:25" ht="15" customHeight="1" x14ac:dyDescent="0.2">
      <c r="A913" s="12" t="s">
        <v>1921</v>
      </c>
      <c r="B913" s="56">
        <v>44815065</v>
      </c>
      <c r="C913" s="12" t="s">
        <v>1922</v>
      </c>
      <c r="D913" s="12"/>
      <c r="E913" s="12" t="s">
        <v>1923</v>
      </c>
      <c r="F913" s="12" t="s">
        <v>84</v>
      </c>
      <c r="G913" s="33">
        <v>3</v>
      </c>
      <c r="H913" s="33">
        <v>41</v>
      </c>
      <c r="I913" s="12" t="s">
        <v>38</v>
      </c>
      <c r="J913" s="12" t="s">
        <v>39</v>
      </c>
      <c r="K913" s="73" t="s">
        <v>29</v>
      </c>
      <c r="L913" s="13">
        <v>142911</v>
      </c>
      <c r="M913" s="13">
        <v>0</v>
      </c>
      <c r="N913" s="13">
        <v>0</v>
      </c>
      <c r="O913" s="13">
        <v>127670</v>
      </c>
      <c r="P913" s="13">
        <v>125575</v>
      </c>
      <c r="Q913" s="13">
        <v>15241</v>
      </c>
      <c r="R913" s="13">
        <v>4916</v>
      </c>
      <c r="S913" s="13">
        <v>1</v>
      </c>
      <c r="T913" s="13">
        <v>0</v>
      </c>
      <c r="U913" s="12" t="str">
        <f t="shared" si="56"/>
        <v>Privado Estrangeiro</v>
      </c>
      <c r="V913" s="14">
        <f t="shared" si="57"/>
        <v>0</v>
      </c>
      <c r="W913" s="14">
        <f t="shared" si="58"/>
        <v>0.32255101371301098</v>
      </c>
      <c r="X913" s="12" t="str">
        <f t="shared" si="59"/>
        <v>Média/Pequena</v>
      </c>
      <c r="Y913" s="122" t="str" cm="1">
        <f t="array" ref="Y913">_xlfn.IFS(ISNUMBER(W913)=FALSE,"Sem dado",W913&gt;0.075,"Excelente",W913&gt;0.04,"Bom",W913&gt;0,"Fraco",TRUE,"Prejuízo")</f>
        <v>Excelente</v>
      </c>
    </row>
    <row r="914" spans="1:25" ht="15" customHeight="1" x14ac:dyDescent="0.2">
      <c r="A914" s="15" t="s">
        <v>1924</v>
      </c>
      <c r="B914" s="60">
        <v>1648418</v>
      </c>
      <c r="C914" s="15" t="s">
        <v>1925</v>
      </c>
      <c r="D914" s="15"/>
      <c r="E914" s="15" t="s">
        <v>1926</v>
      </c>
      <c r="F914" s="15" t="s">
        <v>84</v>
      </c>
      <c r="G914" s="34">
        <v>2</v>
      </c>
      <c r="H914" s="34">
        <v>41</v>
      </c>
      <c r="I914" s="15" t="s">
        <v>107</v>
      </c>
      <c r="J914" s="15" t="s">
        <v>39</v>
      </c>
      <c r="K914" s="74" t="s">
        <v>29</v>
      </c>
      <c r="L914" s="16">
        <v>141946</v>
      </c>
      <c r="M914" s="16">
        <v>0</v>
      </c>
      <c r="N914" s="16">
        <v>48623</v>
      </c>
      <c r="O914" s="16">
        <v>115334</v>
      </c>
      <c r="P914" s="16">
        <v>37206</v>
      </c>
      <c r="Q914" s="16">
        <v>26612</v>
      </c>
      <c r="R914" s="16">
        <v>7996</v>
      </c>
      <c r="S914" s="16">
        <v>1</v>
      </c>
      <c r="T914" s="16">
        <v>0</v>
      </c>
      <c r="U914" s="15" t="str">
        <f t="shared" si="56"/>
        <v>Privado Nacional</v>
      </c>
      <c r="V914" s="17">
        <f t="shared" si="57"/>
        <v>0</v>
      </c>
      <c r="W914" s="17">
        <f t="shared" si="58"/>
        <v>0.30046595520817676</v>
      </c>
      <c r="X914" s="15" t="str">
        <f t="shared" si="59"/>
        <v>Média/Pequena</v>
      </c>
      <c r="Y914" s="121" t="str" cm="1">
        <f t="array" ref="Y914">_xlfn.IFS(ISNUMBER(W914)=FALSE,"Sem dado",W914&gt;0.075,"Excelente",W914&gt;0.04,"Bom",W914&gt;0,"Fraco",TRUE,"Prejuízo")</f>
        <v>Excelente</v>
      </c>
    </row>
    <row r="915" spans="1:25" ht="15" customHeight="1" x14ac:dyDescent="0.2">
      <c r="A915" s="12" t="s">
        <v>1927</v>
      </c>
      <c r="B915" s="56">
        <v>43488782</v>
      </c>
      <c r="C915" s="12"/>
      <c r="D915" s="12"/>
      <c r="E915" s="12"/>
      <c r="F915" s="12" t="s">
        <v>265</v>
      </c>
      <c r="G915" s="33">
        <v>2</v>
      </c>
      <c r="H915" s="33">
        <v>9</v>
      </c>
      <c r="I915" s="12" t="s">
        <v>38</v>
      </c>
      <c r="J915" s="12" t="s">
        <v>39</v>
      </c>
      <c r="K915" s="73" t="s">
        <v>29</v>
      </c>
      <c r="L915" s="13">
        <v>141922</v>
      </c>
      <c r="M915" s="13">
        <v>102011</v>
      </c>
      <c r="N915" s="13">
        <v>33011</v>
      </c>
      <c r="O915" s="13">
        <v>15016</v>
      </c>
      <c r="P915" s="13">
        <v>0</v>
      </c>
      <c r="Q915" s="13">
        <v>126906</v>
      </c>
      <c r="R915" s="13">
        <v>10069</v>
      </c>
      <c r="S915" s="13">
        <v>0</v>
      </c>
      <c r="T915" s="13">
        <v>0</v>
      </c>
      <c r="U915" s="12" t="str">
        <f t="shared" si="56"/>
        <v>Privado Nacional</v>
      </c>
      <c r="V915" s="14">
        <f t="shared" si="57"/>
        <v>0.71878214794041795</v>
      </c>
      <c r="W915" s="14">
        <f t="shared" si="58"/>
        <v>7.9342190282571348E-2</v>
      </c>
      <c r="X915" s="12" t="str">
        <f t="shared" si="59"/>
        <v>Média/Pequena</v>
      </c>
      <c r="Y915" s="122" t="str" cm="1">
        <f t="array" ref="Y915">_xlfn.IFS(ISNUMBER(W915)=FALSE,"Sem dado",W915&gt;0.075,"Excelente",W915&gt;0.04,"Bom",W915&gt;0,"Fraco",TRUE,"Prejuízo")</f>
        <v>Excelente</v>
      </c>
    </row>
    <row r="916" spans="1:25" ht="15" customHeight="1" x14ac:dyDescent="0.2">
      <c r="A916" s="15" t="s">
        <v>1928</v>
      </c>
      <c r="B916" s="60">
        <v>1709266</v>
      </c>
      <c r="C916" s="15"/>
      <c r="D916" s="15"/>
      <c r="E916" s="15"/>
      <c r="F916" s="15" t="s">
        <v>265</v>
      </c>
      <c r="G916" s="34">
        <v>2</v>
      </c>
      <c r="H916" s="34">
        <v>9</v>
      </c>
      <c r="I916" s="15" t="s">
        <v>1087</v>
      </c>
      <c r="J916" s="15" t="s">
        <v>120</v>
      </c>
      <c r="K916" s="74" t="s">
        <v>29</v>
      </c>
      <c r="L916" s="16">
        <v>140128</v>
      </c>
      <c r="M916" s="16">
        <v>75758</v>
      </c>
      <c r="N916" s="16">
        <v>3855</v>
      </c>
      <c r="O916" s="16">
        <v>122531</v>
      </c>
      <c r="P916" s="16">
        <v>107514</v>
      </c>
      <c r="Q916" s="16">
        <v>17597</v>
      </c>
      <c r="R916" s="16">
        <v>1193</v>
      </c>
      <c r="S916" s="16">
        <v>0</v>
      </c>
      <c r="T916" s="16">
        <v>0</v>
      </c>
      <c r="U916" s="15" t="str">
        <f t="shared" si="56"/>
        <v>Privado Nacional</v>
      </c>
      <c r="V916" s="17">
        <f t="shared" si="57"/>
        <v>0.54063427723224478</v>
      </c>
      <c r="W916" s="17">
        <f t="shared" si="58"/>
        <v>6.779564698528158E-2</v>
      </c>
      <c r="X916" s="15" t="str">
        <f t="shared" si="59"/>
        <v>Média/Pequena</v>
      </c>
      <c r="Y916" s="121" t="str" cm="1">
        <f t="array" ref="Y916">_xlfn.IFS(ISNUMBER(W916)=FALSE,"Sem dado",W916&gt;0.075,"Excelente",W916&gt;0.04,"Bom",W916&gt;0,"Fraco",TRUE,"Prejuízo")</f>
        <v>Bom</v>
      </c>
    </row>
    <row r="917" spans="1:25" ht="15" customHeight="1" x14ac:dyDescent="0.2">
      <c r="A917" s="12" t="s">
        <v>1929</v>
      </c>
      <c r="B917" s="56">
        <v>33894445</v>
      </c>
      <c r="C917" s="12" t="s">
        <v>464</v>
      </c>
      <c r="D917" s="12" t="s">
        <v>465</v>
      </c>
      <c r="E917" s="12" t="s">
        <v>466</v>
      </c>
      <c r="F917" s="12" t="s">
        <v>98</v>
      </c>
      <c r="G917" s="33">
        <v>3</v>
      </c>
      <c r="H917" s="33">
        <v>15</v>
      </c>
      <c r="I917" s="12" t="s">
        <v>38</v>
      </c>
      <c r="J917" s="12" t="s">
        <v>39</v>
      </c>
      <c r="K917" s="73" t="s">
        <v>29</v>
      </c>
      <c r="L917" s="13">
        <v>139852</v>
      </c>
      <c r="M917" s="13">
        <v>0</v>
      </c>
      <c r="N917" s="13">
        <v>37153</v>
      </c>
      <c r="O917" s="13">
        <v>27461</v>
      </c>
      <c r="P917" s="13">
        <v>0</v>
      </c>
      <c r="Q917" s="13">
        <v>112391</v>
      </c>
      <c r="R917" s="13">
        <v>2530</v>
      </c>
      <c r="S917" s="13">
        <v>2</v>
      </c>
      <c r="T917" s="13">
        <v>0</v>
      </c>
      <c r="U917" s="12" t="str">
        <f t="shared" si="56"/>
        <v>Privado Estrangeiro</v>
      </c>
      <c r="V917" s="14">
        <f t="shared" si="57"/>
        <v>0</v>
      </c>
      <c r="W917" s="14">
        <f t="shared" si="58"/>
        <v>2.2510699255278446E-2</v>
      </c>
      <c r="X917" s="12" t="str">
        <f t="shared" si="59"/>
        <v>Média/Pequena</v>
      </c>
      <c r="Y917" s="122" t="str" cm="1">
        <f t="array" ref="Y917">_xlfn.IFS(ISNUMBER(W917)=FALSE,"Sem dado",W917&gt;0.075,"Excelente",W917&gt;0.04,"Bom",W917&gt;0,"Fraco",TRUE,"Prejuízo")</f>
        <v>Fraco</v>
      </c>
    </row>
    <row r="918" spans="1:25" ht="15" customHeight="1" x14ac:dyDescent="0.2">
      <c r="A918" s="15" t="s">
        <v>1930</v>
      </c>
      <c r="B918" s="60">
        <v>4715685</v>
      </c>
      <c r="C918" s="15"/>
      <c r="D918" s="15"/>
      <c r="E918" s="15"/>
      <c r="F918" s="15" t="s">
        <v>265</v>
      </c>
      <c r="G918" s="34">
        <v>2</v>
      </c>
      <c r="H918" s="34">
        <v>9</v>
      </c>
      <c r="I918" s="15" t="s">
        <v>216</v>
      </c>
      <c r="J918" s="15" t="s">
        <v>217</v>
      </c>
      <c r="K918" s="74" t="s">
        <v>29</v>
      </c>
      <c r="L918" s="16">
        <v>139803</v>
      </c>
      <c r="M918" s="16">
        <v>43133</v>
      </c>
      <c r="N918" s="16">
        <v>11048</v>
      </c>
      <c r="O918" s="16">
        <v>102566</v>
      </c>
      <c r="P918" s="16">
        <v>64583</v>
      </c>
      <c r="Q918" s="16">
        <v>37237</v>
      </c>
      <c r="R918" s="16">
        <v>50</v>
      </c>
      <c r="S918" s="16">
        <v>0</v>
      </c>
      <c r="T918" s="16">
        <v>2</v>
      </c>
      <c r="U918" s="15" t="str">
        <f t="shared" si="56"/>
        <v>Privado Nacional</v>
      </c>
      <c r="V918" s="17">
        <f t="shared" si="57"/>
        <v>0.30852699870532108</v>
      </c>
      <c r="W918" s="17">
        <f t="shared" si="58"/>
        <v>1.342750490103929E-3</v>
      </c>
      <c r="X918" s="15" t="str">
        <f t="shared" si="59"/>
        <v>Média/Pequena</v>
      </c>
      <c r="Y918" s="121" t="str" cm="1">
        <f t="array" ref="Y918">_xlfn.IFS(ISNUMBER(W918)=FALSE,"Sem dado",W918&gt;0.075,"Excelente",W918&gt;0.04,"Bom",W918&gt;0,"Fraco",TRUE,"Prejuízo")</f>
        <v>Fraco</v>
      </c>
    </row>
    <row r="919" spans="1:25" ht="15" customHeight="1" x14ac:dyDescent="0.2">
      <c r="A919" s="12" t="s">
        <v>1931</v>
      </c>
      <c r="B919" s="56">
        <v>64293582</v>
      </c>
      <c r="C919" s="12"/>
      <c r="D919" s="12"/>
      <c r="E919" s="12"/>
      <c r="F919" s="12" t="s">
        <v>265</v>
      </c>
      <c r="G919" s="33">
        <v>2</v>
      </c>
      <c r="H919" s="33">
        <v>9</v>
      </c>
      <c r="I919" s="12" t="s">
        <v>119</v>
      </c>
      <c r="J919" s="12" t="s">
        <v>120</v>
      </c>
      <c r="K919" s="73" t="s">
        <v>29</v>
      </c>
      <c r="L919" s="13">
        <v>139599</v>
      </c>
      <c r="M919" s="13">
        <v>102504</v>
      </c>
      <c r="N919" s="13">
        <v>27555</v>
      </c>
      <c r="O919" s="13">
        <v>10733</v>
      </c>
      <c r="P919" s="13">
        <v>0</v>
      </c>
      <c r="Q919" s="13">
        <v>128866</v>
      </c>
      <c r="R919" s="13">
        <v>10255</v>
      </c>
      <c r="S919" s="13">
        <v>0</v>
      </c>
      <c r="T919" s="13">
        <v>1</v>
      </c>
      <c r="U919" s="12" t="str">
        <f t="shared" si="56"/>
        <v>Privado Nacional</v>
      </c>
      <c r="V919" s="14">
        <f t="shared" si="57"/>
        <v>0.73427460082092277</v>
      </c>
      <c r="W919" s="14">
        <f t="shared" si="58"/>
        <v>7.9578787267394036E-2</v>
      </c>
      <c r="X919" s="12" t="str">
        <f t="shared" si="59"/>
        <v>Média/Pequena</v>
      </c>
      <c r="Y919" s="122" t="str" cm="1">
        <f t="array" ref="Y919">_xlfn.IFS(ISNUMBER(W919)=FALSE,"Sem dado",W919&gt;0.075,"Excelente",W919&gt;0.04,"Bom",W919&gt;0,"Fraco",TRUE,"Prejuízo")</f>
        <v>Excelente</v>
      </c>
    </row>
    <row r="920" spans="1:25" ht="15" customHeight="1" x14ac:dyDescent="0.2">
      <c r="A920" s="15" t="s">
        <v>1932</v>
      </c>
      <c r="B920" s="60">
        <v>5667301</v>
      </c>
      <c r="C920" s="15"/>
      <c r="D920" s="15"/>
      <c r="E920" s="15"/>
      <c r="F920" s="15" t="s">
        <v>265</v>
      </c>
      <c r="G920" s="34">
        <v>2</v>
      </c>
      <c r="H920" s="34">
        <v>9</v>
      </c>
      <c r="I920" s="15" t="s">
        <v>1933</v>
      </c>
      <c r="J920" s="15" t="s">
        <v>39</v>
      </c>
      <c r="K920" s="74" t="s">
        <v>29</v>
      </c>
      <c r="L920" s="16">
        <v>137647</v>
      </c>
      <c r="M920" s="16">
        <v>56397</v>
      </c>
      <c r="N920" s="16">
        <v>67689</v>
      </c>
      <c r="O920" s="16">
        <v>99057</v>
      </c>
      <c r="P920" s="16">
        <v>93957</v>
      </c>
      <c r="Q920" s="16">
        <v>38590</v>
      </c>
      <c r="R920" s="16">
        <v>-288</v>
      </c>
      <c r="S920" s="16">
        <v>0</v>
      </c>
      <c r="T920" s="16">
        <v>5</v>
      </c>
      <c r="U920" s="15" t="str">
        <f t="shared" si="56"/>
        <v>Privado Nacional</v>
      </c>
      <c r="V920" s="17">
        <f t="shared" si="57"/>
        <v>0.40972196996665383</v>
      </c>
      <c r="W920" s="17">
        <f t="shared" si="58"/>
        <v>-7.4630733350608963E-3</v>
      </c>
      <c r="X920" s="15" t="str">
        <f t="shared" si="59"/>
        <v>Média/Pequena</v>
      </c>
      <c r="Y920" s="121" t="str" cm="1">
        <f t="array" ref="Y920">_xlfn.IFS(ISNUMBER(W920)=FALSE,"Sem dado",W920&gt;0.075,"Excelente",W920&gt;0.04,"Bom",W920&gt;0,"Fraco",TRUE,"Prejuízo")</f>
        <v>Prejuízo</v>
      </c>
    </row>
    <row r="921" spans="1:25" ht="15" customHeight="1" x14ac:dyDescent="0.2">
      <c r="A921" s="12" t="s">
        <v>1934</v>
      </c>
      <c r="B921" s="56">
        <v>43394419</v>
      </c>
      <c r="C921" s="12" t="s">
        <v>1935</v>
      </c>
      <c r="D921" s="12"/>
      <c r="E921" s="12" t="s">
        <v>1936</v>
      </c>
      <c r="F921" s="12" t="s">
        <v>84</v>
      </c>
      <c r="G921" s="33">
        <v>3</v>
      </c>
      <c r="H921" s="33">
        <v>41</v>
      </c>
      <c r="I921" s="12" t="s">
        <v>38</v>
      </c>
      <c r="J921" s="12" t="s">
        <v>39</v>
      </c>
      <c r="K921" s="73" t="s">
        <v>29</v>
      </c>
      <c r="L921" s="13">
        <v>137482</v>
      </c>
      <c r="M921" s="13">
        <v>0</v>
      </c>
      <c r="N921" s="13">
        <v>128728</v>
      </c>
      <c r="O921" s="13">
        <v>7569</v>
      </c>
      <c r="P921" s="13">
        <v>0</v>
      </c>
      <c r="Q921" s="13">
        <v>129913</v>
      </c>
      <c r="R921" s="13">
        <v>3234</v>
      </c>
      <c r="S921" s="13">
        <v>1</v>
      </c>
      <c r="T921" s="13">
        <v>0</v>
      </c>
      <c r="U921" s="12" t="str">
        <f t="shared" si="56"/>
        <v>Privado Estrangeiro</v>
      </c>
      <c r="V921" s="14">
        <f t="shared" si="57"/>
        <v>0</v>
      </c>
      <c r="W921" s="14">
        <f t="shared" si="58"/>
        <v>2.4893582628374374E-2</v>
      </c>
      <c r="X921" s="12" t="str">
        <f t="shared" si="59"/>
        <v>Média/Pequena</v>
      </c>
      <c r="Y921" s="122" t="str" cm="1">
        <f t="array" ref="Y921">_xlfn.IFS(ISNUMBER(W921)=FALSE,"Sem dado",W921&gt;0.075,"Excelente",W921&gt;0.04,"Bom",W921&gt;0,"Fraco",TRUE,"Prejuízo")</f>
        <v>Fraco</v>
      </c>
    </row>
    <row r="922" spans="1:25" ht="15" customHeight="1" x14ac:dyDescent="0.2">
      <c r="A922" s="15" t="s">
        <v>1937</v>
      </c>
      <c r="B922" s="60">
        <v>19875244</v>
      </c>
      <c r="C922" s="15"/>
      <c r="D922" s="15"/>
      <c r="E922" s="15"/>
      <c r="F922" s="15" t="s">
        <v>265</v>
      </c>
      <c r="G922" s="34">
        <v>2</v>
      </c>
      <c r="H922" s="34">
        <v>9</v>
      </c>
      <c r="I922" s="15" t="s">
        <v>1938</v>
      </c>
      <c r="J922" s="15" t="s">
        <v>120</v>
      </c>
      <c r="K922" s="74" t="s">
        <v>29</v>
      </c>
      <c r="L922" s="16">
        <v>137177</v>
      </c>
      <c r="M922" s="16">
        <v>48934</v>
      </c>
      <c r="N922" s="16">
        <v>8505</v>
      </c>
      <c r="O922" s="16">
        <v>102326</v>
      </c>
      <c r="P922" s="16">
        <v>97153</v>
      </c>
      <c r="Q922" s="16">
        <v>34851</v>
      </c>
      <c r="R922" s="16">
        <v>122</v>
      </c>
      <c r="S922" s="16">
        <v>0</v>
      </c>
      <c r="T922" s="16">
        <v>4</v>
      </c>
      <c r="U922" s="15" t="str">
        <f t="shared" si="56"/>
        <v>Privado Nacional</v>
      </c>
      <c r="V922" s="17">
        <f t="shared" si="57"/>
        <v>0.35672160784971241</v>
      </c>
      <c r="W922" s="17">
        <f t="shared" si="58"/>
        <v>3.5006169119967865E-3</v>
      </c>
      <c r="X922" s="15" t="str">
        <f t="shared" si="59"/>
        <v>Média/Pequena</v>
      </c>
      <c r="Y922" s="121" t="str" cm="1">
        <f t="array" ref="Y922">_xlfn.IFS(ISNUMBER(W922)=FALSE,"Sem dado",W922&gt;0.075,"Excelente",W922&gt;0.04,"Bom",W922&gt;0,"Fraco",TRUE,"Prejuízo")</f>
        <v>Fraco</v>
      </c>
    </row>
    <row r="923" spans="1:25" ht="15" customHeight="1" x14ac:dyDescent="0.2">
      <c r="A923" s="12" t="s">
        <v>1939</v>
      </c>
      <c r="B923" s="56">
        <v>3862898</v>
      </c>
      <c r="C923" s="12"/>
      <c r="D923" s="12"/>
      <c r="E923" s="12"/>
      <c r="F923" s="12" t="s">
        <v>265</v>
      </c>
      <c r="G923" s="33">
        <v>2</v>
      </c>
      <c r="H923" s="33">
        <v>9</v>
      </c>
      <c r="I923" s="12" t="s">
        <v>119</v>
      </c>
      <c r="J923" s="12" t="s">
        <v>120</v>
      </c>
      <c r="K923" s="73" t="s">
        <v>29</v>
      </c>
      <c r="L923" s="13">
        <v>135283</v>
      </c>
      <c r="M923" s="13">
        <v>62730</v>
      </c>
      <c r="N923" s="13">
        <v>5774</v>
      </c>
      <c r="O923" s="13">
        <v>94043</v>
      </c>
      <c r="P923" s="13">
        <v>90756</v>
      </c>
      <c r="Q923" s="13">
        <v>41239</v>
      </c>
      <c r="R923" s="13">
        <v>2833</v>
      </c>
      <c r="S923" s="13">
        <v>0</v>
      </c>
      <c r="T923" s="13">
        <v>2</v>
      </c>
      <c r="U923" s="12" t="str">
        <f t="shared" si="56"/>
        <v>Privado Nacional</v>
      </c>
      <c r="V923" s="14">
        <f t="shared" si="57"/>
        <v>0.4636946253409519</v>
      </c>
      <c r="W923" s="14">
        <f t="shared" si="58"/>
        <v>6.8697107107349845E-2</v>
      </c>
      <c r="X923" s="12" t="str">
        <f t="shared" si="59"/>
        <v>Média/Pequena</v>
      </c>
      <c r="Y923" s="122" t="str" cm="1">
        <f t="array" ref="Y923">_xlfn.IFS(ISNUMBER(W923)=FALSE,"Sem dado",W923&gt;0.075,"Excelente",W923&gt;0.04,"Bom",W923&gt;0,"Fraco",TRUE,"Prejuízo")</f>
        <v>Bom</v>
      </c>
    </row>
    <row r="924" spans="1:25" ht="15" customHeight="1" x14ac:dyDescent="0.2">
      <c r="A924" s="15" t="s">
        <v>1940</v>
      </c>
      <c r="B924" s="60">
        <v>44705774</v>
      </c>
      <c r="C924" s="15" t="s">
        <v>1941</v>
      </c>
      <c r="D924" s="15"/>
      <c r="E924" s="15" t="s">
        <v>1942</v>
      </c>
      <c r="F924" s="15" t="s">
        <v>65</v>
      </c>
      <c r="G924" s="34">
        <v>2</v>
      </c>
      <c r="H924" s="34">
        <v>43</v>
      </c>
      <c r="I924" s="15" t="s">
        <v>132</v>
      </c>
      <c r="J924" s="15" t="s">
        <v>133</v>
      </c>
      <c r="K924" s="74" t="s">
        <v>29</v>
      </c>
      <c r="L924" s="16">
        <v>135180</v>
      </c>
      <c r="M924" s="16">
        <v>12644</v>
      </c>
      <c r="N924" s="16">
        <v>54431</v>
      </c>
      <c r="O924" s="16">
        <v>119318</v>
      </c>
      <c r="P924" s="16">
        <v>86496</v>
      </c>
      <c r="Q924" s="16">
        <v>15861</v>
      </c>
      <c r="R924" s="16">
        <v>5453</v>
      </c>
      <c r="S924" s="16">
        <v>2</v>
      </c>
      <c r="T924" s="16">
        <v>0</v>
      </c>
      <c r="U924" s="15" t="str">
        <f t="shared" si="56"/>
        <v>Privado Nacional</v>
      </c>
      <c r="V924" s="17">
        <f t="shared" si="57"/>
        <v>9.3534546530551863E-2</v>
      </c>
      <c r="W924" s="17">
        <f t="shared" si="58"/>
        <v>0.34379925603681988</v>
      </c>
      <c r="X924" s="15" t="str">
        <f t="shared" si="59"/>
        <v>Média/Pequena</v>
      </c>
      <c r="Y924" s="121" t="str" cm="1">
        <f t="array" ref="Y924">_xlfn.IFS(ISNUMBER(W924)=FALSE,"Sem dado",W924&gt;0.075,"Excelente",W924&gt;0.04,"Bom",W924&gt;0,"Fraco",TRUE,"Prejuízo")</f>
        <v>Excelente</v>
      </c>
    </row>
    <row r="925" spans="1:25" ht="15" customHeight="1" x14ac:dyDescent="0.2">
      <c r="A925" s="12" t="s">
        <v>1943</v>
      </c>
      <c r="B925" s="56">
        <v>4894460</v>
      </c>
      <c r="C925" s="12"/>
      <c r="D925" s="12"/>
      <c r="E925" s="12"/>
      <c r="F925" s="12" t="s">
        <v>265</v>
      </c>
      <c r="G925" s="33">
        <v>2</v>
      </c>
      <c r="H925" s="33">
        <v>9</v>
      </c>
      <c r="I925" s="12" t="s">
        <v>119</v>
      </c>
      <c r="J925" s="12" t="s">
        <v>120</v>
      </c>
      <c r="K925" s="73" t="s">
        <v>29</v>
      </c>
      <c r="L925" s="13">
        <v>134839</v>
      </c>
      <c r="M925" s="13">
        <v>52448</v>
      </c>
      <c r="N925" s="13">
        <v>4743</v>
      </c>
      <c r="O925" s="13">
        <v>76559</v>
      </c>
      <c r="P925" s="13">
        <v>69734</v>
      </c>
      <c r="Q925" s="13">
        <v>58280</v>
      </c>
      <c r="R925" s="13">
        <v>3974</v>
      </c>
      <c r="S925" s="13">
        <v>0</v>
      </c>
      <c r="T925" s="13">
        <v>2</v>
      </c>
      <c r="U925" s="12" t="str">
        <f t="shared" si="56"/>
        <v>Privado Nacional</v>
      </c>
      <c r="V925" s="14">
        <f t="shared" si="57"/>
        <v>0.38896758356261912</v>
      </c>
      <c r="W925" s="14">
        <f t="shared" si="58"/>
        <v>6.8188057652711048E-2</v>
      </c>
      <c r="X925" s="12" t="str">
        <f t="shared" si="59"/>
        <v>Média/Pequena</v>
      </c>
      <c r="Y925" s="122" t="str" cm="1">
        <f t="array" ref="Y925">_xlfn.IFS(ISNUMBER(W925)=FALSE,"Sem dado",W925&gt;0.075,"Excelente",W925&gt;0.04,"Bom",W925&gt;0,"Fraco",TRUE,"Prejuízo")</f>
        <v>Bom</v>
      </c>
    </row>
    <row r="926" spans="1:25" ht="15" customHeight="1" x14ac:dyDescent="0.2">
      <c r="A926" s="15" t="s">
        <v>1944</v>
      </c>
      <c r="B926" s="60">
        <v>49931906</v>
      </c>
      <c r="C926" s="15" t="s">
        <v>1945</v>
      </c>
      <c r="D926" s="15"/>
      <c r="E926" s="15" t="s">
        <v>1946</v>
      </c>
      <c r="F926" s="15" t="s">
        <v>84</v>
      </c>
      <c r="G926" s="34">
        <v>2</v>
      </c>
      <c r="H926" s="34">
        <v>41</v>
      </c>
      <c r="I926" s="15" t="s">
        <v>228</v>
      </c>
      <c r="J926" s="15" t="s">
        <v>229</v>
      </c>
      <c r="K926" s="74" t="s">
        <v>29</v>
      </c>
      <c r="L926" s="16">
        <v>133814</v>
      </c>
      <c r="M926" s="16">
        <v>0</v>
      </c>
      <c r="N926" s="16">
        <v>5115</v>
      </c>
      <c r="O926" s="16">
        <v>122796</v>
      </c>
      <c r="P926" s="16">
        <v>121830</v>
      </c>
      <c r="Q926" s="16">
        <v>11018</v>
      </c>
      <c r="R926" s="16">
        <v>1514</v>
      </c>
      <c r="S926" s="16">
        <v>1</v>
      </c>
      <c r="T926" s="16">
        <v>0</v>
      </c>
      <c r="U926" s="15" t="str">
        <f t="shared" si="56"/>
        <v>Privado Nacional</v>
      </c>
      <c r="V926" s="17">
        <f t="shared" si="57"/>
        <v>0</v>
      </c>
      <c r="W926" s="17">
        <f t="shared" si="58"/>
        <v>0.13741150844073335</v>
      </c>
      <c r="X926" s="15" t="str">
        <f t="shared" si="59"/>
        <v>Média/Pequena</v>
      </c>
      <c r="Y926" s="121" t="str" cm="1">
        <f t="array" ref="Y926">_xlfn.IFS(ISNUMBER(W926)=FALSE,"Sem dado",W926&gt;0.075,"Excelente",W926&gt;0.04,"Bom",W926&gt;0,"Fraco",TRUE,"Prejuízo")</f>
        <v>Excelente</v>
      </c>
    </row>
    <row r="927" spans="1:25" ht="15" customHeight="1" x14ac:dyDescent="0.2">
      <c r="A927" s="12" t="s">
        <v>1947</v>
      </c>
      <c r="B927" s="56">
        <v>11414839</v>
      </c>
      <c r="C927" s="12" t="s">
        <v>1948</v>
      </c>
      <c r="D927" s="12"/>
      <c r="E927" s="12" t="s">
        <v>1949</v>
      </c>
      <c r="F927" s="12" t="s">
        <v>84</v>
      </c>
      <c r="G927" s="33">
        <v>2</v>
      </c>
      <c r="H927" s="33">
        <v>41</v>
      </c>
      <c r="I927" s="12" t="s">
        <v>73</v>
      </c>
      <c r="J927" s="12" t="s">
        <v>74</v>
      </c>
      <c r="K927" s="73" t="s">
        <v>29</v>
      </c>
      <c r="L927" s="13">
        <v>133376</v>
      </c>
      <c r="M927" s="13">
        <v>0</v>
      </c>
      <c r="N927" s="13">
        <v>121733</v>
      </c>
      <c r="O927" s="13">
        <v>6074</v>
      </c>
      <c r="P927" s="13">
        <v>0</v>
      </c>
      <c r="Q927" s="13">
        <v>127302</v>
      </c>
      <c r="R927" s="13">
        <v>5055</v>
      </c>
      <c r="S927" s="13">
        <v>1</v>
      </c>
      <c r="T927" s="13">
        <v>0</v>
      </c>
      <c r="U927" s="12" t="str">
        <f t="shared" si="56"/>
        <v>Privado Nacional</v>
      </c>
      <c r="V927" s="14">
        <f t="shared" si="57"/>
        <v>0</v>
      </c>
      <c r="W927" s="14">
        <f t="shared" si="58"/>
        <v>3.9708724136305794E-2</v>
      </c>
      <c r="X927" s="12" t="str">
        <f t="shared" si="59"/>
        <v>Média/Pequena</v>
      </c>
      <c r="Y927" s="122" t="str" cm="1">
        <f t="array" ref="Y927">_xlfn.IFS(ISNUMBER(W927)=FALSE,"Sem dado",W927&gt;0.075,"Excelente",W927&gt;0.04,"Bom",W927&gt;0,"Fraco",TRUE,"Prejuízo")</f>
        <v>Fraco</v>
      </c>
    </row>
    <row r="928" spans="1:25" ht="15" customHeight="1" x14ac:dyDescent="0.2">
      <c r="A928" s="15" t="s">
        <v>1950</v>
      </c>
      <c r="B928" s="60">
        <v>6078926</v>
      </c>
      <c r="C928" s="15"/>
      <c r="D928" s="15"/>
      <c r="E928" s="15"/>
      <c r="F928" s="15" t="s">
        <v>265</v>
      </c>
      <c r="G928" s="34">
        <v>2</v>
      </c>
      <c r="H928" s="34">
        <v>9</v>
      </c>
      <c r="I928" s="15" t="s">
        <v>228</v>
      </c>
      <c r="J928" s="15" t="s">
        <v>229</v>
      </c>
      <c r="K928" s="74" t="s">
        <v>29</v>
      </c>
      <c r="L928" s="16">
        <v>133305</v>
      </c>
      <c r="M928" s="16">
        <v>35008</v>
      </c>
      <c r="N928" s="16">
        <v>83684</v>
      </c>
      <c r="O928" s="16">
        <v>102601</v>
      </c>
      <c r="P928" s="16">
        <v>87959</v>
      </c>
      <c r="Q928" s="16">
        <v>30704</v>
      </c>
      <c r="R928" s="16">
        <v>5374</v>
      </c>
      <c r="S928" s="16">
        <v>0</v>
      </c>
      <c r="T928" s="16">
        <v>1</v>
      </c>
      <c r="U928" s="15" t="str">
        <f t="shared" si="56"/>
        <v>Privado Nacional</v>
      </c>
      <c r="V928" s="17">
        <f t="shared" si="57"/>
        <v>0.262615805858745</v>
      </c>
      <c r="W928" s="17">
        <f t="shared" si="58"/>
        <v>0.17502605523710266</v>
      </c>
      <c r="X928" s="15" t="str">
        <f t="shared" si="59"/>
        <v>Média/Pequena</v>
      </c>
      <c r="Y928" s="121" t="str" cm="1">
        <f t="array" ref="Y928">_xlfn.IFS(ISNUMBER(W928)=FALSE,"Sem dado",W928&gt;0.075,"Excelente",W928&gt;0.04,"Bom",W928&gt;0,"Fraco",TRUE,"Prejuízo")</f>
        <v>Excelente</v>
      </c>
    </row>
    <row r="929" spans="1:25" ht="15" customHeight="1" x14ac:dyDescent="0.2">
      <c r="A929" s="12" t="s">
        <v>1951</v>
      </c>
      <c r="B929" s="56">
        <v>37715993</v>
      </c>
      <c r="C929" s="12" t="s">
        <v>1952</v>
      </c>
      <c r="D929" s="12"/>
      <c r="E929" s="12" t="s">
        <v>1953</v>
      </c>
      <c r="F929" s="12" t="s">
        <v>65</v>
      </c>
      <c r="G929" s="33">
        <v>2</v>
      </c>
      <c r="H929" s="33">
        <v>43</v>
      </c>
      <c r="I929" s="12" t="s">
        <v>38</v>
      </c>
      <c r="J929" s="12" t="s">
        <v>39</v>
      </c>
      <c r="K929" s="73" t="s">
        <v>29</v>
      </c>
      <c r="L929" s="13">
        <v>132611</v>
      </c>
      <c r="M929" s="13">
        <v>4235</v>
      </c>
      <c r="N929" s="13">
        <v>116825</v>
      </c>
      <c r="O929" s="13">
        <v>58405</v>
      </c>
      <c r="P929" s="13">
        <v>57037</v>
      </c>
      <c r="Q929" s="13">
        <v>74206</v>
      </c>
      <c r="R929" s="13">
        <v>1626</v>
      </c>
      <c r="S929" s="13">
        <v>2</v>
      </c>
      <c r="T929" s="13">
        <v>0</v>
      </c>
      <c r="U929" s="12" t="str">
        <f t="shared" si="56"/>
        <v>Privado Nacional</v>
      </c>
      <c r="V929" s="14">
        <f t="shared" si="57"/>
        <v>3.1935510628831695E-2</v>
      </c>
      <c r="W929" s="14">
        <f t="shared" si="58"/>
        <v>2.1911974772929412E-2</v>
      </c>
      <c r="X929" s="12" t="str">
        <f t="shared" si="59"/>
        <v>Média/Pequena</v>
      </c>
      <c r="Y929" s="122" t="str" cm="1">
        <f t="array" ref="Y929">_xlfn.IFS(ISNUMBER(W929)=FALSE,"Sem dado",W929&gt;0.075,"Excelente",W929&gt;0.04,"Bom",W929&gt;0,"Fraco",TRUE,"Prejuízo")</f>
        <v>Fraco</v>
      </c>
    </row>
    <row r="930" spans="1:25" ht="15" customHeight="1" x14ac:dyDescent="0.2">
      <c r="A930" s="15" t="s">
        <v>1954</v>
      </c>
      <c r="B930" s="60">
        <v>34471744</v>
      </c>
      <c r="C930" s="15" t="s">
        <v>1955</v>
      </c>
      <c r="D930" s="15"/>
      <c r="E930" s="15" t="s">
        <v>1956</v>
      </c>
      <c r="F930" s="15" t="s">
        <v>84</v>
      </c>
      <c r="G930" s="34">
        <v>2</v>
      </c>
      <c r="H930" s="34">
        <v>41</v>
      </c>
      <c r="I930" s="15" t="s">
        <v>575</v>
      </c>
      <c r="J930" s="15" t="s">
        <v>217</v>
      </c>
      <c r="K930" s="74" t="s">
        <v>29</v>
      </c>
      <c r="L930" s="16">
        <v>132048</v>
      </c>
      <c r="M930" s="16">
        <v>0</v>
      </c>
      <c r="N930" s="16">
        <v>5</v>
      </c>
      <c r="O930" s="16">
        <v>123892</v>
      </c>
      <c r="P930" s="16">
        <v>120028</v>
      </c>
      <c r="Q930" s="16">
        <v>8156</v>
      </c>
      <c r="R930" s="16">
        <v>2240</v>
      </c>
      <c r="S930" s="16">
        <v>1</v>
      </c>
      <c r="T930" s="16">
        <v>0</v>
      </c>
      <c r="U930" s="15" t="str">
        <f t="shared" si="56"/>
        <v>Privado Nacional</v>
      </c>
      <c r="V930" s="17">
        <f t="shared" si="57"/>
        <v>0</v>
      </c>
      <c r="W930" s="17">
        <f t="shared" si="58"/>
        <v>0.27464443354585583</v>
      </c>
      <c r="X930" s="15" t="str">
        <f t="shared" si="59"/>
        <v>Média/Pequena</v>
      </c>
      <c r="Y930" s="121" t="str" cm="1">
        <f t="array" ref="Y930">_xlfn.IFS(ISNUMBER(W930)=FALSE,"Sem dado",W930&gt;0.075,"Excelente",W930&gt;0.04,"Bom",W930&gt;0,"Fraco",TRUE,"Prejuízo")</f>
        <v>Excelente</v>
      </c>
    </row>
    <row r="931" spans="1:25" ht="15" customHeight="1" x14ac:dyDescent="0.2">
      <c r="A931" s="12" t="s">
        <v>1957</v>
      </c>
      <c r="B931" s="56">
        <v>5076239</v>
      </c>
      <c r="C931" s="12" t="s">
        <v>35</v>
      </c>
      <c r="D931" s="12" t="s">
        <v>36</v>
      </c>
      <c r="E931" s="12" t="s">
        <v>37</v>
      </c>
      <c r="F931" s="12" t="s">
        <v>65</v>
      </c>
      <c r="G931" s="33">
        <v>2</v>
      </c>
      <c r="H931" s="33">
        <v>10</v>
      </c>
      <c r="I931" s="12" t="s">
        <v>38</v>
      </c>
      <c r="J931" s="12" t="s">
        <v>39</v>
      </c>
      <c r="K931" s="73" t="s">
        <v>29</v>
      </c>
      <c r="L931" s="13">
        <v>131593</v>
      </c>
      <c r="M931" s="13">
        <v>0</v>
      </c>
      <c r="N931" s="13">
        <v>0</v>
      </c>
      <c r="O931" s="13">
        <v>3071</v>
      </c>
      <c r="P931" s="13">
        <v>0</v>
      </c>
      <c r="Q931" s="13">
        <v>128522</v>
      </c>
      <c r="R931" s="13">
        <v>5269</v>
      </c>
      <c r="S931" s="13">
        <v>2</v>
      </c>
      <c r="T931" s="13">
        <v>0</v>
      </c>
      <c r="U931" s="12" t="str">
        <f t="shared" si="56"/>
        <v>Privado Nacional</v>
      </c>
      <c r="V931" s="14">
        <f t="shared" si="57"/>
        <v>0</v>
      </c>
      <c r="W931" s="14">
        <f t="shared" si="58"/>
        <v>4.0996872130841411E-2</v>
      </c>
      <c r="X931" s="12" t="str">
        <f t="shared" si="59"/>
        <v>Média/Pequena</v>
      </c>
      <c r="Y931" s="122" t="str" cm="1">
        <f t="array" ref="Y931">_xlfn.IFS(ISNUMBER(W931)=FALSE,"Sem dado",W931&gt;0.075,"Excelente",W931&gt;0.04,"Bom",W931&gt;0,"Fraco",TRUE,"Prejuízo")</f>
        <v>Bom</v>
      </c>
    </row>
    <row r="932" spans="1:25" ht="15" customHeight="1" x14ac:dyDescent="0.2">
      <c r="A932" s="15" t="s">
        <v>1958</v>
      </c>
      <c r="B932" s="60">
        <v>35136120</v>
      </c>
      <c r="C932" s="15" t="s">
        <v>1959</v>
      </c>
      <c r="D932" s="15"/>
      <c r="E932" s="15" t="s">
        <v>1960</v>
      </c>
      <c r="F932" s="15" t="s">
        <v>84</v>
      </c>
      <c r="G932" s="34">
        <v>3</v>
      </c>
      <c r="H932" s="34">
        <v>41</v>
      </c>
      <c r="I932" s="15" t="s">
        <v>38</v>
      </c>
      <c r="J932" s="15" t="s">
        <v>39</v>
      </c>
      <c r="K932" s="74" t="s">
        <v>29</v>
      </c>
      <c r="L932" s="16">
        <v>131222</v>
      </c>
      <c r="M932" s="16">
        <v>0</v>
      </c>
      <c r="N932" s="16">
        <v>47737</v>
      </c>
      <c r="O932" s="16">
        <v>78132</v>
      </c>
      <c r="P932" s="16">
        <v>49552</v>
      </c>
      <c r="Q932" s="16">
        <v>53090</v>
      </c>
      <c r="R932" s="16">
        <v>4071</v>
      </c>
      <c r="S932" s="16">
        <v>1</v>
      </c>
      <c r="T932" s="16">
        <v>0</v>
      </c>
      <c r="U932" s="15" t="str">
        <f t="shared" si="56"/>
        <v>Privado Estrangeiro</v>
      </c>
      <c r="V932" s="17">
        <f t="shared" si="57"/>
        <v>0</v>
      </c>
      <c r="W932" s="17">
        <f t="shared" si="58"/>
        <v>7.668110755321153E-2</v>
      </c>
      <c r="X932" s="15" t="str">
        <f t="shared" si="59"/>
        <v>Média/Pequena</v>
      </c>
      <c r="Y932" s="121" t="str" cm="1">
        <f t="array" ref="Y932">_xlfn.IFS(ISNUMBER(W932)=FALSE,"Sem dado",W932&gt;0.075,"Excelente",W932&gt;0.04,"Bom",W932&gt;0,"Fraco",TRUE,"Prejuízo")</f>
        <v>Excelente</v>
      </c>
    </row>
    <row r="933" spans="1:25" ht="15" customHeight="1" x14ac:dyDescent="0.2">
      <c r="A933" s="12" t="s">
        <v>1961</v>
      </c>
      <c r="B933" s="56">
        <v>47377613</v>
      </c>
      <c r="C933" s="12" t="s">
        <v>1962</v>
      </c>
      <c r="D933" s="12"/>
      <c r="E933" s="12" t="s">
        <v>1963</v>
      </c>
      <c r="F933" s="12" t="s">
        <v>84</v>
      </c>
      <c r="G933" s="33">
        <v>2</v>
      </c>
      <c r="H933" s="33">
        <v>41</v>
      </c>
      <c r="I933" s="12" t="s">
        <v>107</v>
      </c>
      <c r="J933" s="12" t="s">
        <v>39</v>
      </c>
      <c r="K933" s="73" t="s">
        <v>29</v>
      </c>
      <c r="L933" s="13">
        <v>129822</v>
      </c>
      <c r="M933" s="13">
        <v>0</v>
      </c>
      <c r="N933" s="13">
        <v>1034</v>
      </c>
      <c r="O933" s="13">
        <v>113690</v>
      </c>
      <c r="P933" s="13">
        <v>1145</v>
      </c>
      <c r="Q933" s="13">
        <v>16132</v>
      </c>
      <c r="R933" s="13">
        <v>-239</v>
      </c>
      <c r="S933" s="13">
        <v>1</v>
      </c>
      <c r="T933" s="13">
        <v>0</v>
      </c>
      <c r="U933" s="12" t="str">
        <f t="shared" si="56"/>
        <v>Privado Nacional</v>
      </c>
      <c r="V933" s="14">
        <f t="shared" si="57"/>
        <v>0</v>
      </c>
      <c r="W933" s="14">
        <f t="shared" si="58"/>
        <v>-1.4815273989585917E-2</v>
      </c>
      <c r="X933" s="12" t="str">
        <f t="shared" si="59"/>
        <v>Média/Pequena</v>
      </c>
      <c r="Y933" s="122" t="str" cm="1">
        <f t="array" ref="Y933">_xlfn.IFS(ISNUMBER(W933)=FALSE,"Sem dado",W933&gt;0.075,"Excelente",W933&gt;0.04,"Bom",W933&gt;0,"Fraco",TRUE,"Prejuízo")</f>
        <v>Prejuízo</v>
      </c>
    </row>
    <row r="934" spans="1:25" ht="15" customHeight="1" x14ac:dyDescent="0.2">
      <c r="A934" s="15" t="s">
        <v>1964</v>
      </c>
      <c r="B934" s="60">
        <v>9488496</v>
      </c>
      <c r="C934" s="15"/>
      <c r="D934" s="15"/>
      <c r="E934" s="15"/>
      <c r="F934" s="15" t="s">
        <v>265</v>
      </c>
      <c r="G934" s="34">
        <v>2</v>
      </c>
      <c r="H934" s="34">
        <v>9</v>
      </c>
      <c r="I934" s="15" t="s">
        <v>1965</v>
      </c>
      <c r="J934" s="15" t="s">
        <v>217</v>
      </c>
      <c r="K934" s="74" t="s">
        <v>29</v>
      </c>
      <c r="L934" s="16">
        <v>127042</v>
      </c>
      <c r="M934" s="16">
        <v>88518</v>
      </c>
      <c r="N934" s="16">
        <v>3871</v>
      </c>
      <c r="O934" s="16">
        <v>109973</v>
      </c>
      <c r="P934" s="16">
        <v>77564</v>
      </c>
      <c r="Q934" s="16">
        <v>17069</v>
      </c>
      <c r="R934" s="16">
        <v>1083</v>
      </c>
      <c r="S934" s="16">
        <v>0</v>
      </c>
      <c r="T934" s="16">
        <v>4</v>
      </c>
      <c r="U934" s="15" t="str">
        <f t="shared" si="56"/>
        <v>Privado Nacional</v>
      </c>
      <c r="V934" s="17">
        <f t="shared" si="57"/>
        <v>0.69676170085483546</v>
      </c>
      <c r="W934" s="17">
        <f t="shared" si="58"/>
        <v>6.3448356669986522E-2</v>
      </c>
      <c r="X934" s="15" t="str">
        <f t="shared" si="59"/>
        <v>Média/Pequena</v>
      </c>
      <c r="Y934" s="121" t="str" cm="1">
        <f t="array" ref="Y934">_xlfn.IFS(ISNUMBER(W934)=FALSE,"Sem dado",W934&gt;0.075,"Excelente",W934&gt;0.04,"Bom",W934&gt;0,"Fraco",TRUE,"Prejuízo")</f>
        <v>Bom</v>
      </c>
    </row>
    <row r="935" spans="1:25" ht="15" customHeight="1" x14ac:dyDescent="0.2">
      <c r="A935" s="12" t="s">
        <v>1966</v>
      </c>
      <c r="B935" s="56">
        <v>58290800</v>
      </c>
      <c r="C935" s="12"/>
      <c r="D935" s="12"/>
      <c r="E935" s="12"/>
      <c r="F935" s="12" t="s">
        <v>265</v>
      </c>
      <c r="G935" s="33">
        <v>2</v>
      </c>
      <c r="H935" s="33">
        <v>9</v>
      </c>
      <c r="I935" s="12" t="s">
        <v>1967</v>
      </c>
      <c r="J935" s="12" t="s">
        <v>39</v>
      </c>
      <c r="K935" s="73" t="s">
        <v>29</v>
      </c>
      <c r="L935" s="13">
        <v>126610</v>
      </c>
      <c r="M935" s="13">
        <v>86776</v>
      </c>
      <c r="N935" s="13">
        <v>34826</v>
      </c>
      <c r="O935" s="13">
        <v>3259</v>
      </c>
      <c r="P935" s="13">
        <v>0</v>
      </c>
      <c r="Q935" s="13">
        <v>123351</v>
      </c>
      <c r="R935" s="13">
        <v>8043</v>
      </c>
      <c r="S935" s="13">
        <v>0</v>
      </c>
      <c r="T935" s="13">
        <v>1</v>
      </c>
      <c r="U935" s="12" t="str">
        <f t="shared" si="56"/>
        <v>Privado Nacional</v>
      </c>
      <c r="V935" s="14">
        <f t="shared" si="57"/>
        <v>0.68538030171392461</v>
      </c>
      <c r="W935" s="14">
        <f t="shared" si="58"/>
        <v>6.5204173456234651E-2</v>
      </c>
      <c r="X935" s="12" t="str">
        <f t="shared" si="59"/>
        <v>Média/Pequena</v>
      </c>
      <c r="Y935" s="122" t="str" cm="1">
        <f t="array" ref="Y935">_xlfn.IFS(ISNUMBER(W935)=FALSE,"Sem dado",W935&gt;0.075,"Excelente",W935&gt;0.04,"Bom",W935&gt;0,"Fraco",TRUE,"Prejuízo")</f>
        <v>Bom</v>
      </c>
    </row>
    <row r="936" spans="1:25" ht="15" customHeight="1" x14ac:dyDescent="0.2">
      <c r="A936" s="15" t="s">
        <v>1968</v>
      </c>
      <c r="B936" s="60">
        <v>32648370</v>
      </c>
      <c r="C936" s="15" t="s">
        <v>1969</v>
      </c>
      <c r="D936" s="15"/>
      <c r="E936" s="15" t="s">
        <v>1970</v>
      </c>
      <c r="F936" s="15" t="s">
        <v>98</v>
      </c>
      <c r="G936" s="34">
        <v>2</v>
      </c>
      <c r="H936" s="34">
        <v>21</v>
      </c>
      <c r="I936" s="15" t="s">
        <v>38</v>
      </c>
      <c r="J936" s="15" t="s">
        <v>39</v>
      </c>
      <c r="K936" s="74" t="s">
        <v>29</v>
      </c>
      <c r="L936" s="16">
        <v>126171</v>
      </c>
      <c r="M936" s="16">
        <v>0</v>
      </c>
      <c r="N936" s="16">
        <v>34318</v>
      </c>
      <c r="O936" s="16">
        <v>86143</v>
      </c>
      <c r="P936" s="16">
        <v>0</v>
      </c>
      <c r="Q936" s="16">
        <v>40028</v>
      </c>
      <c r="R936" s="16">
        <v>-1303</v>
      </c>
      <c r="S936" s="16">
        <v>3</v>
      </c>
      <c r="T936" s="16">
        <v>0</v>
      </c>
      <c r="U936" s="15" t="str">
        <f t="shared" si="56"/>
        <v>Privado Nacional</v>
      </c>
      <c r="V936" s="17">
        <f t="shared" si="57"/>
        <v>0</v>
      </c>
      <c r="W936" s="17">
        <f t="shared" si="58"/>
        <v>-3.2552213450584594E-2</v>
      </c>
      <c r="X936" s="15" t="str">
        <f t="shared" si="59"/>
        <v>Média/Pequena</v>
      </c>
      <c r="Y936" s="121" t="str" cm="1">
        <f t="array" ref="Y936">_xlfn.IFS(ISNUMBER(W936)=FALSE,"Sem dado",W936&gt;0.075,"Excelente",W936&gt;0.04,"Bom",W936&gt;0,"Fraco",TRUE,"Prejuízo")</f>
        <v>Prejuízo</v>
      </c>
    </row>
    <row r="937" spans="1:25" ht="15" customHeight="1" x14ac:dyDescent="0.2">
      <c r="A937" s="12" t="s">
        <v>1971</v>
      </c>
      <c r="B937" s="56">
        <v>40083667</v>
      </c>
      <c r="C937" s="12" t="s">
        <v>1972</v>
      </c>
      <c r="D937" s="12"/>
      <c r="E937" s="12" t="s">
        <v>1973</v>
      </c>
      <c r="F937" s="12" t="s">
        <v>65</v>
      </c>
      <c r="G937" s="33">
        <v>2</v>
      </c>
      <c r="H937" s="33">
        <v>43</v>
      </c>
      <c r="I937" s="12" t="s">
        <v>38</v>
      </c>
      <c r="J937" s="12" t="s">
        <v>39</v>
      </c>
      <c r="K937" s="73" t="s">
        <v>29</v>
      </c>
      <c r="L937" s="13">
        <v>124765</v>
      </c>
      <c r="M937" s="13">
        <v>16993</v>
      </c>
      <c r="N937" s="13">
        <v>0</v>
      </c>
      <c r="O937" s="13">
        <v>41298</v>
      </c>
      <c r="P937" s="13">
        <v>269</v>
      </c>
      <c r="Q937" s="13">
        <v>83467</v>
      </c>
      <c r="R937" s="13">
        <v>57894</v>
      </c>
      <c r="S937" s="13">
        <v>2</v>
      </c>
      <c r="T937" s="13">
        <v>0</v>
      </c>
      <c r="U937" s="12" t="str">
        <f t="shared" si="56"/>
        <v>Privado Nacional</v>
      </c>
      <c r="V937" s="14">
        <f t="shared" si="57"/>
        <v>0.13620005610547831</v>
      </c>
      <c r="W937" s="14">
        <f t="shared" si="58"/>
        <v>0.69361544083290405</v>
      </c>
      <c r="X937" s="12" t="str">
        <f t="shared" si="59"/>
        <v>Média/Pequena</v>
      </c>
      <c r="Y937" s="122" t="str" cm="1">
        <f t="array" ref="Y937">_xlfn.IFS(ISNUMBER(W937)=FALSE,"Sem dado",W937&gt;0.075,"Excelente",W937&gt;0.04,"Bom",W937&gt;0,"Fraco",TRUE,"Prejuízo")</f>
        <v>Excelente</v>
      </c>
    </row>
    <row r="938" spans="1:25" ht="15" customHeight="1" x14ac:dyDescent="0.2">
      <c r="A938" s="15" t="s">
        <v>1974</v>
      </c>
      <c r="B938" s="60">
        <v>8041950</v>
      </c>
      <c r="C938" s="15"/>
      <c r="D938" s="15"/>
      <c r="E938" s="15"/>
      <c r="F938" s="15" t="s">
        <v>265</v>
      </c>
      <c r="G938" s="34">
        <v>2</v>
      </c>
      <c r="H938" s="34">
        <v>9</v>
      </c>
      <c r="I938" s="15" t="s">
        <v>132</v>
      </c>
      <c r="J938" s="15" t="s">
        <v>133</v>
      </c>
      <c r="K938" s="74" t="s">
        <v>29</v>
      </c>
      <c r="L938" s="16">
        <v>123366</v>
      </c>
      <c r="M938" s="16">
        <v>57331</v>
      </c>
      <c r="N938" s="16">
        <v>29471</v>
      </c>
      <c r="O938" s="16">
        <v>108592</v>
      </c>
      <c r="P938" s="16">
        <v>102267</v>
      </c>
      <c r="Q938" s="16">
        <v>14774</v>
      </c>
      <c r="R938" s="16">
        <v>2308</v>
      </c>
      <c r="S938" s="16">
        <v>0</v>
      </c>
      <c r="T938" s="16">
        <v>2</v>
      </c>
      <c r="U938" s="15" t="str">
        <f t="shared" si="56"/>
        <v>Privado Nacional</v>
      </c>
      <c r="V938" s="17">
        <f t="shared" si="57"/>
        <v>0.46472285718917694</v>
      </c>
      <c r="W938" s="17">
        <f t="shared" si="58"/>
        <v>0.1562203871666441</v>
      </c>
      <c r="X938" s="15" t="str">
        <f t="shared" si="59"/>
        <v>Média/Pequena</v>
      </c>
      <c r="Y938" s="121" t="str" cm="1">
        <f t="array" ref="Y938">_xlfn.IFS(ISNUMBER(W938)=FALSE,"Sem dado",W938&gt;0.075,"Excelente",W938&gt;0.04,"Bom",W938&gt;0,"Fraco",TRUE,"Prejuízo")</f>
        <v>Excelente</v>
      </c>
    </row>
    <row r="939" spans="1:25" ht="15" customHeight="1" x14ac:dyDescent="0.2">
      <c r="A939" s="12" t="s">
        <v>1975</v>
      </c>
      <c r="B939" s="56">
        <v>10175348</v>
      </c>
      <c r="C939" s="12"/>
      <c r="D939" s="12"/>
      <c r="E939" s="12"/>
      <c r="F939" s="12" t="s">
        <v>265</v>
      </c>
      <c r="G939" s="33">
        <v>2</v>
      </c>
      <c r="H939" s="33">
        <v>9</v>
      </c>
      <c r="I939" s="12" t="s">
        <v>770</v>
      </c>
      <c r="J939" s="12" t="s">
        <v>39</v>
      </c>
      <c r="K939" s="73" t="s">
        <v>29</v>
      </c>
      <c r="L939" s="13">
        <v>121685</v>
      </c>
      <c r="M939" s="13">
        <v>44838</v>
      </c>
      <c r="N939" s="13">
        <v>70906</v>
      </c>
      <c r="O939" s="13">
        <v>103156</v>
      </c>
      <c r="P939" s="13">
        <v>99924</v>
      </c>
      <c r="Q939" s="13">
        <v>18529</v>
      </c>
      <c r="R939" s="13">
        <v>947</v>
      </c>
      <c r="S939" s="13">
        <v>0</v>
      </c>
      <c r="T939" s="13">
        <v>4</v>
      </c>
      <c r="U939" s="12" t="str">
        <f t="shared" si="56"/>
        <v>Privado Nacional</v>
      </c>
      <c r="V939" s="14">
        <f t="shared" si="57"/>
        <v>0.36847598307104407</v>
      </c>
      <c r="W939" s="14">
        <f t="shared" si="58"/>
        <v>5.1109072265097956E-2</v>
      </c>
      <c r="X939" s="12" t="str">
        <f t="shared" si="59"/>
        <v>Média/Pequena</v>
      </c>
      <c r="Y939" s="122" t="str" cm="1">
        <f t="array" ref="Y939">_xlfn.IFS(ISNUMBER(W939)=FALSE,"Sem dado",W939&gt;0.075,"Excelente",W939&gt;0.04,"Bom",W939&gt;0,"Fraco",TRUE,"Prejuízo")</f>
        <v>Bom</v>
      </c>
    </row>
    <row r="940" spans="1:25" ht="15" customHeight="1" x14ac:dyDescent="0.2">
      <c r="A940" s="15" t="s">
        <v>1976</v>
      </c>
      <c r="B940" s="60">
        <v>3603683</v>
      </c>
      <c r="C940" s="15"/>
      <c r="D940" s="15"/>
      <c r="E940" s="15"/>
      <c r="F940" s="15" t="s">
        <v>265</v>
      </c>
      <c r="G940" s="34">
        <v>2</v>
      </c>
      <c r="H940" s="34">
        <v>9</v>
      </c>
      <c r="I940" s="15" t="s">
        <v>27</v>
      </c>
      <c r="J940" s="15" t="s">
        <v>28</v>
      </c>
      <c r="K940" s="74" t="s">
        <v>29</v>
      </c>
      <c r="L940" s="16">
        <v>121115</v>
      </c>
      <c r="M940" s="16">
        <v>86413</v>
      </c>
      <c r="N940" s="16">
        <v>15044</v>
      </c>
      <c r="O940" s="16">
        <v>86899</v>
      </c>
      <c r="P940" s="16">
        <v>82067</v>
      </c>
      <c r="Q940" s="16">
        <v>34215</v>
      </c>
      <c r="R940" s="16">
        <v>2150</v>
      </c>
      <c r="S940" s="16">
        <v>0</v>
      </c>
      <c r="T940" s="16">
        <v>1</v>
      </c>
      <c r="U940" s="15" t="str">
        <f t="shared" si="56"/>
        <v>Privado Nacional</v>
      </c>
      <c r="V940" s="17">
        <f t="shared" si="57"/>
        <v>0.71347892498864718</v>
      </c>
      <c r="W940" s="17">
        <f t="shared" si="58"/>
        <v>6.2837936577524484E-2</v>
      </c>
      <c r="X940" s="15" t="str">
        <f t="shared" si="59"/>
        <v>Média/Pequena</v>
      </c>
      <c r="Y940" s="121" t="str" cm="1">
        <f t="array" ref="Y940">_xlfn.IFS(ISNUMBER(W940)=FALSE,"Sem dado",W940&gt;0.075,"Excelente",W940&gt;0.04,"Bom",W940&gt;0,"Fraco",TRUE,"Prejuízo")</f>
        <v>Bom</v>
      </c>
    </row>
    <row r="941" spans="1:25" ht="15" customHeight="1" x14ac:dyDescent="0.2">
      <c r="A941" s="12" t="s">
        <v>1977</v>
      </c>
      <c r="B941" s="56">
        <v>40473435</v>
      </c>
      <c r="C941" s="12" t="s">
        <v>41</v>
      </c>
      <c r="D941" s="12"/>
      <c r="E941" s="12" t="s">
        <v>43</v>
      </c>
      <c r="F941" s="12" t="s">
        <v>84</v>
      </c>
      <c r="G941" s="33">
        <v>2</v>
      </c>
      <c r="H941" s="33">
        <v>41</v>
      </c>
      <c r="I941" s="12" t="s">
        <v>44</v>
      </c>
      <c r="J941" s="12" t="s">
        <v>39</v>
      </c>
      <c r="K941" s="73" t="s">
        <v>29</v>
      </c>
      <c r="L941" s="13">
        <v>119144</v>
      </c>
      <c r="M941" s="13">
        <v>0</v>
      </c>
      <c r="N941" s="13">
        <v>12</v>
      </c>
      <c r="O941" s="13">
        <v>91957</v>
      </c>
      <c r="P941" s="13">
        <v>68852</v>
      </c>
      <c r="Q941" s="13">
        <v>27186</v>
      </c>
      <c r="R941" s="13">
        <v>-22223</v>
      </c>
      <c r="S941" s="13">
        <v>1</v>
      </c>
      <c r="T941" s="13">
        <v>0</v>
      </c>
      <c r="U941" s="12" t="str">
        <f t="shared" si="56"/>
        <v>Privado Nacional</v>
      </c>
      <c r="V941" s="14">
        <f t="shared" si="57"/>
        <v>0</v>
      </c>
      <c r="W941" s="14">
        <f t="shared" si="58"/>
        <v>-0.81744280144191861</v>
      </c>
      <c r="X941" s="12" t="str">
        <f t="shared" si="59"/>
        <v>Média/Pequena</v>
      </c>
      <c r="Y941" s="122" t="str" cm="1">
        <f t="array" ref="Y941">_xlfn.IFS(ISNUMBER(W941)=FALSE,"Sem dado",W941&gt;0.075,"Excelente",W941&gt;0.04,"Bom",W941&gt;0,"Fraco",TRUE,"Prejuízo")</f>
        <v>Prejuízo</v>
      </c>
    </row>
    <row r="942" spans="1:25" ht="15" customHeight="1" x14ac:dyDescent="0.2">
      <c r="A942" s="15" t="s">
        <v>1978</v>
      </c>
      <c r="B942" s="60">
        <v>11351086</v>
      </c>
      <c r="C942" s="15" t="s">
        <v>1979</v>
      </c>
      <c r="D942" s="15"/>
      <c r="E942" s="15" t="s">
        <v>1980</v>
      </c>
      <c r="F942" s="15" t="s">
        <v>84</v>
      </c>
      <c r="G942" s="34">
        <v>2</v>
      </c>
      <c r="H942" s="34">
        <v>41</v>
      </c>
      <c r="I942" s="15" t="s">
        <v>119</v>
      </c>
      <c r="J942" s="15" t="s">
        <v>120</v>
      </c>
      <c r="K942" s="74" t="s">
        <v>29</v>
      </c>
      <c r="L942" s="16">
        <v>118864</v>
      </c>
      <c r="M942" s="16">
        <v>0</v>
      </c>
      <c r="N942" s="16">
        <v>2995</v>
      </c>
      <c r="O942" s="16">
        <v>107762</v>
      </c>
      <c r="P942" s="16">
        <v>93907</v>
      </c>
      <c r="Q942" s="16">
        <v>11103</v>
      </c>
      <c r="R942" s="16">
        <v>-14104</v>
      </c>
      <c r="S942" s="16">
        <v>1</v>
      </c>
      <c r="T942" s="16">
        <v>0</v>
      </c>
      <c r="U942" s="15" t="str">
        <f t="shared" si="56"/>
        <v>Privado Nacional</v>
      </c>
      <c r="V942" s="17">
        <f t="shared" si="57"/>
        <v>0</v>
      </c>
      <c r="W942" s="17">
        <f t="shared" si="58"/>
        <v>-1.2702873097361074</v>
      </c>
      <c r="X942" s="15" t="str">
        <f t="shared" si="59"/>
        <v>Média/Pequena</v>
      </c>
      <c r="Y942" s="121" t="str" cm="1">
        <f t="array" ref="Y942">_xlfn.IFS(ISNUMBER(W942)=FALSE,"Sem dado",W942&gt;0.075,"Excelente",W942&gt;0.04,"Bom",W942&gt;0,"Fraco",TRUE,"Prejuízo")</f>
        <v>Prejuízo</v>
      </c>
    </row>
    <row r="943" spans="1:25" ht="15" customHeight="1" x14ac:dyDescent="0.2">
      <c r="A943" s="12" t="s">
        <v>1981</v>
      </c>
      <c r="B943" s="56">
        <v>26526166</v>
      </c>
      <c r="C943" s="12"/>
      <c r="D943" s="12"/>
      <c r="E943" s="12"/>
      <c r="F943" s="12" t="s">
        <v>265</v>
      </c>
      <c r="G943" s="33">
        <v>2</v>
      </c>
      <c r="H943" s="33">
        <v>9</v>
      </c>
      <c r="I943" s="12" t="s">
        <v>1982</v>
      </c>
      <c r="J943" s="12" t="s">
        <v>1209</v>
      </c>
      <c r="K943" s="73" t="s">
        <v>29</v>
      </c>
      <c r="L943" s="13">
        <v>118803</v>
      </c>
      <c r="M943" s="13">
        <v>70417</v>
      </c>
      <c r="N943" s="13">
        <v>8717</v>
      </c>
      <c r="O943" s="13">
        <v>92572</v>
      </c>
      <c r="P943" s="13">
        <v>87300</v>
      </c>
      <c r="Q943" s="13">
        <v>26231</v>
      </c>
      <c r="R943" s="13">
        <v>614</v>
      </c>
      <c r="S943" s="13">
        <v>0</v>
      </c>
      <c r="T943" s="13">
        <v>0</v>
      </c>
      <c r="U943" s="12" t="str">
        <f t="shared" si="56"/>
        <v>Privado Nacional</v>
      </c>
      <c r="V943" s="14">
        <f t="shared" si="57"/>
        <v>0.59272072254067654</v>
      </c>
      <c r="W943" s="14">
        <f t="shared" si="58"/>
        <v>2.3407418703061265E-2</v>
      </c>
      <c r="X943" s="12" t="str">
        <f t="shared" si="59"/>
        <v>Média/Pequena</v>
      </c>
      <c r="Y943" s="122" t="str" cm="1">
        <f t="array" ref="Y943">_xlfn.IFS(ISNUMBER(W943)=FALSE,"Sem dado",W943&gt;0.075,"Excelente",W943&gt;0.04,"Bom",W943&gt;0,"Fraco",TRUE,"Prejuízo")</f>
        <v>Fraco</v>
      </c>
    </row>
    <row r="944" spans="1:25" ht="15" customHeight="1" x14ac:dyDescent="0.2">
      <c r="A944" s="15" t="s">
        <v>1983</v>
      </c>
      <c r="B944" s="60">
        <v>4913129</v>
      </c>
      <c r="C944" s="15" t="s">
        <v>1329</v>
      </c>
      <c r="D944" s="15" t="s">
        <v>1330</v>
      </c>
      <c r="E944" s="15" t="s">
        <v>1331</v>
      </c>
      <c r="F944" s="15" t="s">
        <v>98</v>
      </c>
      <c r="G944" s="34">
        <v>3</v>
      </c>
      <c r="H944" s="34">
        <v>21</v>
      </c>
      <c r="I944" s="15" t="s">
        <v>38</v>
      </c>
      <c r="J944" s="15" t="s">
        <v>39</v>
      </c>
      <c r="K944" s="74" t="s">
        <v>29</v>
      </c>
      <c r="L944" s="16">
        <v>118346</v>
      </c>
      <c r="M944" s="16">
        <v>0</v>
      </c>
      <c r="N944" s="16">
        <v>1217</v>
      </c>
      <c r="O944" s="16">
        <v>34795</v>
      </c>
      <c r="P944" s="16">
        <v>0</v>
      </c>
      <c r="Q944" s="16">
        <v>83551</v>
      </c>
      <c r="R944" s="16">
        <v>1278</v>
      </c>
      <c r="S944" s="16">
        <v>18</v>
      </c>
      <c r="T944" s="16">
        <v>0</v>
      </c>
      <c r="U944" s="15" t="str">
        <f t="shared" si="56"/>
        <v>Privado Estrangeiro</v>
      </c>
      <c r="V944" s="17">
        <f t="shared" si="57"/>
        <v>0</v>
      </c>
      <c r="W944" s="17">
        <f t="shared" si="58"/>
        <v>1.5296046725951813E-2</v>
      </c>
      <c r="X944" s="15" t="str">
        <f t="shared" si="59"/>
        <v>Média/Pequena</v>
      </c>
      <c r="Y944" s="121" t="str" cm="1">
        <f t="array" ref="Y944">_xlfn.IFS(ISNUMBER(W944)=FALSE,"Sem dado",W944&gt;0.075,"Excelente",W944&gt;0.04,"Bom",W944&gt;0,"Fraco",TRUE,"Prejuízo")</f>
        <v>Fraco</v>
      </c>
    </row>
    <row r="945" spans="1:25" ht="15" customHeight="1" x14ac:dyDescent="0.2">
      <c r="A945" s="12" t="s">
        <v>1984</v>
      </c>
      <c r="B945" s="56">
        <v>4985665</v>
      </c>
      <c r="C945" s="12"/>
      <c r="D945" s="12"/>
      <c r="E945" s="12"/>
      <c r="F945" s="12" t="s">
        <v>265</v>
      </c>
      <c r="G945" s="33">
        <v>2</v>
      </c>
      <c r="H945" s="33">
        <v>9</v>
      </c>
      <c r="I945" s="12" t="s">
        <v>1985</v>
      </c>
      <c r="J945" s="12" t="s">
        <v>432</v>
      </c>
      <c r="K945" s="73" t="s">
        <v>29</v>
      </c>
      <c r="L945" s="13">
        <v>117781</v>
      </c>
      <c r="M945" s="13">
        <v>61829</v>
      </c>
      <c r="N945" s="13">
        <v>5519</v>
      </c>
      <c r="O945" s="13">
        <v>91804</v>
      </c>
      <c r="P945" s="13">
        <v>67216</v>
      </c>
      <c r="Q945" s="13">
        <v>25977</v>
      </c>
      <c r="R945" s="13">
        <v>1734</v>
      </c>
      <c r="S945" s="13">
        <v>0</v>
      </c>
      <c r="T945" s="13">
        <v>0</v>
      </c>
      <c r="U945" s="12" t="str">
        <f t="shared" si="56"/>
        <v>Privado Nacional</v>
      </c>
      <c r="V945" s="14">
        <f t="shared" si="57"/>
        <v>0.52494884573912604</v>
      </c>
      <c r="W945" s="14">
        <f t="shared" si="58"/>
        <v>6.6751356969626974E-2</v>
      </c>
      <c r="X945" s="12" t="str">
        <f t="shared" si="59"/>
        <v>Média/Pequena</v>
      </c>
      <c r="Y945" s="122" t="str" cm="1">
        <f t="array" ref="Y945">_xlfn.IFS(ISNUMBER(W945)=FALSE,"Sem dado",W945&gt;0.075,"Excelente",W945&gt;0.04,"Bom",W945&gt;0,"Fraco",TRUE,"Prejuízo")</f>
        <v>Bom</v>
      </c>
    </row>
    <row r="946" spans="1:25" ht="15" customHeight="1" x14ac:dyDescent="0.2">
      <c r="A946" s="15" t="s">
        <v>1986</v>
      </c>
      <c r="B946" s="60">
        <v>13660104</v>
      </c>
      <c r="C946" s="15" t="s">
        <v>162</v>
      </c>
      <c r="D946" s="15" t="s">
        <v>163</v>
      </c>
      <c r="E946" s="15" t="s">
        <v>164</v>
      </c>
      <c r="F946" s="15" t="s">
        <v>65</v>
      </c>
      <c r="G946" s="34">
        <v>3</v>
      </c>
      <c r="H946" s="34">
        <v>14</v>
      </c>
      <c r="I946" s="15" t="s">
        <v>165</v>
      </c>
      <c r="J946" s="15" t="s">
        <v>39</v>
      </c>
      <c r="K946" s="74" t="s">
        <v>29</v>
      </c>
      <c r="L946" s="16">
        <v>117446</v>
      </c>
      <c r="M946" s="16">
        <v>0</v>
      </c>
      <c r="N946" s="16">
        <v>15622</v>
      </c>
      <c r="O946" s="16">
        <v>70240</v>
      </c>
      <c r="P946" s="16">
        <v>0</v>
      </c>
      <c r="Q946" s="16">
        <v>47206</v>
      </c>
      <c r="R946" s="16">
        <v>3643</v>
      </c>
      <c r="S946" s="16">
        <v>2</v>
      </c>
      <c r="T946" s="16">
        <v>0</v>
      </c>
      <c r="U946" s="15" t="str">
        <f t="shared" si="56"/>
        <v>Privado Estrangeiro</v>
      </c>
      <c r="V946" s="17">
        <f t="shared" si="57"/>
        <v>0</v>
      </c>
      <c r="W946" s="17">
        <f t="shared" si="58"/>
        <v>7.7172393339829684E-2</v>
      </c>
      <c r="X946" s="15" t="str">
        <f t="shared" si="59"/>
        <v>Média/Pequena</v>
      </c>
      <c r="Y946" s="121" t="str" cm="1">
        <f t="array" ref="Y946">_xlfn.IFS(ISNUMBER(W946)=FALSE,"Sem dado",W946&gt;0.075,"Excelente",W946&gt;0.04,"Bom",W946&gt;0,"Fraco",TRUE,"Prejuízo")</f>
        <v>Excelente</v>
      </c>
    </row>
    <row r="947" spans="1:25" ht="15" customHeight="1" x14ac:dyDescent="0.2">
      <c r="A947" s="12" t="s">
        <v>1987</v>
      </c>
      <c r="B947" s="56">
        <v>37511258</v>
      </c>
      <c r="C947" s="12" t="s">
        <v>1988</v>
      </c>
      <c r="D947" s="12"/>
      <c r="E947" s="12" t="s">
        <v>1989</v>
      </c>
      <c r="F947" s="12" t="s">
        <v>84</v>
      </c>
      <c r="G947" s="33">
        <v>2</v>
      </c>
      <c r="H947" s="33">
        <v>41</v>
      </c>
      <c r="I947" s="12" t="s">
        <v>38</v>
      </c>
      <c r="J947" s="12" t="s">
        <v>39</v>
      </c>
      <c r="K947" s="73" t="s">
        <v>29</v>
      </c>
      <c r="L947" s="13">
        <v>117084</v>
      </c>
      <c r="M947" s="13">
        <v>0</v>
      </c>
      <c r="N947" s="13">
        <v>93393</v>
      </c>
      <c r="O947" s="13">
        <v>104528</v>
      </c>
      <c r="P947" s="13">
        <v>104111</v>
      </c>
      <c r="Q947" s="13">
        <v>12556</v>
      </c>
      <c r="R947" s="13">
        <v>1750</v>
      </c>
      <c r="S947" s="13">
        <v>1</v>
      </c>
      <c r="T947" s="13">
        <v>0</v>
      </c>
      <c r="U947" s="12" t="str">
        <f t="shared" si="56"/>
        <v>Privado Nacional</v>
      </c>
      <c r="V947" s="14">
        <f t="shared" si="57"/>
        <v>0</v>
      </c>
      <c r="W947" s="14">
        <f t="shared" si="58"/>
        <v>0.13937559732398852</v>
      </c>
      <c r="X947" s="12" t="str">
        <f t="shared" si="59"/>
        <v>Média/Pequena</v>
      </c>
      <c r="Y947" s="122" t="str" cm="1">
        <f t="array" ref="Y947">_xlfn.IFS(ISNUMBER(W947)=FALSE,"Sem dado",W947&gt;0.075,"Excelente",W947&gt;0.04,"Bom",W947&gt;0,"Fraco",TRUE,"Prejuízo")</f>
        <v>Excelente</v>
      </c>
    </row>
    <row r="948" spans="1:25" ht="15" customHeight="1" x14ac:dyDescent="0.2">
      <c r="A948" s="15" t="s">
        <v>1990</v>
      </c>
      <c r="B948" s="60">
        <v>50871921</v>
      </c>
      <c r="C948" s="15" t="s">
        <v>1991</v>
      </c>
      <c r="D948" s="15"/>
      <c r="E948" s="15" t="s">
        <v>1992</v>
      </c>
      <c r="F948" s="15" t="s">
        <v>84</v>
      </c>
      <c r="G948" s="34">
        <v>2</v>
      </c>
      <c r="H948" s="34">
        <v>41</v>
      </c>
      <c r="I948" s="15" t="s">
        <v>107</v>
      </c>
      <c r="J948" s="15" t="s">
        <v>39</v>
      </c>
      <c r="K948" s="74" t="s">
        <v>29</v>
      </c>
      <c r="L948" s="16">
        <v>117066</v>
      </c>
      <c r="M948" s="16">
        <v>0</v>
      </c>
      <c r="N948" s="16">
        <v>0</v>
      </c>
      <c r="O948" s="16">
        <v>102958</v>
      </c>
      <c r="P948" s="16">
        <v>98401</v>
      </c>
      <c r="Q948" s="16">
        <v>14108</v>
      </c>
      <c r="R948" s="16">
        <v>-4078</v>
      </c>
      <c r="S948" s="16">
        <v>1</v>
      </c>
      <c r="T948" s="16">
        <v>0</v>
      </c>
      <c r="U948" s="15" t="str">
        <f t="shared" si="56"/>
        <v>Privado Nacional</v>
      </c>
      <c r="V948" s="17">
        <f t="shared" si="57"/>
        <v>0</v>
      </c>
      <c r="W948" s="17">
        <f t="shared" si="58"/>
        <v>-0.28905585483413665</v>
      </c>
      <c r="X948" s="15" t="str">
        <f t="shared" si="59"/>
        <v>Média/Pequena</v>
      </c>
      <c r="Y948" s="121" t="str" cm="1">
        <f t="array" ref="Y948">_xlfn.IFS(ISNUMBER(W948)=FALSE,"Sem dado",W948&gt;0.075,"Excelente",W948&gt;0.04,"Bom",W948&gt;0,"Fraco",TRUE,"Prejuízo")</f>
        <v>Prejuízo</v>
      </c>
    </row>
    <row r="949" spans="1:25" ht="15" customHeight="1" x14ac:dyDescent="0.2">
      <c r="A949" s="12" t="s">
        <v>1993</v>
      </c>
      <c r="B949" s="56">
        <v>5684234</v>
      </c>
      <c r="C949" s="12" t="s">
        <v>1837</v>
      </c>
      <c r="D949" s="12" t="s">
        <v>1838</v>
      </c>
      <c r="E949" s="12" t="s">
        <v>1839</v>
      </c>
      <c r="F949" s="12" t="s">
        <v>65</v>
      </c>
      <c r="G949" s="33">
        <v>2</v>
      </c>
      <c r="H949" s="33">
        <v>43</v>
      </c>
      <c r="I949" s="12" t="s">
        <v>38</v>
      </c>
      <c r="J949" s="12" t="s">
        <v>39</v>
      </c>
      <c r="K949" s="73" t="s">
        <v>29</v>
      </c>
      <c r="L949" s="13">
        <v>116705</v>
      </c>
      <c r="M949" s="13">
        <v>0</v>
      </c>
      <c r="N949" s="13">
        <v>102863</v>
      </c>
      <c r="O949" s="13">
        <v>101755</v>
      </c>
      <c r="P949" s="13">
        <v>18690</v>
      </c>
      <c r="Q949" s="13">
        <v>14951</v>
      </c>
      <c r="R949" s="13">
        <v>3535</v>
      </c>
      <c r="S949" s="13">
        <v>2</v>
      </c>
      <c r="T949" s="13">
        <v>0</v>
      </c>
      <c r="U949" s="12" t="str">
        <f t="shared" si="56"/>
        <v>Privado Nacional</v>
      </c>
      <c r="V949" s="14">
        <f t="shared" si="57"/>
        <v>0</v>
      </c>
      <c r="W949" s="14">
        <f t="shared" si="58"/>
        <v>0.23643903417831583</v>
      </c>
      <c r="X949" s="12" t="str">
        <f t="shared" si="59"/>
        <v>Média/Pequena</v>
      </c>
      <c r="Y949" s="122" t="str" cm="1">
        <f t="array" ref="Y949">_xlfn.IFS(ISNUMBER(W949)=FALSE,"Sem dado",W949&gt;0.075,"Excelente",W949&gt;0.04,"Bom",W949&gt;0,"Fraco",TRUE,"Prejuízo")</f>
        <v>Excelente</v>
      </c>
    </row>
    <row r="950" spans="1:25" ht="15" customHeight="1" x14ac:dyDescent="0.2">
      <c r="A950" s="15" t="s">
        <v>1994</v>
      </c>
      <c r="B950" s="60">
        <v>2924977</v>
      </c>
      <c r="C950" s="15"/>
      <c r="D950" s="15"/>
      <c r="E950" s="15"/>
      <c r="F950" s="15" t="s">
        <v>265</v>
      </c>
      <c r="G950" s="34">
        <v>2</v>
      </c>
      <c r="H950" s="34">
        <v>9</v>
      </c>
      <c r="I950" s="15" t="s">
        <v>228</v>
      </c>
      <c r="J950" s="15" t="s">
        <v>229</v>
      </c>
      <c r="K950" s="74" t="s">
        <v>29</v>
      </c>
      <c r="L950" s="16">
        <v>116473</v>
      </c>
      <c r="M950" s="16">
        <v>44098</v>
      </c>
      <c r="N950" s="16">
        <v>53207</v>
      </c>
      <c r="O950" s="16">
        <v>101245</v>
      </c>
      <c r="P950" s="16">
        <v>87387</v>
      </c>
      <c r="Q950" s="16">
        <v>15228</v>
      </c>
      <c r="R950" s="16">
        <v>1327</v>
      </c>
      <c r="S950" s="16">
        <v>0</v>
      </c>
      <c r="T950" s="16">
        <v>2</v>
      </c>
      <c r="U950" s="15" t="str">
        <f t="shared" si="56"/>
        <v>Privado Nacional</v>
      </c>
      <c r="V950" s="17">
        <f t="shared" si="57"/>
        <v>0.37861135198715584</v>
      </c>
      <c r="W950" s="17">
        <f t="shared" si="58"/>
        <v>8.714210664565275E-2</v>
      </c>
      <c r="X950" s="15" t="str">
        <f t="shared" si="59"/>
        <v>Média/Pequena</v>
      </c>
      <c r="Y950" s="121" t="str" cm="1">
        <f t="array" ref="Y950">_xlfn.IFS(ISNUMBER(W950)=FALSE,"Sem dado",W950&gt;0.075,"Excelente",W950&gt;0.04,"Bom",W950&gt;0,"Fraco",TRUE,"Prejuízo")</f>
        <v>Excelente</v>
      </c>
    </row>
    <row r="951" spans="1:25" ht="15" customHeight="1" x14ac:dyDescent="0.2">
      <c r="A951" s="12" t="s">
        <v>1995</v>
      </c>
      <c r="B951" s="56">
        <v>17819084</v>
      </c>
      <c r="C951" s="12" t="s">
        <v>1996</v>
      </c>
      <c r="D951" s="12"/>
      <c r="E951" s="12" t="s">
        <v>1997</v>
      </c>
      <c r="F951" s="12" t="s">
        <v>84</v>
      </c>
      <c r="G951" s="33">
        <v>3</v>
      </c>
      <c r="H951" s="33">
        <v>41</v>
      </c>
      <c r="I951" s="12" t="s">
        <v>38</v>
      </c>
      <c r="J951" s="12" t="s">
        <v>39</v>
      </c>
      <c r="K951" s="73" t="s">
        <v>29</v>
      </c>
      <c r="L951" s="13">
        <v>115367</v>
      </c>
      <c r="M951" s="13">
        <v>0</v>
      </c>
      <c r="N951" s="13">
        <v>53571</v>
      </c>
      <c r="O951" s="13">
        <v>92959</v>
      </c>
      <c r="P951" s="13">
        <v>90955</v>
      </c>
      <c r="Q951" s="13">
        <v>22408</v>
      </c>
      <c r="R951" s="13">
        <v>2412</v>
      </c>
      <c r="S951" s="13">
        <v>1</v>
      </c>
      <c r="T951" s="13">
        <v>0</v>
      </c>
      <c r="U951" s="12" t="str">
        <f t="shared" si="56"/>
        <v>Privado Estrangeiro</v>
      </c>
      <c r="V951" s="14">
        <f t="shared" si="57"/>
        <v>0</v>
      </c>
      <c r="W951" s="14">
        <f t="shared" si="58"/>
        <v>0.1076401285255266</v>
      </c>
      <c r="X951" s="12" t="str">
        <f t="shared" si="59"/>
        <v>Média/Pequena</v>
      </c>
      <c r="Y951" s="122" t="str" cm="1">
        <f t="array" ref="Y951">_xlfn.IFS(ISNUMBER(W951)=FALSE,"Sem dado",W951&gt;0.075,"Excelente",W951&gt;0.04,"Bom",W951&gt;0,"Fraco",TRUE,"Prejuízo")</f>
        <v>Excelente</v>
      </c>
    </row>
    <row r="952" spans="1:25" ht="15" customHeight="1" x14ac:dyDescent="0.2">
      <c r="A952" s="15" t="s">
        <v>1998</v>
      </c>
      <c r="B952" s="60">
        <v>17354911</v>
      </c>
      <c r="C952" s="15" t="s">
        <v>569</v>
      </c>
      <c r="D952" s="15" t="s">
        <v>570</v>
      </c>
      <c r="E952" s="15" t="s">
        <v>571</v>
      </c>
      <c r="F952" s="15" t="s">
        <v>98</v>
      </c>
      <c r="G952" s="34">
        <v>2</v>
      </c>
      <c r="H952" s="34">
        <v>16</v>
      </c>
      <c r="I952" s="15" t="s">
        <v>38</v>
      </c>
      <c r="J952" s="15" t="s">
        <v>39</v>
      </c>
      <c r="K952" s="74" t="s">
        <v>29</v>
      </c>
      <c r="L952" s="16">
        <v>113539</v>
      </c>
      <c r="M952" s="16">
        <v>0</v>
      </c>
      <c r="N952" s="16">
        <v>0</v>
      </c>
      <c r="O952" s="16">
        <v>90447</v>
      </c>
      <c r="P952" s="16">
        <v>2899</v>
      </c>
      <c r="Q952" s="16">
        <v>23091</v>
      </c>
      <c r="R952" s="16">
        <v>-1144</v>
      </c>
      <c r="S952" s="16">
        <v>5</v>
      </c>
      <c r="T952" s="16">
        <v>0</v>
      </c>
      <c r="U952" s="15" t="str">
        <f t="shared" si="56"/>
        <v>Privado Nacional</v>
      </c>
      <c r="V952" s="17">
        <f t="shared" si="57"/>
        <v>0</v>
      </c>
      <c r="W952" s="17">
        <f t="shared" si="58"/>
        <v>-4.9543112034991989E-2</v>
      </c>
      <c r="X952" s="15" t="str">
        <f t="shared" si="59"/>
        <v>Média/Pequena</v>
      </c>
      <c r="Y952" s="121" t="str" cm="1">
        <f t="array" ref="Y952">_xlfn.IFS(ISNUMBER(W952)=FALSE,"Sem dado",W952&gt;0.075,"Excelente",W952&gt;0.04,"Bom",W952&gt;0,"Fraco",TRUE,"Prejuízo")</f>
        <v>Prejuízo</v>
      </c>
    </row>
    <row r="953" spans="1:25" ht="15" customHeight="1" x14ac:dyDescent="0.2">
      <c r="A953" s="12" t="s">
        <v>1999</v>
      </c>
      <c r="B953" s="56">
        <v>12599971</v>
      </c>
      <c r="C953" s="12" t="s">
        <v>2000</v>
      </c>
      <c r="D953" s="12"/>
      <c r="E953" s="12" t="s">
        <v>2001</v>
      </c>
      <c r="F953" s="12" t="s">
        <v>65</v>
      </c>
      <c r="G953" s="33">
        <v>2</v>
      </c>
      <c r="H953" s="33">
        <v>14</v>
      </c>
      <c r="I953" s="12" t="s">
        <v>73</v>
      </c>
      <c r="J953" s="12" t="s">
        <v>74</v>
      </c>
      <c r="K953" s="73" t="s">
        <v>29</v>
      </c>
      <c r="L953" s="13">
        <v>112973</v>
      </c>
      <c r="M953" s="13">
        <v>50890</v>
      </c>
      <c r="N953" s="13">
        <v>51702</v>
      </c>
      <c r="O953" s="13">
        <v>53493</v>
      </c>
      <c r="P953" s="13">
        <v>50003</v>
      </c>
      <c r="Q953" s="13">
        <v>59480</v>
      </c>
      <c r="R953" s="13">
        <v>2783</v>
      </c>
      <c r="S953" s="13">
        <v>2</v>
      </c>
      <c r="T953" s="13">
        <v>0</v>
      </c>
      <c r="U953" s="12" t="str">
        <f t="shared" si="56"/>
        <v>Privado Nacional</v>
      </c>
      <c r="V953" s="14">
        <f t="shared" si="57"/>
        <v>0.45046161472210172</v>
      </c>
      <c r="W953" s="14">
        <f t="shared" si="58"/>
        <v>4.6788836583725624E-2</v>
      </c>
      <c r="X953" s="12" t="str">
        <f t="shared" si="59"/>
        <v>Média/Pequena</v>
      </c>
      <c r="Y953" s="122" t="str" cm="1">
        <f t="array" ref="Y953">_xlfn.IFS(ISNUMBER(W953)=FALSE,"Sem dado",W953&gt;0.075,"Excelente",W953&gt;0.04,"Bom",W953&gt;0,"Fraco",TRUE,"Prejuízo")</f>
        <v>Bom</v>
      </c>
    </row>
    <row r="954" spans="1:25" ht="15" customHeight="1" x14ac:dyDescent="0.2">
      <c r="A954" s="15" t="s">
        <v>2002</v>
      </c>
      <c r="B954" s="60">
        <v>33630661</v>
      </c>
      <c r="C954" s="15" t="s">
        <v>2003</v>
      </c>
      <c r="D954" s="15"/>
      <c r="E954" s="15" t="s">
        <v>2004</v>
      </c>
      <c r="F954" s="15" t="s">
        <v>84</v>
      </c>
      <c r="G954" s="34">
        <v>2</v>
      </c>
      <c r="H954" s="34">
        <v>41</v>
      </c>
      <c r="I954" s="15" t="s">
        <v>305</v>
      </c>
      <c r="J954" s="15" t="s">
        <v>229</v>
      </c>
      <c r="K954" s="74" t="s">
        <v>29</v>
      </c>
      <c r="L954" s="16">
        <v>112954</v>
      </c>
      <c r="M954" s="16">
        <v>0</v>
      </c>
      <c r="N954" s="16">
        <v>90</v>
      </c>
      <c r="O954" s="16">
        <v>115123</v>
      </c>
      <c r="P954" s="16">
        <v>12352</v>
      </c>
      <c r="Q954" s="16">
        <v>-2169</v>
      </c>
      <c r="R954" s="16">
        <v>-13419</v>
      </c>
      <c r="S954" s="16">
        <v>1</v>
      </c>
      <c r="T954" s="16">
        <v>0</v>
      </c>
      <c r="U954" s="15" t="str">
        <f t="shared" si="56"/>
        <v>Privado Nacional</v>
      </c>
      <c r="V954" s="17">
        <f t="shared" si="57"/>
        <v>0</v>
      </c>
      <c r="W954" s="17" t="str">
        <f t="shared" si="58"/>
        <v>n.d.</v>
      </c>
      <c r="X954" s="15" t="str">
        <f t="shared" si="59"/>
        <v>Média/Pequena</v>
      </c>
      <c r="Y954" s="121" t="str" cm="1">
        <f t="array" ref="Y954">_xlfn.IFS(ISNUMBER(W954)=FALSE,"Sem dado",W954&gt;0.075,"Excelente",W954&gt;0.04,"Bom",W954&gt;0,"Fraco",TRUE,"Prejuízo")</f>
        <v>Sem dado</v>
      </c>
    </row>
    <row r="955" spans="1:25" ht="15" customHeight="1" x14ac:dyDescent="0.2">
      <c r="A955" s="12" t="s">
        <v>2005</v>
      </c>
      <c r="B955" s="56">
        <v>36690516</v>
      </c>
      <c r="C955" s="12" t="s">
        <v>2006</v>
      </c>
      <c r="D955" s="12"/>
      <c r="E955" s="12" t="s">
        <v>2007</v>
      </c>
      <c r="F955" s="12" t="s">
        <v>84</v>
      </c>
      <c r="G955" s="33">
        <v>2</v>
      </c>
      <c r="H955" s="33">
        <v>41</v>
      </c>
      <c r="I955" s="12" t="s">
        <v>73</v>
      </c>
      <c r="J955" s="12" t="s">
        <v>74</v>
      </c>
      <c r="K955" s="73" t="s">
        <v>29</v>
      </c>
      <c r="L955" s="13">
        <v>112953</v>
      </c>
      <c r="M955" s="13">
        <v>0</v>
      </c>
      <c r="N955" s="13">
        <v>230</v>
      </c>
      <c r="O955" s="13">
        <v>105954</v>
      </c>
      <c r="P955" s="13">
        <v>104060</v>
      </c>
      <c r="Q955" s="13">
        <v>6999</v>
      </c>
      <c r="R955" s="13">
        <v>1691</v>
      </c>
      <c r="S955" s="13">
        <v>1</v>
      </c>
      <c r="T955" s="13">
        <v>0</v>
      </c>
      <c r="U955" s="12" t="str">
        <f t="shared" si="56"/>
        <v>Privado Nacional</v>
      </c>
      <c r="V955" s="14">
        <f t="shared" si="57"/>
        <v>0</v>
      </c>
      <c r="W955" s="14">
        <f t="shared" si="58"/>
        <v>0.24160594370624375</v>
      </c>
      <c r="X955" s="12" t="str">
        <f t="shared" si="59"/>
        <v>Média/Pequena</v>
      </c>
      <c r="Y955" s="122" t="str" cm="1">
        <f t="array" ref="Y955">_xlfn.IFS(ISNUMBER(W955)=FALSE,"Sem dado",W955&gt;0.075,"Excelente",W955&gt;0.04,"Bom",W955&gt;0,"Fraco",TRUE,"Prejuízo")</f>
        <v>Excelente</v>
      </c>
    </row>
    <row r="956" spans="1:25" ht="15" customHeight="1" x14ac:dyDescent="0.2">
      <c r="A956" s="15" t="s">
        <v>2008</v>
      </c>
      <c r="B956" s="60">
        <v>38224857</v>
      </c>
      <c r="C956" s="15" t="s">
        <v>2009</v>
      </c>
      <c r="D956" s="15"/>
      <c r="E956" s="15" t="s">
        <v>2010</v>
      </c>
      <c r="F956" s="15" t="s">
        <v>65</v>
      </c>
      <c r="G956" s="34">
        <v>2</v>
      </c>
      <c r="H956" s="34">
        <v>43</v>
      </c>
      <c r="I956" s="15" t="s">
        <v>346</v>
      </c>
      <c r="J956" s="15" t="s">
        <v>347</v>
      </c>
      <c r="K956" s="74" t="s">
        <v>29</v>
      </c>
      <c r="L956" s="16">
        <v>112887</v>
      </c>
      <c r="M956" s="16">
        <v>9611</v>
      </c>
      <c r="N956" s="16">
        <v>0</v>
      </c>
      <c r="O956" s="16">
        <v>88940</v>
      </c>
      <c r="P956" s="16">
        <v>22847</v>
      </c>
      <c r="Q956" s="16">
        <v>23947</v>
      </c>
      <c r="R956" s="16">
        <v>-7461</v>
      </c>
      <c r="S956" s="16">
        <v>2</v>
      </c>
      <c r="T956" s="16">
        <v>0</v>
      </c>
      <c r="U956" s="15" t="str">
        <f t="shared" si="56"/>
        <v>Privado Nacional</v>
      </c>
      <c r="V956" s="17">
        <f t="shared" si="57"/>
        <v>8.5138235580713456E-2</v>
      </c>
      <c r="W956" s="17">
        <f t="shared" si="58"/>
        <v>-0.31156303503570387</v>
      </c>
      <c r="X956" s="15" t="str">
        <f t="shared" si="59"/>
        <v>Média/Pequena</v>
      </c>
      <c r="Y956" s="121" t="str" cm="1">
        <f t="array" ref="Y956">_xlfn.IFS(ISNUMBER(W956)=FALSE,"Sem dado",W956&gt;0.075,"Excelente",W956&gt;0.04,"Bom",W956&gt;0,"Fraco",TRUE,"Prejuízo")</f>
        <v>Prejuízo</v>
      </c>
    </row>
    <row r="957" spans="1:25" ht="15" customHeight="1" x14ac:dyDescent="0.2">
      <c r="A957" s="12" t="s">
        <v>2011</v>
      </c>
      <c r="B957" s="56">
        <v>49288113</v>
      </c>
      <c r="C957" s="12" t="s">
        <v>2012</v>
      </c>
      <c r="D957" s="12"/>
      <c r="E957" s="12" t="s">
        <v>2013</v>
      </c>
      <c r="F957" s="12" t="s">
        <v>65</v>
      </c>
      <c r="G957" s="33">
        <v>3</v>
      </c>
      <c r="H957" s="33">
        <v>14</v>
      </c>
      <c r="I957" s="12" t="s">
        <v>564</v>
      </c>
      <c r="J957" s="12" t="s">
        <v>120</v>
      </c>
      <c r="K957" s="73" t="s">
        <v>29</v>
      </c>
      <c r="L957" s="13">
        <v>112564</v>
      </c>
      <c r="M957" s="13">
        <v>43</v>
      </c>
      <c r="N957" s="13">
        <v>102119</v>
      </c>
      <c r="O957" s="13">
        <v>32427</v>
      </c>
      <c r="P957" s="13">
        <v>29554</v>
      </c>
      <c r="Q957" s="13">
        <v>80137</v>
      </c>
      <c r="R957" s="13">
        <v>1769</v>
      </c>
      <c r="S957" s="13">
        <v>2</v>
      </c>
      <c r="T957" s="13">
        <v>0</v>
      </c>
      <c r="U957" s="12" t="str">
        <f t="shared" si="56"/>
        <v>Privado Estrangeiro</v>
      </c>
      <c r="V957" s="14">
        <f t="shared" si="57"/>
        <v>3.8200490387690558E-4</v>
      </c>
      <c r="W957" s="14">
        <f t="shared" si="58"/>
        <v>2.2074697081248363E-2</v>
      </c>
      <c r="X957" s="12" t="str">
        <f t="shared" si="59"/>
        <v>Média/Pequena</v>
      </c>
      <c r="Y957" s="122" t="str" cm="1">
        <f t="array" ref="Y957">_xlfn.IFS(ISNUMBER(W957)=FALSE,"Sem dado",W957&gt;0.075,"Excelente",W957&gt;0.04,"Bom",W957&gt;0,"Fraco",TRUE,"Prejuízo")</f>
        <v>Fraco</v>
      </c>
    </row>
    <row r="958" spans="1:25" ht="15" customHeight="1" x14ac:dyDescent="0.2">
      <c r="A958" s="15" t="s">
        <v>2014</v>
      </c>
      <c r="B958" s="60">
        <v>48632754</v>
      </c>
      <c r="C958" s="15" t="s">
        <v>2015</v>
      </c>
      <c r="D958" s="15"/>
      <c r="E958" s="15" t="s">
        <v>2016</v>
      </c>
      <c r="F958" s="15" t="s">
        <v>65</v>
      </c>
      <c r="G958" s="34">
        <v>3</v>
      </c>
      <c r="H958" s="34">
        <v>43</v>
      </c>
      <c r="I958" s="15" t="s">
        <v>107</v>
      </c>
      <c r="J958" s="15" t="s">
        <v>39</v>
      </c>
      <c r="K958" s="74" t="s">
        <v>29</v>
      </c>
      <c r="L958" s="16">
        <v>111956</v>
      </c>
      <c r="M958" s="16">
        <v>25443</v>
      </c>
      <c r="N958" s="16">
        <v>2477</v>
      </c>
      <c r="O958" s="16">
        <v>31801</v>
      </c>
      <c r="P958" s="16">
        <v>0</v>
      </c>
      <c r="Q958" s="16">
        <v>80155</v>
      </c>
      <c r="R958" s="16">
        <v>16758</v>
      </c>
      <c r="S958" s="16">
        <v>2</v>
      </c>
      <c r="T958" s="16">
        <v>0</v>
      </c>
      <c r="U958" s="15" t="str">
        <f t="shared" si="56"/>
        <v>Privado Estrangeiro</v>
      </c>
      <c r="V958" s="17">
        <f t="shared" si="57"/>
        <v>0.22725892314837973</v>
      </c>
      <c r="W958" s="17">
        <f t="shared" si="58"/>
        <v>0.20906992701640573</v>
      </c>
      <c r="X958" s="15" t="str">
        <f t="shared" si="59"/>
        <v>Média/Pequena</v>
      </c>
      <c r="Y958" s="121" t="str" cm="1">
        <f t="array" ref="Y958">_xlfn.IFS(ISNUMBER(W958)=FALSE,"Sem dado",W958&gt;0.075,"Excelente",W958&gt;0.04,"Bom",W958&gt;0,"Fraco",TRUE,"Prejuízo")</f>
        <v>Excelente</v>
      </c>
    </row>
    <row r="959" spans="1:25" ht="15" customHeight="1" x14ac:dyDescent="0.2">
      <c r="A959" s="12" t="s">
        <v>2017</v>
      </c>
      <c r="B959" s="56">
        <v>3102185</v>
      </c>
      <c r="C959" s="12"/>
      <c r="D959" s="12"/>
      <c r="E959" s="12"/>
      <c r="F959" s="12" t="s">
        <v>265</v>
      </c>
      <c r="G959" s="33">
        <v>2</v>
      </c>
      <c r="H959" s="33">
        <v>9</v>
      </c>
      <c r="I959" s="12" t="s">
        <v>577</v>
      </c>
      <c r="J959" s="12" t="s">
        <v>578</v>
      </c>
      <c r="K959" s="73" t="s">
        <v>29</v>
      </c>
      <c r="L959" s="13">
        <v>111803</v>
      </c>
      <c r="M959" s="13">
        <v>63507</v>
      </c>
      <c r="N959" s="13">
        <v>6523</v>
      </c>
      <c r="O959" s="13">
        <v>87866</v>
      </c>
      <c r="P959" s="13">
        <v>84060</v>
      </c>
      <c r="Q959" s="13">
        <v>23937</v>
      </c>
      <c r="R959" s="13">
        <v>841</v>
      </c>
      <c r="S959" s="13">
        <v>0</v>
      </c>
      <c r="T959" s="13">
        <v>3</v>
      </c>
      <c r="U959" s="12" t="str">
        <f t="shared" si="56"/>
        <v>Privado Nacional</v>
      </c>
      <c r="V959" s="14">
        <f t="shared" si="57"/>
        <v>0.56802590270386299</v>
      </c>
      <c r="W959" s="14">
        <f t="shared" si="58"/>
        <v>3.5133893136149057E-2</v>
      </c>
      <c r="X959" s="12" t="str">
        <f t="shared" si="59"/>
        <v>Média/Pequena</v>
      </c>
      <c r="Y959" s="122" t="str" cm="1">
        <f t="array" ref="Y959">_xlfn.IFS(ISNUMBER(W959)=FALSE,"Sem dado",W959&gt;0.075,"Excelente",W959&gt;0.04,"Bom",W959&gt;0,"Fraco",TRUE,"Prejuízo")</f>
        <v>Fraco</v>
      </c>
    </row>
    <row r="960" spans="1:25" ht="15" customHeight="1" x14ac:dyDescent="0.2">
      <c r="A960" s="15" t="s">
        <v>2018</v>
      </c>
      <c r="B960" s="60">
        <v>51489318</v>
      </c>
      <c r="C960" s="15"/>
      <c r="D960" s="15"/>
      <c r="E960" s="15"/>
      <c r="F960" s="15" t="s">
        <v>265</v>
      </c>
      <c r="G960" s="34">
        <v>2</v>
      </c>
      <c r="H960" s="34">
        <v>9</v>
      </c>
      <c r="I960" s="15" t="s">
        <v>38</v>
      </c>
      <c r="J960" s="15" t="s">
        <v>39</v>
      </c>
      <c r="K960" s="74" t="s">
        <v>29</v>
      </c>
      <c r="L960" s="16">
        <v>111365</v>
      </c>
      <c r="M960" s="16">
        <v>17659</v>
      </c>
      <c r="N960" s="16">
        <v>90883</v>
      </c>
      <c r="O960" s="16">
        <v>90496</v>
      </c>
      <c r="P960" s="16">
        <v>88948</v>
      </c>
      <c r="Q960" s="16">
        <v>20868</v>
      </c>
      <c r="R960" s="16">
        <v>574</v>
      </c>
      <c r="S960" s="16">
        <v>0</v>
      </c>
      <c r="T960" s="16">
        <v>0</v>
      </c>
      <c r="U960" s="15" t="str">
        <f t="shared" si="56"/>
        <v>Privado Nacional</v>
      </c>
      <c r="V960" s="17">
        <f t="shared" si="57"/>
        <v>0.1585686705877071</v>
      </c>
      <c r="W960" s="17">
        <f t="shared" si="58"/>
        <v>2.7506229633889209E-2</v>
      </c>
      <c r="X960" s="15" t="str">
        <f t="shared" si="59"/>
        <v>Média/Pequena</v>
      </c>
      <c r="Y960" s="121" t="str" cm="1">
        <f t="array" ref="Y960">_xlfn.IFS(ISNUMBER(W960)=FALSE,"Sem dado",W960&gt;0.075,"Excelente",W960&gt;0.04,"Bom",W960&gt;0,"Fraco",TRUE,"Prejuízo")</f>
        <v>Fraco</v>
      </c>
    </row>
    <row r="961" spans="1:25" ht="15" customHeight="1" x14ac:dyDescent="0.2">
      <c r="A961" s="12" t="s">
        <v>2019</v>
      </c>
      <c r="B961" s="56">
        <v>20308187</v>
      </c>
      <c r="C961" s="12" t="s">
        <v>2020</v>
      </c>
      <c r="D961" s="12"/>
      <c r="E961" s="12" t="s">
        <v>2021</v>
      </c>
      <c r="F961" s="12" t="s">
        <v>84</v>
      </c>
      <c r="G961" s="33">
        <v>2</v>
      </c>
      <c r="H961" s="33">
        <v>41</v>
      </c>
      <c r="I961" s="12" t="s">
        <v>1585</v>
      </c>
      <c r="J961" s="12" t="s">
        <v>1586</v>
      </c>
      <c r="K961" s="73" t="s">
        <v>29</v>
      </c>
      <c r="L961" s="13">
        <v>110960</v>
      </c>
      <c r="M961" s="13">
        <v>0</v>
      </c>
      <c r="N961" s="13">
        <v>190</v>
      </c>
      <c r="O961" s="13">
        <v>86711</v>
      </c>
      <c r="P961" s="13">
        <v>21484</v>
      </c>
      <c r="Q961" s="13">
        <v>24250</v>
      </c>
      <c r="R961" s="13">
        <v>-14442</v>
      </c>
      <c r="S961" s="13">
        <v>1</v>
      </c>
      <c r="T961" s="13">
        <v>0</v>
      </c>
      <c r="U961" s="12" t="str">
        <f t="shared" si="56"/>
        <v>Privado Nacional</v>
      </c>
      <c r="V961" s="14">
        <f t="shared" si="57"/>
        <v>0</v>
      </c>
      <c r="W961" s="14">
        <f t="shared" si="58"/>
        <v>-0.59554639175257729</v>
      </c>
      <c r="X961" s="12" t="str">
        <f t="shared" si="59"/>
        <v>Média/Pequena</v>
      </c>
      <c r="Y961" s="122" t="str" cm="1">
        <f t="array" ref="Y961">_xlfn.IFS(ISNUMBER(W961)=FALSE,"Sem dado",W961&gt;0.075,"Excelente",W961&gt;0.04,"Bom",W961&gt;0,"Fraco",TRUE,"Prejuízo")</f>
        <v>Prejuízo</v>
      </c>
    </row>
    <row r="962" spans="1:25" ht="15" customHeight="1" x14ac:dyDescent="0.2">
      <c r="A962" s="15" t="s">
        <v>2022</v>
      </c>
      <c r="B962" s="60">
        <v>19962468</v>
      </c>
      <c r="C962" s="15"/>
      <c r="D962" s="15"/>
      <c r="E962" s="15"/>
      <c r="F962" s="15" t="s">
        <v>265</v>
      </c>
      <c r="G962" s="34">
        <v>2</v>
      </c>
      <c r="H962" s="34">
        <v>9</v>
      </c>
      <c r="I962" s="15" t="s">
        <v>73</v>
      </c>
      <c r="J962" s="15" t="s">
        <v>74</v>
      </c>
      <c r="K962" s="74" t="s">
        <v>29</v>
      </c>
      <c r="L962" s="16">
        <v>110619</v>
      </c>
      <c r="M962" s="16">
        <v>30324</v>
      </c>
      <c r="N962" s="16">
        <v>65148</v>
      </c>
      <c r="O962" s="16">
        <v>99125</v>
      </c>
      <c r="P962" s="16">
        <v>88348</v>
      </c>
      <c r="Q962" s="16">
        <v>11493</v>
      </c>
      <c r="R962" s="16">
        <v>851</v>
      </c>
      <c r="S962" s="16">
        <v>0</v>
      </c>
      <c r="T962" s="16">
        <v>1</v>
      </c>
      <c r="U962" s="15" t="str">
        <f t="shared" si="56"/>
        <v>Privado Nacional</v>
      </c>
      <c r="V962" s="17">
        <f t="shared" si="57"/>
        <v>0.27413012231171863</v>
      </c>
      <c r="W962" s="17">
        <f t="shared" si="58"/>
        <v>7.4045070912729494E-2</v>
      </c>
      <c r="X962" s="15" t="str">
        <f t="shared" si="59"/>
        <v>Média/Pequena</v>
      </c>
      <c r="Y962" s="121" t="str" cm="1">
        <f t="array" ref="Y962">_xlfn.IFS(ISNUMBER(W962)=FALSE,"Sem dado",W962&gt;0.075,"Excelente",W962&gt;0.04,"Bom",W962&gt;0,"Fraco",TRUE,"Prejuízo")</f>
        <v>Bom</v>
      </c>
    </row>
    <row r="963" spans="1:25" ht="15" customHeight="1" x14ac:dyDescent="0.2">
      <c r="A963" s="12" t="s">
        <v>2023</v>
      </c>
      <c r="B963" s="56">
        <v>40710595</v>
      </c>
      <c r="C963" s="12" t="s">
        <v>2024</v>
      </c>
      <c r="D963" s="12"/>
      <c r="E963" s="12" t="s">
        <v>2025</v>
      </c>
      <c r="F963" s="12" t="s">
        <v>84</v>
      </c>
      <c r="G963" s="33">
        <v>3</v>
      </c>
      <c r="H963" s="33">
        <v>41</v>
      </c>
      <c r="I963" s="12" t="s">
        <v>38</v>
      </c>
      <c r="J963" s="12" t="s">
        <v>39</v>
      </c>
      <c r="K963" s="73" t="s">
        <v>29</v>
      </c>
      <c r="L963" s="13">
        <v>110323</v>
      </c>
      <c r="M963" s="13">
        <v>0</v>
      </c>
      <c r="N963" s="13">
        <v>97341</v>
      </c>
      <c r="O963" s="13">
        <v>45011</v>
      </c>
      <c r="P963" s="13">
        <v>17847</v>
      </c>
      <c r="Q963" s="13">
        <v>65312</v>
      </c>
      <c r="R963" s="13">
        <v>-9392</v>
      </c>
      <c r="S963" s="13">
        <v>1</v>
      </c>
      <c r="T963" s="13">
        <v>0</v>
      </c>
      <c r="U963" s="12" t="str">
        <f t="shared" si="56"/>
        <v>Privado Estrangeiro</v>
      </c>
      <c r="V963" s="14">
        <f t="shared" si="57"/>
        <v>0</v>
      </c>
      <c r="W963" s="14">
        <f t="shared" si="58"/>
        <v>-0.14380205781479666</v>
      </c>
      <c r="X963" s="12" t="str">
        <f t="shared" si="59"/>
        <v>Média/Pequena</v>
      </c>
      <c r="Y963" s="122" t="str" cm="1">
        <f t="array" ref="Y963">_xlfn.IFS(ISNUMBER(W963)=FALSE,"Sem dado",W963&gt;0.075,"Excelente",W963&gt;0.04,"Bom",W963&gt;0,"Fraco",TRUE,"Prejuízo")</f>
        <v>Prejuízo</v>
      </c>
    </row>
    <row r="964" spans="1:25" ht="15" customHeight="1" x14ac:dyDescent="0.2">
      <c r="A964" s="15" t="s">
        <v>2026</v>
      </c>
      <c r="B964" s="60">
        <v>4230630</v>
      </c>
      <c r="C964" s="15" t="s">
        <v>2027</v>
      </c>
      <c r="D964" s="15"/>
      <c r="E964" s="15" t="s">
        <v>2028</v>
      </c>
      <c r="F964" s="15" t="s">
        <v>65</v>
      </c>
      <c r="G964" s="34">
        <v>2</v>
      </c>
      <c r="H964" s="34">
        <v>14</v>
      </c>
      <c r="I964" s="15" t="s">
        <v>38</v>
      </c>
      <c r="J964" s="15" t="s">
        <v>39</v>
      </c>
      <c r="K964" s="74" t="s">
        <v>29</v>
      </c>
      <c r="L964" s="16">
        <v>109622</v>
      </c>
      <c r="M964" s="16">
        <v>50101</v>
      </c>
      <c r="N964" s="16">
        <v>46569</v>
      </c>
      <c r="O964" s="16">
        <v>21268</v>
      </c>
      <c r="P964" s="16">
        <v>0</v>
      </c>
      <c r="Q964" s="16">
        <v>88354</v>
      </c>
      <c r="R964" s="16">
        <v>10432</v>
      </c>
      <c r="S964" s="16">
        <v>2</v>
      </c>
      <c r="T964" s="16">
        <v>0</v>
      </c>
      <c r="U964" s="15" t="str">
        <f t="shared" si="56"/>
        <v>Privado Nacional</v>
      </c>
      <c r="V964" s="17">
        <f t="shared" si="57"/>
        <v>0.45703417197277918</v>
      </c>
      <c r="W964" s="17">
        <f t="shared" si="58"/>
        <v>0.11807048916857188</v>
      </c>
      <c r="X964" s="15" t="str">
        <f t="shared" si="59"/>
        <v>Média/Pequena</v>
      </c>
      <c r="Y964" s="121" t="str" cm="1">
        <f t="array" ref="Y964">_xlfn.IFS(ISNUMBER(W964)=FALSE,"Sem dado",W964&gt;0.075,"Excelente",W964&gt;0.04,"Bom",W964&gt;0,"Fraco",TRUE,"Prejuízo")</f>
        <v>Excelente</v>
      </c>
    </row>
    <row r="965" spans="1:25" ht="15" customHeight="1" x14ac:dyDescent="0.2">
      <c r="A965" s="12" t="s">
        <v>2029</v>
      </c>
      <c r="B965" s="56">
        <v>2685483</v>
      </c>
      <c r="C965" s="12" t="s">
        <v>2030</v>
      </c>
      <c r="D965" s="12"/>
      <c r="E965" s="12" t="s">
        <v>2031</v>
      </c>
      <c r="F965" s="12" t="s">
        <v>98</v>
      </c>
      <c r="G965" s="33">
        <v>3</v>
      </c>
      <c r="H965" s="33">
        <v>15</v>
      </c>
      <c r="I965" s="12" t="s">
        <v>38</v>
      </c>
      <c r="J965" s="12" t="s">
        <v>39</v>
      </c>
      <c r="K965" s="73" t="s">
        <v>29</v>
      </c>
      <c r="L965" s="13">
        <v>109463</v>
      </c>
      <c r="M965" s="13">
        <v>0</v>
      </c>
      <c r="N965" s="13">
        <v>65435</v>
      </c>
      <c r="O965" s="13">
        <v>71070</v>
      </c>
      <c r="P965" s="13">
        <v>39835</v>
      </c>
      <c r="Q965" s="13">
        <v>38392</v>
      </c>
      <c r="R965" s="13">
        <v>-2654</v>
      </c>
      <c r="S965" s="13">
        <v>2</v>
      </c>
      <c r="T965" s="13">
        <v>0</v>
      </c>
      <c r="U965" s="12" t="str">
        <f t="shared" ref="U965:U1028" si="60">IFERROR(CHOOSE(G965,"Público","Privado Nacional","Privado Estrangeiro"),"n.d.")</f>
        <v>Privado Estrangeiro</v>
      </c>
      <c r="V965" s="14">
        <f t="shared" ref="V965:V1028" si="61">IF(AND(ISNUMBER(M965),ISNUMBER(L965)),IF(L965&gt;0,M965/L965,"n.d."),"NI")</f>
        <v>0</v>
      </c>
      <c r="W965" s="14">
        <f t="shared" ref="W965:W1028" si="62">IF(AND(ISNUMBER(R965),ISNUMBER(Q965)),IF(Q965&gt;0,R965/Q965,"n.d."),"NI")</f>
        <v>-6.9128985205251098E-2</v>
      </c>
      <c r="X965" s="12" t="str">
        <f t="shared" ref="X965:X1028" si="63">IF(ISNUMBER(L965),IF(L965&gt;100000000,"Grande","Média/Pequena"),"Sem dado")</f>
        <v>Média/Pequena</v>
      </c>
      <c r="Y965" s="122" t="str" cm="1">
        <f t="array" ref="Y965">_xlfn.IFS(ISNUMBER(W965)=FALSE,"Sem dado",W965&gt;0.075,"Excelente",W965&gt;0.04,"Bom",W965&gt;0,"Fraco",TRUE,"Prejuízo")</f>
        <v>Prejuízo</v>
      </c>
    </row>
    <row r="966" spans="1:25" ht="15" customHeight="1" x14ac:dyDescent="0.2">
      <c r="A966" s="15" t="s">
        <v>2032</v>
      </c>
      <c r="B966" s="60">
        <v>61190658</v>
      </c>
      <c r="C966" s="15" t="s">
        <v>35</v>
      </c>
      <c r="D966" s="15" t="s">
        <v>36</v>
      </c>
      <c r="E966" s="15" t="s">
        <v>37</v>
      </c>
      <c r="F966" s="15" t="s">
        <v>60</v>
      </c>
      <c r="G966" s="34">
        <v>2</v>
      </c>
      <c r="H966" s="34">
        <v>8</v>
      </c>
      <c r="I966" s="15" t="s">
        <v>38</v>
      </c>
      <c r="J966" s="15" t="s">
        <v>39</v>
      </c>
      <c r="K966" s="74" t="s">
        <v>29</v>
      </c>
      <c r="L966" s="16">
        <v>109445</v>
      </c>
      <c r="M966" s="16">
        <v>0</v>
      </c>
      <c r="N966" s="16">
        <v>1</v>
      </c>
      <c r="O966" s="16">
        <v>2376</v>
      </c>
      <c r="P966" s="16">
        <v>0</v>
      </c>
      <c r="Q966" s="16">
        <v>107069</v>
      </c>
      <c r="R966" s="16">
        <v>3315</v>
      </c>
      <c r="S966" s="16">
        <v>2</v>
      </c>
      <c r="T966" s="16">
        <v>0</v>
      </c>
      <c r="U966" s="15" t="str">
        <f t="shared" si="60"/>
        <v>Privado Nacional</v>
      </c>
      <c r="V966" s="17">
        <f t="shared" si="61"/>
        <v>0</v>
      </c>
      <c r="W966" s="17">
        <f t="shared" si="62"/>
        <v>3.0961342685557912E-2</v>
      </c>
      <c r="X966" s="15" t="str">
        <f t="shared" si="63"/>
        <v>Média/Pequena</v>
      </c>
      <c r="Y966" s="121" t="str" cm="1">
        <f t="array" ref="Y966">_xlfn.IFS(ISNUMBER(W966)=FALSE,"Sem dado",W966&gt;0.075,"Excelente",W966&gt;0.04,"Bom",W966&gt;0,"Fraco",TRUE,"Prejuízo")</f>
        <v>Fraco</v>
      </c>
    </row>
    <row r="967" spans="1:25" ht="15" customHeight="1" x14ac:dyDescent="0.2">
      <c r="A967" s="12" t="s">
        <v>2033</v>
      </c>
      <c r="B967" s="56">
        <v>1374196</v>
      </c>
      <c r="C967" s="12"/>
      <c r="D967" s="12"/>
      <c r="E967" s="12"/>
      <c r="F967" s="12" t="s">
        <v>265</v>
      </c>
      <c r="G967" s="33">
        <v>2</v>
      </c>
      <c r="H967" s="33">
        <v>9</v>
      </c>
      <c r="I967" s="12" t="s">
        <v>2034</v>
      </c>
      <c r="J967" s="12" t="s">
        <v>120</v>
      </c>
      <c r="K967" s="73" t="s">
        <v>29</v>
      </c>
      <c r="L967" s="13">
        <v>108214</v>
      </c>
      <c r="M967" s="13">
        <v>78693</v>
      </c>
      <c r="N967" s="13">
        <v>3991</v>
      </c>
      <c r="O967" s="13">
        <v>85433</v>
      </c>
      <c r="P967" s="13">
        <v>58924</v>
      </c>
      <c r="Q967" s="13">
        <v>22781</v>
      </c>
      <c r="R967" s="13">
        <v>-4320</v>
      </c>
      <c r="S967" s="13">
        <v>0</v>
      </c>
      <c r="T967" s="13">
        <v>0</v>
      </c>
      <c r="U967" s="12" t="str">
        <f t="shared" si="60"/>
        <v>Privado Nacional</v>
      </c>
      <c r="V967" s="14">
        <f t="shared" si="61"/>
        <v>0.72719795959857325</v>
      </c>
      <c r="W967" s="14">
        <f t="shared" si="62"/>
        <v>-0.18963171063605636</v>
      </c>
      <c r="X967" s="12" t="str">
        <f t="shared" si="63"/>
        <v>Média/Pequena</v>
      </c>
      <c r="Y967" s="122" t="str" cm="1">
        <f t="array" ref="Y967">_xlfn.IFS(ISNUMBER(W967)=FALSE,"Sem dado",W967&gt;0.075,"Excelente",W967&gt;0.04,"Bom",W967&gt;0,"Fraco",TRUE,"Prejuízo")</f>
        <v>Prejuízo</v>
      </c>
    </row>
    <row r="968" spans="1:25" ht="15" customHeight="1" x14ac:dyDescent="0.2">
      <c r="A968" s="15" t="s">
        <v>2035</v>
      </c>
      <c r="B968" s="60">
        <v>44401800</v>
      </c>
      <c r="C968" s="15"/>
      <c r="D968" s="15"/>
      <c r="E968" s="15"/>
      <c r="F968" s="15" t="s">
        <v>265</v>
      </c>
      <c r="G968" s="34">
        <v>2</v>
      </c>
      <c r="H968" s="34">
        <v>9</v>
      </c>
      <c r="I968" s="15" t="s">
        <v>255</v>
      </c>
      <c r="J968" s="15" t="s">
        <v>39</v>
      </c>
      <c r="K968" s="74" t="s">
        <v>29</v>
      </c>
      <c r="L968" s="16">
        <v>107865</v>
      </c>
      <c r="M968" s="16">
        <v>75516</v>
      </c>
      <c r="N968" s="16">
        <v>26311</v>
      </c>
      <c r="O968" s="16">
        <v>19177</v>
      </c>
      <c r="P968" s="16">
        <v>6867</v>
      </c>
      <c r="Q968" s="16">
        <v>88688</v>
      </c>
      <c r="R968" s="16">
        <v>6608</v>
      </c>
      <c r="S968" s="16">
        <v>0</v>
      </c>
      <c r="T968" s="16">
        <v>8</v>
      </c>
      <c r="U968" s="15" t="str">
        <f t="shared" si="60"/>
        <v>Privado Nacional</v>
      </c>
      <c r="V968" s="17">
        <f t="shared" si="61"/>
        <v>0.70009734390209988</v>
      </c>
      <c r="W968" s="17">
        <f t="shared" si="62"/>
        <v>7.4508388959047447E-2</v>
      </c>
      <c r="X968" s="15" t="str">
        <f t="shared" si="63"/>
        <v>Média/Pequena</v>
      </c>
      <c r="Y968" s="121" t="str" cm="1">
        <f t="array" ref="Y968">_xlfn.IFS(ISNUMBER(W968)=FALSE,"Sem dado",W968&gt;0.075,"Excelente",W968&gt;0.04,"Bom",W968&gt;0,"Fraco",TRUE,"Prejuízo")</f>
        <v>Bom</v>
      </c>
    </row>
    <row r="969" spans="1:25" ht="15" customHeight="1" x14ac:dyDescent="0.2">
      <c r="A969" s="12" t="s">
        <v>2036</v>
      </c>
      <c r="B969" s="56">
        <v>62448932</v>
      </c>
      <c r="C969" s="12" t="s">
        <v>2037</v>
      </c>
      <c r="D969" s="12"/>
      <c r="E969" s="12" t="s">
        <v>2038</v>
      </c>
      <c r="F969" s="12" t="s">
        <v>65</v>
      </c>
      <c r="G969" s="33">
        <v>2</v>
      </c>
      <c r="H969" s="33">
        <v>14</v>
      </c>
      <c r="I969" s="12" t="s">
        <v>528</v>
      </c>
      <c r="J969" s="12" t="s">
        <v>217</v>
      </c>
      <c r="K969" s="73" t="s">
        <v>29</v>
      </c>
      <c r="L969" s="13">
        <v>107173</v>
      </c>
      <c r="M969" s="13">
        <v>78118</v>
      </c>
      <c r="N969" s="13">
        <v>26858</v>
      </c>
      <c r="O969" s="13">
        <v>45054</v>
      </c>
      <c r="P969" s="13">
        <v>42526</v>
      </c>
      <c r="Q969" s="13">
        <v>62119</v>
      </c>
      <c r="R969" s="13">
        <v>-2451</v>
      </c>
      <c r="S969" s="13">
        <v>2</v>
      </c>
      <c r="T969" s="13">
        <v>0</v>
      </c>
      <c r="U969" s="12" t="str">
        <f t="shared" si="60"/>
        <v>Privado Nacional</v>
      </c>
      <c r="V969" s="14">
        <f t="shared" si="61"/>
        <v>0.7288962705158949</v>
      </c>
      <c r="W969" s="14">
        <f t="shared" si="62"/>
        <v>-3.9456526988522027E-2</v>
      </c>
      <c r="X969" s="12" t="str">
        <f t="shared" si="63"/>
        <v>Média/Pequena</v>
      </c>
      <c r="Y969" s="122" t="str" cm="1">
        <f t="array" ref="Y969">_xlfn.IFS(ISNUMBER(W969)=FALSE,"Sem dado",W969&gt;0.075,"Excelente",W969&gt;0.04,"Bom",W969&gt;0,"Fraco",TRUE,"Prejuízo")</f>
        <v>Prejuízo</v>
      </c>
    </row>
    <row r="970" spans="1:25" ht="15" customHeight="1" x14ac:dyDescent="0.2">
      <c r="A970" s="15" t="s">
        <v>2039</v>
      </c>
      <c r="B970" s="60">
        <v>48751854</v>
      </c>
      <c r="C970" s="15" t="s">
        <v>506</v>
      </c>
      <c r="D970" s="15" t="s">
        <v>507</v>
      </c>
      <c r="E970" s="15" t="s">
        <v>507</v>
      </c>
      <c r="F970" s="15" t="s">
        <v>65</v>
      </c>
      <c r="G970" s="34">
        <v>3</v>
      </c>
      <c r="H970" s="34">
        <v>43</v>
      </c>
      <c r="I970" s="15" t="s">
        <v>38</v>
      </c>
      <c r="J970" s="15" t="s">
        <v>39</v>
      </c>
      <c r="K970" s="74" t="s">
        <v>29</v>
      </c>
      <c r="L970" s="16">
        <v>105696</v>
      </c>
      <c r="M970" s="16">
        <v>20025</v>
      </c>
      <c r="N970" s="16">
        <v>44452</v>
      </c>
      <c r="O970" s="16">
        <v>12651</v>
      </c>
      <c r="P970" s="16">
        <v>0</v>
      </c>
      <c r="Q970" s="16">
        <v>93045</v>
      </c>
      <c r="R970" s="16">
        <v>6262</v>
      </c>
      <c r="S970" s="16">
        <v>2</v>
      </c>
      <c r="T970" s="16">
        <v>0</v>
      </c>
      <c r="U970" s="15" t="str">
        <f t="shared" si="60"/>
        <v>Privado Estrangeiro</v>
      </c>
      <c r="V970" s="17">
        <f t="shared" si="61"/>
        <v>0.18945844686648503</v>
      </c>
      <c r="W970" s="17">
        <f t="shared" si="62"/>
        <v>6.73007684453759E-2</v>
      </c>
      <c r="X970" s="15" t="str">
        <f t="shared" si="63"/>
        <v>Média/Pequena</v>
      </c>
      <c r="Y970" s="121" t="str" cm="1">
        <f t="array" ref="Y970">_xlfn.IFS(ISNUMBER(W970)=FALSE,"Sem dado",W970&gt;0.075,"Excelente",W970&gt;0.04,"Bom",W970&gt;0,"Fraco",TRUE,"Prejuízo")</f>
        <v>Bom</v>
      </c>
    </row>
    <row r="971" spans="1:25" ht="15" customHeight="1" x14ac:dyDescent="0.2">
      <c r="A971" s="12" t="s">
        <v>2040</v>
      </c>
      <c r="B971" s="56">
        <v>3000142</v>
      </c>
      <c r="C971" s="12"/>
      <c r="D971" s="12"/>
      <c r="E971" s="12"/>
      <c r="F971" s="12" t="s">
        <v>265</v>
      </c>
      <c r="G971" s="33">
        <v>2</v>
      </c>
      <c r="H971" s="33">
        <v>9</v>
      </c>
      <c r="I971" s="12" t="s">
        <v>73</v>
      </c>
      <c r="J971" s="12" t="s">
        <v>74</v>
      </c>
      <c r="K971" s="73" t="s">
        <v>29</v>
      </c>
      <c r="L971" s="13">
        <v>105322</v>
      </c>
      <c r="M971" s="13">
        <v>65301</v>
      </c>
      <c r="N971" s="13">
        <v>22286</v>
      </c>
      <c r="O971" s="13">
        <v>94223</v>
      </c>
      <c r="P971" s="13">
        <v>80421</v>
      </c>
      <c r="Q971" s="13">
        <v>11099</v>
      </c>
      <c r="R971" s="13">
        <v>162</v>
      </c>
      <c r="S971" s="13">
        <v>0</v>
      </c>
      <c r="T971" s="13">
        <v>2</v>
      </c>
      <c r="U971" s="12" t="str">
        <f t="shared" si="60"/>
        <v>Privado Nacional</v>
      </c>
      <c r="V971" s="14">
        <f t="shared" si="61"/>
        <v>0.62001291278175497</v>
      </c>
      <c r="W971" s="14">
        <f t="shared" si="62"/>
        <v>1.4595909541400127E-2</v>
      </c>
      <c r="X971" s="12" t="str">
        <f t="shared" si="63"/>
        <v>Média/Pequena</v>
      </c>
      <c r="Y971" s="122" t="str" cm="1">
        <f t="array" ref="Y971">_xlfn.IFS(ISNUMBER(W971)=FALSE,"Sem dado",W971&gt;0.075,"Excelente",W971&gt;0.04,"Bom",W971&gt;0,"Fraco",TRUE,"Prejuízo")</f>
        <v>Fraco</v>
      </c>
    </row>
    <row r="972" spans="1:25" ht="15" customHeight="1" x14ac:dyDescent="0.2">
      <c r="A972" s="15" t="s">
        <v>2041</v>
      </c>
      <c r="B972" s="60">
        <v>3848103</v>
      </c>
      <c r="C972" s="15" t="s">
        <v>2042</v>
      </c>
      <c r="D972" s="15"/>
      <c r="E972" s="15" t="s">
        <v>2043</v>
      </c>
      <c r="F972" s="15" t="s">
        <v>65</v>
      </c>
      <c r="G972" s="34">
        <v>1</v>
      </c>
      <c r="H972" s="34">
        <v>30</v>
      </c>
      <c r="I972" s="15" t="s">
        <v>821</v>
      </c>
      <c r="J972" s="15" t="s">
        <v>822</v>
      </c>
      <c r="K972" s="74" t="s">
        <v>29</v>
      </c>
      <c r="L972" s="16">
        <v>104508</v>
      </c>
      <c r="M972" s="16">
        <v>61607</v>
      </c>
      <c r="N972" s="16">
        <v>36655</v>
      </c>
      <c r="O972" s="16">
        <v>32801</v>
      </c>
      <c r="P972" s="16">
        <v>13425</v>
      </c>
      <c r="Q972" s="16">
        <v>71707</v>
      </c>
      <c r="R972" s="16">
        <v>2130</v>
      </c>
      <c r="S972" s="16">
        <v>2</v>
      </c>
      <c r="T972" s="16">
        <v>0</v>
      </c>
      <c r="U972" s="15" t="str">
        <f t="shared" si="60"/>
        <v>Público</v>
      </c>
      <c r="V972" s="17">
        <f t="shared" si="61"/>
        <v>0.58949554101121449</v>
      </c>
      <c r="W972" s="17">
        <f t="shared" si="62"/>
        <v>2.9704212977812488E-2</v>
      </c>
      <c r="X972" s="15" t="str">
        <f t="shared" si="63"/>
        <v>Média/Pequena</v>
      </c>
      <c r="Y972" s="121" t="str" cm="1">
        <f t="array" ref="Y972">_xlfn.IFS(ISNUMBER(W972)=FALSE,"Sem dado",W972&gt;0.075,"Excelente",W972&gt;0.04,"Bom",W972&gt;0,"Fraco",TRUE,"Prejuízo")</f>
        <v>Fraco</v>
      </c>
    </row>
    <row r="973" spans="1:25" ht="15" customHeight="1" x14ac:dyDescent="0.2">
      <c r="A973" s="12" t="s">
        <v>2044</v>
      </c>
      <c r="B973" s="56">
        <v>42054886</v>
      </c>
      <c r="C973" s="12" t="s">
        <v>46</v>
      </c>
      <c r="D973" s="12" t="s">
        <v>47</v>
      </c>
      <c r="E973" s="12" t="s">
        <v>48</v>
      </c>
      <c r="F973" s="12" t="s">
        <v>65</v>
      </c>
      <c r="G973" s="33">
        <v>3</v>
      </c>
      <c r="H973" s="33">
        <v>43</v>
      </c>
      <c r="I973" s="12" t="s">
        <v>38</v>
      </c>
      <c r="J973" s="12" t="s">
        <v>39</v>
      </c>
      <c r="K973" s="73" t="s">
        <v>29</v>
      </c>
      <c r="L973" s="13">
        <v>104288</v>
      </c>
      <c r="M973" s="13">
        <v>219</v>
      </c>
      <c r="N973" s="13">
        <v>94901</v>
      </c>
      <c r="O973" s="13">
        <v>6160</v>
      </c>
      <c r="P973" s="13">
        <v>0</v>
      </c>
      <c r="Q973" s="13">
        <v>98128</v>
      </c>
      <c r="R973" s="13">
        <v>3155</v>
      </c>
      <c r="S973" s="13">
        <v>2</v>
      </c>
      <c r="T973" s="13">
        <v>0</v>
      </c>
      <c r="U973" s="12" t="str">
        <f t="shared" si="60"/>
        <v>Privado Estrangeiro</v>
      </c>
      <c r="V973" s="14">
        <f t="shared" si="61"/>
        <v>2.0999539736115372E-3</v>
      </c>
      <c r="W973" s="14">
        <f t="shared" si="62"/>
        <v>3.2151883254524699E-2</v>
      </c>
      <c r="X973" s="12" t="str">
        <f t="shared" si="63"/>
        <v>Média/Pequena</v>
      </c>
      <c r="Y973" s="122" t="str" cm="1">
        <f t="array" ref="Y973">_xlfn.IFS(ISNUMBER(W973)=FALSE,"Sem dado",W973&gt;0.075,"Excelente",W973&gt;0.04,"Bom",W973&gt;0,"Fraco",TRUE,"Prejuízo")</f>
        <v>Fraco</v>
      </c>
    </row>
    <row r="974" spans="1:25" ht="15" customHeight="1" x14ac:dyDescent="0.2">
      <c r="A974" s="15" t="s">
        <v>2045</v>
      </c>
      <c r="B974" s="60">
        <v>7652226</v>
      </c>
      <c r="C974" s="15" t="s">
        <v>2046</v>
      </c>
      <c r="D974" s="15"/>
      <c r="E974" s="15" t="s">
        <v>2047</v>
      </c>
      <c r="F974" s="15" t="s">
        <v>65</v>
      </c>
      <c r="G974" s="34">
        <v>2</v>
      </c>
      <c r="H974" s="34">
        <v>14</v>
      </c>
      <c r="I974" s="15" t="s">
        <v>53</v>
      </c>
      <c r="J974" s="15" t="s">
        <v>54</v>
      </c>
      <c r="K974" s="74" t="s">
        <v>29</v>
      </c>
      <c r="L974" s="16">
        <v>103832</v>
      </c>
      <c r="M974" s="16">
        <v>72526</v>
      </c>
      <c r="N974" s="16">
        <v>8853</v>
      </c>
      <c r="O974" s="16">
        <v>82276</v>
      </c>
      <c r="P974" s="16">
        <v>72865</v>
      </c>
      <c r="Q974" s="16">
        <v>21557</v>
      </c>
      <c r="R974" s="16">
        <v>2429</v>
      </c>
      <c r="S974" s="16">
        <v>2</v>
      </c>
      <c r="T974" s="16">
        <v>0</v>
      </c>
      <c r="U974" s="15" t="str">
        <f t="shared" si="60"/>
        <v>Privado Nacional</v>
      </c>
      <c r="V974" s="17">
        <f t="shared" si="61"/>
        <v>0.69849372062562598</v>
      </c>
      <c r="W974" s="17">
        <f t="shared" si="62"/>
        <v>0.11267801642158</v>
      </c>
      <c r="X974" s="15" t="str">
        <f t="shared" si="63"/>
        <v>Média/Pequena</v>
      </c>
      <c r="Y974" s="121" t="str" cm="1">
        <f t="array" ref="Y974">_xlfn.IFS(ISNUMBER(W974)=FALSE,"Sem dado",W974&gt;0.075,"Excelente",W974&gt;0.04,"Bom",W974&gt;0,"Fraco",TRUE,"Prejuízo")</f>
        <v>Excelente</v>
      </c>
    </row>
    <row r="975" spans="1:25" ht="15" customHeight="1" x14ac:dyDescent="0.2">
      <c r="A975" s="12" t="s">
        <v>2048</v>
      </c>
      <c r="B975" s="56">
        <v>62562012</v>
      </c>
      <c r="C975" s="12"/>
      <c r="D975" s="12"/>
      <c r="E975" s="12"/>
      <c r="F975" s="12" t="s">
        <v>265</v>
      </c>
      <c r="G975" s="33">
        <v>2</v>
      </c>
      <c r="H975" s="33">
        <v>9</v>
      </c>
      <c r="I975" s="12" t="s">
        <v>38</v>
      </c>
      <c r="J975" s="12" t="s">
        <v>39</v>
      </c>
      <c r="K975" s="73" t="s">
        <v>29</v>
      </c>
      <c r="L975" s="13">
        <v>103605</v>
      </c>
      <c r="M975" s="13">
        <v>46726</v>
      </c>
      <c r="N975" s="13">
        <v>53734</v>
      </c>
      <c r="O975" s="13">
        <v>2606</v>
      </c>
      <c r="P975" s="13">
        <v>0</v>
      </c>
      <c r="Q975" s="13">
        <v>100998</v>
      </c>
      <c r="R975" s="13">
        <v>4891</v>
      </c>
      <c r="S975" s="13">
        <v>0</v>
      </c>
      <c r="T975" s="13">
        <v>1</v>
      </c>
      <c r="U975" s="12" t="str">
        <f t="shared" si="60"/>
        <v>Privado Nacional</v>
      </c>
      <c r="V975" s="14">
        <f t="shared" si="61"/>
        <v>0.45100139954635393</v>
      </c>
      <c r="W975" s="14">
        <f t="shared" si="62"/>
        <v>4.8426701518841958E-2</v>
      </c>
      <c r="X975" s="12" t="str">
        <f t="shared" si="63"/>
        <v>Média/Pequena</v>
      </c>
      <c r="Y975" s="122" t="str" cm="1">
        <f t="array" ref="Y975">_xlfn.IFS(ISNUMBER(W975)=FALSE,"Sem dado",W975&gt;0.075,"Excelente",W975&gt;0.04,"Bom",W975&gt;0,"Fraco",TRUE,"Prejuízo")</f>
        <v>Bom</v>
      </c>
    </row>
    <row r="976" spans="1:25" ht="15" customHeight="1" x14ac:dyDescent="0.2">
      <c r="A976" s="15" t="s">
        <v>2049</v>
      </c>
      <c r="B976" s="60">
        <v>26225776</v>
      </c>
      <c r="C976" s="15" t="s">
        <v>2050</v>
      </c>
      <c r="D976" s="15"/>
      <c r="E976" s="15" t="s">
        <v>2051</v>
      </c>
      <c r="F976" s="15" t="s">
        <v>65</v>
      </c>
      <c r="G976" s="34">
        <v>2</v>
      </c>
      <c r="H976" s="34">
        <v>14</v>
      </c>
      <c r="I976" s="15" t="s">
        <v>749</v>
      </c>
      <c r="J976" s="15" t="s">
        <v>74</v>
      </c>
      <c r="K976" s="74" t="s">
        <v>29</v>
      </c>
      <c r="L976" s="16">
        <v>103346</v>
      </c>
      <c r="M976" s="16">
        <v>90127</v>
      </c>
      <c r="N976" s="16">
        <v>7050</v>
      </c>
      <c r="O976" s="16">
        <v>61477</v>
      </c>
      <c r="P976" s="16">
        <v>57956</v>
      </c>
      <c r="Q976" s="16">
        <v>41869</v>
      </c>
      <c r="R976" s="16">
        <v>5252</v>
      </c>
      <c r="S976" s="16">
        <v>2</v>
      </c>
      <c r="T976" s="16">
        <v>0</v>
      </c>
      <c r="U976" s="15" t="str">
        <f t="shared" si="60"/>
        <v>Privado Nacional</v>
      </c>
      <c r="V976" s="17">
        <f t="shared" si="61"/>
        <v>0.87208987285429529</v>
      </c>
      <c r="W976" s="17">
        <f t="shared" si="62"/>
        <v>0.12543886885285055</v>
      </c>
      <c r="X976" s="15" t="str">
        <f t="shared" si="63"/>
        <v>Média/Pequena</v>
      </c>
      <c r="Y976" s="121" t="str" cm="1">
        <f t="array" ref="Y976">_xlfn.IFS(ISNUMBER(W976)=FALSE,"Sem dado",W976&gt;0.075,"Excelente",W976&gt;0.04,"Bom",W976&gt;0,"Fraco",TRUE,"Prejuízo")</f>
        <v>Excelente</v>
      </c>
    </row>
    <row r="977" spans="1:25" ht="15" customHeight="1" x14ac:dyDescent="0.2">
      <c r="A977" s="12" t="s">
        <v>2052</v>
      </c>
      <c r="B977" s="56">
        <v>3662047</v>
      </c>
      <c r="C977" s="12"/>
      <c r="D977" s="12"/>
      <c r="E977" s="12"/>
      <c r="F977" s="12" t="s">
        <v>265</v>
      </c>
      <c r="G977" s="33">
        <v>2</v>
      </c>
      <c r="H977" s="33">
        <v>9</v>
      </c>
      <c r="I977" s="12" t="s">
        <v>73</v>
      </c>
      <c r="J977" s="12" t="s">
        <v>74</v>
      </c>
      <c r="K977" s="73" t="s">
        <v>29</v>
      </c>
      <c r="L977" s="13">
        <v>102927</v>
      </c>
      <c r="M977" s="13">
        <v>31963</v>
      </c>
      <c r="N977" s="13">
        <v>62673</v>
      </c>
      <c r="O977" s="13">
        <v>93055</v>
      </c>
      <c r="P977" s="13">
        <v>72589</v>
      </c>
      <c r="Q977" s="13">
        <v>9873</v>
      </c>
      <c r="R977" s="13">
        <v>568</v>
      </c>
      <c r="S977" s="13">
        <v>0</v>
      </c>
      <c r="T977" s="13">
        <v>1</v>
      </c>
      <c r="U977" s="12" t="str">
        <f t="shared" si="60"/>
        <v>Privado Nacional</v>
      </c>
      <c r="V977" s="14">
        <f t="shared" si="61"/>
        <v>0.31054048014612295</v>
      </c>
      <c r="W977" s="14">
        <f t="shared" si="62"/>
        <v>5.7530639116783147E-2</v>
      </c>
      <c r="X977" s="12" t="str">
        <f t="shared" si="63"/>
        <v>Média/Pequena</v>
      </c>
      <c r="Y977" s="122" t="str" cm="1">
        <f t="array" ref="Y977">_xlfn.IFS(ISNUMBER(W977)=FALSE,"Sem dado",W977&gt;0.075,"Excelente",W977&gt;0.04,"Bom",W977&gt;0,"Fraco",TRUE,"Prejuízo")</f>
        <v>Bom</v>
      </c>
    </row>
    <row r="978" spans="1:25" ht="15" customHeight="1" x14ac:dyDescent="0.2">
      <c r="A978" s="15" t="s">
        <v>2053</v>
      </c>
      <c r="B978" s="60">
        <v>64739121</v>
      </c>
      <c r="C978" s="15"/>
      <c r="D978" s="15"/>
      <c r="E978" s="15"/>
      <c r="F978" s="15" t="s">
        <v>265</v>
      </c>
      <c r="G978" s="34">
        <v>2</v>
      </c>
      <c r="H978" s="34">
        <v>9</v>
      </c>
      <c r="I978" s="15" t="s">
        <v>342</v>
      </c>
      <c r="J978" s="15" t="s">
        <v>39</v>
      </c>
      <c r="K978" s="74" t="s">
        <v>29</v>
      </c>
      <c r="L978" s="16">
        <v>102394</v>
      </c>
      <c r="M978" s="16">
        <v>48991</v>
      </c>
      <c r="N978" s="16">
        <v>52252</v>
      </c>
      <c r="O978" s="16">
        <v>61134</v>
      </c>
      <c r="P978" s="16">
        <v>58196</v>
      </c>
      <c r="Q978" s="16">
        <v>41259</v>
      </c>
      <c r="R978" s="16">
        <v>2188</v>
      </c>
      <c r="S978" s="16">
        <v>0</v>
      </c>
      <c r="T978" s="16">
        <v>1</v>
      </c>
      <c r="U978" s="15" t="str">
        <f t="shared" si="60"/>
        <v>Privado Nacional</v>
      </c>
      <c r="V978" s="17">
        <f t="shared" si="61"/>
        <v>0.47845576889270858</v>
      </c>
      <c r="W978" s="17">
        <f t="shared" si="62"/>
        <v>5.3030853874306214E-2</v>
      </c>
      <c r="X978" s="15" t="str">
        <f t="shared" si="63"/>
        <v>Média/Pequena</v>
      </c>
      <c r="Y978" s="121" t="str" cm="1">
        <f t="array" ref="Y978">_xlfn.IFS(ISNUMBER(W978)=FALSE,"Sem dado",W978&gt;0.075,"Excelente",W978&gt;0.04,"Bom",W978&gt;0,"Fraco",TRUE,"Prejuízo")</f>
        <v>Bom</v>
      </c>
    </row>
    <row r="979" spans="1:25" ht="15" customHeight="1" x14ac:dyDescent="0.2">
      <c r="A979" s="12" t="s">
        <v>2054</v>
      </c>
      <c r="B979" s="56">
        <v>60935819</v>
      </c>
      <c r="C979" s="12" t="s">
        <v>2055</v>
      </c>
      <c r="D979" s="12"/>
      <c r="E979" s="12" t="s">
        <v>2056</v>
      </c>
      <c r="F979" s="12" t="s">
        <v>60</v>
      </c>
      <c r="G979" s="33">
        <v>3</v>
      </c>
      <c r="H979" s="33">
        <v>8</v>
      </c>
      <c r="I979" s="12" t="s">
        <v>38</v>
      </c>
      <c r="J979" s="12" t="s">
        <v>39</v>
      </c>
      <c r="K979" s="73" t="s">
        <v>29</v>
      </c>
      <c r="L979" s="13">
        <v>101701</v>
      </c>
      <c r="M979" s="13">
        <v>46412</v>
      </c>
      <c r="N979" s="13">
        <v>0</v>
      </c>
      <c r="O979" s="13">
        <v>1805</v>
      </c>
      <c r="P979" s="13">
        <v>0</v>
      </c>
      <c r="Q979" s="13">
        <v>99896</v>
      </c>
      <c r="R979" s="13">
        <v>125</v>
      </c>
      <c r="S979" s="13">
        <v>2</v>
      </c>
      <c r="T979" s="13">
        <v>0</v>
      </c>
      <c r="U979" s="12" t="str">
        <f t="shared" si="60"/>
        <v>Privado Estrangeiro</v>
      </c>
      <c r="V979" s="14">
        <f t="shared" si="61"/>
        <v>0.45635736128454979</v>
      </c>
      <c r="W979" s="14">
        <f t="shared" si="62"/>
        <v>1.2513013534075439E-3</v>
      </c>
      <c r="X979" s="12" t="str">
        <f t="shared" si="63"/>
        <v>Média/Pequena</v>
      </c>
      <c r="Y979" s="122" t="str" cm="1">
        <f t="array" ref="Y979">_xlfn.IFS(ISNUMBER(W979)=FALSE,"Sem dado",W979&gt;0.075,"Excelente",W979&gt;0.04,"Bom",W979&gt;0,"Fraco",TRUE,"Prejuízo")</f>
        <v>Fraco</v>
      </c>
    </row>
    <row r="980" spans="1:25" ht="15" customHeight="1" x14ac:dyDescent="0.2">
      <c r="A980" s="15" t="s">
        <v>2057</v>
      </c>
      <c r="B980" s="60">
        <v>40276692</v>
      </c>
      <c r="C980" s="15" t="s">
        <v>2058</v>
      </c>
      <c r="D980" s="15"/>
      <c r="E980" s="15" t="s">
        <v>2059</v>
      </c>
      <c r="F980" s="15" t="s">
        <v>84</v>
      </c>
      <c r="G980" s="34">
        <v>2</v>
      </c>
      <c r="H980" s="34">
        <v>41</v>
      </c>
      <c r="I980" s="15" t="s">
        <v>38</v>
      </c>
      <c r="J980" s="15" t="s">
        <v>39</v>
      </c>
      <c r="K980" s="74" t="s">
        <v>29</v>
      </c>
      <c r="L980" s="16">
        <v>100620</v>
      </c>
      <c r="M980" s="16">
        <v>0</v>
      </c>
      <c r="N980" s="16">
        <v>1110</v>
      </c>
      <c r="O980" s="16">
        <v>87917</v>
      </c>
      <c r="P980" s="16">
        <v>76755</v>
      </c>
      <c r="Q980" s="16">
        <v>12703</v>
      </c>
      <c r="R980" s="16">
        <v>121</v>
      </c>
      <c r="S980" s="16">
        <v>1</v>
      </c>
      <c r="T980" s="16">
        <v>0</v>
      </c>
      <c r="U980" s="15" t="str">
        <f t="shared" si="60"/>
        <v>Privado Nacional</v>
      </c>
      <c r="V980" s="17">
        <f t="shared" si="61"/>
        <v>0</v>
      </c>
      <c r="W980" s="17">
        <f t="shared" si="62"/>
        <v>9.525308982130205E-3</v>
      </c>
      <c r="X980" s="15" t="str">
        <f t="shared" si="63"/>
        <v>Média/Pequena</v>
      </c>
      <c r="Y980" s="121" t="str" cm="1">
        <f t="array" ref="Y980">_xlfn.IFS(ISNUMBER(W980)=FALSE,"Sem dado",W980&gt;0.075,"Excelente",W980&gt;0.04,"Bom",W980&gt;0,"Fraco",TRUE,"Prejuízo")</f>
        <v>Fraco</v>
      </c>
    </row>
    <row r="981" spans="1:25" ht="15" customHeight="1" x14ac:dyDescent="0.2">
      <c r="A981" s="12" t="s">
        <v>2060</v>
      </c>
      <c r="B981" s="56">
        <v>7669921</v>
      </c>
      <c r="C981" s="12"/>
      <c r="D981" s="12"/>
      <c r="E981" s="12"/>
      <c r="F981" s="12" t="s">
        <v>265</v>
      </c>
      <c r="G981" s="33">
        <v>2</v>
      </c>
      <c r="H981" s="33">
        <v>9</v>
      </c>
      <c r="I981" s="12" t="s">
        <v>1535</v>
      </c>
      <c r="J981" s="12" t="s">
        <v>39</v>
      </c>
      <c r="K981" s="73" t="s">
        <v>29</v>
      </c>
      <c r="L981" s="13">
        <v>100617</v>
      </c>
      <c r="M981" s="13">
        <v>26405</v>
      </c>
      <c r="N981" s="13">
        <v>70681</v>
      </c>
      <c r="O981" s="13">
        <v>87009</v>
      </c>
      <c r="P981" s="13">
        <v>85410</v>
      </c>
      <c r="Q981" s="13">
        <v>13608</v>
      </c>
      <c r="R981" s="13">
        <v>-1198</v>
      </c>
      <c r="S981" s="13">
        <v>0</v>
      </c>
      <c r="T981" s="13">
        <v>4</v>
      </c>
      <c r="U981" s="12" t="str">
        <f t="shared" si="60"/>
        <v>Privado Nacional</v>
      </c>
      <c r="V981" s="14">
        <f t="shared" si="61"/>
        <v>0.26243080195195645</v>
      </c>
      <c r="W981" s="14">
        <f t="shared" si="62"/>
        <v>-8.8036449147560258E-2</v>
      </c>
      <c r="X981" s="12" t="str">
        <f t="shared" si="63"/>
        <v>Média/Pequena</v>
      </c>
      <c r="Y981" s="122" t="str" cm="1">
        <f t="array" ref="Y981">_xlfn.IFS(ISNUMBER(W981)=FALSE,"Sem dado",W981&gt;0.075,"Excelente",W981&gt;0.04,"Bom",W981&gt;0,"Fraco",TRUE,"Prejuízo")</f>
        <v>Prejuízo</v>
      </c>
    </row>
    <row r="982" spans="1:25" ht="15" customHeight="1" x14ac:dyDescent="0.2">
      <c r="A982" s="15" t="s">
        <v>2061</v>
      </c>
      <c r="B982" s="60">
        <v>17315359</v>
      </c>
      <c r="C982" s="15" t="s">
        <v>2062</v>
      </c>
      <c r="D982" s="15"/>
      <c r="E982" s="15" t="s">
        <v>2063</v>
      </c>
      <c r="F982" s="15" t="s">
        <v>98</v>
      </c>
      <c r="G982" s="34">
        <v>2</v>
      </c>
      <c r="H982" s="34">
        <v>15</v>
      </c>
      <c r="I982" s="15" t="s">
        <v>119</v>
      </c>
      <c r="J982" s="15" t="s">
        <v>120</v>
      </c>
      <c r="K982" s="74" t="s">
        <v>29</v>
      </c>
      <c r="L982" s="16">
        <v>99753</v>
      </c>
      <c r="M982" s="16">
        <v>0</v>
      </c>
      <c r="N982" s="16">
        <v>74454</v>
      </c>
      <c r="O982" s="16">
        <v>48350</v>
      </c>
      <c r="P982" s="16">
        <v>0</v>
      </c>
      <c r="Q982" s="16">
        <v>51402</v>
      </c>
      <c r="R982" s="16">
        <v>3204</v>
      </c>
      <c r="S982" s="16">
        <v>2</v>
      </c>
      <c r="T982" s="16">
        <v>0</v>
      </c>
      <c r="U982" s="15" t="str">
        <f t="shared" si="60"/>
        <v>Privado Nacional</v>
      </c>
      <c r="V982" s="17">
        <f t="shared" si="61"/>
        <v>0</v>
      </c>
      <c r="W982" s="17">
        <f t="shared" si="62"/>
        <v>6.2332204972569159E-2</v>
      </c>
      <c r="X982" s="15" t="str">
        <f t="shared" si="63"/>
        <v>Média/Pequena</v>
      </c>
      <c r="Y982" s="121" t="str" cm="1">
        <f t="array" ref="Y982">_xlfn.IFS(ISNUMBER(W982)=FALSE,"Sem dado",W982&gt;0.075,"Excelente",W982&gt;0.04,"Bom",W982&gt;0,"Fraco",TRUE,"Prejuízo")</f>
        <v>Bom</v>
      </c>
    </row>
    <row r="983" spans="1:25" ht="15" customHeight="1" x14ac:dyDescent="0.2">
      <c r="A983" s="12" t="s">
        <v>2064</v>
      </c>
      <c r="B983" s="56">
        <v>36864992</v>
      </c>
      <c r="C983" s="12" t="s">
        <v>1800</v>
      </c>
      <c r="D983" s="12" t="s">
        <v>1801</v>
      </c>
      <c r="E983" s="12" t="s">
        <v>1802</v>
      </c>
      <c r="F983" s="12" t="s">
        <v>98</v>
      </c>
      <c r="G983" s="33">
        <v>2</v>
      </c>
      <c r="H983" s="33">
        <v>16</v>
      </c>
      <c r="I983" s="12" t="s">
        <v>38</v>
      </c>
      <c r="J983" s="12" t="s">
        <v>39</v>
      </c>
      <c r="K983" s="73" t="s">
        <v>29</v>
      </c>
      <c r="L983" s="13">
        <v>98891</v>
      </c>
      <c r="M983" s="13">
        <v>0</v>
      </c>
      <c r="N983" s="13">
        <v>21575</v>
      </c>
      <c r="O983" s="13">
        <v>25711</v>
      </c>
      <c r="P983" s="13">
        <v>20255</v>
      </c>
      <c r="Q983" s="13">
        <v>73180</v>
      </c>
      <c r="R983" s="13">
        <v>3255</v>
      </c>
      <c r="S983" s="13">
        <v>3</v>
      </c>
      <c r="T983" s="13">
        <v>0</v>
      </c>
      <c r="U983" s="12" t="str">
        <f t="shared" si="60"/>
        <v>Privado Nacional</v>
      </c>
      <c r="V983" s="14">
        <f t="shared" si="61"/>
        <v>0</v>
      </c>
      <c r="W983" s="14">
        <f t="shared" si="62"/>
        <v>4.447936594698005E-2</v>
      </c>
      <c r="X983" s="12" t="str">
        <f t="shared" si="63"/>
        <v>Média/Pequena</v>
      </c>
      <c r="Y983" s="122" t="str" cm="1">
        <f t="array" ref="Y983">_xlfn.IFS(ISNUMBER(W983)=FALSE,"Sem dado",W983&gt;0.075,"Excelente",W983&gt;0.04,"Bom",W983&gt;0,"Fraco",TRUE,"Prejuízo")</f>
        <v>Bom</v>
      </c>
    </row>
    <row r="984" spans="1:25" ht="15" customHeight="1" x14ac:dyDescent="0.2">
      <c r="A984" s="15" t="s">
        <v>2065</v>
      </c>
      <c r="B984" s="60">
        <v>71336432</v>
      </c>
      <c r="C984" s="15"/>
      <c r="D984" s="15"/>
      <c r="E984" s="15"/>
      <c r="F984" s="15" t="s">
        <v>265</v>
      </c>
      <c r="G984" s="34">
        <v>2</v>
      </c>
      <c r="H984" s="34">
        <v>9</v>
      </c>
      <c r="I984" s="15" t="s">
        <v>1350</v>
      </c>
      <c r="J984" s="15" t="s">
        <v>120</v>
      </c>
      <c r="K984" s="74" t="s">
        <v>29</v>
      </c>
      <c r="L984" s="16">
        <v>98135</v>
      </c>
      <c r="M984" s="16">
        <v>49909</v>
      </c>
      <c r="N984" s="16">
        <v>3041</v>
      </c>
      <c r="O984" s="16">
        <v>82755</v>
      </c>
      <c r="P984" s="16">
        <v>80897</v>
      </c>
      <c r="Q984" s="16">
        <v>15380</v>
      </c>
      <c r="R984" s="16">
        <v>1013</v>
      </c>
      <c r="S984" s="16">
        <v>0</v>
      </c>
      <c r="T984" s="16">
        <v>0</v>
      </c>
      <c r="U984" s="15" t="str">
        <f t="shared" si="60"/>
        <v>Privado Nacional</v>
      </c>
      <c r="V984" s="17">
        <f t="shared" si="61"/>
        <v>0.50857492230091206</v>
      </c>
      <c r="W984" s="17">
        <f t="shared" si="62"/>
        <v>6.5864759427828351E-2</v>
      </c>
      <c r="X984" s="15" t="str">
        <f t="shared" si="63"/>
        <v>Média/Pequena</v>
      </c>
      <c r="Y984" s="121" t="str" cm="1">
        <f t="array" ref="Y984">_xlfn.IFS(ISNUMBER(W984)=FALSE,"Sem dado",W984&gt;0.075,"Excelente",W984&gt;0.04,"Bom",W984&gt;0,"Fraco",TRUE,"Prejuízo")</f>
        <v>Bom</v>
      </c>
    </row>
    <row r="985" spans="1:25" ht="15" customHeight="1" x14ac:dyDescent="0.2">
      <c r="A985" s="12" t="s">
        <v>2066</v>
      </c>
      <c r="B985" s="56">
        <v>5545390</v>
      </c>
      <c r="C985" s="12"/>
      <c r="D985" s="12"/>
      <c r="E985" s="12"/>
      <c r="F985" s="12" t="s">
        <v>265</v>
      </c>
      <c r="G985" s="33">
        <v>2</v>
      </c>
      <c r="H985" s="33">
        <v>9</v>
      </c>
      <c r="I985" s="12" t="s">
        <v>2067</v>
      </c>
      <c r="J985" s="12" t="s">
        <v>1209</v>
      </c>
      <c r="K985" s="73" t="s">
        <v>29</v>
      </c>
      <c r="L985" s="13">
        <v>97882</v>
      </c>
      <c r="M985" s="13">
        <v>45562</v>
      </c>
      <c r="N985" s="13">
        <v>32388</v>
      </c>
      <c r="O985" s="13">
        <v>78129</v>
      </c>
      <c r="P985" s="13">
        <v>69743</v>
      </c>
      <c r="Q985" s="13">
        <v>19752</v>
      </c>
      <c r="R985" s="13">
        <v>1123</v>
      </c>
      <c r="S985" s="13">
        <v>0</v>
      </c>
      <c r="T985" s="13">
        <v>2</v>
      </c>
      <c r="U985" s="12" t="str">
        <f t="shared" si="60"/>
        <v>Privado Nacional</v>
      </c>
      <c r="V985" s="14">
        <f t="shared" si="61"/>
        <v>0.46547884187082406</v>
      </c>
      <c r="W985" s="14">
        <f t="shared" si="62"/>
        <v>5.685500202511138E-2</v>
      </c>
      <c r="X985" s="12" t="str">
        <f t="shared" si="63"/>
        <v>Média/Pequena</v>
      </c>
      <c r="Y985" s="122" t="str" cm="1">
        <f t="array" ref="Y985">_xlfn.IFS(ISNUMBER(W985)=FALSE,"Sem dado",W985&gt;0.075,"Excelente",W985&gt;0.04,"Bom",W985&gt;0,"Fraco",TRUE,"Prejuízo")</f>
        <v>Bom</v>
      </c>
    </row>
    <row r="986" spans="1:25" ht="15" customHeight="1" x14ac:dyDescent="0.2">
      <c r="A986" s="15" t="s">
        <v>2068</v>
      </c>
      <c r="B986" s="60">
        <v>16695922</v>
      </c>
      <c r="C986" s="15" t="s">
        <v>2069</v>
      </c>
      <c r="D986" s="15"/>
      <c r="E986" s="15" t="s">
        <v>2070</v>
      </c>
      <c r="F986" s="15" t="s">
        <v>98</v>
      </c>
      <c r="G986" s="34">
        <v>2</v>
      </c>
      <c r="H986" s="34">
        <v>15</v>
      </c>
      <c r="I986" s="15" t="s">
        <v>38</v>
      </c>
      <c r="J986" s="15" t="s">
        <v>39</v>
      </c>
      <c r="K986" s="74" t="s">
        <v>29</v>
      </c>
      <c r="L986" s="16">
        <v>97586</v>
      </c>
      <c r="M986" s="16">
        <v>0</v>
      </c>
      <c r="N986" s="16">
        <v>11057</v>
      </c>
      <c r="O986" s="16">
        <v>85555</v>
      </c>
      <c r="P986" s="16">
        <v>74561</v>
      </c>
      <c r="Q986" s="16">
        <v>12031</v>
      </c>
      <c r="R986" s="16">
        <v>3054</v>
      </c>
      <c r="S986" s="16">
        <v>2</v>
      </c>
      <c r="T986" s="16">
        <v>0</v>
      </c>
      <c r="U986" s="15" t="str">
        <f t="shared" si="60"/>
        <v>Privado Nacional</v>
      </c>
      <c r="V986" s="17">
        <f t="shared" si="61"/>
        <v>0</v>
      </c>
      <c r="W986" s="17">
        <f t="shared" si="62"/>
        <v>0.2538442357243787</v>
      </c>
      <c r="X986" s="15" t="str">
        <f t="shared" si="63"/>
        <v>Média/Pequena</v>
      </c>
      <c r="Y986" s="121" t="str" cm="1">
        <f t="array" ref="Y986">_xlfn.IFS(ISNUMBER(W986)=FALSE,"Sem dado",W986&gt;0.075,"Excelente",W986&gt;0.04,"Bom",W986&gt;0,"Fraco",TRUE,"Prejuízo")</f>
        <v>Excelente</v>
      </c>
    </row>
    <row r="987" spans="1:25" ht="15" customHeight="1" x14ac:dyDescent="0.2">
      <c r="A987" s="12" t="s">
        <v>2071</v>
      </c>
      <c r="B987" s="56">
        <v>30765018</v>
      </c>
      <c r="C987" s="12" t="s">
        <v>2015</v>
      </c>
      <c r="D987" s="12"/>
      <c r="E987" s="12" t="s">
        <v>2016</v>
      </c>
      <c r="F987" s="12" t="s">
        <v>84</v>
      </c>
      <c r="G987" s="33">
        <v>3</v>
      </c>
      <c r="H987" s="33">
        <v>41</v>
      </c>
      <c r="I987" s="12" t="s">
        <v>107</v>
      </c>
      <c r="J987" s="12" t="s">
        <v>39</v>
      </c>
      <c r="K987" s="73" t="s">
        <v>29</v>
      </c>
      <c r="L987" s="13">
        <v>97403</v>
      </c>
      <c r="M987" s="13">
        <v>0</v>
      </c>
      <c r="N987" s="13">
        <v>62</v>
      </c>
      <c r="O987" s="13">
        <v>70253</v>
      </c>
      <c r="P987" s="13">
        <v>116</v>
      </c>
      <c r="Q987" s="13">
        <v>27150</v>
      </c>
      <c r="R987" s="13">
        <v>4890</v>
      </c>
      <c r="S987" s="13">
        <v>1</v>
      </c>
      <c r="T987" s="13">
        <v>0</v>
      </c>
      <c r="U987" s="12" t="str">
        <f t="shared" si="60"/>
        <v>Privado Estrangeiro</v>
      </c>
      <c r="V987" s="14">
        <f t="shared" si="61"/>
        <v>0</v>
      </c>
      <c r="W987" s="14">
        <f t="shared" si="62"/>
        <v>0.18011049723756906</v>
      </c>
      <c r="X987" s="12" t="str">
        <f t="shared" si="63"/>
        <v>Média/Pequena</v>
      </c>
      <c r="Y987" s="122" t="str" cm="1">
        <f t="array" ref="Y987">_xlfn.IFS(ISNUMBER(W987)=FALSE,"Sem dado",W987&gt;0.075,"Excelente",W987&gt;0.04,"Bom",W987&gt;0,"Fraco",TRUE,"Prejuízo")</f>
        <v>Excelente</v>
      </c>
    </row>
    <row r="988" spans="1:25" ht="15" customHeight="1" x14ac:dyDescent="0.2">
      <c r="A988" s="15" t="s">
        <v>2072</v>
      </c>
      <c r="B988" s="60">
        <v>54811417</v>
      </c>
      <c r="C988" s="15" t="s">
        <v>2073</v>
      </c>
      <c r="D988" s="15"/>
      <c r="E988" s="15" t="s">
        <v>2074</v>
      </c>
      <c r="F988" s="15" t="s">
        <v>84</v>
      </c>
      <c r="G988" s="34">
        <v>2</v>
      </c>
      <c r="H988" s="34">
        <v>41</v>
      </c>
      <c r="I988" s="15" t="s">
        <v>38</v>
      </c>
      <c r="J988" s="15" t="s">
        <v>39</v>
      </c>
      <c r="K988" s="74" t="s">
        <v>29</v>
      </c>
      <c r="L988" s="16">
        <v>96567</v>
      </c>
      <c r="M988" s="16">
        <v>0</v>
      </c>
      <c r="N988" s="16">
        <v>2</v>
      </c>
      <c r="O988" s="16">
        <v>107704</v>
      </c>
      <c r="P988" s="16">
        <v>107181</v>
      </c>
      <c r="Q988" s="16">
        <v>-11137</v>
      </c>
      <c r="R988" s="16">
        <v>-18345</v>
      </c>
      <c r="S988" s="16">
        <v>1</v>
      </c>
      <c r="T988" s="16">
        <v>0</v>
      </c>
      <c r="U988" s="15" t="str">
        <f t="shared" si="60"/>
        <v>Privado Nacional</v>
      </c>
      <c r="V988" s="17">
        <f t="shared" si="61"/>
        <v>0</v>
      </c>
      <c r="W988" s="17" t="str">
        <f t="shared" si="62"/>
        <v>n.d.</v>
      </c>
      <c r="X988" s="15" t="str">
        <f t="shared" si="63"/>
        <v>Média/Pequena</v>
      </c>
      <c r="Y988" s="121" t="str" cm="1">
        <f t="array" ref="Y988">_xlfn.IFS(ISNUMBER(W988)=FALSE,"Sem dado",W988&gt;0.075,"Excelente",W988&gt;0.04,"Bom",W988&gt;0,"Fraco",TRUE,"Prejuízo")</f>
        <v>Sem dado</v>
      </c>
    </row>
    <row r="989" spans="1:25" ht="15" customHeight="1" x14ac:dyDescent="0.2">
      <c r="A989" s="12" t="s">
        <v>2075</v>
      </c>
      <c r="B989" s="56">
        <v>33042151</v>
      </c>
      <c r="C989" s="12" t="s">
        <v>2076</v>
      </c>
      <c r="D989" s="12"/>
      <c r="E989" s="12" t="s">
        <v>2077</v>
      </c>
      <c r="F989" s="12" t="s">
        <v>26</v>
      </c>
      <c r="G989" s="33">
        <v>3</v>
      </c>
      <c r="H989" s="33">
        <v>28</v>
      </c>
      <c r="I989" s="12" t="s">
        <v>38</v>
      </c>
      <c r="J989" s="12" t="s">
        <v>39</v>
      </c>
      <c r="K989" s="73" t="s">
        <v>29</v>
      </c>
      <c r="L989" s="13">
        <v>96498</v>
      </c>
      <c r="M989" s="13">
        <v>33358</v>
      </c>
      <c r="N989" s="13">
        <v>5684</v>
      </c>
      <c r="O989" s="13">
        <v>65086</v>
      </c>
      <c r="P989" s="13">
        <v>31979</v>
      </c>
      <c r="Q989" s="13">
        <v>31412</v>
      </c>
      <c r="R989" s="13">
        <v>-1689</v>
      </c>
      <c r="S989" s="13">
        <v>2</v>
      </c>
      <c r="T989" s="13">
        <v>0</v>
      </c>
      <c r="U989" s="12" t="str">
        <f t="shared" si="60"/>
        <v>Privado Estrangeiro</v>
      </c>
      <c r="V989" s="14">
        <f t="shared" si="61"/>
        <v>0.34568592095172956</v>
      </c>
      <c r="W989" s="14">
        <f t="shared" si="62"/>
        <v>-5.3769260155354638E-2</v>
      </c>
      <c r="X989" s="12" t="str">
        <f t="shared" si="63"/>
        <v>Média/Pequena</v>
      </c>
      <c r="Y989" s="122" t="str" cm="1">
        <f t="array" ref="Y989">_xlfn.IFS(ISNUMBER(W989)=FALSE,"Sem dado",W989&gt;0.075,"Excelente",W989&gt;0.04,"Bom",W989&gt;0,"Fraco",TRUE,"Prejuízo")</f>
        <v>Prejuízo</v>
      </c>
    </row>
    <row r="990" spans="1:25" ht="15" customHeight="1" x14ac:dyDescent="0.2">
      <c r="A990" s="15" t="s">
        <v>2078</v>
      </c>
      <c r="B990" s="60">
        <v>6339468</v>
      </c>
      <c r="C990" s="15" t="s">
        <v>2079</v>
      </c>
      <c r="D990" s="15"/>
      <c r="E990" s="15" t="s">
        <v>2080</v>
      </c>
      <c r="F990" s="15" t="s">
        <v>65</v>
      </c>
      <c r="G990" s="34">
        <v>2</v>
      </c>
      <c r="H990" s="34">
        <v>14</v>
      </c>
      <c r="I990" s="15" t="s">
        <v>453</v>
      </c>
      <c r="J990" s="15" t="s">
        <v>74</v>
      </c>
      <c r="K990" s="74" t="s">
        <v>29</v>
      </c>
      <c r="L990" s="16">
        <v>95989</v>
      </c>
      <c r="M990" s="16">
        <v>87874</v>
      </c>
      <c r="N990" s="16">
        <v>0</v>
      </c>
      <c r="O990" s="16">
        <v>65269</v>
      </c>
      <c r="P990" s="16">
        <v>58002</v>
      </c>
      <c r="Q990" s="16">
        <v>30720</v>
      </c>
      <c r="R990" s="16">
        <v>6383</v>
      </c>
      <c r="S990" s="16">
        <v>2</v>
      </c>
      <c r="T990" s="16">
        <v>0</v>
      </c>
      <c r="U990" s="15" t="str">
        <f t="shared" si="60"/>
        <v>Privado Nacional</v>
      </c>
      <c r="V990" s="17">
        <f t="shared" si="61"/>
        <v>0.91545906301763746</v>
      </c>
      <c r="W990" s="17">
        <f t="shared" si="62"/>
        <v>0.20777994791666668</v>
      </c>
      <c r="X990" s="15" t="str">
        <f t="shared" si="63"/>
        <v>Média/Pequena</v>
      </c>
      <c r="Y990" s="121" t="str" cm="1">
        <f t="array" ref="Y990">_xlfn.IFS(ISNUMBER(W990)=FALSE,"Sem dado",W990&gt;0.075,"Excelente",W990&gt;0.04,"Bom",W990&gt;0,"Fraco",TRUE,"Prejuízo")</f>
        <v>Excelente</v>
      </c>
    </row>
    <row r="991" spans="1:25" ht="15" customHeight="1" x14ac:dyDescent="0.2">
      <c r="A991" s="12" t="s">
        <v>2081</v>
      </c>
      <c r="B991" s="56">
        <v>4257795</v>
      </c>
      <c r="C991" s="12" t="s">
        <v>2082</v>
      </c>
      <c r="D991" s="12"/>
      <c r="E991" s="12" t="s">
        <v>2083</v>
      </c>
      <c r="F991" s="12" t="s">
        <v>98</v>
      </c>
      <c r="G991" s="33">
        <v>2</v>
      </c>
      <c r="H991" s="33">
        <v>15</v>
      </c>
      <c r="I991" s="12" t="s">
        <v>38</v>
      </c>
      <c r="J991" s="12" t="s">
        <v>39</v>
      </c>
      <c r="K991" s="73" t="s">
        <v>29</v>
      </c>
      <c r="L991" s="13">
        <v>95959</v>
      </c>
      <c r="M991" s="13">
        <v>0</v>
      </c>
      <c r="N991" s="13">
        <v>63936</v>
      </c>
      <c r="O991" s="13">
        <v>64580</v>
      </c>
      <c r="P991" s="13">
        <v>46233</v>
      </c>
      <c r="Q991" s="13">
        <v>31379</v>
      </c>
      <c r="R991" s="13">
        <v>-1056</v>
      </c>
      <c r="S991" s="13">
        <v>2</v>
      </c>
      <c r="T991" s="13">
        <v>0</v>
      </c>
      <c r="U991" s="12" t="str">
        <f t="shared" si="60"/>
        <v>Privado Nacional</v>
      </c>
      <c r="V991" s="14">
        <f t="shared" si="61"/>
        <v>0</v>
      </c>
      <c r="W991" s="14">
        <f t="shared" si="62"/>
        <v>-3.365308008540744E-2</v>
      </c>
      <c r="X991" s="12" t="str">
        <f t="shared" si="63"/>
        <v>Média/Pequena</v>
      </c>
      <c r="Y991" s="122" t="str" cm="1">
        <f t="array" ref="Y991">_xlfn.IFS(ISNUMBER(W991)=FALSE,"Sem dado",W991&gt;0.075,"Excelente",W991&gt;0.04,"Bom",W991&gt;0,"Fraco",TRUE,"Prejuízo")</f>
        <v>Prejuízo</v>
      </c>
    </row>
    <row r="992" spans="1:25" ht="15" customHeight="1" x14ac:dyDescent="0.2">
      <c r="A992" s="15" t="s">
        <v>2084</v>
      </c>
      <c r="B992" s="60">
        <v>48967968</v>
      </c>
      <c r="C992" s="15" t="s">
        <v>2085</v>
      </c>
      <c r="D992" s="15"/>
      <c r="E992" s="15" t="s">
        <v>2086</v>
      </c>
      <c r="F992" s="15" t="s">
        <v>98</v>
      </c>
      <c r="G992" s="34">
        <v>2</v>
      </c>
      <c r="H992" s="34">
        <v>16</v>
      </c>
      <c r="I992" s="15" t="s">
        <v>38</v>
      </c>
      <c r="J992" s="15" t="s">
        <v>39</v>
      </c>
      <c r="K992" s="74" t="s">
        <v>29</v>
      </c>
      <c r="L992" s="16">
        <v>92220</v>
      </c>
      <c r="M992" s="16">
        <v>0</v>
      </c>
      <c r="N992" s="16">
        <v>1979</v>
      </c>
      <c r="O992" s="16">
        <v>86083</v>
      </c>
      <c r="P992" s="16">
        <v>84424</v>
      </c>
      <c r="Q992" s="16">
        <v>6137</v>
      </c>
      <c r="R992" s="16">
        <v>1259</v>
      </c>
      <c r="S992" s="16">
        <v>2</v>
      </c>
      <c r="T992" s="16">
        <v>0</v>
      </c>
      <c r="U992" s="15" t="str">
        <f t="shared" si="60"/>
        <v>Privado Nacional</v>
      </c>
      <c r="V992" s="17">
        <f t="shared" si="61"/>
        <v>0</v>
      </c>
      <c r="W992" s="17">
        <f t="shared" si="62"/>
        <v>0.20514909564934006</v>
      </c>
      <c r="X992" s="15" t="str">
        <f t="shared" si="63"/>
        <v>Média/Pequena</v>
      </c>
      <c r="Y992" s="121" t="str" cm="1">
        <f t="array" ref="Y992">_xlfn.IFS(ISNUMBER(W992)=FALSE,"Sem dado",W992&gt;0.075,"Excelente",W992&gt;0.04,"Bom",W992&gt;0,"Fraco",TRUE,"Prejuízo")</f>
        <v>Excelente</v>
      </c>
    </row>
    <row r="993" spans="1:25" ht="15" customHeight="1" x14ac:dyDescent="0.2">
      <c r="A993" s="12" t="s">
        <v>2087</v>
      </c>
      <c r="B993" s="56">
        <v>42934794</v>
      </c>
      <c r="C993" s="12"/>
      <c r="D993" s="12"/>
      <c r="E993" s="12"/>
      <c r="F993" s="12" t="s">
        <v>265</v>
      </c>
      <c r="G993" s="33">
        <v>2</v>
      </c>
      <c r="H993" s="33">
        <v>9</v>
      </c>
      <c r="I993" s="12" t="s">
        <v>2088</v>
      </c>
      <c r="J993" s="12" t="s">
        <v>120</v>
      </c>
      <c r="K993" s="73" t="s">
        <v>29</v>
      </c>
      <c r="L993" s="13">
        <v>91861</v>
      </c>
      <c r="M993" s="13">
        <v>24427</v>
      </c>
      <c r="N993" s="13">
        <v>2462</v>
      </c>
      <c r="O993" s="13">
        <v>78360</v>
      </c>
      <c r="P993" s="13">
        <v>70908</v>
      </c>
      <c r="Q993" s="13">
        <v>13501</v>
      </c>
      <c r="R993" s="13">
        <v>997</v>
      </c>
      <c r="S993" s="13">
        <v>0</v>
      </c>
      <c r="T993" s="13">
        <v>0</v>
      </c>
      <c r="U993" s="12" t="str">
        <f t="shared" si="60"/>
        <v>Privado Nacional</v>
      </c>
      <c r="V993" s="14">
        <f t="shared" si="61"/>
        <v>0.26591262886317368</v>
      </c>
      <c r="W993" s="14">
        <f t="shared" si="62"/>
        <v>7.3846381749500034E-2</v>
      </c>
      <c r="X993" s="12" t="str">
        <f t="shared" si="63"/>
        <v>Média/Pequena</v>
      </c>
      <c r="Y993" s="122" t="str" cm="1">
        <f t="array" ref="Y993">_xlfn.IFS(ISNUMBER(W993)=FALSE,"Sem dado",W993&gt;0.075,"Excelente",W993&gt;0.04,"Bom",W993&gt;0,"Fraco",TRUE,"Prejuízo")</f>
        <v>Bom</v>
      </c>
    </row>
    <row r="994" spans="1:25" ht="15" customHeight="1" x14ac:dyDescent="0.2">
      <c r="A994" s="15" t="s">
        <v>2089</v>
      </c>
      <c r="B994" s="60">
        <v>74248949</v>
      </c>
      <c r="C994" s="15"/>
      <c r="D994" s="15"/>
      <c r="E994" s="15"/>
      <c r="F994" s="15" t="s">
        <v>265</v>
      </c>
      <c r="G994" s="34">
        <v>2</v>
      </c>
      <c r="H994" s="34">
        <v>9</v>
      </c>
      <c r="I994" s="15" t="s">
        <v>1513</v>
      </c>
      <c r="J994" s="15" t="s">
        <v>39</v>
      </c>
      <c r="K994" s="74" t="s">
        <v>29</v>
      </c>
      <c r="L994" s="16">
        <v>91826</v>
      </c>
      <c r="M994" s="16">
        <v>66852</v>
      </c>
      <c r="N994" s="16">
        <v>3250</v>
      </c>
      <c r="O994" s="16">
        <v>64968</v>
      </c>
      <c r="P994" s="16">
        <v>63295</v>
      </c>
      <c r="Q994" s="16">
        <v>26858</v>
      </c>
      <c r="R994" s="16">
        <v>808</v>
      </c>
      <c r="S994" s="16">
        <v>0</v>
      </c>
      <c r="T994" s="16">
        <v>1</v>
      </c>
      <c r="U994" s="15" t="str">
        <f t="shared" si="60"/>
        <v>Privado Nacional</v>
      </c>
      <c r="V994" s="17">
        <f t="shared" si="61"/>
        <v>0.72802909851240394</v>
      </c>
      <c r="W994" s="17">
        <f t="shared" si="62"/>
        <v>3.0084146250651575E-2</v>
      </c>
      <c r="X994" s="15" t="str">
        <f t="shared" si="63"/>
        <v>Média/Pequena</v>
      </c>
      <c r="Y994" s="121" t="str" cm="1">
        <f t="array" ref="Y994">_xlfn.IFS(ISNUMBER(W994)=FALSE,"Sem dado",W994&gt;0.075,"Excelente",W994&gt;0.04,"Bom",W994&gt;0,"Fraco",TRUE,"Prejuízo")</f>
        <v>Fraco</v>
      </c>
    </row>
    <row r="995" spans="1:25" ht="15" customHeight="1" x14ac:dyDescent="0.2">
      <c r="A995" s="12" t="s">
        <v>2090</v>
      </c>
      <c r="B995" s="56">
        <v>2217068</v>
      </c>
      <c r="C995" s="12"/>
      <c r="D995" s="12"/>
      <c r="E995" s="12"/>
      <c r="F995" s="12" t="s">
        <v>265</v>
      </c>
      <c r="G995" s="33">
        <v>2</v>
      </c>
      <c r="H995" s="33">
        <v>9</v>
      </c>
      <c r="I995" s="12" t="s">
        <v>119</v>
      </c>
      <c r="J995" s="12" t="s">
        <v>120</v>
      </c>
      <c r="K995" s="73" t="s">
        <v>29</v>
      </c>
      <c r="L995" s="13">
        <v>91470</v>
      </c>
      <c r="M995" s="13">
        <v>5746</v>
      </c>
      <c r="N995" s="13">
        <v>2558</v>
      </c>
      <c r="O995" s="13">
        <v>77271</v>
      </c>
      <c r="P995" s="13">
        <v>75709</v>
      </c>
      <c r="Q995" s="13">
        <v>14199</v>
      </c>
      <c r="R995" s="13">
        <v>1499</v>
      </c>
      <c r="S995" s="13">
        <v>0</v>
      </c>
      <c r="T995" s="13">
        <v>0</v>
      </c>
      <c r="U995" s="12" t="str">
        <f t="shared" si="60"/>
        <v>Privado Nacional</v>
      </c>
      <c r="V995" s="14">
        <f t="shared" si="61"/>
        <v>6.2818410407783978E-2</v>
      </c>
      <c r="W995" s="14">
        <f t="shared" si="62"/>
        <v>0.10557081484611593</v>
      </c>
      <c r="X995" s="12" t="str">
        <f t="shared" si="63"/>
        <v>Média/Pequena</v>
      </c>
      <c r="Y995" s="122" t="str" cm="1">
        <f t="array" ref="Y995">_xlfn.IFS(ISNUMBER(W995)=FALSE,"Sem dado",W995&gt;0.075,"Excelente",W995&gt;0.04,"Bom",W995&gt;0,"Fraco",TRUE,"Prejuízo")</f>
        <v>Excelente</v>
      </c>
    </row>
    <row r="996" spans="1:25" ht="15" customHeight="1" x14ac:dyDescent="0.2">
      <c r="A996" s="15" t="s">
        <v>2091</v>
      </c>
      <c r="B996" s="60">
        <v>33959738</v>
      </c>
      <c r="C996" s="15" t="s">
        <v>2092</v>
      </c>
      <c r="D996" s="15"/>
      <c r="E996" s="15" t="s">
        <v>2093</v>
      </c>
      <c r="F996" s="15" t="s">
        <v>65</v>
      </c>
      <c r="G996" s="34">
        <v>3</v>
      </c>
      <c r="H996" s="34">
        <v>44</v>
      </c>
      <c r="I996" s="15" t="s">
        <v>38</v>
      </c>
      <c r="J996" s="15" t="s">
        <v>39</v>
      </c>
      <c r="K996" s="74" t="s">
        <v>29</v>
      </c>
      <c r="L996" s="16">
        <v>91105</v>
      </c>
      <c r="M996" s="16">
        <v>0</v>
      </c>
      <c r="N996" s="16">
        <v>351</v>
      </c>
      <c r="O996" s="16">
        <v>42487</v>
      </c>
      <c r="P996" s="16">
        <v>173</v>
      </c>
      <c r="Q996" s="16">
        <v>48618</v>
      </c>
      <c r="R996" s="16">
        <v>-1410</v>
      </c>
      <c r="S996" s="16">
        <v>2</v>
      </c>
      <c r="T996" s="16">
        <v>0</v>
      </c>
      <c r="U996" s="15" t="str">
        <f t="shared" si="60"/>
        <v>Privado Estrangeiro</v>
      </c>
      <c r="V996" s="17">
        <f t="shared" si="61"/>
        <v>0</v>
      </c>
      <c r="W996" s="17">
        <f t="shared" si="62"/>
        <v>-2.9001604344070099E-2</v>
      </c>
      <c r="X996" s="15" t="str">
        <f t="shared" si="63"/>
        <v>Média/Pequena</v>
      </c>
      <c r="Y996" s="121" t="str" cm="1">
        <f t="array" ref="Y996">_xlfn.IFS(ISNUMBER(W996)=FALSE,"Sem dado",W996&gt;0.075,"Excelente",W996&gt;0.04,"Bom",W996&gt;0,"Fraco",TRUE,"Prejuízo")</f>
        <v>Prejuízo</v>
      </c>
    </row>
    <row r="997" spans="1:25" ht="15" customHeight="1" x14ac:dyDescent="0.2">
      <c r="A997" s="12" t="s">
        <v>2094</v>
      </c>
      <c r="B997" s="56">
        <v>9579249</v>
      </c>
      <c r="C997" s="12"/>
      <c r="D997" s="12"/>
      <c r="E997" s="12"/>
      <c r="F997" s="12" t="s">
        <v>265</v>
      </c>
      <c r="G997" s="33">
        <v>2</v>
      </c>
      <c r="H997" s="33">
        <v>9</v>
      </c>
      <c r="I997" s="12" t="s">
        <v>2095</v>
      </c>
      <c r="J997" s="12" t="s">
        <v>39</v>
      </c>
      <c r="K997" s="73" t="s">
        <v>29</v>
      </c>
      <c r="L997" s="13">
        <v>90931</v>
      </c>
      <c r="M997" s="13">
        <v>39643</v>
      </c>
      <c r="N997" s="13">
        <v>49349</v>
      </c>
      <c r="O997" s="13">
        <v>81677</v>
      </c>
      <c r="P997" s="13">
        <v>77988</v>
      </c>
      <c r="Q997" s="13">
        <v>9254</v>
      </c>
      <c r="R997" s="13">
        <v>-971</v>
      </c>
      <c r="S997" s="13">
        <v>0</v>
      </c>
      <c r="T997" s="13">
        <v>7</v>
      </c>
      <c r="U997" s="12" t="str">
        <f t="shared" si="60"/>
        <v>Privado Nacional</v>
      </c>
      <c r="V997" s="14">
        <f t="shared" si="61"/>
        <v>0.43596793172845344</v>
      </c>
      <c r="W997" s="14">
        <f t="shared" si="62"/>
        <v>-0.10492759887616165</v>
      </c>
      <c r="X997" s="12" t="str">
        <f t="shared" si="63"/>
        <v>Média/Pequena</v>
      </c>
      <c r="Y997" s="122" t="str" cm="1">
        <f t="array" ref="Y997">_xlfn.IFS(ISNUMBER(W997)=FALSE,"Sem dado",W997&gt;0.075,"Excelente",W997&gt;0.04,"Bom",W997&gt;0,"Fraco",TRUE,"Prejuízo")</f>
        <v>Prejuízo</v>
      </c>
    </row>
    <row r="998" spans="1:25" ht="15" customHeight="1" x14ac:dyDescent="0.2">
      <c r="A998" s="15" t="s">
        <v>2096</v>
      </c>
      <c r="B998" s="60">
        <v>59379565</v>
      </c>
      <c r="C998" s="15" t="s">
        <v>676</v>
      </c>
      <c r="D998" s="15"/>
      <c r="E998" s="15" t="s">
        <v>677</v>
      </c>
      <c r="F998" s="15" t="s">
        <v>65</v>
      </c>
      <c r="G998" s="34">
        <v>3</v>
      </c>
      <c r="H998" s="34">
        <v>43</v>
      </c>
      <c r="I998" s="15" t="s">
        <v>38</v>
      </c>
      <c r="J998" s="15" t="s">
        <v>39</v>
      </c>
      <c r="K998" s="74" t="s">
        <v>29</v>
      </c>
      <c r="L998" s="16">
        <v>89545</v>
      </c>
      <c r="M998" s="16">
        <v>11122</v>
      </c>
      <c r="N998" s="16">
        <v>14745</v>
      </c>
      <c r="O998" s="16">
        <v>11124</v>
      </c>
      <c r="P998" s="16">
        <v>0</v>
      </c>
      <c r="Q998" s="16">
        <v>78421</v>
      </c>
      <c r="R998" s="16">
        <v>1988</v>
      </c>
      <c r="S998" s="16">
        <v>2</v>
      </c>
      <c r="T998" s="16">
        <v>0</v>
      </c>
      <c r="U998" s="15" t="str">
        <f t="shared" si="60"/>
        <v>Privado Estrangeiro</v>
      </c>
      <c r="V998" s="17">
        <f t="shared" si="61"/>
        <v>0.12420570662795243</v>
      </c>
      <c r="W998" s="17">
        <f t="shared" si="62"/>
        <v>2.5350352584129252E-2</v>
      </c>
      <c r="X998" s="15" t="str">
        <f t="shared" si="63"/>
        <v>Média/Pequena</v>
      </c>
      <c r="Y998" s="121" t="str" cm="1">
        <f t="array" ref="Y998">_xlfn.IFS(ISNUMBER(W998)=FALSE,"Sem dado",W998&gt;0.075,"Excelente",W998&gt;0.04,"Bom",W998&gt;0,"Fraco",TRUE,"Prejuízo")</f>
        <v>Fraco</v>
      </c>
    </row>
    <row r="999" spans="1:25" ht="15" customHeight="1" x14ac:dyDescent="0.2">
      <c r="A999" s="12" t="s">
        <v>2097</v>
      </c>
      <c r="B999" s="56">
        <v>18188384</v>
      </c>
      <c r="C999" s="12" t="s">
        <v>2098</v>
      </c>
      <c r="D999" s="12"/>
      <c r="E999" s="12" t="s">
        <v>2099</v>
      </c>
      <c r="F999" s="12" t="s">
        <v>65</v>
      </c>
      <c r="G999" s="33">
        <v>2</v>
      </c>
      <c r="H999" s="33">
        <v>10</v>
      </c>
      <c r="I999" s="12" t="s">
        <v>305</v>
      </c>
      <c r="J999" s="12" t="s">
        <v>229</v>
      </c>
      <c r="K999" s="73" t="s">
        <v>29</v>
      </c>
      <c r="L999" s="13">
        <v>88622</v>
      </c>
      <c r="M999" s="13">
        <v>3503</v>
      </c>
      <c r="N999" s="13">
        <v>34661</v>
      </c>
      <c r="O999" s="13">
        <v>26792</v>
      </c>
      <c r="P999" s="13">
        <v>0</v>
      </c>
      <c r="Q999" s="13">
        <v>61830</v>
      </c>
      <c r="R999" s="13">
        <v>11768</v>
      </c>
      <c r="S999" s="13">
        <v>2</v>
      </c>
      <c r="T999" s="13">
        <v>0</v>
      </c>
      <c r="U999" s="12" t="str">
        <f t="shared" si="60"/>
        <v>Privado Nacional</v>
      </c>
      <c r="V999" s="14">
        <f t="shared" si="61"/>
        <v>3.9527431111913522E-2</v>
      </c>
      <c r="W999" s="14">
        <f t="shared" si="62"/>
        <v>0.1903283195859615</v>
      </c>
      <c r="X999" s="12" t="str">
        <f t="shared" si="63"/>
        <v>Média/Pequena</v>
      </c>
      <c r="Y999" s="122" t="str" cm="1">
        <f t="array" ref="Y999">_xlfn.IFS(ISNUMBER(W999)=FALSE,"Sem dado",W999&gt;0.075,"Excelente",W999&gt;0.04,"Bom",W999&gt;0,"Fraco",TRUE,"Prejuízo")</f>
        <v>Excelente</v>
      </c>
    </row>
    <row r="1000" spans="1:25" ht="15" customHeight="1" x14ac:dyDescent="0.2">
      <c r="A1000" s="15" t="s">
        <v>2100</v>
      </c>
      <c r="B1000" s="60">
        <v>21332862</v>
      </c>
      <c r="C1000" s="15" t="s">
        <v>2101</v>
      </c>
      <c r="D1000" s="15"/>
      <c r="E1000" s="15" t="s">
        <v>2102</v>
      </c>
      <c r="F1000" s="15" t="s">
        <v>65</v>
      </c>
      <c r="G1000" s="34">
        <v>2</v>
      </c>
      <c r="H1000" s="34">
        <v>43</v>
      </c>
      <c r="I1000" s="15" t="s">
        <v>38</v>
      </c>
      <c r="J1000" s="15" t="s">
        <v>39</v>
      </c>
      <c r="K1000" s="74" t="s">
        <v>29</v>
      </c>
      <c r="L1000" s="16">
        <v>87607</v>
      </c>
      <c r="M1000" s="16">
        <v>6148</v>
      </c>
      <c r="N1000" s="16">
        <v>60</v>
      </c>
      <c r="O1000" s="16">
        <v>77531</v>
      </c>
      <c r="P1000" s="16">
        <v>55181</v>
      </c>
      <c r="Q1000" s="16">
        <v>10076</v>
      </c>
      <c r="R1000" s="16">
        <v>474</v>
      </c>
      <c r="S1000" s="16">
        <v>2</v>
      </c>
      <c r="T1000" s="16">
        <v>0</v>
      </c>
      <c r="U1000" s="15" t="str">
        <f t="shared" si="60"/>
        <v>Privado Nacional</v>
      </c>
      <c r="V1000" s="17">
        <f t="shared" si="61"/>
        <v>7.017704064743685E-2</v>
      </c>
      <c r="W1000" s="17">
        <f t="shared" si="62"/>
        <v>4.7042477173481541E-2</v>
      </c>
      <c r="X1000" s="15" t="str">
        <f t="shared" si="63"/>
        <v>Média/Pequena</v>
      </c>
      <c r="Y1000" s="121" t="str" cm="1">
        <f t="array" ref="Y1000">_xlfn.IFS(ISNUMBER(W1000)=FALSE,"Sem dado",W1000&gt;0.075,"Excelente",W1000&gt;0.04,"Bom",W1000&gt;0,"Fraco",TRUE,"Prejuízo")</f>
        <v>Bom</v>
      </c>
    </row>
    <row r="1001" spans="1:25" ht="15" customHeight="1" x14ac:dyDescent="0.2">
      <c r="A1001" s="12" t="s">
        <v>2103</v>
      </c>
      <c r="B1001" s="56">
        <v>3384738</v>
      </c>
      <c r="C1001" s="12" t="s">
        <v>41</v>
      </c>
      <c r="D1001" s="12" t="s">
        <v>42</v>
      </c>
      <c r="E1001" s="12" t="s">
        <v>43</v>
      </c>
      <c r="F1001" s="12" t="s">
        <v>98</v>
      </c>
      <c r="G1001" s="33">
        <v>2</v>
      </c>
      <c r="H1001" s="33">
        <v>16</v>
      </c>
      <c r="I1001" s="12" t="s">
        <v>44</v>
      </c>
      <c r="J1001" s="12" t="s">
        <v>39</v>
      </c>
      <c r="K1001" s="73" t="s">
        <v>29</v>
      </c>
      <c r="L1001" s="13">
        <v>86962</v>
      </c>
      <c r="M1001" s="13">
        <v>0</v>
      </c>
      <c r="N1001" s="13">
        <v>1586</v>
      </c>
      <c r="O1001" s="13">
        <v>65213</v>
      </c>
      <c r="P1001" s="13">
        <v>4459</v>
      </c>
      <c r="Q1001" s="13">
        <v>21749</v>
      </c>
      <c r="R1001" s="13">
        <v>-26998</v>
      </c>
      <c r="S1001" s="13">
        <v>2</v>
      </c>
      <c r="T1001" s="13">
        <v>0</v>
      </c>
      <c r="U1001" s="12" t="str">
        <f t="shared" si="60"/>
        <v>Privado Nacional</v>
      </c>
      <c r="V1001" s="14">
        <f t="shared" si="61"/>
        <v>0</v>
      </c>
      <c r="W1001" s="14">
        <f t="shared" si="62"/>
        <v>-1.2413444296289484</v>
      </c>
      <c r="X1001" s="12" t="str">
        <f t="shared" si="63"/>
        <v>Média/Pequena</v>
      </c>
      <c r="Y1001" s="122" t="str" cm="1">
        <f t="array" ref="Y1001">_xlfn.IFS(ISNUMBER(W1001)=FALSE,"Sem dado",W1001&gt;0.075,"Excelente",W1001&gt;0.04,"Bom",W1001&gt;0,"Fraco",TRUE,"Prejuízo")</f>
        <v>Prejuízo</v>
      </c>
    </row>
    <row r="1002" spans="1:25" ht="15" customHeight="1" x14ac:dyDescent="0.2">
      <c r="A1002" s="15" t="s">
        <v>2104</v>
      </c>
      <c r="B1002" s="60">
        <v>2093154</v>
      </c>
      <c r="C1002" s="15"/>
      <c r="D1002" s="15"/>
      <c r="E1002" s="15"/>
      <c r="F1002" s="15" t="s">
        <v>265</v>
      </c>
      <c r="G1002" s="34">
        <v>2</v>
      </c>
      <c r="H1002" s="34">
        <v>9</v>
      </c>
      <c r="I1002" s="15" t="s">
        <v>934</v>
      </c>
      <c r="J1002" s="15" t="s">
        <v>39</v>
      </c>
      <c r="K1002" s="74" t="s">
        <v>29</v>
      </c>
      <c r="L1002" s="16">
        <v>86529</v>
      </c>
      <c r="M1002" s="16">
        <v>27557</v>
      </c>
      <c r="N1002" s="16">
        <v>57739</v>
      </c>
      <c r="O1002" s="16">
        <v>7100</v>
      </c>
      <c r="P1002" s="16">
        <v>0</v>
      </c>
      <c r="Q1002" s="16">
        <v>79430</v>
      </c>
      <c r="R1002" s="16">
        <v>6545</v>
      </c>
      <c r="S1002" s="16">
        <v>0</v>
      </c>
      <c r="T1002" s="16">
        <v>0</v>
      </c>
      <c r="U1002" s="15" t="str">
        <f t="shared" si="60"/>
        <v>Privado Nacional</v>
      </c>
      <c r="V1002" s="17">
        <f t="shared" si="61"/>
        <v>0.31847126396930509</v>
      </c>
      <c r="W1002" s="17">
        <f t="shared" si="62"/>
        <v>8.239959712954803E-2</v>
      </c>
      <c r="X1002" s="15" t="str">
        <f t="shared" si="63"/>
        <v>Média/Pequena</v>
      </c>
      <c r="Y1002" s="121" t="str" cm="1">
        <f t="array" ref="Y1002">_xlfn.IFS(ISNUMBER(W1002)=FALSE,"Sem dado",W1002&gt;0.075,"Excelente",W1002&gt;0.04,"Bom",W1002&gt;0,"Fraco",TRUE,"Prejuízo")</f>
        <v>Excelente</v>
      </c>
    </row>
    <row r="1003" spans="1:25" ht="15" customHeight="1" x14ac:dyDescent="0.2">
      <c r="A1003" s="12" t="s">
        <v>2105</v>
      </c>
      <c r="B1003" s="56">
        <v>27171974</v>
      </c>
      <c r="C1003" s="12"/>
      <c r="D1003" s="12"/>
      <c r="E1003" s="12"/>
      <c r="F1003" s="12" t="s">
        <v>265</v>
      </c>
      <c r="G1003" s="33">
        <v>2</v>
      </c>
      <c r="H1003" s="33">
        <v>9</v>
      </c>
      <c r="I1003" s="12" t="s">
        <v>2106</v>
      </c>
      <c r="J1003" s="12" t="s">
        <v>183</v>
      </c>
      <c r="K1003" s="73" t="s">
        <v>29</v>
      </c>
      <c r="L1003" s="13">
        <v>86019</v>
      </c>
      <c r="M1003" s="13">
        <v>35390</v>
      </c>
      <c r="N1003" s="13">
        <v>36719</v>
      </c>
      <c r="O1003" s="13">
        <v>14146</v>
      </c>
      <c r="P1003" s="13">
        <v>0</v>
      </c>
      <c r="Q1003" s="13">
        <v>71873</v>
      </c>
      <c r="R1003" s="13">
        <v>4277</v>
      </c>
      <c r="S1003" s="13">
        <v>0</v>
      </c>
      <c r="T1003" s="13">
        <v>0</v>
      </c>
      <c r="U1003" s="12" t="str">
        <f t="shared" si="60"/>
        <v>Privado Nacional</v>
      </c>
      <c r="V1003" s="14">
        <f t="shared" si="61"/>
        <v>0.41142073262883783</v>
      </c>
      <c r="W1003" s="14">
        <f t="shared" si="62"/>
        <v>5.9507742824148148E-2</v>
      </c>
      <c r="X1003" s="12" t="str">
        <f t="shared" si="63"/>
        <v>Média/Pequena</v>
      </c>
      <c r="Y1003" s="122" t="str" cm="1">
        <f t="array" ref="Y1003">_xlfn.IFS(ISNUMBER(W1003)=FALSE,"Sem dado",W1003&gt;0.075,"Excelente",W1003&gt;0.04,"Bom",W1003&gt;0,"Fraco",TRUE,"Prejuízo")</f>
        <v>Bom</v>
      </c>
    </row>
    <row r="1004" spans="1:25" ht="15" customHeight="1" x14ac:dyDescent="0.2">
      <c r="A1004" s="15" t="s">
        <v>2107</v>
      </c>
      <c r="B1004" s="60">
        <v>37229413</v>
      </c>
      <c r="C1004" s="15" t="s">
        <v>1283</v>
      </c>
      <c r="D1004" s="15"/>
      <c r="E1004" s="15" t="s">
        <v>1284</v>
      </c>
      <c r="F1004" s="15" t="s">
        <v>65</v>
      </c>
      <c r="G1004" s="34">
        <v>2</v>
      </c>
      <c r="H1004" s="34">
        <v>14</v>
      </c>
      <c r="I1004" s="15" t="s">
        <v>1285</v>
      </c>
      <c r="J1004" s="15" t="s">
        <v>120</v>
      </c>
      <c r="K1004" s="74" t="s">
        <v>29</v>
      </c>
      <c r="L1004" s="16">
        <v>85877</v>
      </c>
      <c r="M1004" s="16">
        <v>61185</v>
      </c>
      <c r="N1004" s="16">
        <v>0</v>
      </c>
      <c r="O1004" s="16">
        <v>76777</v>
      </c>
      <c r="P1004" s="16">
        <v>72394</v>
      </c>
      <c r="Q1004" s="16">
        <v>9101</v>
      </c>
      <c r="R1004" s="16">
        <v>1773</v>
      </c>
      <c r="S1004" s="16">
        <v>2</v>
      </c>
      <c r="T1004" s="16">
        <v>0</v>
      </c>
      <c r="U1004" s="15" t="str">
        <f t="shared" si="60"/>
        <v>Privado Nacional</v>
      </c>
      <c r="V1004" s="17">
        <f t="shared" si="61"/>
        <v>0.71247248972367461</v>
      </c>
      <c r="W1004" s="17">
        <f t="shared" si="62"/>
        <v>0.19481375673002968</v>
      </c>
      <c r="X1004" s="15" t="str">
        <f t="shared" si="63"/>
        <v>Média/Pequena</v>
      </c>
      <c r="Y1004" s="121" t="str" cm="1">
        <f t="array" ref="Y1004">_xlfn.IFS(ISNUMBER(W1004)=FALSE,"Sem dado",W1004&gt;0.075,"Excelente",W1004&gt;0.04,"Bom",W1004&gt;0,"Fraco",TRUE,"Prejuízo")</f>
        <v>Excelente</v>
      </c>
    </row>
    <row r="1005" spans="1:25" ht="15" customHeight="1" x14ac:dyDescent="0.2">
      <c r="A1005" s="12" t="s">
        <v>2108</v>
      </c>
      <c r="B1005" s="56">
        <v>68757681</v>
      </c>
      <c r="C1005" s="12" t="s">
        <v>2109</v>
      </c>
      <c r="D1005" s="12"/>
      <c r="E1005" s="12" t="s">
        <v>2110</v>
      </c>
      <c r="F1005" s="12" t="s">
        <v>98</v>
      </c>
      <c r="G1005" s="33">
        <v>3</v>
      </c>
      <c r="H1005" s="33">
        <v>15</v>
      </c>
      <c r="I1005" s="12" t="s">
        <v>38</v>
      </c>
      <c r="J1005" s="12" t="s">
        <v>39</v>
      </c>
      <c r="K1005" s="73" t="s">
        <v>29</v>
      </c>
      <c r="L1005" s="13">
        <v>85540</v>
      </c>
      <c r="M1005" s="13">
        <v>0</v>
      </c>
      <c r="N1005" s="13">
        <v>54861</v>
      </c>
      <c r="O1005" s="13">
        <v>10415</v>
      </c>
      <c r="P1005" s="13">
        <v>4954</v>
      </c>
      <c r="Q1005" s="13">
        <v>75125</v>
      </c>
      <c r="R1005" s="13">
        <v>2021</v>
      </c>
      <c r="S1005" s="13">
        <v>2</v>
      </c>
      <c r="T1005" s="13">
        <v>0</v>
      </c>
      <c r="U1005" s="12" t="str">
        <f t="shared" si="60"/>
        <v>Privado Estrangeiro</v>
      </c>
      <c r="V1005" s="14">
        <f t="shared" si="61"/>
        <v>0</v>
      </c>
      <c r="W1005" s="14">
        <f t="shared" si="62"/>
        <v>2.6901830282861895E-2</v>
      </c>
      <c r="X1005" s="12" t="str">
        <f t="shared" si="63"/>
        <v>Média/Pequena</v>
      </c>
      <c r="Y1005" s="122" t="str" cm="1">
        <f t="array" ref="Y1005">_xlfn.IFS(ISNUMBER(W1005)=FALSE,"Sem dado",W1005&gt;0.075,"Excelente",W1005&gt;0.04,"Bom",W1005&gt;0,"Fraco",TRUE,"Prejuízo")</f>
        <v>Fraco</v>
      </c>
    </row>
    <row r="1006" spans="1:25" ht="15" customHeight="1" x14ac:dyDescent="0.2">
      <c r="A1006" s="15" t="s">
        <v>2111</v>
      </c>
      <c r="B1006" s="60">
        <v>58158387</v>
      </c>
      <c r="C1006" s="15" t="s">
        <v>2112</v>
      </c>
      <c r="D1006" s="15"/>
      <c r="E1006" s="15" t="s">
        <v>2113</v>
      </c>
      <c r="F1006" s="15" t="s">
        <v>65</v>
      </c>
      <c r="G1006" s="34">
        <v>2</v>
      </c>
      <c r="H1006" s="34">
        <v>14</v>
      </c>
      <c r="I1006" s="15" t="s">
        <v>1167</v>
      </c>
      <c r="J1006" s="15" t="s">
        <v>39</v>
      </c>
      <c r="K1006" s="74" t="s">
        <v>29</v>
      </c>
      <c r="L1006" s="16">
        <v>83962</v>
      </c>
      <c r="M1006" s="16">
        <v>6730</v>
      </c>
      <c r="N1006" s="16">
        <v>65468</v>
      </c>
      <c r="O1006" s="16">
        <v>805</v>
      </c>
      <c r="P1006" s="16">
        <v>0</v>
      </c>
      <c r="Q1006" s="16">
        <v>83157</v>
      </c>
      <c r="R1006" s="16">
        <v>1658</v>
      </c>
      <c r="S1006" s="16">
        <v>3</v>
      </c>
      <c r="T1006" s="16">
        <v>0</v>
      </c>
      <c r="U1006" s="15" t="str">
        <f t="shared" si="60"/>
        <v>Privado Nacional</v>
      </c>
      <c r="V1006" s="17">
        <f t="shared" si="61"/>
        <v>8.0155308353779084E-2</v>
      </c>
      <c r="W1006" s="17">
        <f t="shared" si="62"/>
        <v>1.99381892083649E-2</v>
      </c>
      <c r="X1006" s="15" t="str">
        <f t="shared" si="63"/>
        <v>Média/Pequena</v>
      </c>
      <c r="Y1006" s="121" t="str" cm="1">
        <f t="array" ref="Y1006">_xlfn.IFS(ISNUMBER(W1006)=FALSE,"Sem dado",W1006&gt;0.075,"Excelente",W1006&gt;0.04,"Bom",W1006&gt;0,"Fraco",TRUE,"Prejuízo")</f>
        <v>Fraco</v>
      </c>
    </row>
    <row r="1007" spans="1:25" ht="15" customHeight="1" x14ac:dyDescent="0.2">
      <c r="A1007" s="12" t="s">
        <v>2114</v>
      </c>
      <c r="B1007" s="56">
        <v>16814330</v>
      </c>
      <c r="C1007" s="12" t="s">
        <v>2115</v>
      </c>
      <c r="D1007" s="12"/>
      <c r="E1007" s="12" t="s">
        <v>2116</v>
      </c>
      <c r="F1007" s="12" t="s">
        <v>84</v>
      </c>
      <c r="G1007" s="33">
        <v>2</v>
      </c>
      <c r="H1007" s="33">
        <v>41</v>
      </c>
      <c r="I1007" s="12" t="s">
        <v>107</v>
      </c>
      <c r="J1007" s="12" t="s">
        <v>39</v>
      </c>
      <c r="K1007" s="73" t="s">
        <v>29</v>
      </c>
      <c r="L1007" s="13">
        <v>82196</v>
      </c>
      <c r="M1007" s="13">
        <v>0</v>
      </c>
      <c r="N1007" s="13">
        <v>7571</v>
      </c>
      <c r="O1007" s="13">
        <v>61538</v>
      </c>
      <c r="P1007" s="13">
        <v>3260</v>
      </c>
      <c r="Q1007" s="13">
        <v>20658</v>
      </c>
      <c r="R1007" s="13">
        <v>-2584</v>
      </c>
      <c r="S1007" s="13">
        <v>1</v>
      </c>
      <c r="T1007" s="13">
        <v>0</v>
      </c>
      <c r="U1007" s="12" t="str">
        <f t="shared" si="60"/>
        <v>Privado Nacional</v>
      </c>
      <c r="V1007" s="14">
        <f t="shared" si="61"/>
        <v>0</v>
      </c>
      <c r="W1007" s="14">
        <f t="shared" si="62"/>
        <v>-0.12508471294413787</v>
      </c>
      <c r="X1007" s="12" t="str">
        <f t="shared" si="63"/>
        <v>Média/Pequena</v>
      </c>
      <c r="Y1007" s="122" t="str" cm="1">
        <f t="array" ref="Y1007">_xlfn.IFS(ISNUMBER(W1007)=FALSE,"Sem dado",W1007&gt;0.075,"Excelente",W1007&gt;0.04,"Bom",W1007&gt;0,"Fraco",TRUE,"Prejuízo")</f>
        <v>Prejuízo</v>
      </c>
    </row>
    <row r="1008" spans="1:25" ht="15" customHeight="1" x14ac:dyDescent="0.2">
      <c r="A1008" s="15" t="s">
        <v>2117</v>
      </c>
      <c r="B1008" s="60">
        <v>7494300</v>
      </c>
      <c r="C1008" s="15"/>
      <c r="D1008" s="15"/>
      <c r="E1008" s="15"/>
      <c r="F1008" s="15" t="s">
        <v>265</v>
      </c>
      <c r="G1008" s="34">
        <v>2</v>
      </c>
      <c r="H1008" s="34">
        <v>9</v>
      </c>
      <c r="I1008" s="15" t="s">
        <v>414</v>
      </c>
      <c r="J1008" s="15" t="s">
        <v>74</v>
      </c>
      <c r="K1008" s="74" t="s">
        <v>29</v>
      </c>
      <c r="L1008" s="16">
        <v>82122</v>
      </c>
      <c r="M1008" s="16">
        <v>50064</v>
      </c>
      <c r="N1008" s="16">
        <v>1706</v>
      </c>
      <c r="O1008" s="16">
        <v>68755</v>
      </c>
      <c r="P1008" s="16">
        <v>63160</v>
      </c>
      <c r="Q1008" s="16">
        <v>13367</v>
      </c>
      <c r="R1008" s="16">
        <v>805</v>
      </c>
      <c r="S1008" s="16">
        <v>0</v>
      </c>
      <c r="T1008" s="16">
        <v>1</v>
      </c>
      <c r="U1008" s="15" t="str">
        <f t="shared" si="60"/>
        <v>Privado Nacional</v>
      </c>
      <c r="V1008" s="17">
        <f t="shared" si="61"/>
        <v>0.60962957550960761</v>
      </c>
      <c r="W1008" s="17">
        <f t="shared" si="62"/>
        <v>6.0222937083863247E-2</v>
      </c>
      <c r="X1008" s="15" t="str">
        <f t="shared" si="63"/>
        <v>Média/Pequena</v>
      </c>
      <c r="Y1008" s="121" t="str" cm="1">
        <f t="array" ref="Y1008">_xlfn.IFS(ISNUMBER(W1008)=FALSE,"Sem dado",W1008&gt;0.075,"Excelente",W1008&gt;0.04,"Bom",W1008&gt;0,"Fraco",TRUE,"Prejuízo")</f>
        <v>Bom</v>
      </c>
    </row>
    <row r="1009" spans="1:25" ht="15" customHeight="1" x14ac:dyDescent="0.2">
      <c r="A1009" s="12" t="s">
        <v>2118</v>
      </c>
      <c r="B1009" s="56">
        <v>40768766</v>
      </c>
      <c r="C1009" s="12" t="s">
        <v>2119</v>
      </c>
      <c r="D1009" s="12"/>
      <c r="E1009" s="12" t="s">
        <v>2120</v>
      </c>
      <c r="F1009" s="12" t="s">
        <v>98</v>
      </c>
      <c r="G1009" s="33">
        <v>2</v>
      </c>
      <c r="H1009" s="33">
        <v>16</v>
      </c>
      <c r="I1009" s="12" t="s">
        <v>38</v>
      </c>
      <c r="J1009" s="12" t="s">
        <v>39</v>
      </c>
      <c r="K1009" s="73" t="s">
        <v>29</v>
      </c>
      <c r="L1009" s="13">
        <v>81461</v>
      </c>
      <c r="M1009" s="13">
        <v>0</v>
      </c>
      <c r="N1009" s="13">
        <v>1063</v>
      </c>
      <c r="O1009" s="13">
        <v>77338</v>
      </c>
      <c r="P1009" s="13">
        <v>73745</v>
      </c>
      <c r="Q1009" s="13">
        <v>4123</v>
      </c>
      <c r="R1009" s="13">
        <v>421</v>
      </c>
      <c r="S1009" s="13">
        <v>2</v>
      </c>
      <c r="T1009" s="13">
        <v>0</v>
      </c>
      <c r="U1009" s="12" t="str">
        <f t="shared" si="60"/>
        <v>Privado Nacional</v>
      </c>
      <c r="V1009" s="14">
        <f t="shared" si="61"/>
        <v>0</v>
      </c>
      <c r="W1009" s="14">
        <f t="shared" si="62"/>
        <v>0.10211011399466408</v>
      </c>
      <c r="X1009" s="12" t="str">
        <f t="shared" si="63"/>
        <v>Média/Pequena</v>
      </c>
      <c r="Y1009" s="122" t="str" cm="1">
        <f t="array" ref="Y1009">_xlfn.IFS(ISNUMBER(W1009)=FALSE,"Sem dado",W1009&gt;0.075,"Excelente",W1009&gt;0.04,"Bom",W1009&gt;0,"Fraco",TRUE,"Prejuízo")</f>
        <v>Excelente</v>
      </c>
    </row>
    <row r="1010" spans="1:25" ht="15" customHeight="1" x14ac:dyDescent="0.2">
      <c r="A1010" s="15" t="s">
        <v>2121</v>
      </c>
      <c r="B1010" s="60">
        <v>5474540</v>
      </c>
      <c r="C1010" s="15" t="s">
        <v>2122</v>
      </c>
      <c r="D1010" s="15"/>
      <c r="E1010" s="15" t="s">
        <v>2123</v>
      </c>
      <c r="F1010" s="15" t="s">
        <v>65</v>
      </c>
      <c r="G1010" s="34">
        <v>1</v>
      </c>
      <c r="H1010" s="34">
        <v>30</v>
      </c>
      <c r="I1010" s="15" t="s">
        <v>2124</v>
      </c>
      <c r="J1010" s="15" t="s">
        <v>1214</v>
      </c>
      <c r="K1010" s="74" t="s">
        <v>29</v>
      </c>
      <c r="L1010" s="16">
        <v>81401</v>
      </c>
      <c r="M1010" s="16">
        <v>44291</v>
      </c>
      <c r="N1010" s="16">
        <v>35380</v>
      </c>
      <c r="O1010" s="16">
        <v>35692</v>
      </c>
      <c r="P1010" s="16">
        <v>34633</v>
      </c>
      <c r="Q1010" s="16">
        <v>45709</v>
      </c>
      <c r="R1010" s="16">
        <v>-351</v>
      </c>
      <c r="S1010" s="16">
        <v>1</v>
      </c>
      <c r="T1010" s="16">
        <v>0</v>
      </c>
      <c r="U1010" s="15" t="str">
        <f t="shared" si="60"/>
        <v>Público</v>
      </c>
      <c r="V1010" s="17">
        <f t="shared" si="61"/>
        <v>0.54410879473225149</v>
      </c>
      <c r="W1010" s="17">
        <f t="shared" si="62"/>
        <v>-7.6790128858649281E-3</v>
      </c>
      <c r="X1010" s="15" t="str">
        <f t="shared" si="63"/>
        <v>Média/Pequena</v>
      </c>
      <c r="Y1010" s="121" t="str" cm="1">
        <f t="array" ref="Y1010">_xlfn.IFS(ISNUMBER(W1010)=FALSE,"Sem dado",W1010&gt;0.075,"Excelente",W1010&gt;0.04,"Bom",W1010&gt;0,"Fraco",TRUE,"Prejuízo")</f>
        <v>Prejuízo</v>
      </c>
    </row>
    <row r="1011" spans="1:25" ht="15" customHeight="1" x14ac:dyDescent="0.2">
      <c r="A1011" s="12" t="s">
        <v>2125</v>
      </c>
      <c r="B1011" s="56">
        <v>89280960</v>
      </c>
      <c r="C1011" s="12"/>
      <c r="D1011" s="12"/>
      <c r="E1011" s="12"/>
      <c r="F1011" s="12" t="s">
        <v>265</v>
      </c>
      <c r="G1011" s="33">
        <v>2</v>
      </c>
      <c r="H1011" s="33">
        <v>9</v>
      </c>
      <c r="I1011" s="12" t="s">
        <v>782</v>
      </c>
      <c r="J1011" s="12" t="s">
        <v>74</v>
      </c>
      <c r="K1011" s="73" t="s">
        <v>29</v>
      </c>
      <c r="L1011" s="13">
        <v>81301</v>
      </c>
      <c r="M1011" s="13">
        <v>31766</v>
      </c>
      <c r="N1011" s="13">
        <v>9577</v>
      </c>
      <c r="O1011" s="13">
        <v>13848</v>
      </c>
      <c r="P1011" s="13">
        <v>8837</v>
      </c>
      <c r="Q1011" s="13">
        <v>67453</v>
      </c>
      <c r="R1011" s="13">
        <v>1979</v>
      </c>
      <c r="S1011" s="13">
        <v>0</v>
      </c>
      <c r="T1011" s="13">
        <v>0</v>
      </c>
      <c r="U1011" s="12" t="str">
        <f t="shared" si="60"/>
        <v>Privado Nacional</v>
      </c>
      <c r="V1011" s="14">
        <f t="shared" si="61"/>
        <v>0.39072090134192694</v>
      </c>
      <c r="W1011" s="14">
        <f t="shared" si="62"/>
        <v>2.9338947118734526E-2</v>
      </c>
      <c r="X1011" s="12" t="str">
        <f t="shared" si="63"/>
        <v>Média/Pequena</v>
      </c>
      <c r="Y1011" s="122" t="str" cm="1">
        <f t="array" ref="Y1011">_xlfn.IFS(ISNUMBER(W1011)=FALSE,"Sem dado",W1011&gt;0.075,"Excelente",W1011&gt;0.04,"Bom",W1011&gt;0,"Fraco",TRUE,"Prejuízo")</f>
        <v>Fraco</v>
      </c>
    </row>
    <row r="1012" spans="1:25" ht="15" customHeight="1" x14ac:dyDescent="0.2">
      <c r="A1012" s="15" t="s">
        <v>2126</v>
      </c>
      <c r="B1012" s="60">
        <v>47074323</v>
      </c>
      <c r="C1012" s="15"/>
      <c r="D1012" s="15"/>
      <c r="E1012" s="15"/>
      <c r="F1012" s="15" t="s">
        <v>265</v>
      </c>
      <c r="G1012" s="34">
        <v>2</v>
      </c>
      <c r="H1012" s="34">
        <v>9</v>
      </c>
      <c r="I1012" s="15" t="s">
        <v>1846</v>
      </c>
      <c r="J1012" s="15" t="s">
        <v>39</v>
      </c>
      <c r="K1012" s="74" t="s">
        <v>29</v>
      </c>
      <c r="L1012" s="16">
        <v>81197</v>
      </c>
      <c r="M1012" s="16">
        <v>52940</v>
      </c>
      <c r="N1012" s="16">
        <v>25412</v>
      </c>
      <c r="O1012" s="16">
        <v>45643</v>
      </c>
      <c r="P1012" s="16">
        <v>42847</v>
      </c>
      <c r="Q1012" s="16">
        <v>35554</v>
      </c>
      <c r="R1012" s="16">
        <v>-969</v>
      </c>
      <c r="S1012" s="16">
        <v>0</v>
      </c>
      <c r="T1012" s="16">
        <v>6</v>
      </c>
      <c r="U1012" s="15" t="str">
        <f t="shared" si="60"/>
        <v>Privado Nacional</v>
      </c>
      <c r="V1012" s="17">
        <f t="shared" si="61"/>
        <v>0.65199453181767797</v>
      </c>
      <c r="W1012" s="17">
        <f t="shared" si="62"/>
        <v>-2.7254317376385218E-2</v>
      </c>
      <c r="X1012" s="15" t="str">
        <f t="shared" si="63"/>
        <v>Média/Pequena</v>
      </c>
      <c r="Y1012" s="121" t="str" cm="1">
        <f t="array" ref="Y1012">_xlfn.IFS(ISNUMBER(W1012)=FALSE,"Sem dado",W1012&gt;0.075,"Excelente",W1012&gt;0.04,"Bom",W1012&gt;0,"Fraco",TRUE,"Prejuízo")</f>
        <v>Prejuízo</v>
      </c>
    </row>
    <row r="1013" spans="1:25" ht="15" customHeight="1" x14ac:dyDescent="0.2">
      <c r="A1013" s="12" t="s">
        <v>2127</v>
      </c>
      <c r="B1013" s="56">
        <v>33588252</v>
      </c>
      <c r="C1013" s="12" t="s">
        <v>2128</v>
      </c>
      <c r="D1013" s="12"/>
      <c r="E1013" s="12" t="s">
        <v>2129</v>
      </c>
      <c r="F1013" s="12" t="s">
        <v>60</v>
      </c>
      <c r="G1013" s="33">
        <v>2</v>
      </c>
      <c r="H1013" s="33">
        <v>13</v>
      </c>
      <c r="I1013" s="12" t="s">
        <v>38</v>
      </c>
      <c r="J1013" s="12" t="s">
        <v>39</v>
      </c>
      <c r="K1013" s="73" t="s">
        <v>29</v>
      </c>
      <c r="L1013" s="13">
        <v>80988</v>
      </c>
      <c r="M1013" s="13">
        <v>8348</v>
      </c>
      <c r="N1013" s="13">
        <v>63362</v>
      </c>
      <c r="O1013" s="13">
        <v>2699</v>
      </c>
      <c r="P1013" s="13">
        <v>1936</v>
      </c>
      <c r="Q1013" s="13">
        <v>78289</v>
      </c>
      <c r="R1013" s="13">
        <v>-905</v>
      </c>
      <c r="S1013" s="13">
        <v>2</v>
      </c>
      <c r="T1013" s="13">
        <v>0</v>
      </c>
      <c r="U1013" s="12" t="str">
        <f t="shared" si="60"/>
        <v>Privado Nacional</v>
      </c>
      <c r="V1013" s="14">
        <f t="shared" si="61"/>
        <v>0.10307699906158937</v>
      </c>
      <c r="W1013" s="14">
        <f t="shared" si="62"/>
        <v>-1.1559733806792781E-2</v>
      </c>
      <c r="X1013" s="12" t="str">
        <f t="shared" si="63"/>
        <v>Média/Pequena</v>
      </c>
      <c r="Y1013" s="122" t="str" cm="1">
        <f t="array" ref="Y1013">_xlfn.IFS(ISNUMBER(W1013)=FALSE,"Sem dado",W1013&gt;0.075,"Excelente",W1013&gt;0.04,"Bom",W1013&gt;0,"Fraco",TRUE,"Prejuízo")</f>
        <v>Prejuízo</v>
      </c>
    </row>
    <row r="1014" spans="1:25" ht="15" customHeight="1" x14ac:dyDescent="0.2">
      <c r="A1014" s="15" t="s">
        <v>2130</v>
      </c>
      <c r="B1014" s="60">
        <v>28650236</v>
      </c>
      <c r="C1014" s="15" t="s">
        <v>2131</v>
      </c>
      <c r="D1014" s="15"/>
      <c r="E1014" s="15" t="s">
        <v>2132</v>
      </c>
      <c r="F1014" s="15" t="s">
        <v>98</v>
      </c>
      <c r="G1014" s="34">
        <v>2</v>
      </c>
      <c r="H1014" s="34">
        <v>16</v>
      </c>
      <c r="I1014" s="15" t="s">
        <v>38</v>
      </c>
      <c r="J1014" s="15" t="s">
        <v>39</v>
      </c>
      <c r="K1014" s="74" t="s">
        <v>29</v>
      </c>
      <c r="L1014" s="16">
        <v>80677</v>
      </c>
      <c r="M1014" s="16">
        <v>0</v>
      </c>
      <c r="N1014" s="16">
        <v>2815</v>
      </c>
      <c r="O1014" s="16">
        <v>53617</v>
      </c>
      <c r="P1014" s="16">
        <v>49850</v>
      </c>
      <c r="Q1014" s="16">
        <v>27060</v>
      </c>
      <c r="R1014" s="16">
        <v>135</v>
      </c>
      <c r="S1014" s="16">
        <v>2</v>
      </c>
      <c r="T1014" s="16">
        <v>0</v>
      </c>
      <c r="U1014" s="15" t="str">
        <f t="shared" si="60"/>
        <v>Privado Nacional</v>
      </c>
      <c r="V1014" s="17">
        <f t="shared" si="61"/>
        <v>0</v>
      </c>
      <c r="W1014" s="17">
        <f t="shared" si="62"/>
        <v>4.9889135254988911E-3</v>
      </c>
      <c r="X1014" s="15" t="str">
        <f t="shared" si="63"/>
        <v>Média/Pequena</v>
      </c>
      <c r="Y1014" s="121" t="str" cm="1">
        <f t="array" ref="Y1014">_xlfn.IFS(ISNUMBER(W1014)=FALSE,"Sem dado",W1014&gt;0.075,"Excelente",W1014&gt;0.04,"Bom",W1014&gt;0,"Fraco",TRUE,"Prejuízo")</f>
        <v>Fraco</v>
      </c>
    </row>
    <row r="1015" spans="1:25" ht="15" customHeight="1" x14ac:dyDescent="0.2">
      <c r="A1015" s="12" t="s">
        <v>2133</v>
      </c>
      <c r="B1015" s="56">
        <v>92935741</v>
      </c>
      <c r="C1015" s="12"/>
      <c r="D1015" s="12"/>
      <c r="E1015" s="12"/>
      <c r="F1015" s="12" t="s">
        <v>265</v>
      </c>
      <c r="G1015" s="33">
        <v>2</v>
      </c>
      <c r="H1015" s="33">
        <v>9</v>
      </c>
      <c r="I1015" s="12" t="s">
        <v>73</v>
      </c>
      <c r="J1015" s="12" t="s">
        <v>74</v>
      </c>
      <c r="K1015" s="73" t="s">
        <v>29</v>
      </c>
      <c r="L1015" s="13">
        <v>80343</v>
      </c>
      <c r="M1015" s="13">
        <v>72812</v>
      </c>
      <c r="N1015" s="13">
        <v>11</v>
      </c>
      <c r="O1015" s="13">
        <v>37775</v>
      </c>
      <c r="P1015" s="13">
        <v>36148</v>
      </c>
      <c r="Q1015" s="13">
        <v>42568</v>
      </c>
      <c r="R1015" s="13">
        <v>765</v>
      </c>
      <c r="S1015" s="13">
        <v>0</v>
      </c>
      <c r="T1015" s="13">
        <v>0</v>
      </c>
      <c r="U1015" s="12" t="str">
        <f t="shared" si="60"/>
        <v>Privado Nacional</v>
      </c>
      <c r="V1015" s="14">
        <f t="shared" si="61"/>
        <v>0.90626439142177917</v>
      </c>
      <c r="W1015" s="14">
        <f t="shared" si="62"/>
        <v>1.7971246006389777E-2</v>
      </c>
      <c r="X1015" s="12" t="str">
        <f t="shared" si="63"/>
        <v>Média/Pequena</v>
      </c>
      <c r="Y1015" s="122" t="str" cm="1">
        <f t="array" ref="Y1015">_xlfn.IFS(ISNUMBER(W1015)=FALSE,"Sem dado",W1015&gt;0.075,"Excelente",W1015&gt;0.04,"Bom",W1015&gt;0,"Fraco",TRUE,"Prejuízo")</f>
        <v>Fraco</v>
      </c>
    </row>
    <row r="1016" spans="1:25" ht="15" customHeight="1" x14ac:dyDescent="0.2">
      <c r="A1016" s="15" t="s">
        <v>2134</v>
      </c>
      <c r="B1016" s="60">
        <v>19402130</v>
      </c>
      <c r="C1016" s="15"/>
      <c r="D1016" s="15"/>
      <c r="E1016" s="15"/>
      <c r="F1016" s="15" t="s">
        <v>265</v>
      </c>
      <c r="G1016" s="34">
        <v>2</v>
      </c>
      <c r="H1016" s="34">
        <v>9</v>
      </c>
      <c r="I1016" s="15" t="s">
        <v>119</v>
      </c>
      <c r="J1016" s="15" t="s">
        <v>120</v>
      </c>
      <c r="K1016" s="74" t="s">
        <v>29</v>
      </c>
      <c r="L1016" s="16">
        <v>79194</v>
      </c>
      <c r="M1016" s="16">
        <v>36091</v>
      </c>
      <c r="N1016" s="16">
        <v>18973</v>
      </c>
      <c r="O1016" s="16">
        <v>45581</v>
      </c>
      <c r="P1016" s="16">
        <v>37432</v>
      </c>
      <c r="Q1016" s="16">
        <v>33613</v>
      </c>
      <c r="R1016" s="16">
        <v>990</v>
      </c>
      <c r="S1016" s="16">
        <v>0</v>
      </c>
      <c r="T1016" s="16">
        <v>4</v>
      </c>
      <c r="U1016" s="15" t="str">
        <f t="shared" si="60"/>
        <v>Privado Nacional</v>
      </c>
      <c r="V1016" s="17">
        <f t="shared" si="61"/>
        <v>0.45572896936636614</v>
      </c>
      <c r="W1016" s="17">
        <f t="shared" si="62"/>
        <v>2.9452890250795824E-2</v>
      </c>
      <c r="X1016" s="15" t="str">
        <f t="shared" si="63"/>
        <v>Média/Pequena</v>
      </c>
      <c r="Y1016" s="121" t="str" cm="1">
        <f t="array" ref="Y1016">_xlfn.IFS(ISNUMBER(W1016)=FALSE,"Sem dado",W1016&gt;0.075,"Excelente",W1016&gt;0.04,"Bom",W1016&gt;0,"Fraco",TRUE,"Prejuízo")</f>
        <v>Fraco</v>
      </c>
    </row>
    <row r="1017" spans="1:25" ht="15" customHeight="1" x14ac:dyDescent="0.2">
      <c r="A1017" s="12" t="s">
        <v>2135</v>
      </c>
      <c r="B1017" s="56">
        <v>39669186</v>
      </c>
      <c r="C1017" s="12" t="s">
        <v>2136</v>
      </c>
      <c r="D1017" s="12"/>
      <c r="E1017" s="12" t="s">
        <v>2137</v>
      </c>
      <c r="F1017" s="12" t="s">
        <v>98</v>
      </c>
      <c r="G1017" s="33">
        <v>2</v>
      </c>
      <c r="H1017" s="33">
        <v>16</v>
      </c>
      <c r="I1017" s="12" t="s">
        <v>228</v>
      </c>
      <c r="J1017" s="12" t="s">
        <v>229</v>
      </c>
      <c r="K1017" s="73" t="s">
        <v>29</v>
      </c>
      <c r="L1017" s="13">
        <v>77904</v>
      </c>
      <c r="M1017" s="13">
        <v>0</v>
      </c>
      <c r="N1017" s="13">
        <v>7094</v>
      </c>
      <c r="O1017" s="13">
        <v>57206</v>
      </c>
      <c r="P1017" s="13">
        <v>49902</v>
      </c>
      <c r="Q1017" s="13">
        <v>20698</v>
      </c>
      <c r="R1017" s="13">
        <v>8901</v>
      </c>
      <c r="S1017" s="13">
        <v>2</v>
      </c>
      <c r="T1017" s="13">
        <v>0</v>
      </c>
      <c r="U1017" s="12" t="str">
        <f t="shared" si="60"/>
        <v>Privado Nacional</v>
      </c>
      <c r="V1017" s="14">
        <f t="shared" si="61"/>
        <v>0</v>
      </c>
      <c r="W1017" s="14">
        <f t="shared" si="62"/>
        <v>0.4300415499082037</v>
      </c>
      <c r="X1017" s="12" t="str">
        <f t="shared" si="63"/>
        <v>Média/Pequena</v>
      </c>
      <c r="Y1017" s="122" t="str" cm="1">
        <f t="array" ref="Y1017">_xlfn.IFS(ISNUMBER(W1017)=FALSE,"Sem dado",W1017&gt;0.075,"Excelente",W1017&gt;0.04,"Bom",W1017&gt;0,"Fraco",TRUE,"Prejuízo")</f>
        <v>Excelente</v>
      </c>
    </row>
    <row r="1018" spans="1:25" ht="15" customHeight="1" x14ac:dyDescent="0.2">
      <c r="A1018" s="15" t="s">
        <v>2138</v>
      </c>
      <c r="B1018" s="60">
        <v>13178690</v>
      </c>
      <c r="C1018" s="15" t="s">
        <v>2139</v>
      </c>
      <c r="D1018" s="15"/>
      <c r="E1018" s="15" t="s">
        <v>2140</v>
      </c>
      <c r="F1018" s="15" t="s">
        <v>65</v>
      </c>
      <c r="G1018" s="34">
        <v>1</v>
      </c>
      <c r="H1018" s="34">
        <v>30</v>
      </c>
      <c r="I1018" s="15" t="s">
        <v>1133</v>
      </c>
      <c r="J1018" s="15" t="s">
        <v>1078</v>
      </c>
      <c r="K1018" s="74" t="s">
        <v>29</v>
      </c>
      <c r="L1018" s="16">
        <v>77787</v>
      </c>
      <c r="M1018" s="16">
        <v>21007</v>
      </c>
      <c r="N1018" s="16">
        <v>55460</v>
      </c>
      <c r="O1018" s="16">
        <v>15328</v>
      </c>
      <c r="P1018" s="16">
        <v>13577</v>
      </c>
      <c r="Q1018" s="16">
        <v>62459</v>
      </c>
      <c r="R1018" s="16">
        <v>-1308</v>
      </c>
      <c r="S1018" s="16">
        <v>1</v>
      </c>
      <c r="T1018" s="16">
        <v>0</v>
      </c>
      <c r="U1018" s="15" t="str">
        <f t="shared" si="60"/>
        <v>Público</v>
      </c>
      <c r="V1018" s="17">
        <f t="shared" si="61"/>
        <v>0.27005797883965188</v>
      </c>
      <c r="W1018" s="17">
        <f t="shared" si="62"/>
        <v>-2.094173777998367E-2</v>
      </c>
      <c r="X1018" s="15" t="str">
        <f t="shared" si="63"/>
        <v>Média/Pequena</v>
      </c>
      <c r="Y1018" s="121" t="str" cm="1">
        <f t="array" ref="Y1018">_xlfn.IFS(ISNUMBER(W1018)=FALSE,"Sem dado",W1018&gt;0.075,"Excelente",W1018&gt;0.04,"Bom",W1018&gt;0,"Fraco",TRUE,"Prejuízo")</f>
        <v>Prejuízo</v>
      </c>
    </row>
    <row r="1019" spans="1:25" ht="15" customHeight="1" x14ac:dyDescent="0.2">
      <c r="A1019" s="12" t="s">
        <v>2141</v>
      </c>
      <c r="B1019" s="56">
        <v>3139644</v>
      </c>
      <c r="C1019" s="12"/>
      <c r="D1019" s="12"/>
      <c r="E1019" s="12"/>
      <c r="F1019" s="12" t="s">
        <v>265</v>
      </c>
      <c r="G1019" s="33">
        <v>2</v>
      </c>
      <c r="H1019" s="33">
        <v>9</v>
      </c>
      <c r="I1019" s="12" t="s">
        <v>38</v>
      </c>
      <c r="J1019" s="12" t="s">
        <v>39</v>
      </c>
      <c r="K1019" s="73" t="s">
        <v>29</v>
      </c>
      <c r="L1019" s="13">
        <v>77112</v>
      </c>
      <c r="M1019" s="13">
        <v>3204</v>
      </c>
      <c r="N1019" s="13">
        <v>69338</v>
      </c>
      <c r="O1019" s="13">
        <v>6558</v>
      </c>
      <c r="P1019" s="13">
        <v>0</v>
      </c>
      <c r="Q1019" s="13">
        <v>70554</v>
      </c>
      <c r="R1019" s="13">
        <v>3236</v>
      </c>
      <c r="S1019" s="13">
        <v>0</v>
      </c>
      <c r="T1019" s="13">
        <v>0</v>
      </c>
      <c r="U1019" s="12" t="str">
        <f t="shared" si="60"/>
        <v>Privado Nacional</v>
      </c>
      <c r="V1019" s="14">
        <f t="shared" si="61"/>
        <v>4.1549953314659195E-2</v>
      </c>
      <c r="W1019" s="14">
        <f t="shared" si="62"/>
        <v>4.5865578138730614E-2</v>
      </c>
      <c r="X1019" s="12" t="str">
        <f t="shared" si="63"/>
        <v>Média/Pequena</v>
      </c>
      <c r="Y1019" s="122" t="str" cm="1">
        <f t="array" ref="Y1019">_xlfn.IFS(ISNUMBER(W1019)=FALSE,"Sem dado",W1019&gt;0.075,"Excelente",W1019&gt;0.04,"Bom",W1019&gt;0,"Fraco",TRUE,"Prejuízo")</f>
        <v>Bom</v>
      </c>
    </row>
    <row r="1020" spans="1:25" ht="15" customHeight="1" x14ac:dyDescent="0.2">
      <c r="A1020" s="15" t="s">
        <v>2142</v>
      </c>
      <c r="B1020" s="60">
        <v>26191078</v>
      </c>
      <c r="C1020" s="15"/>
      <c r="D1020" s="15"/>
      <c r="E1020" s="15"/>
      <c r="F1020" s="15" t="s">
        <v>265</v>
      </c>
      <c r="G1020" s="34">
        <v>2</v>
      </c>
      <c r="H1020" s="34">
        <v>9</v>
      </c>
      <c r="I1020" s="15" t="s">
        <v>2143</v>
      </c>
      <c r="J1020" s="15" t="s">
        <v>1209</v>
      </c>
      <c r="K1020" s="74" t="s">
        <v>29</v>
      </c>
      <c r="L1020" s="16">
        <v>76862</v>
      </c>
      <c r="M1020" s="16">
        <v>12148</v>
      </c>
      <c r="N1020" s="16">
        <v>44773</v>
      </c>
      <c r="O1020" s="16">
        <v>67507</v>
      </c>
      <c r="P1020" s="16">
        <v>60610</v>
      </c>
      <c r="Q1020" s="16">
        <v>9354</v>
      </c>
      <c r="R1020" s="16">
        <v>-543</v>
      </c>
      <c r="S1020" s="16">
        <v>0</v>
      </c>
      <c r="T1020" s="16">
        <v>2</v>
      </c>
      <c r="U1020" s="15" t="str">
        <f t="shared" si="60"/>
        <v>Privado Nacional</v>
      </c>
      <c r="V1020" s="17">
        <f t="shared" si="61"/>
        <v>0.15804949129608908</v>
      </c>
      <c r="W1020" s="17">
        <f t="shared" si="62"/>
        <v>-5.8050032071840924E-2</v>
      </c>
      <c r="X1020" s="15" t="str">
        <f t="shared" si="63"/>
        <v>Média/Pequena</v>
      </c>
      <c r="Y1020" s="121" t="str" cm="1">
        <f t="array" ref="Y1020">_xlfn.IFS(ISNUMBER(W1020)=FALSE,"Sem dado",W1020&gt;0.075,"Excelente",W1020&gt;0.04,"Bom",W1020&gt;0,"Fraco",TRUE,"Prejuízo")</f>
        <v>Prejuízo</v>
      </c>
    </row>
    <row r="1021" spans="1:25" ht="15" customHeight="1" x14ac:dyDescent="0.2">
      <c r="A1021" s="12" t="s">
        <v>2144</v>
      </c>
      <c r="B1021" s="56">
        <v>33850686</v>
      </c>
      <c r="C1021" s="12" t="s">
        <v>2145</v>
      </c>
      <c r="D1021" s="12" t="s">
        <v>2146</v>
      </c>
      <c r="E1021" s="12" t="s">
        <v>2147</v>
      </c>
      <c r="F1021" s="12" t="s">
        <v>98</v>
      </c>
      <c r="G1021" s="33">
        <v>1</v>
      </c>
      <c r="H1021" s="33">
        <v>16</v>
      </c>
      <c r="I1021" s="12" t="s">
        <v>27</v>
      </c>
      <c r="J1021" s="12" t="s">
        <v>28</v>
      </c>
      <c r="K1021" s="73" t="s">
        <v>29</v>
      </c>
      <c r="L1021" s="13">
        <v>75937</v>
      </c>
      <c r="M1021" s="13">
        <v>0</v>
      </c>
      <c r="N1021" s="13">
        <v>46561</v>
      </c>
      <c r="O1021" s="13">
        <v>10081</v>
      </c>
      <c r="P1021" s="13">
        <v>91</v>
      </c>
      <c r="Q1021" s="13">
        <v>65856</v>
      </c>
      <c r="R1021" s="13">
        <v>179</v>
      </c>
      <c r="S1021" s="13">
        <v>2</v>
      </c>
      <c r="T1021" s="13">
        <v>0</v>
      </c>
      <c r="U1021" s="12" t="str">
        <f t="shared" si="60"/>
        <v>Público</v>
      </c>
      <c r="V1021" s="14">
        <f t="shared" si="61"/>
        <v>0</v>
      </c>
      <c r="W1021" s="14">
        <f t="shared" si="62"/>
        <v>2.7180515063168122E-3</v>
      </c>
      <c r="X1021" s="12" t="str">
        <f t="shared" si="63"/>
        <v>Média/Pequena</v>
      </c>
      <c r="Y1021" s="122" t="str" cm="1">
        <f t="array" ref="Y1021">_xlfn.IFS(ISNUMBER(W1021)=FALSE,"Sem dado",W1021&gt;0.075,"Excelente",W1021&gt;0.04,"Bom",W1021&gt;0,"Fraco",TRUE,"Prejuízo")</f>
        <v>Fraco</v>
      </c>
    </row>
    <row r="1022" spans="1:25" ht="15" customHeight="1" x14ac:dyDescent="0.2">
      <c r="A1022" s="15" t="s">
        <v>2148</v>
      </c>
      <c r="B1022" s="60">
        <v>80271455</v>
      </c>
      <c r="C1022" s="15" t="s">
        <v>2149</v>
      </c>
      <c r="D1022" s="15"/>
      <c r="E1022" s="15" t="s">
        <v>2150</v>
      </c>
      <c r="F1022" s="15" t="s">
        <v>60</v>
      </c>
      <c r="G1022" s="34">
        <v>2</v>
      </c>
      <c r="H1022" s="34">
        <v>8</v>
      </c>
      <c r="I1022" s="15" t="s">
        <v>228</v>
      </c>
      <c r="J1022" s="15" t="s">
        <v>229</v>
      </c>
      <c r="K1022" s="74" t="s">
        <v>29</v>
      </c>
      <c r="L1022" s="16">
        <v>75906</v>
      </c>
      <c r="M1022" s="16">
        <v>50267</v>
      </c>
      <c r="N1022" s="16">
        <v>3107</v>
      </c>
      <c r="O1022" s="16">
        <v>54803</v>
      </c>
      <c r="P1022" s="16">
        <v>51386</v>
      </c>
      <c r="Q1022" s="16">
        <v>21104</v>
      </c>
      <c r="R1022" s="16">
        <v>-379</v>
      </c>
      <c r="S1022" s="16">
        <v>2</v>
      </c>
      <c r="T1022" s="16">
        <v>0</v>
      </c>
      <c r="U1022" s="15" t="str">
        <f t="shared" si="60"/>
        <v>Privado Nacional</v>
      </c>
      <c r="V1022" s="17">
        <f t="shared" si="61"/>
        <v>0.66222696493030853</v>
      </c>
      <c r="W1022" s="17">
        <f t="shared" si="62"/>
        <v>-1.7958680818802124E-2</v>
      </c>
      <c r="X1022" s="15" t="str">
        <f t="shared" si="63"/>
        <v>Média/Pequena</v>
      </c>
      <c r="Y1022" s="121" t="str" cm="1">
        <f t="array" ref="Y1022">_xlfn.IFS(ISNUMBER(W1022)=FALSE,"Sem dado",W1022&gt;0.075,"Excelente",W1022&gt;0.04,"Bom",W1022&gt;0,"Fraco",TRUE,"Prejuízo")</f>
        <v>Prejuízo</v>
      </c>
    </row>
    <row r="1023" spans="1:25" ht="15" customHeight="1" x14ac:dyDescent="0.2">
      <c r="A1023" s="12" t="s">
        <v>2151</v>
      </c>
      <c r="B1023" s="56">
        <v>7299480</v>
      </c>
      <c r="C1023" s="12" t="s">
        <v>41</v>
      </c>
      <c r="D1023" s="12" t="s">
        <v>42</v>
      </c>
      <c r="E1023" s="12" t="s">
        <v>43</v>
      </c>
      <c r="F1023" s="12" t="s">
        <v>98</v>
      </c>
      <c r="G1023" s="33">
        <v>2</v>
      </c>
      <c r="H1023" s="33">
        <v>16</v>
      </c>
      <c r="I1023" s="12" t="s">
        <v>44</v>
      </c>
      <c r="J1023" s="12" t="s">
        <v>39</v>
      </c>
      <c r="K1023" s="73" t="s">
        <v>29</v>
      </c>
      <c r="L1023" s="13">
        <v>75665</v>
      </c>
      <c r="M1023" s="13">
        <v>0</v>
      </c>
      <c r="N1023" s="13">
        <v>75530</v>
      </c>
      <c r="O1023" s="13">
        <v>1662</v>
      </c>
      <c r="P1023" s="13">
        <v>0</v>
      </c>
      <c r="Q1023" s="13">
        <v>74003</v>
      </c>
      <c r="R1023" s="13">
        <v>2792</v>
      </c>
      <c r="S1023" s="13">
        <v>2</v>
      </c>
      <c r="T1023" s="13">
        <v>0</v>
      </c>
      <c r="U1023" s="12" t="str">
        <f t="shared" si="60"/>
        <v>Privado Nacional</v>
      </c>
      <c r="V1023" s="14">
        <f t="shared" si="61"/>
        <v>0</v>
      </c>
      <c r="W1023" s="14">
        <f t="shared" si="62"/>
        <v>3.7728200208099673E-2</v>
      </c>
      <c r="X1023" s="12" t="str">
        <f t="shared" si="63"/>
        <v>Média/Pequena</v>
      </c>
      <c r="Y1023" s="122" t="str" cm="1">
        <f t="array" ref="Y1023">_xlfn.IFS(ISNUMBER(W1023)=FALSE,"Sem dado",W1023&gt;0.075,"Excelente",W1023&gt;0.04,"Bom",W1023&gt;0,"Fraco",TRUE,"Prejuízo")</f>
        <v>Fraco</v>
      </c>
    </row>
    <row r="1024" spans="1:25" ht="15" customHeight="1" x14ac:dyDescent="0.2">
      <c r="A1024" s="15" t="s">
        <v>2152</v>
      </c>
      <c r="B1024" s="60">
        <v>32997490</v>
      </c>
      <c r="C1024" s="15" t="s">
        <v>622</v>
      </c>
      <c r="D1024" s="15" t="s">
        <v>623</v>
      </c>
      <c r="E1024" s="15" t="s">
        <v>624</v>
      </c>
      <c r="F1024" s="15" t="s">
        <v>65</v>
      </c>
      <c r="G1024" s="34">
        <v>3</v>
      </c>
      <c r="H1024" s="34">
        <v>43</v>
      </c>
      <c r="I1024" s="15" t="s">
        <v>38</v>
      </c>
      <c r="J1024" s="15" t="s">
        <v>39</v>
      </c>
      <c r="K1024" s="74" t="s">
        <v>29</v>
      </c>
      <c r="L1024" s="16">
        <v>75493</v>
      </c>
      <c r="M1024" s="16">
        <v>21371</v>
      </c>
      <c r="N1024" s="16">
        <v>5969</v>
      </c>
      <c r="O1024" s="16">
        <v>49772</v>
      </c>
      <c r="P1024" s="16">
        <v>0</v>
      </c>
      <c r="Q1024" s="16">
        <v>25721</v>
      </c>
      <c r="R1024" s="16">
        <v>-1903</v>
      </c>
      <c r="S1024" s="16">
        <v>2</v>
      </c>
      <c r="T1024" s="16">
        <v>0</v>
      </c>
      <c r="U1024" s="15" t="str">
        <f t="shared" si="60"/>
        <v>Privado Estrangeiro</v>
      </c>
      <c r="V1024" s="17">
        <f t="shared" si="61"/>
        <v>0.28308584901911438</v>
      </c>
      <c r="W1024" s="17">
        <f t="shared" si="62"/>
        <v>-7.3986236927024607E-2</v>
      </c>
      <c r="X1024" s="15" t="str">
        <f t="shared" si="63"/>
        <v>Média/Pequena</v>
      </c>
      <c r="Y1024" s="121" t="str" cm="1">
        <f t="array" ref="Y1024">_xlfn.IFS(ISNUMBER(W1024)=FALSE,"Sem dado",W1024&gt;0.075,"Excelente",W1024&gt;0.04,"Bom",W1024&gt;0,"Fraco",TRUE,"Prejuízo")</f>
        <v>Prejuízo</v>
      </c>
    </row>
    <row r="1025" spans="1:25" ht="15" customHeight="1" x14ac:dyDescent="0.2">
      <c r="A1025" s="12" t="s">
        <v>2153</v>
      </c>
      <c r="B1025" s="56">
        <v>10789035</v>
      </c>
      <c r="C1025" s="12" t="s">
        <v>2154</v>
      </c>
      <c r="D1025" s="12"/>
      <c r="E1025" s="12" t="s">
        <v>2155</v>
      </c>
      <c r="F1025" s="12" t="s">
        <v>84</v>
      </c>
      <c r="G1025" s="33">
        <v>2</v>
      </c>
      <c r="H1025" s="33">
        <v>41</v>
      </c>
      <c r="I1025" s="12" t="s">
        <v>2156</v>
      </c>
      <c r="J1025" s="12" t="s">
        <v>120</v>
      </c>
      <c r="K1025" s="73" t="s">
        <v>29</v>
      </c>
      <c r="L1025" s="13">
        <v>73824</v>
      </c>
      <c r="M1025" s="13">
        <v>0</v>
      </c>
      <c r="N1025" s="13">
        <v>51880</v>
      </c>
      <c r="O1025" s="13">
        <v>62590</v>
      </c>
      <c r="P1025" s="13">
        <v>1390</v>
      </c>
      <c r="Q1025" s="13">
        <v>11234</v>
      </c>
      <c r="R1025" s="13">
        <v>4707</v>
      </c>
      <c r="S1025" s="13">
        <v>1</v>
      </c>
      <c r="T1025" s="13">
        <v>0</v>
      </c>
      <c r="U1025" s="12" t="str">
        <f t="shared" si="60"/>
        <v>Privado Nacional</v>
      </c>
      <c r="V1025" s="14">
        <f t="shared" si="61"/>
        <v>0</v>
      </c>
      <c r="W1025" s="14">
        <f t="shared" si="62"/>
        <v>0.41899590528752001</v>
      </c>
      <c r="X1025" s="12" t="str">
        <f t="shared" si="63"/>
        <v>Média/Pequena</v>
      </c>
      <c r="Y1025" s="122" t="str" cm="1">
        <f t="array" ref="Y1025">_xlfn.IFS(ISNUMBER(W1025)=FALSE,"Sem dado",W1025&gt;0.075,"Excelente",W1025&gt;0.04,"Bom",W1025&gt;0,"Fraco",TRUE,"Prejuízo")</f>
        <v>Excelente</v>
      </c>
    </row>
    <row r="1026" spans="1:25" ht="15" customHeight="1" x14ac:dyDescent="0.2">
      <c r="A1026" s="15" t="s">
        <v>2157</v>
      </c>
      <c r="B1026" s="60">
        <v>32219232</v>
      </c>
      <c r="C1026" s="15" t="s">
        <v>62</v>
      </c>
      <c r="D1026" s="15"/>
      <c r="E1026" s="15" t="s">
        <v>64</v>
      </c>
      <c r="F1026" s="15" t="s">
        <v>84</v>
      </c>
      <c r="G1026" s="34">
        <v>3</v>
      </c>
      <c r="H1026" s="34">
        <v>41</v>
      </c>
      <c r="I1026" s="15" t="s">
        <v>38</v>
      </c>
      <c r="J1026" s="15" t="s">
        <v>39</v>
      </c>
      <c r="K1026" s="74" t="s">
        <v>29</v>
      </c>
      <c r="L1026" s="16">
        <v>73123</v>
      </c>
      <c r="M1026" s="16">
        <v>0</v>
      </c>
      <c r="N1026" s="16">
        <v>62365</v>
      </c>
      <c r="O1026" s="16">
        <v>2023</v>
      </c>
      <c r="P1026" s="16">
        <v>0</v>
      </c>
      <c r="Q1026" s="16">
        <v>71100</v>
      </c>
      <c r="R1026" s="16">
        <v>3708</v>
      </c>
      <c r="S1026" s="16">
        <v>1</v>
      </c>
      <c r="T1026" s="16">
        <v>0</v>
      </c>
      <c r="U1026" s="15" t="str">
        <f t="shared" si="60"/>
        <v>Privado Estrangeiro</v>
      </c>
      <c r="V1026" s="17">
        <f t="shared" si="61"/>
        <v>0</v>
      </c>
      <c r="W1026" s="17">
        <f t="shared" si="62"/>
        <v>5.2151898734177214E-2</v>
      </c>
      <c r="X1026" s="15" t="str">
        <f t="shared" si="63"/>
        <v>Média/Pequena</v>
      </c>
      <c r="Y1026" s="121" t="str" cm="1">
        <f t="array" ref="Y1026">_xlfn.IFS(ISNUMBER(W1026)=FALSE,"Sem dado",W1026&gt;0.075,"Excelente",W1026&gt;0.04,"Bom",W1026&gt;0,"Fraco",TRUE,"Prejuízo")</f>
        <v>Bom</v>
      </c>
    </row>
    <row r="1027" spans="1:25" ht="15" customHeight="1" x14ac:dyDescent="0.2">
      <c r="A1027" s="12" t="s">
        <v>2158</v>
      </c>
      <c r="B1027" s="56">
        <v>13720915</v>
      </c>
      <c r="C1027" s="12" t="s">
        <v>1815</v>
      </c>
      <c r="D1027" s="12" t="s">
        <v>1816</v>
      </c>
      <c r="E1027" s="12" t="s">
        <v>1817</v>
      </c>
      <c r="F1027" s="12" t="s">
        <v>26</v>
      </c>
      <c r="G1027" s="33">
        <v>3</v>
      </c>
      <c r="H1027" s="33">
        <v>2</v>
      </c>
      <c r="I1027" s="12" t="s">
        <v>38</v>
      </c>
      <c r="J1027" s="12" t="s">
        <v>39</v>
      </c>
      <c r="K1027" s="73" t="s">
        <v>29</v>
      </c>
      <c r="L1027" s="13">
        <v>72911</v>
      </c>
      <c r="M1027" s="13">
        <v>0</v>
      </c>
      <c r="N1027" s="13">
        <v>0</v>
      </c>
      <c r="O1027" s="13">
        <v>21719</v>
      </c>
      <c r="P1027" s="13">
        <v>19633</v>
      </c>
      <c r="Q1027" s="13">
        <v>51192</v>
      </c>
      <c r="R1027" s="13">
        <v>1648</v>
      </c>
      <c r="S1027" s="13">
        <v>2</v>
      </c>
      <c r="T1027" s="13">
        <v>0</v>
      </c>
      <c r="U1027" s="12" t="str">
        <f t="shared" si="60"/>
        <v>Privado Estrangeiro</v>
      </c>
      <c r="V1027" s="14">
        <f t="shared" si="61"/>
        <v>0</v>
      </c>
      <c r="W1027" s="14">
        <f t="shared" si="62"/>
        <v>3.2192530082825445E-2</v>
      </c>
      <c r="X1027" s="12" t="str">
        <f t="shared" si="63"/>
        <v>Média/Pequena</v>
      </c>
      <c r="Y1027" s="122" t="str" cm="1">
        <f t="array" ref="Y1027">_xlfn.IFS(ISNUMBER(W1027)=FALSE,"Sem dado",W1027&gt;0.075,"Excelente",W1027&gt;0.04,"Bom",W1027&gt;0,"Fraco",TRUE,"Prejuízo")</f>
        <v>Fraco</v>
      </c>
    </row>
    <row r="1028" spans="1:25" ht="15" customHeight="1" x14ac:dyDescent="0.2">
      <c r="A1028" s="15" t="s">
        <v>2159</v>
      </c>
      <c r="B1028" s="60">
        <v>33924028</v>
      </c>
      <c r="C1028" s="15"/>
      <c r="D1028" s="15"/>
      <c r="E1028" s="15"/>
      <c r="F1028" s="15" t="s">
        <v>265</v>
      </c>
      <c r="G1028" s="34">
        <v>2</v>
      </c>
      <c r="H1028" s="34">
        <v>9</v>
      </c>
      <c r="I1028" s="15" t="s">
        <v>53</v>
      </c>
      <c r="J1028" s="15" t="s">
        <v>54</v>
      </c>
      <c r="K1028" s="74" t="s">
        <v>29</v>
      </c>
      <c r="L1028" s="16">
        <v>71619</v>
      </c>
      <c r="M1028" s="16">
        <v>27796</v>
      </c>
      <c r="N1028" s="16">
        <v>3980</v>
      </c>
      <c r="O1028" s="16">
        <v>64179</v>
      </c>
      <c r="P1028" s="16">
        <v>59839</v>
      </c>
      <c r="Q1028" s="16">
        <v>7440</v>
      </c>
      <c r="R1028" s="16">
        <v>121</v>
      </c>
      <c r="S1028" s="16">
        <v>0</v>
      </c>
      <c r="T1028" s="16">
        <v>6</v>
      </c>
      <c r="U1028" s="15" t="str">
        <f t="shared" si="60"/>
        <v>Privado Nacional</v>
      </c>
      <c r="V1028" s="17">
        <f t="shared" si="61"/>
        <v>0.38810930060458815</v>
      </c>
      <c r="W1028" s="17">
        <f t="shared" si="62"/>
        <v>1.6263440860215053E-2</v>
      </c>
      <c r="X1028" s="15" t="str">
        <f t="shared" si="63"/>
        <v>Média/Pequena</v>
      </c>
      <c r="Y1028" s="121" t="str" cm="1">
        <f t="array" ref="Y1028">_xlfn.IFS(ISNUMBER(W1028)=FALSE,"Sem dado",W1028&gt;0.075,"Excelente",W1028&gt;0.04,"Bom",W1028&gt;0,"Fraco",TRUE,"Prejuízo")</f>
        <v>Fraco</v>
      </c>
    </row>
    <row r="1029" spans="1:25" ht="15" customHeight="1" x14ac:dyDescent="0.2">
      <c r="A1029" s="12" t="s">
        <v>2160</v>
      </c>
      <c r="B1029" s="56">
        <v>60872983</v>
      </c>
      <c r="C1029" s="12" t="s">
        <v>637</v>
      </c>
      <c r="D1029" s="12" t="s">
        <v>638</v>
      </c>
      <c r="E1029" s="12" t="s">
        <v>639</v>
      </c>
      <c r="F1029" s="12" t="s">
        <v>65</v>
      </c>
      <c r="G1029" s="33">
        <v>3</v>
      </c>
      <c r="H1029" s="33">
        <v>19</v>
      </c>
      <c r="I1029" s="12" t="s">
        <v>38</v>
      </c>
      <c r="J1029" s="12" t="s">
        <v>39</v>
      </c>
      <c r="K1029" s="73" t="s">
        <v>29</v>
      </c>
      <c r="L1029" s="13">
        <v>71561</v>
      </c>
      <c r="M1029" s="13">
        <v>0</v>
      </c>
      <c r="N1029" s="13">
        <v>0</v>
      </c>
      <c r="O1029" s="13">
        <v>1775</v>
      </c>
      <c r="P1029" s="13">
        <v>0</v>
      </c>
      <c r="Q1029" s="13">
        <v>69785</v>
      </c>
      <c r="R1029" s="13">
        <v>2689</v>
      </c>
      <c r="S1029" s="13">
        <v>2</v>
      </c>
      <c r="T1029" s="13">
        <v>0</v>
      </c>
      <c r="U1029" s="12" t="str">
        <f t="shared" ref="U1029:U1092" si="64">IFERROR(CHOOSE(G1029,"Público","Privado Nacional","Privado Estrangeiro"),"n.d.")</f>
        <v>Privado Estrangeiro</v>
      </c>
      <c r="V1029" s="14">
        <f t="shared" ref="V1029:V1092" si="65">IF(AND(ISNUMBER(M1029),ISNUMBER(L1029)),IF(L1029&gt;0,M1029/L1029,"n.d."),"NI")</f>
        <v>0</v>
      </c>
      <c r="W1029" s="14">
        <f t="shared" ref="W1029:W1092" si="66">IF(AND(ISNUMBER(R1029),ISNUMBER(Q1029)),IF(Q1029&gt;0,R1029/Q1029,"n.d."),"NI")</f>
        <v>3.8532635953285092E-2</v>
      </c>
      <c r="X1029" s="12" t="str">
        <f t="shared" ref="X1029:X1092" si="67">IF(ISNUMBER(L1029),IF(L1029&gt;100000000,"Grande","Média/Pequena"),"Sem dado")</f>
        <v>Média/Pequena</v>
      </c>
      <c r="Y1029" s="122" t="str" cm="1">
        <f t="array" ref="Y1029">_xlfn.IFS(ISNUMBER(W1029)=FALSE,"Sem dado",W1029&gt;0.075,"Excelente",W1029&gt;0.04,"Bom",W1029&gt;0,"Fraco",TRUE,"Prejuízo")</f>
        <v>Fraco</v>
      </c>
    </row>
    <row r="1030" spans="1:25" ht="15" customHeight="1" x14ac:dyDescent="0.2">
      <c r="A1030" s="15" t="s">
        <v>2161</v>
      </c>
      <c r="B1030" s="60">
        <v>32615247</v>
      </c>
      <c r="C1030" s="15"/>
      <c r="D1030" s="15"/>
      <c r="E1030" s="15"/>
      <c r="F1030" s="15" t="s">
        <v>265</v>
      </c>
      <c r="G1030" s="34">
        <v>2</v>
      </c>
      <c r="H1030" s="34">
        <v>9</v>
      </c>
      <c r="I1030" s="15" t="s">
        <v>1581</v>
      </c>
      <c r="J1030" s="15" t="s">
        <v>211</v>
      </c>
      <c r="K1030" s="74" t="s">
        <v>29</v>
      </c>
      <c r="L1030" s="16">
        <v>70569</v>
      </c>
      <c r="M1030" s="16">
        <v>40274</v>
      </c>
      <c r="N1030" s="16">
        <v>9693</v>
      </c>
      <c r="O1030" s="16">
        <v>36493</v>
      </c>
      <c r="P1030" s="16">
        <v>32656</v>
      </c>
      <c r="Q1030" s="16">
        <v>34076</v>
      </c>
      <c r="R1030" s="16">
        <v>789</v>
      </c>
      <c r="S1030" s="16">
        <v>0</v>
      </c>
      <c r="T1030" s="16">
        <v>1</v>
      </c>
      <c r="U1030" s="15" t="str">
        <f t="shared" si="64"/>
        <v>Privado Nacional</v>
      </c>
      <c r="V1030" s="17">
        <f t="shared" si="65"/>
        <v>0.57070385013249447</v>
      </c>
      <c r="W1030" s="17">
        <f t="shared" si="66"/>
        <v>2.3154126071135109E-2</v>
      </c>
      <c r="X1030" s="15" t="str">
        <f t="shared" si="67"/>
        <v>Média/Pequena</v>
      </c>
      <c r="Y1030" s="121" t="str" cm="1">
        <f t="array" ref="Y1030">_xlfn.IFS(ISNUMBER(W1030)=FALSE,"Sem dado",W1030&gt;0.075,"Excelente",W1030&gt;0.04,"Bom",W1030&gt;0,"Fraco",TRUE,"Prejuízo")</f>
        <v>Fraco</v>
      </c>
    </row>
    <row r="1031" spans="1:25" ht="15" customHeight="1" x14ac:dyDescent="0.2">
      <c r="A1031" s="12" t="s">
        <v>2162</v>
      </c>
      <c r="B1031" s="56">
        <v>33132044</v>
      </c>
      <c r="C1031" s="12" t="s">
        <v>2163</v>
      </c>
      <c r="D1031" s="12"/>
      <c r="E1031" s="12" t="s">
        <v>2164</v>
      </c>
      <c r="F1031" s="12" t="s">
        <v>26</v>
      </c>
      <c r="G1031" s="33">
        <v>2</v>
      </c>
      <c r="H1031" s="33">
        <v>8</v>
      </c>
      <c r="I1031" s="12" t="s">
        <v>53</v>
      </c>
      <c r="J1031" s="12" t="s">
        <v>54</v>
      </c>
      <c r="K1031" s="73" t="s">
        <v>29</v>
      </c>
      <c r="L1031" s="13">
        <v>70283</v>
      </c>
      <c r="M1031" s="13">
        <v>0</v>
      </c>
      <c r="N1031" s="13">
        <v>219</v>
      </c>
      <c r="O1031" s="13">
        <v>11953</v>
      </c>
      <c r="P1031" s="13">
        <v>7145</v>
      </c>
      <c r="Q1031" s="13">
        <v>58330</v>
      </c>
      <c r="R1031" s="13">
        <v>-277</v>
      </c>
      <c r="S1031" s="13">
        <v>2</v>
      </c>
      <c r="T1031" s="13">
        <v>0</v>
      </c>
      <c r="U1031" s="12" t="str">
        <f t="shared" si="64"/>
        <v>Privado Nacional</v>
      </c>
      <c r="V1031" s="14">
        <f t="shared" si="65"/>
        <v>0</v>
      </c>
      <c r="W1031" s="14">
        <f t="shared" si="66"/>
        <v>-4.7488427910166294E-3</v>
      </c>
      <c r="X1031" s="12" t="str">
        <f t="shared" si="67"/>
        <v>Média/Pequena</v>
      </c>
      <c r="Y1031" s="122" t="str" cm="1">
        <f t="array" ref="Y1031">_xlfn.IFS(ISNUMBER(W1031)=FALSE,"Sem dado",W1031&gt;0.075,"Excelente",W1031&gt;0.04,"Bom",W1031&gt;0,"Fraco",TRUE,"Prejuízo")</f>
        <v>Prejuízo</v>
      </c>
    </row>
    <row r="1032" spans="1:25" ht="15" customHeight="1" x14ac:dyDescent="0.2">
      <c r="A1032" s="15" t="s">
        <v>2165</v>
      </c>
      <c r="B1032" s="60">
        <v>27970567</v>
      </c>
      <c r="C1032" s="15" t="s">
        <v>2166</v>
      </c>
      <c r="D1032" s="15"/>
      <c r="E1032" s="15" t="s">
        <v>2167</v>
      </c>
      <c r="F1032" s="15" t="s">
        <v>84</v>
      </c>
      <c r="G1032" s="34">
        <v>2</v>
      </c>
      <c r="H1032" s="34">
        <v>41</v>
      </c>
      <c r="I1032" s="15" t="s">
        <v>119</v>
      </c>
      <c r="J1032" s="15" t="s">
        <v>120</v>
      </c>
      <c r="K1032" s="74" t="s">
        <v>29</v>
      </c>
      <c r="L1032" s="16">
        <v>70195</v>
      </c>
      <c r="M1032" s="16">
        <v>0</v>
      </c>
      <c r="N1032" s="16">
        <v>8062</v>
      </c>
      <c r="O1032" s="16">
        <v>50434</v>
      </c>
      <c r="P1032" s="16">
        <v>47552</v>
      </c>
      <c r="Q1032" s="16">
        <v>19761</v>
      </c>
      <c r="R1032" s="16">
        <v>3475</v>
      </c>
      <c r="S1032" s="16">
        <v>1</v>
      </c>
      <c r="T1032" s="16">
        <v>0</v>
      </c>
      <c r="U1032" s="15" t="str">
        <f t="shared" si="64"/>
        <v>Privado Nacional</v>
      </c>
      <c r="V1032" s="17">
        <f t="shared" si="65"/>
        <v>0</v>
      </c>
      <c r="W1032" s="17">
        <f t="shared" si="66"/>
        <v>0.17585142452305044</v>
      </c>
      <c r="X1032" s="15" t="str">
        <f t="shared" si="67"/>
        <v>Média/Pequena</v>
      </c>
      <c r="Y1032" s="121" t="str" cm="1">
        <f t="array" ref="Y1032">_xlfn.IFS(ISNUMBER(W1032)=FALSE,"Sem dado",W1032&gt;0.075,"Excelente",W1032&gt;0.04,"Bom",W1032&gt;0,"Fraco",TRUE,"Prejuízo")</f>
        <v>Excelente</v>
      </c>
    </row>
    <row r="1033" spans="1:25" ht="15" customHeight="1" x14ac:dyDescent="0.2">
      <c r="A1033" s="12" t="s">
        <v>2168</v>
      </c>
      <c r="B1033" s="56">
        <v>23114447</v>
      </c>
      <c r="C1033" s="12" t="s">
        <v>2169</v>
      </c>
      <c r="D1033" s="12"/>
      <c r="E1033" s="12" t="s">
        <v>2170</v>
      </c>
      <c r="F1033" s="12" t="s">
        <v>84</v>
      </c>
      <c r="G1033" s="33">
        <v>2</v>
      </c>
      <c r="H1033" s="33">
        <v>41</v>
      </c>
      <c r="I1033" s="12" t="s">
        <v>38</v>
      </c>
      <c r="J1033" s="12" t="s">
        <v>39</v>
      </c>
      <c r="K1033" s="73" t="s">
        <v>29</v>
      </c>
      <c r="L1033" s="13">
        <v>70010</v>
      </c>
      <c r="M1033" s="13">
        <v>0</v>
      </c>
      <c r="N1033" s="13">
        <v>679</v>
      </c>
      <c r="O1033" s="13">
        <v>53742</v>
      </c>
      <c r="P1033" s="13">
        <v>48842</v>
      </c>
      <c r="Q1033" s="13">
        <v>16269</v>
      </c>
      <c r="R1033" s="13">
        <v>236</v>
      </c>
      <c r="S1033" s="13">
        <v>1</v>
      </c>
      <c r="T1033" s="13">
        <v>0</v>
      </c>
      <c r="U1033" s="12" t="str">
        <f t="shared" si="64"/>
        <v>Privado Nacional</v>
      </c>
      <c r="V1033" s="14">
        <f t="shared" si="65"/>
        <v>0</v>
      </c>
      <c r="W1033" s="14">
        <f t="shared" si="66"/>
        <v>1.4506115925994222E-2</v>
      </c>
      <c r="X1033" s="12" t="str">
        <f t="shared" si="67"/>
        <v>Média/Pequena</v>
      </c>
      <c r="Y1033" s="122" t="str" cm="1">
        <f t="array" ref="Y1033">_xlfn.IFS(ISNUMBER(W1033)=FALSE,"Sem dado",W1033&gt;0.075,"Excelente",W1033&gt;0.04,"Bom",W1033&gt;0,"Fraco",TRUE,"Prejuízo")</f>
        <v>Fraco</v>
      </c>
    </row>
    <row r="1034" spans="1:25" ht="15" customHeight="1" x14ac:dyDescent="0.2">
      <c r="A1034" s="15" t="s">
        <v>2171</v>
      </c>
      <c r="B1034" s="60">
        <v>17768068</v>
      </c>
      <c r="C1034" s="15" t="s">
        <v>2172</v>
      </c>
      <c r="D1034" s="15"/>
      <c r="E1034" s="15" t="s">
        <v>2173</v>
      </c>
      <c r="F1034" s="15" t="s">
        <v>84</v>
      </c>
      <c r="G1034" s="34">
        <v>2</v>
      </c>
      <c r="H1034" s="34">
        <v>41</v>
      </c>
      <c r="I1034" s="15" t="s">
        <v>2174</v>
      </c>
      <c r="J1034" s="15" t="s">
        <v>39</v>
      </c>
      <c r="K1034" s="74" t="s">
        <v>29</v>
      </c>
      <c r="L1034" s="16">
        <v>68888</v>
      </c>
      <c r="M1034" s="16">
        <v>0</v>
      </c>
      <c r="N1034" s="16">
        <v>16345</v>
      </c>
      <c r="O1034" s="16">
        <v>45658</v>
      </c>
      <c r="P1034" s="16">
        <v>7939</v>
      </c>
      <c r="Q1034" s="16">
        <v>23229</v>
      </c>
      <c r="R1034" s="16">
        <v>5604</v>
      </c>
      <c r="S1034" s="16">
        <v>1</v>
      </c>
      <c r="T1034" s="16">
        <v>0</v>
      </c>
      <c r="U1034" s="15" t="str">
        <f t="shared" si="64"/>
        <v>Privado Nacional</v>
      </c>
      <c r="V1034" s="17">
        <f t="shared" si="65"/>
        <v>0</v>
      </c>
      <c r="W1034" s="17">
        <f t="shared" si="66"/>
        <v>0.24125016143613587</v>
      </c>
      <c r="X1034" s="15" t="str">
        <f t="shared" si="67"/>
        <v>Média/Pequena</v>
      </c>
      <c r="Y1034" s="121" t="str" cm="1">
        <f t="array" ref="Y1034">_xlfn.IFS(ISNUMBER(W1034)=FALSE,"Sem dado",W1034&gt;0.075,"Excelente",W1034&gt;0.04,"Bom",W1034&gt;0,"Fraco",TRUE,"Prejuízo")</f>
        <v>Excelente</v>
      </c>
    </row>
    <row r="1035" spans="1:25" ht="15" customHeight="1" x14ac:dyDescent="0.2">
      <c r="A1035" s="12" t="s">
        <v>2175</v>
      </c>
      <c r="B1035" s="56">
        <v>51556307</v>
      </c>
      <c r="C1035" s="12" t="s">
        <v>509</v>
      </c>
      <c r="D1035" s="12"/>
      <c r="E1035" s="12" t="s">
        <v>510</v>
      </c>
      <c r="F1035" s="12" t="s">
        <v>65</v>
      </c>
      <c r="G1035" s="33">
        <v>2</v>
      </c>
      <c r="H1035" s="33">
        <v>43</v>
      </c>
      <c r="I1035" s="12" t="s">
        <v>44</v>
      </c>
      <c r="J1035" s="12" t="s">
        <v>39</v>
      </c>
      <c r="K1035" s="73" t="s">
        <v>29</v>
      </c>
      <c r="L1035" s="13">
        <v>68721</v>
      </c>
      <c r="M1035" s="13">
        <v>0</v>
      </c>
      <c r="N1035" s="13">
        <v>0</v>
      </c>
      <c r="O1035" s="13">
        <v>22007</v>
      </c>
      <c r="P1035" s="13">
        <v>0</v>
      </c>
      <c r="Q1035" s="13">
        <v>46714</v>
      </c>
      <c r="R1035" s="13">
        <v>21586</v>
      </c>
      <c r="S1035" s="13">
        <v>2</v>
      </c>
      <c r="T1035" s="13">
        <v>0</v>
      </c>
      <c r="U1035" s="12" t="str">
        <f t="shared" si="64"/>
        <v>Privado Nacional</v>
      </c>
      <c r="V1035" s="14">
        <f t="shared" si="65"/>
        <v>0</v>
      </c>
      <c r="W1035" s="14">
        <f t="shared" si="66"/>
        <v>0.46208845314038616</v>
      </c>
      <c r="X1035" s="12" t="str">
        <f t="shared" si="67"/>
        <v>Média/Pequena</v>
      </c>
      <c r="Y1035" s="122" t="str" cm="1">
        <f t="array" ref="Y1035">_xlfn.IFS(ISNUMBER(W1035)=FALSE,"Sem dado",W1035&gt;0.075,"Excelente",W1035&gt;0.04,"Bom",W1035&gt;0,"Fraco",TRUE,"Prejuízo")</f>
        <v>Excelente</v>
      </c>
    </row>
    <row r="1036" spans="1:25" ht="15" customHeight="1" x14ac:dyDescent="0.2">
      <c r="A1036" s="15" t="s">
        <v>2176</v>
      </c>
      <c r="B1036" s="60">
        <v>42259084</v>
      </c>
      <c r="C1036" s="15" t="s">
        <v>2177</v>
      </c>
      <c r="D1036" s="15"/>
      <c r="E1036" s="15" t="s">
        <v>2178</v>
      </c>
      <c r="F1036" s="15" t="s">
        <v>65</v>
      </c>
      <c r="G1036" s="34">
        <v>2</v>
      </c>
      <c r="H1036" s="34">
        <v>43</v>
      </c>
      <c r="I1036" s="15" t="s">
        <v>228</v>
      </c>
      <c r="J1036" s="15" t="s">
        <v>229</v>
      </c>
      <c r="K1036" s="74" t="s">
        <v>29</v>
      </c>
      <c r="L1036" s="16">
        <v>68526</v>
      </c>
      <c r="M1036" s="16">
        <v>0</v>
      </c>
      <c r="N1036" s="16">
        <v>56658</v>
      </c>
      <c r="O1036" s="16">
        <v>68165</v>
      </c>
      <c r="P1036" s="16">
        <v>66641</v>
      </c>
      <c r="Q1036" s="16">
        <v>361</v>
      </c>
      <c r="R1036" s="16">
        <v>-5113</v>
      </c>
      <c r="S1036" s="16">
        <v>2</v>
      </c>
      <c r="T1036" s="16">
        <v>0</v>
      </c>
      <c r="U1036" s="15" t="str">
        <f t="shared" si="64"/>
        <v>Privado Nacional</v>
      </c>
      <c r="V1036" s="17">
        <f t="shared" si="65"/>
        <v>0</v>
      </c>
      <c r="W1036" s="17">
        <f t="shared" si="66"/>
        <v>-14.163434903047092</v>
      </c>
      <c r="X1036" s="15" t="str">
        <f t="shared" si="67"/>
        <v>Média/Pequena</v>
      </c>
      <c r="Y1036" s="121" t="str" cm="1">
        <f t="array" ref="Y1036">_xlfn.IFS(ISNUMBER(W1036)=FALSE,"Sem dado",W1036&gt;0.075,"Excelente",W1036&gt;0.04,"Bom",W1036&gt;0,"Fraco",TRUE,"Prejuízo")</f>
        <v>Prejuízo</v>
      </c>
    </row>
    <row r="1037" spans="1:25" ht="15" customHeight="1" x14ac:dyDescent="0.2">
      <c r="A1037" s="12" t="s">
        <v>2179</v>
      </c>
      <c r="B1037" s="56">
        <v>38653626</v>
      </c>
      <c r="C1037" s="12" t="s">
        <v>2180</v>
      </c>
      <c r="D1037" s="12"/>
      <c r="E1037" s="12" t="s">
        <v>2181</v>
      </c>
      <c r="F1037" s="12" t="s">
        <v>84</v>
      </c>
      <c r="G1037" s="33">
        <v>2</v>
      </c>
      <c r="H1037" s="33">
        <v>41</v>
      </c>
      <c r="I1037" s="12" t="s">
        <v>414</v>
      </c>
      <c r="J1037" s="12" t="s">
        <v>74</v>
      </c>
      <c r="K1037" s="73" t="s">
        <v>29</v>
      </c>
      <c r="L1037" s="13">
        <v>68010</v>
      </c>
      <c r="M1037" s="13">
        <v>0</v>
      </c>
      <c r="N1037" s="13">
        <v>9994</v>
      </c>
      <c r="O1037" s="13">
        <v>60038</v>
      </c>
      <c r="P1037" s="13">
        <v>0</v>
      </c>
      <c r="Q1037" s="13">
        <v>7971</v>
      </c>
      <c r="R1037" s="13">
        <v>1796</v>
      </c>
      <c r="S1037" s="13">
        <v>1</v>
      </c>
      <c r="T1037" s="13">
        <v>0</v>
      </c>
      <c r="U1037" s="12" t="str">
        <f t="shared" si="64"/>
        <v>Privado Nacional</v>
      </c>
      <c r="V1037" s="14">
        <f t="shared" si="65"/>
        <v>0</v>
      </c>
      <c r="W1037" s="14">
        <f t="shared" si="66"/>
        <v>0.22531677330322419</v>
      </c>
      <c r="X1037" s="12" t="str">
        <f t="shared" si="67"/>
        <v>Média/Pequena</v>
      </c>
      <c r="Y1037" s="122" t="str" cm="1">
        <f t="array" ref="Y1037">_xlfn.IFS(ISNUMBER(W1037)=FALSE,"Sem dado",W1037&gt;0.075,"Excelente",W1037&gt;0.04,"Bom",W1037&gt;0,"Fraco",TRUE,"Prejuízo")</f>
        <v>Excelente</v>
      </c>
    </row>
    <row r="1038" spans="1:25" ht="15" customHeight="1" x14ac:dyDescent="0.2">
      <c r="A1038" s="15" t="s">
        <v>2182</v>
      </c>
      <c r="B1038" s="60">
        <v>7799277</v>
      </c>
      <c r="C1038" s="15" t="s">
        <v>2183</v>
      </c>
      <c r="D1038" s="15"/>
      <c r="E1038" s="15" t="s">
        <v>2184</v>
      </c>
      <c r="F1038" s="15" t="s">
        <v>65</v>
      </c>
      <c r="G1038" s="34">
        <v>2</v>
      </c>
      <c r="H1038" s="34">
        <v>14</v>
      </c>
      <c r="I1038" s="15" t="s">
        <v>38</v>
      </c>
      <c r="J1038" s="15" t="s">
        <v>39</v>
      </c>
      <c r="K1038" s="74" t="s">
        <v>29</v>
      </c>
      <c r="L1038" s="16">
        <v>66777</v>
      </c>
      <c r="M1038" s="16">
        <v>60222</v>
      </c>
      <c r="N1038" s="16">
        <v>2908</v>
      </c>
      <c r="O1038" s="16">
        <v>23146</v>
      </c>
      <c r="P1038" s="16">
        <v>10670</v>
      </c>
      <c r="Q1038" s="16">
        <v>43631</v>
      </c>
      <c r="R1038" s="16">
        <v>4114</v>
      </c>
      <c r="S1038" s="16">
        <v>2</v>
      </c>
      <c r="T1038" s="16">
        <v>0</v>
      </c>
      <c r="U1038" s="15" t="str">
        <f t="shared" si="64"/>
        <v>Privado Nacional</v>
      </c>
      <c r="V1038" s="17">
        <f t="shared" si="65"/>
        <v>0.90183745900534618</v>
      </c>
      <c r="W1038" s="17">
        <f t="shared" si="66"/>
        <v>9.4290756572162002E-2</v>
      </c>
      <c r="X1038" s="15" t="str">
        <f t="shared" si="67"/>
        <v>Média/Pequena</v>
      </c>
      <c r="Y1038" s="121" t="str" cm="1">
        <f t="array" ref="Y1038">_xlfn.IFS(ISNUMBER(W1038)=FALSE,"Sem dado",W1038&gt;0.075,"Excelente",W1038&gt;0.04,"Bom",W1038&gt;0,"Fraco",TRUE,"Prejuízo")</f>
        <v>Excelente</v>
      </c>
    </row>
    <row r="1039" spans="1:25" ht="15" customHeight="1" x14ac:dyDescent="0.2">
      <c r="A1039" s="12" t="s">
        <v>2185</v>
      </c>
      <c r="B1039" s="56">
        <v>36266751</v>
      </c>
      <c r="C1039" s="12" t="s">
        <v>2186</v>
      </c>
      <c r="D1039" s="12"/>
      <c r="E1039" s="12" t="s">
        <v>2187</v>
      </c>
      <c r="F1039" s="12" t="s">
        <v>98</v>
      </c>
      <c r="G1039" s="33">
        <v>2</v>
      </c>
      <c r="H1039" s="33">
        <v>16</v>
      </c>
      <c r="I1039" s="12" t="s">
        <v>38</v>
      </c>
      <c r="J1039" s="12" t="s">
        <v>39</v>
      </c>
      <c r="K1039" s="73" t="s">
        <v>29</v>
      </c>
      <c r="L1039" s="13">
        <v>66428</v>
      </c>
      <c r="M1039" s="13">
        <v>0</v>
      </c>
      <c r="N1039" s="13">
        <v>3047</v>
      </c>
      <c r="O1039" s="13">
        <v>61864</v>
      </c>
      <c r="P1039" s="13">
        <v>59716</v>
      </c>
      <c r="Q1039" s="13">
        <v>4565</v>
      </c>
      <c r="R1039" s="13">
        <v>-1537</v>
      </c>
      <c r="S1039" s="13">
        <v>2</v>
      </c>
      <c r="T1039" s="13">
        <v>0</v>
      </c>
      <c r="U1039" s="12" t="str">
        <f t="shared" si="64"/>
        <v>Privado Nacional</v>
      </c>
      <c r="V1039" s="14">
        <f t="shared" si="65"/>
        <v>0</v>
      </c>
      <c r="W1039" s="14">
        <f t="shared" si="66"/>
        <v>-0.3366922234392114</v>
      </c>
      <c r="X1039" s="12" t="str">
        <f t="shared" si="67"/>
        <v>Média/Pequena</v>
      </c>
      <c r="Y1039" s="122" t="str" cm="1">
        <f t="array" ref="Y1039">_xlfn.IFS(ISNUMBER(W1039)=FALSE,"Sem dado",W1039&gt;0.075,"Excelente",W1039&gt;0.04,"Bom",W1039&gt;0,"Fraco",TRUE,"Prejuízo")</f>
        <v>Prejuízo</v>
      </c>
    </row>
    <row r="1040" spans="1:25" ht="15" customHeight="1" x14ac:dyDescent="0.2">
      <c r="A1040" s="15" t="s">
        <v>2188</v>
      </c>
      <c r="B1040" s="60">
        <v>68228006</v>
      </c>
      <c r="C1040" s="15"/>
      <c r="D1040" s="15"/>
      <c r="E1040" s="15"/>
      <c r="F1040" s="15" t="s">
        <v>265</v>
      </c>
      <c r="G1040" s="34">
        <v>2</v>
      </c>
      <c r="H1040" s="34">
        <v>9</v>
      </c>
      <c r="I1040" s="15" t="s">
        <v>38</v>
      </c>
      <c r="J1040" s="15" t="s">
        <v>39</v>
      </c>
      <c r="K1040" s="74" t="s">
        <v>29</v>
      </c>
      <c r="L1040" s="16">
        <v>65000</v>
      </c>
      <c r="M1040" s="16">
        <v>34784</v>
      </c>
      <c r="N1040" s="16">
        <v>30068</v>
      </c>
      <c r="O1040" s="16">
        <v>13298</v>
      </c>
      <c r="P1040" s="16">
        <v>11234</v>
      </c>
      <c r="Q1040" s="16">
        <v>51702</v>
      </c>
      <c r="R1040" s="16">
        <v>3737</v>
      </c>
      <c r="S1040" s="16">
        <v>0</v>
      </c>
      <c r="T1040" s="16">
        <v>0</v>
      </c>
      <c r="U1040" s="15" t="str">
        <f t="shared" si="64"/>
        <v>Privado Nacional</v>
      </c>
      <c r="V1040" s="17">
        <f t="shared" si="65"/>
        <v>0.53513846153846156</v>
      </c>
      <c r="W1040" s="17">
        <f t="shared" si="66"/>
        <v>7.2279602336466672E-2</v>
      </c>
      <c r="X1040" s="15" t="str">
        <f t="shared" si="67"/>
        <v>Média/Pequena</v>
      </c>
      <c r="Y1040" s="121" t="str" cm="1">
        <f t="array" ref="Y1040">_xlfn.IFS(ISNUMBER(W1040)=FALSE,"Sem dado",W1040&gt;0.075,"Excelente",W1040&gt;0.04,"Bom",W1040&gt;0,"Fraco",TRUE,"Prejuízo")</f>
        <v>Bom</v>
      </c>
    </row>
    <row r="1041" spans="1:25" ht="15" customHeight="1" x14ac:dyDescent="0.2">
      <c r="A1041" s="12" t="s">
        <v>2189</v>
      </c>
      <c r="B1041" s="56">
        <v>8850613</v>
      </c>
      <c r="C1041" s="12"/>
      <c r="D1041" s="12"/>
      <c r="E1041" s="12"/>
      <c r="F1041" s="12" t="s">
        <v>265</v>
      </c>
      <c r="G1041" s="33">
        <v>2</v>
      </c>
      <c r="H1041" s="33">
        <v>9</v>
      </c>
      <c r="I1041" s="12" t="s">
        <v>216</v>
      </c>
      <c r="J1041" s="12" t="s">
        <v>217</v>
      </c>
      <c r="K1041" s="73" t="s">
        <v>29</v>
      </c>
      <c r="L1041" s="13">
        <v>64843</v>
      </c>
      <c r="M1041" s="13">
        <v>27735</v>
      </c>
      <c r="N1041" s="13">
        <v>2515</v>
      </c>
      <c r="O1041" s="13">
        <v>52141</v>
      </c>
      <c r="P1041" s="13">
        <v>49120</v>
      </c>
      <c r="Q1041" s="13">
        <v>12702</v>
      </c>
      <c r="R1041" s="13">
        <v>386</v>
      </c>
      <c r="S1041" s="13">
        <v>0</v>
      </c>
      <c r="T1041" s="13">
        <v>5</v>
      </c>
      <c r="U1041" s="12" t="str">
        <f t="shared" si="64"/>
        <v>Privado Nacional</v>
      </c>
      <c r="V1041" s="14">
        <f t="shared" si="65"/>
        <v>0.42772542911339695</v>
      </c>
      <c r="W1041" s="14">
        <f t="shared" si="66"/>
        <v>3.0388915131475357E-2</v>
      </c>
      <c r="X1041" s="12" t="str">
        <f t="shared" si="67"/>
        <v>Média/Pequena</v>
      </c>
      <c r="Y1041" s="122" t="str" cm="1">
        <f t="array" ref="Y1041">_xlfn.IFS(ISNUMBER(W1041)=FALSE,"Sem dado",W1041&gt;0.075,"Excelente",W1041&gt;0.04,"Bom",W1041&gt;0,"Fraco",TRUE,"Prejuízo")</f>
        <v>Fraco</v>
      </c>
    </row>
    <row r="1042" spans="1:25" ht="15" customHeight="1" x14ac:dyDescent="0.2">
      <c r="A1042" s="15" t="s">
        <v>2190</v>
      </c>
      <c r="B1042" s="60">
        <v>17312083</v>
      </c>
      <c r="C1042" s="15" t="s">
        <v>2191</v>
      </c>
      <c r="D1042" s="15"/>
      <c r="E1042" s="15" t="s">
        <v>2192</v>
      </c>
      <c r="F1042" s="15" t="s">
        <v>98</v>
      </c>
      <c r="G1042" s="34">
        <v>2</v>
      </c>
      <c r="H1042" s="34">
        <v>15</v>
      </c>
      <c r="I1042" s="15" t="s">
        <v>119</v>
      </c>
      <c r="J1042" s="15" t="s">
        <v>120</v>
      </c>
      <c r="K1042" s="74" t="s">
        <v>29</v>
      </c>
      <c r="L1042" s="16">
        <v>64242</v>
      </c>
      <c r="M1042" s="16">
        <v>0</v>
      </c>
      <c r="N1042" s="16">
        <v>1</v>
      </c>
      <c r="O1042" s="16">
        <v>60510</v>
      </c>
      <c r="P1042" s="16">
        <v>0</v>
      </c>
      <c r="Q1042" s="16">
        <v>3732</v>
      </c>
      <c r="R1042" s="16">
        <v>-101</v>
      </c>
      <c r="S1042" s="16">
        <v>3</v>
      </c>
      <c r="T1042" s="16">
        <v>0</v>
      </c>
      <c r="U1042" s="15" t="str">
        <f t="shared" si="64"/>
        <v>Privado Nacional</v>
      </c>
      <c r="V1042" s="17">
        <f t="shared" si="65"/>
        <v>0</v>
      </c>
      <c r="W1042" s="17">
        <f t="shared" si="66"/>
        <v>-2.7063236870310824E-2</v>
      </c>
      <c r="X1042" s="15" t="str">
        <f t="shared" si="67"/>
        <v>Média/Pequena</v>
      </c>
      <c r="Y1042" s="121" t="str" cm="1">
        <f t="array" ref="Y1042">_xlfn.IFS(ISNUMBER(W1042)=FALSE,"Sem dado",W1042&gt;0.075,"Excelente",W1042&gt;0.04,"Bom",W1042&gt;0,"Fraco",TRUE,"Prejuízo")</f>
        <v>Prejuízo</v>
      </c>
    </row>
    <row r="1043" spans="1:25" ht="15" customHeight="1" x14ac:dyDescent="0.2">
      <c r="A1043" s="12" t="s">
        <v>2193</v>
      </c>
      <c r="B1043" s="56">
        <v>37470405</v>
      </c>
      <c r="C1043" s="12" t="s">
        <v>2194</v>
      </c>
      <c r="D1043" s="12"/>
      <c r="E1043" s="12" t="s">
        <v>2195</v>
      </c>
      <c r="F1043" s="12" t="s">
        <v>84</v>
      </c>
      <c r="G1043" s="33">
        <v>2</v>
      </c>
      <c r="H1043" s="33">
        <v>41</v>
      </c>
      <c r="I1043" s="12" t="s">
        <v>53</v>
      </c>
      <c r="J1043" s="12" t="s">
        <v>54</v>
      </c>
      <c r="K1043" s="73" t="s">
        <v>29</v>
      </c>
      <c r="L1043" s="13">
        <v>63541</v>
      </c>
      <c r="M1043" s="13">
        <v>0</v>
      </c>
      <c r="N1043" s="13">
        <v>2067</v>
      </c>
      <c r="O1043" s="13">
        <v>11372</v>
      </c>
      <c r="P1043" s="13">
        <v>1690</v>
      </c>
      <c r="Q1043" s="13">
        <v>52170</v>
      </c>
      <c r="R1043" s="13">
        <v>6037</v>
      </c>
      <c r="S1043" s="13">
        <v>1</v>
      </c>
      <c r="T1043" s="13">
        <v>0</v>
      </c>
      <c r="U1043" s="12" t="str">
        <f t="shared" si="64"/>
        <v>Privado Nacional</v>
      </c>
      <c r="V1043" s="14">
        <f t="shared" si="65"/>
        <v>0</v>
      </c>
      <c r="W1043" s="14">
        <f t="shared" si="66"/>
        <v>0.11571784550507955</v>
      </c>
      <c r="X1043" s="12" t="str">
        <f t="shared" si="67"/>
        <v>Média/Pequena</v>
      </c>
      <c r="Y1043" s="122" t="str" cm="1">
        <f t="array" ref="Y1043">_xlfn.IFS(ISNUMBER(W1043)=FALSE,"Sem dado",W1043&gt;0.075,"Excelente",W1043&gt;0.04,"Bom",W1043&gt;0,"Fraco",TRUE,"Prejuízo")</f>
        <v>Excelente</v>
      </c>
    </row>
    <row r="1044" spans="1:25" ht="15" customHeight="1" x14ac:dyDescent="0.2">
      <c r="A1044" s="15" t="s">
        <v>2196</v>
      </c>
      <c r="B1044" s="60">
        <v>34747388</v>
      </c>
      <c r="C1044" s="15" t="s">
        <v>2197</v>
      </c>
      <c r="D1044" s="15"/>
      <c r="E1044" s="15" t="s">
        <v>2198</v>
      </c>
      <c r="F1044" s="15" t="s">
        <v>84</v>
      </c>
      <c r="G1044" s="34">
        <v>3</v>
      </c>
      <c r="H1044" s="34">
        <v>41</v>
      </c>
      <c r="I1044" s="15" t="s">
        <v>73</v>
      </c>
      <c r="J1044" s="15" t="s">
        <v>74</v>
      </c>
      <c r="K1044" s="74" t="s">
        <v>29</v>
      </c>
      <c r="L1044" s="16">
        <v>63207</v>
      </c>
      <c r="M1044" s="16">
        <v>9</v>
      </c>
      <c r="N1044" s="16">
        <v>17704</v>
      </c>
      <c r="O1044" s="16">
        <v>42317</v>
      </c>
      <c r="P1044" s="16">
        <v>7822</v>
      </c>
      <c r="Q1044" s="16">
        <v>20889</v>
      </c>
      <c r="R1044" s="16">
        <v>-942</v>
      </c>
      <c r="S1044" s="16">
        <v>1</v>
      </c>
      <c r="T1044" s="16">
        <v>0</v>
      </c>
      <c r="U1044" s="15" t="str">
        <f t="shared" si="64"/>
        <v>Privado Estrangeiro</v>
      </c>
      <c r="V1044" s="17">
        <f t="shared" si="65"/>
        <v>1.4238929232521716E-4</v>
      </c>
      <c r="W1044" s="17">
        <f t="shared" si="66"/>
        <v>-4.5095504811144618E-2</v>
      </c>
      <c r="X1044" s="15" t="str">
        <f t="shared" si="67"/>
        <v>Média/Pequena</v>
      </c>
      <c r="Y1044" s="121" t="str" cm="1">
        <f t="array" ref="Y1044">_xlfn.IFS(ISNUMBER(W1044)=FALSE,"Sem dado",W1044&gt;0.075,"Excelente",W1044&gt;0.04,"Bom",W1044&gt;0,"Fraco",TRUE,"Prejuízo")</f>
        <v>Prejuízo</v>
      </c>
    </row>
    <row r="1045" spans="1:25" ht="15" customHeight="1" x14ac:dyDescent="0.2">
      <c r="A1045" s="12" t="s">
        <v>2199</v>
      </c>
      <c r="B1045" s="56">
        <v>74244344</v>
      </c>
      <c r="C1045" s="12"/>
      <c r="D1045" s="12"/>
      <c r="E1045" s="12"/>
      <c r="F1045" s="12" t="s">
        <v>265</v>
      </c>
      <c r="G1045" s="33">
        <v>2</v>
      </c>
      <c r="H1045" s="33">
        <v>9</v>
      </c>
      <c r="I1045" s="12" t="s">
        <v>255</v>
      </c>
      <c r="J1045" s="12" t="s">
        <v>39</v>
      </c>
      <c r="K1045" s="73" t="s">
        <v>29</v>
      </c>
      <c r="L1045" s="13">
        <v>62417</v>
      </c>
      <c r="M1045" s="13">
        <v>18670</v>
      </c>
      <c r="N1045" s="13">
        <v>43424</v>
      </c>
      <c r="O1045" s="13">
        <v>1865</v>
      </c>
      <c r="P1045" s="13">
        <v>0</v>
      </c>
      <c r="Q1045" s="13">
        <v>60552</v>
      </c>
      <c r="R1045" s="13">
        <v>3555</v>
      </c>
      <c r="S1045" s="13">
        <v>0</v>
      </c>
      <c r="T1045" s="13">
        <v>1</v>
      </c>
      <c r="U1045" s="12" t="str">
        <f t="shared" si="64"/>
        <v>Privado Nacional</v>
      </c>
      <c r="V1045" s="14">
        <f t="shared" si="65"/>
        <v>0.29911722767835686</v>
      </c>
      <c r="W1045" s="14">
        <f t="shared" si="66"/>
        <v>5.8709869203329372E-2</v>
      </c>
      <c r="X1045" s="12" t="str">
        <f t="shared" si="67"/>
        <v>Média/Pequena</v>
      </c>
      <c r="Y1045" s="122" t="str" cm="1">
        <f t="array" ref="Y1045">_xlfn.IFS(ISNUMBER(W1045)=FALSE,"Sem dado",W1045&gt;0.075,"Excelente",W1045&gt;0.04,"Bom",W1045&gt;0,"Fraco",TRUE,"Prejuízo")</f>
        <v>Bom</v>
      </c>
    </row>
    <row r="1046" spans="1:25" ht="15" customHeight="1" x14ac:dyDescent="0.2">
      <c r="A1046" s="15" t="s">
        <v>2200</v>
      </c>
      <c r="B1046" s="60">
        <v>2992317</v>
      </c>
      <c r="C1046" s="15" t="s">
        <v>2201</v>
      </c>
      <c r="D1046" s="15"/>
      <c r="E1046" s="15" t="s">
        <v>2202</v>
      </c>
      <c r="F1046" s="15" t="s">
        <v>60</v>
      </c>
      <c r="G1046" s="34">
        <v>2</v>
      </c>
      <c r="H1046" s="34">
        <v>39</v>
      </c>
      <c r="I1046" s="15" t="s">
        <v>38</v>
      </c>
      <c r="J1046" s="15" t="s">
        <v>39</v>
      </c>
      <c r="K1046" s="74" t="s">
        <v>29</v>
      </c>
      <c r="L1046" s="16">
        <v>62300</v>
      </c>
      <c r="M1046" s="16">
        <v>0</v>
      </c>
      <c r="N1046" s="16">
        <v>4715</v>
      </c>
      <c r="O1046" s="16">
        <v>33065</v>
      </c>
      <c r="P1046" s="16">
        <v>3222</v>
      </c>
      <c r="Q1046" s="16">
        <v>29235</v>
      </c>
      <c r="R1046" s="16">
        <v>726</v>
      </c>
      <c r="S1046" s="16">
        <v>2</v>
      </c>
      <c r="T1046" s="16">
        <v>0</v>
      </c>
      <c r="U1046" s="15" t="str">
        <f t="shared" si="64"/>
        <v>Privado Nacional</v>
      </c>
      <c r="V1046" s="17">
        <f t="shared" si="65"/>
        <v>0</v>
      </c>
      <c r="W1046" s="17">
        <f t="shared" si="66"/>
        <v>2.4833247819394562E-2</v>
      </c>
      <c r="X1046" s="15" t="str">
        <f t="shared" si="67"/>
        <v>Média/Pequena</v>
      </c>
      <c r="Y1046" s="121" t="str" cm="1">
        <f t="array" ref="Y1046">_xlfn.IFS(ISNUMBER(W1046)=FALSE,"Sem dado",W1046&gt;0.075,"Excelente",W1046&gt;0.04,"Bom",W1046&gt;0,"Fraco",TRUE,"Prejuízo")</f>
        <v>Fraco</v>
      </c>
    </row>
    <row r="1047" spans="1:25" ht="15" customHeight="1" x14ac:dyDescent="0.2">
      <c r="A1047" s="12" t="s">
        <v>2203</v>
      </c>
      <c r="B1047" s="56">
        <v>8844074</v>
      </c>
      <c r="C1047" s="12"/>
      <c r="D1047" s="12"/>
      <c r="E1047" s="12"/>
      <c r="F1047" s="12" t="s">
        <v>265</v>
      </c>
      <c r="G1047" s="33">
        <v>2</v>
      </c>
      <c r="H1047" s="33">
        <v>9</v>
      </c>
      <c r="I1047" s="12" t="s">
        <v>2204</v>
      </c>
      <c r="J1047" s="12" t="s">
        <v>39</v>
      </c>
      <c r="K1047" s="73" t="s">
        <v>29</v>
      </c>
      <c r="L1047" s="13">
        <v>62228</v>
      </c>
      <c r="M1047" s="13">
        <v>8431</v>
      </c>
      <c r="N1047" s="13">
        <v>51938</v>
      </c>
      <c r="O1047" s="13">
        <v>52885</v>
      </c>
      <c r="P1047" s="13">
        <v>51693</v>
      </c>
      <c r="Q1047" s="13">
        <v>9343</v>
      </c>
      <c r="R1047" s="13">
        <v>1103</v>
      </c>
      <c r="S1047" s="13">
        <v>0</v>
      </c>
      <c r="T1047" s="13">
        <v>0</v>
      </c>
      <c r="U1047" s="12" t="str">
        <f t="shared" si="64"/>
        <v>Privado Nacional</v>
      </c>
      <c r="V1047" s="14">
        <f t="shared" si="65"/>
        <v>0.13548563347689144</v>
      </c>
      <c r="W1047" s="14">
        <f t="shared" si="66"/>
        <v>0.11805629883335117</v>
      </c>
      <c r="X1047" s="12" t="str">
        <f t="shared" si="67"/>
        <v>Média/Pequena</v>
      </c>
      <c r="Y1047" s="122" t="str" cm="1">
        <f t="array" ref="Y1047">_xlfn.IFS(ISNUMBER(W1047)=FALSE,"Sem dado",W1047&gt;0.075,"Excelente",W1047&gt;0.04,"Bom",W1047&gt;0,"Fraco",TRUE,"Prejuízo")</f>
        <v>Excelente</v>
      </c>
    </row>
    <row r="1048" spans="1:25" ht="15" customHeight="1" x14ac:dyDescent="0.2">
      <c r="A1048" s="15" t="s">
        <v>2205</v>
      </c>
      <c r="B1048" s="60">
        <v>3612679</v>
      </c>
      <c r="C1048" s="15"/>
      <c r="D1048" s="15"/>
      <c r="E1048" s="15"/>
      <c r="F1048" s="15" t="s">
        <v>265</v>
      </c>
      <c r="G1048" s="34">
        <v>2</v>
      </c>
      <c r="H1048" s="34">
        <v>9</v>
      </c>
      <c r="I1048" s="15" t="s">
        <v>255</v>
      </c>
      <c r="J1048" s="15" t="s">
        <v>39</v>
      </c>
      <c r="K1048" s="74" t="s">
        <v>29</v>
      </c>
      <c r="L1048" s="16">
        <v>62063</v>
      </c>
      <c r="M1048" s="16">
        <v>44413</v>
      </c>
      <c r="N1048" s="16">
        <v>12992</v>
      </c>
      <c r="O1048" s="16">
        <v>32790</v>
      </c>
      <c r="P1048" s="16">
        <v>30167</v>
      </c>
      <c r="Q1048" s="16">
        <v>29273</v>
      </c>
      <c r="R1048" s="16">
        <v>656</v>
      </c>
      <c r="S1048" s="16">
        <v>0</v>
      </c>
      <c r="T1048" s="16">
        <v>1</v>
      </c>
      <c r="U1048" s="15" t="str">
        <f t="shared" si="64"/>
        <v>Privado Nacional</v>
      </c>
      <c r="V1048" s="17">
        <f t="shared" si="65"/>
        <v>0.71561155599954884</v>
      </c>
      <c r="W1048" s="17">
        <f t="shared" si="66"/>
        <v>2.2409729101902778E-2</v>
      </c>
      <c r="X1048" s="15" t="str">
        <f t="shared" si="67"/>
        <v>Média/Pequena</v>
      </c>
      <c r="Y1048" s="121" t="str" cm="1">
        <f t="array" ref="Y1048">_xlfn.IFS(ISNUMBER(W1048)=FALSE,"Sem dado",W1048&gt;0.075,"Excelente",W1048&gt;0.04,"Bom",W1048&gt;0,"Fraco",TRUE,"Prejuízo")</f>
        <v>Fraco</v>
      </c>
    </row>
    <row r="1049" spans="1:25" ht="15" customHeight="1" x14ac:dyDescent="0.2">
      <c r="A1049" s="12" t="s">
        <v>2206</v>
      </c>
      <c r="B1049" s="56">
        <v>35084163</v>
      </c>
      <c r="C1049" s="12" t="s">
        <v>2207</v>
      </c>
      <c r="D1049" s="12"/>
      <c r="E1049" s="12" t="s">
        <v>2208</v>
      </c>
      <c r="F1049" s="12" t="s">
        <v>84</v>
      </c>
      <c r="G1049" s="33">
        <v>2</v>
      </c>
      <c r="H1049" s="33">
        <v>41</v>
      </c>
      <c r="I1049" s="12" t="s">
        <v>38</v>
      </c>
      <c r="J1049" s="12" t="s">
        <v>39</v>
      </c>
      <c r="K1049" s="73" t="s">
        <v>29</v>
      </c>
      <c r="L1049" s="13">
        <v>61905</v>
      </c>
      <c r="M1049" s="13">
        <v>0</v>
      </c>
      <c r="N1049" s="13">
        <v>24474</v>
      </c>
      <c r="O1049" s="13">
        <v>53994</v>
      </c>
      <c r="P1049" s="13">
        <v>51521</v>
      </c>
      <c r="Q1049" s="13">
        <v>7912</v>
      </c>
      <c r="R1049" s="13">
        <v>859</v>
      </c>
      <c r="S1049" s="13">
        <v>1</v>
      </c>
      <c r="T1049" s="13">
        <v>0</v>
      </c>
      <c r="U1049" s="12" t="str">
        <f t="shared" si="64"/>
        <v>Privado Nacional</v>
      </c>
      <c r="V1049" s="14">
        <f t="shared" si="65"/>
        <v>0</v>
      </c>
      <c r="W1049" s="14">
        <f t="shared" si="66"/>
        <v>0.10856926188068756</v>
      </c>
      <c r="X1049" s="12" t="str">
        <f t="shared" si="67"/>
        <v>Média/Pequena</v>
      </c>
      <c r="Y1049" s="122" t="str" cm="1">
        <f t="array" ref="Y1049">_xlfn.IFS(ISNUMBER(W1049)=FALSE,"Sem dado",W1049&gt;0.075,"Excelente",W1049&gt;0.04,"Bom",W1049&gt;0,"Fraco",TRUE,"Prejuízo")</f>
        <v>Excelente</v>
      </c>
    </row>
    <row r="1050" spans="1:25" ht="15" customHeight="1" x14ac:dyDescent="0.2">
      <c r="A1050" s="15" t="s">
        <v>2209</v>
      </c>
      <c r="B1050" s="60">
        <v>51010858</v>
      </c>
      <c r="C1050" s="15"/>
      <c r="D1050" s="15"/>
      <c r="E1050" s="15"/>
      <c r="F1050" s="15" t="s">
        <v>265</v>
      </c>
      <c r="G1050" s="34">
        <v>2</v>
      </c>
      <c r="H1050" s="34">
        <v>9</v>
      </c>
      <c r="I1050" s="15" t="s">
        <v>2210</v>
      </c>
      <c r="J1050" s="15" t="s">
        <v>39</v>
      </c>
      <c r="K1050" s="74" t="s">
        <v>29</v>
      </c>
      <c r="L1050" s="16">
        <v>61039</v>
      </c>
      <c r="M1050" s="16">
        <v>50293</v>
      </c>
      <c r="N1050" s="16">
        <v>10577</v>
      </c>
      <c r="O1050" s="16">
        <v>743</v>
      </c>
      <c r="P1050" s="16">
        <v>0</v>
      </c>
      <c r="Q1050" s="16">
        <v>60296</v>
      </c>
      <c r="R1050" s="16">
        <v>3163</v>
      </c>
      <c r="S1050" s="16">
        <v>0</v>
      </c>
      <c r="T1050" s="16">
        <v>0</v>
      </c>
      <c r="U1050" s="15" t="str">
        <f t="shared" si="64"/>
        <v>Privado Nacional</v>
      </c>
      <c r="V1050" s="17">
        <f t="shared" si="65"/>
        <v>0.82394862301151728</v>
      </c>
      <c r="W1050" s="17">
        <f t="shared" si="66"/>
        <v>5.2457874485869707E-2</v>
      </c>
      <c r="X1050" s="15" t="str">
        <f t="shared" si="67"/>
        <v>Média/Pequena</v>
      </c>
      <c r="Y1050" s="121" t="str" cm="1">
        <f t="array" ref="Y1050">_xlfn.IFS(ISNUMBER(W1050)=FALSE,"Sem dado",W1050&gt;0.075,"Excelente",W1050&gt;0.04,"Bom",W1050&gt;0,"Fraco",TRUE,"Prejuízo")</f>
        <v>Bom</v>
      </c>
    </row>
    <row r="1051" spans="1:25" ht="15" customHeight="1" x14ac:dyDescent="0.2">
      <c r="A1051" s="12" t="s">
        <v>2211</v>
      </c>
      <c r="B1051" s="56">
        <v>39993186</v>
      </c>
      <c r="C1051" s="12" t="s">
        <v>2212</v>
      </c>
      <c r="D1051" s="12"/>
      <c r="E1051" s="12" t="s">
        <v>2213</v>
      </c>
      <c r="F1051" s="12" t="s">
        <v>84</v>
      </c>
      <c r="G1051" s="33">
        <v>3</v>
      </c>
      <c r="H1051" s="33">
        <v>41</v>
      </c>
      <c r="I1051" s="12" t="s">
        <v>38</v>
      </c>
      <c r="J1051" s="12" t="s">
        <v>39</v>
      </c>
      <c r="K1051" s="73" t="s">
        <v>29</v>
      </c>
      <c r="L1051" s="13">
        <v>60441</v>
      </c>
      <c r="M1051" s="13">
        <v>0</v>
      </c>
      <c r="N1051" s="13">
        <v>39305</v>
      </c>
      <c r="O1051" s="13">
        <v>34653</v>
      </c>
      <c r="P1051" s="13">
        <v>4771</v>
      </c>
      <c r="Q1051" s="13">
        <v>25789</v>
      </c>
      <c r="R1051" s="13">
        <v>888</v>
      </c>
      <c r="S1051" s="13">
        <v>1</v>
      </c>
      <c r="T1051" s="13">
        <v>0</v>
      </c>
      <c r="U1051" s="12" t="str">
        <f t="shared" si="64"/>
        <v>Privado Estrangeiro</v>
      </c>
      <c r="V1051" s="14">
        <f t="shared" si="65"/>
        <v>0</v>
      </c>
      <c r="W1051" s="14">
        <f t="shared" si="66"/>
        <v>3.443328550932568E-2</v>
      </c>
      <c r="X1051" s="12" t="str">
        <f t="shared" si="67"/>
        <v>Média/Pequena</v>
      </c>
      <c r="Y1051" s="122" t="str" cm="1">
        <f t="array" ref="Y1051">_xlfn.IFS(ISNUMBER(W1051)=FALSE,"Sem dado",W1051&gt;0.075,"Excelente",W1051&gt;0.04,"Bom",W1051&gt;0,"Fraco",TRUE,"Prejuízo")</f>
        <v>Fraco</v>
      </c>
    </row>
    <row r="1052" spans="1:25" ht="15" customHeight="1" x14ac:dyDescent="0.2">
      <c r="A1052" s="15" t="s">
        <v>2214</v>
      </c>
      <c r="B1052" s="60">
        <v>11758741</v>
      </c>
      <c r="C1052" s="15" t="s">
        <v>2215</v>
      </c>
      <c r="D1052" s="15" t="s">
        <v>2216</v>
      </c>
      <c r="E1052" s="15" t="s">
        <v>2217</v>
      </c>
      <c r="F1052" s="15" t="s">
        <v>26</v>
      </c>
      <c r="G1052" s="34">
        <v>2</v>
      </c>
      <c r="H1052" s="34">
        <v>2</v>
      </c>
      <c r="I1052" s="15" t="s">
        <v>228</v>
      </c>
      <c r="J1052" s="15" t="s">
        <v>229</v>
      </c>
      <c r="K1052" s="74" t="s">
        <v>29</v>
      </c>
      <c r="L1052" s="16">
        <v>59730</v>
      </c>
      <c r="M1052" s="16">
        <v>0</v>
      </c>
      <c r="N1052" s="16">
        <v>25723</v>
      </c>
      <c r="O1052" s="16">
        <v>40886</v>
      </c>
      <c r="P1052" s="16">
        <v>12782</v>
      </c>
      <c r="Q1052" s="16">
        <v>18844</v>
      </c>
      <c r="R1052" s="16">
        <v>-3414</v>
      </c>
      <c r="S1052" s="16">
        <v>2</v>
      </c>
      <c r="T1052" s="16">
        <v>0</v>
      </c>
      <c r="U1052" s="15" t="str">
        <f t="shared" si="64"/>
        <v>Privado Nacional</v>
      </c>
      <c r="V1052" s="17">
        <f t="shared" si="65"/>
        <v>0</v>
      </c>
      <c r="W1052" s="17">
        <f t="shared" si="66"/>
        <v>-0.18117172574824877</v>
      </c>
      <c r="X1052" s="15" t="str">
        <f t="shared" si="67"/>
        <v>Média/Pequena</v>
      </c>
      <c r="Y1052" s="121" t="str" cm="1">
        <f t="array" ref="Y1052">_xlfn.IFS(ISNUMBER(W1052)=FALSE,"Sem dado",W1052&gt;0.075,"Excelente",W1052&gt;0.04,"Bom",W1052&gt;0,"Fraco",TRUE,"Prejuízo")</f>
        <v>Prejuízo</v>
      </c>
    </row>
    <row r="1053" spans="1:25" ht="15" customHeight="1" x14ac:dyDescent="0.2">
      <c r="A1053" s="12" t="s">
        <v>2218</v>
      </c>
      <c r="B1053" s="56">
        <v>45745537</v>
      </c>
      <c r="C1053" s="12" t="s">
        <v>1948</v>
      </c>
      <c r="D1053" s="12"/>
      <c r="E1053" s="12" t="s">
        <v>1949</v>
      </c>
      <c r="F1053" s="12" t="s">
        <v>65</v>
      </c>
      <c r="G1053" s="33">
        <v>2</v>
      </c>
      <c r="H1053" s="33">
        <v>43</v>
      </c>
      <c r="I1053" s="12" t="s">
        <v>73</v>
      </c>
      <c r="J1053" s="12" t="s">
        <v>74</v>
      </c>
      <c r="K1053" s="73" t="s">
        <v>29</v>
      </c>
      <c r="L1053" s="13">
        <v>59591</v>
      </c>
      <c r="M1053" s="13">
        <v>10899</v>
      </c>
      <c r="N1053" s="13">
        <v>8094</v>
      </c>
      <c r="O1053" s="13">
        <v>49919</v>
      </c>
      <c r="P1053" s="13">
        <v>0</v>
      </c>
      <c r="Q1053" s="13">
        <v>9672</v>
      </c>
      <c r="R1053" s="13">
        <v>-5816</v>
      </c>
      <c r="S1053" s="13">
        <v>2</v>
      </c>
      <c r="T1053" s="13">
        <v>0</v>
      </c>
      <c r="U1053" s="12" t="str">
        <f t="shared" si="64"/>
        <v>Privado Nacional</v>
      </c>
      <c r="V1053" s="14">
        <f t="shared" si="65"/>
        <v>0.18289674615294255</v>
      </c>
      <c r="W1053" s="14">
        <f t="shared" si="66"/>
        <v>-0.60132340777502069</v>
      </c>
      <c r="X1053" s="12" t="str">
        <f t="shared" si="67"/>
        <v>Média/Pequena</v>
      </c>
      <c r="Y1053" s="122" t="str" cm="1">
        <f t="array" ref="Y1053">_xlfn.IFS(ISNUMBER(W1053)=FALSE,"Sem dado",W1053&gt;0.075,"Excelente",W1053&gt;0.04,"Bom",W1053&gt;0,"Fraco",TRUE,"Prejuízo")</f>
        <v>Prejuízo</v>
      </c>
    </row>
    <row r="1054" spans="1:25" ht="15" customHeight="1" x14ac:dyDescent="0.2">
      <c r="A1054" s="15" t="s">
        <v>2219</v>
      </c>
      <c r="B1054" s="60">
        <v>53908413</v>
      </c>
      <c r="C1054" s="15" t="s">
        <v>2220</v>
      </c>
      <c r="D1054" s="15"/>
      <c r="E1054" s="15" t="s">
        <v>2221</v>
      </c>
      <c r="F1054" s="15" t="s">
        <v>84</v>
      </c>
      <c r="G1054" s="34">
        <v>2</v>
      </c>
      <c r="H1054" s="34">
        <v>41</v>
      </c>
      <c r="I1054" s="15" t="s">
        <v>2222</v>
      </c>
      <c r="J1054" s="15" t="s">
        <v>217</v>
      </c>
      <c r="K1054" s="74" t="s">
        <v>29</v>
      </c>
      <c r="L1054" s="16">
        <v>59324</v>
      </c>
      <c r="M1054" s="16">
        <v>0</v>
      </c>
      <c r="N1054" s="16">
        <v>32906</v>
      </c>
      <c r="O1054" s="16">
        <v>18057</v>
      </c>
      <c r="P1054" s="16">
        <v>17855</v>
      </c>
      <c r="Q1054" s="16">
        <v>41267</v>
      </c>
      <c r="R1054" s="16">
        <v>233</v>
      </c>
      <c r="S1054" s="16">
        <v>1</v>
      </c>
      <c r="T1054" s="16">
        <v>0</v>
      </c>
      <c r="U1054" s="15" t="str">
        <f t="shared" si="64"/>
        <v>Privado Nacional</v>
      </c>
      <c r="V1054" s="17">
        <f t="shared" si="65"/>
        <v>0</v>
      </c>
      <c r="W1054" s="17">
        <f t="shared" si="66"/>
        <v>5.6461579470278916E-3</v>
      </c>
      <c r="X1054" s="15" t="str">
        <f t="shared" si="67"/>
        <v>Média/Pequena</v>
      </c>
      <c r="Y1054" s="121" t="str" cm="1">
        <f t="array" ref="Y1054">_xlfn.IFS(ISNUMBER(W1054)=FALSE,"Sem dado",W1054&gt;0.075,"Excelente",W1054&gt;0.04,"Bom",W1054&gt;0,"Fraco",TRUE,"Prejuízo")</f>
        <v>Fraco</v>
      </c>
    </row>
    <row r="1055" spans="1:25" ht="15" customHeight="1" x14ac:dyDescent="0.2">
      <c r="A1055" s="12" t="s">
        <v>2223</v>
      </c>
      <c r="B1055" s="56">
        <v>17441197</v>
      </c>
      <c r="C1055" s="12" t="s">
        <v>2224</v>
      </c>
      <c r="D1055" s="12"/>
      <c r="E1055" s="12" t="s">
        <v>2225</v>
      </c>
      <c r="F1055" s="12" t="s">
        <v>65</v>
      </c>
      <c r="G1055" s="33">
        <v>2</v>
      </c>
      <c r="H1055" s="33">
        <v>29</v>
      </c>
      <c r="I1055" s="12" t="s">
        <v>119</v>
      </c>
      <c r="J1055" s="12" t="s">
        <v>120</v>
      </c>
      <c r="K1055" s="73" t="s">
        <v>29</v>
      </c>
      <c r="L1055" s="13">
        <v>59187</v>
      </c>
      <c r="M1055" s="13">
        <v>4583</v>
      </c>
      <c r="N1055" s="13">
        <v>35543</v>
      </c>
      <c r="O1055" s="13">
        <v>33869</v>
      </c>
      <c r="P1055" s="13">
        <v>14743</v>
      </c>
      <c r="Q1055" s="13">
        <v>25317</v>
      </c>
      <c r="R1055" s="13">
        <v>496</v>
      </c>
      <c r="S1055" s="13">
        <v>3</v>
      </c>
      <c r="T1055" s="13">
        <v>0</v>
      </c>
      <c r="U1055" s="12" t="str">
        <f t="shared" si="64"/>
        <v>Privado Nacional</v>
      </c>
      <c r="V1055" s="14">
        <f t="shared" si="65"/>
        <v>7.7432544308716447E-2</v>
      </c>
      <c r="W1055" s="14">
        <f t="shared" si="66"/>
        <v>1.9591578781056208E-2</v>
      </c>
      <c r="X1055" s="12" t="str">
        <f t="shared" si="67"/>
        <v>Média/Pequena</v>
      </c>
      <c r="Y1055" s="122" t="str" cm="1">
        <f t="array" ref="Y1055">_xlfn.IFS(ISNUMBER(W1055)=FALSE,"Sem dado",W1055&gt;0.075,"Excelente",W1055&gt;0.04,"Bom",W1055&gt;0,"Fraco",TRUE,"Prejuízo")</f>
        <v>Fraco</v>
      </c>
    </row>
    <row r="1056" spans="1:25" ht="15" customHeight="1" x14ac:dyDescent="0.2">
      <c r="A1056" s="15" t="s">
        <v>2226</v>
      </c>
      <c r="B1056" s="60">
        <v>48755901</v>
      </c>
      <c r="C1056" s="15" t="s">
        <v>2227</v>
      </c>
      <c r="D1056" s="15"/>
      <c r="E1056" s="15" t="s">
        <v>2228</v>
      </c>
      <c r="F1056" s="15" t="s">
        <v>65</v>
      </c>
      <c r="G1056" s="34">
        <v>2</v>
      </c>
      <c r="H1056" s="34">
        <v>14</v>
      </c>
      <c r="I1056" s="15" t="s">
        <v>38</v>
      </c>
      <c r="J1056" s="15" t="s">
        <v>39</v>
      </c>
      <c r="K1056" s="74" t="s">
        <v>29</v>
      </c>
      <c r="L1056" s="16">
        <v>58324</v>
      </c>
      <c r="M1056" s="16">
        <v>640</v>
      </c>
      <c r="N1056" s="16">
        <v>40034</v>
      </c>
      <c r="O1056" s="16">
        <v>3455</v>
      </c>
      <c r="P1056" s="16">
        <v>201</v>
      </c>
      <c r="Q1056" s="16">
        <v>54870</v>
      </c>
      <c r="R1056" s="16">
        <v>214</v>
      </c>
      <c r="S1056" s="16">
        <v>2</v>
      </c>
      <c r="T1056" s="16">
        <v>0</v>
      </c>
      <c r="U1056" s="15" t="str">
        <f t="shared" si="64"/>
        <v>Privado Nacional</v>
      </c>
      <c r="V1056" s="17">
        <f t="shared" si="65"/>
        <v>1.0973184280913517E-2</v>
      </c>
      <c r="W1056" s="17">
        <f t="shared" si="66"/>
        <v>3.900127574266448E-3</v>
      </c>
      <c r="X1056" s="15" t="str">
        <f t="shared" si="67"/>
        <v>Média/Pequena</v>
      </c>
      <c r="Y1056" s="121" t="str" cm="1">
        <f t="array" ref="Y1056">_xlfn.IFS(ISNUMBER(W1056)=FALSE,"Sem dado",W1056&gt;0.075,"Excelente",W1056&gt;0.04,"Bom",W1056&gt;0,"Fraco",TRUE,"Prejuízo")</f>
        <v>Fraco</v>
      </c>
    </row>
    <row r="1057" spans="1:25" ht="15" customHeight="1" x14ac:dyDescent="0.2">
      <c r="A1057" s="12" t="s">
        <v>2229</v>
      </c>
      <c r="B1057" s="56">
        <v>39664698</v>
      </c>
      <c r="C1057" s="12" t="s">
        <v>672</v>
      </c>
      <c r="D1057" s="12"/>
      <c r="E1057" s="12" t="s">
        <v>673</v>
      </c>
      <c r="F1057" s="12" t="s">
        <v>65</v>
      </c>
      <c r="G1057" s="33">
        <v>2</v>
      </c>
      <c r="H1057" s="33">
        <v>43</v>
      </c>
      <c r="I1057" s="12" t="s">
        <v>107</v>
      </c>
      <c r="J1057" s="12" t="s">
        <v>39</v>
      </c>
      <c r="K1057" s="73" t="s">
        <v>29</v>
      </c>
      <c r="L1057" s="13">
        <v>58036</v>
      </c>
      <c r="M1057" s="13">
        <v>0</v>
      </c>
      <c r="N1057" s="13">
        <v>0</v>
      </c>
      <c r="O1057" s="13">
        <v>13729</v>
      </c>
      <c r="P1057" s="13">
        <v>8669</v>
      </c>
      <c r="Q1057" s="13">
        <v>44308</v>
      </c>
      <c r="R1057" s="13">
        <v>15738</v>
      </c>
      <c r="S1057" s="13">
        <v>1</v>
      </c>
      <c r="T1057" s="13">
        <v>0</v>
      </c>
      <c r="U1057" s="12" t="str">
        <f t="shared" si="64"/>
        <v>Privado Nacional</v>
      </c>
      <c r="V1057" s="14">
        <f t="shared" si="65"/>
        <v>0</v>
      </c>
      <c r="W1057" s="14">
        <f t="shared" si="66"/>
        <v>0.35519545003159703</v>
      </c>
      <c r="X1057" s="12" t="str">
        <f t="shared" si="67"/>
        <v>Média/Pequena</v>
      </c>
      <c r="Y1057" s="122" t="str" cm="1">
        <f t="array" ref="Y1057">_xlfn.IFS(ISNUMBER(W1057)=FALSE,"Sem dado",W1057&gt;0.075,"Excelente",W1057&gt;0.04,"Bom",W1057&gt;0,"Fraco",TRUE,"Prejuízo")</f>
        <v>Excelente</v>
      </c>
    </row>
    <row r="1058" spans="1:25" ht="15" customHeight="1" x14ac:dyDescent="0.2">
      <c r="A1058" s="15" t="s">
        <v>2230</v>
      </c>
      <c r="B1058" s="60">
        <v>2853045</v>
      </c>
      <c r="C1058" s="15"/>
      <c r="D1058" s="15"/>
      <c r="E1058" s="15"/>
      <c r="F1058" s="15" t="s">
        <v>265</v>
      </c>
      <c r="G1058" s="34">
        <v>2</v>
      </c>
      <c r="H1058" s="34">
        <v>9</v>
      </c>
      <c r="I1058" s="15" t="s">
        <v>1070</v>
      </c>
      <c r="J1058" s="15" t="s">
        <v>217</v>
      </c>
      <c r="K1058" s="74" t="s">
        <v>29</v>
      </c>
      <c r="L1058" s="16">
        <v>57173</v>
      </c>
      <c r="M1058" s="16">
        <v>5572</v>
      </c>
      <c r="N1058" s="16">
        <v>51025</v>
      </c>
      <c r="O1058" s="16">
        <v>43039</v>
      </c>
      <c r="P1058" s="16">
        <v>41218</v>
      </c>
      <c r="Q1058" s="16">
        <v>14134</v>
      </c>
      <c r="R1058" s="16">
        <v>939</v>
      </c>
      <c r="S1058" s="16">
        <v>0</v>
      </c>
      <c r="T1058" s="16">
        <v>0</v>
      </c>
      <c r="U1058" s="15" t="str">
        <f t="shared" si="64"/>
        <v>Privado Nacional</v>
      </c>
      <c r="V1058" s="17">
        <f t="shared" si="65"/>
        <v>9.7458590593461944E-2</v>
      </c>
      <c r="W1058" s="17">
        <f t="shared" si="66"/>
        <v>6.6435545493137113E-2</v>
      </c>
      <c r="X1058" s="15" t="str">
        <f t="shared" si="67"/>
        <v>Média/Pequena</v>
      </c>
      <c r="Y1058" s="121" t="str" cm="1">
        <f t="array" ref="Y1058">_xlfn.IFS(ISNUMBER(W1058)=FALSE,"Sem dado",W1058&gt;0.075,"Excelente",W1058&gt;0.04,"Bom",W1058&gt;0,"Fraco",TRUE,"Prejuízo")</f>
        <v>Bom</v>
      </c>
    </row>
    <row r="1059" spans="1:25" ht="15" customHeight="1" x14ac:dyDescent="0.2">
      <c r="A1059" s="12" t="s">
        <v>2231</v>
      </c>
      <c r="B1059" s="56">
        <v>62178421</v>
      </c>
      <c r="C1059" s="12" t="s">
        <v>67</v>
      </c>
      <c r="D1059" s="12" t="s">
        <v>68</v>
      </c>
      <c r="E1059" s="12" t="s">
        <v>69</v>
      </c>
      <c r="F1059" s="12" t="s">
        <v>98</v>
      </c>
      <c r="G1059" s="33">
        <v>2</v>
      </c>
      <c r="H1059" s="33">
        <v>15</v>
      </c>
      <c r="I1059" s="12" t="s">
        <v>38</v>
      </c>
      <c r="J1059" s="12" t="s">
        <v>39</v>
      </c>
      <c r="K1059" s="73" t="s">
        <v>29</v>
      </c>
      <c r="L1059" s="13">
        <v>57158</v>
      </c>
      <c r="M1059" s="13">
        <v>0</v>
      </c>
      <c r="N1059" s="13">
        <v>10715</v>
      </c>
      <c r="O1059" s="13">
        <v>19173</v>
      </c>
      <c r="P1059" s="13">
        <v>123</v>
      </c>
      <c r="Q1059" s="13">
        <v>37985</v>
      </c>
      <c r="R1059" s="13">
        <v>1580</v>
      </c>
      <c r="S1059" s="13">
        <v>2</v>
      </c>
      <c r="T1059" s="13">
        <v>0</v>
      </c>
      <c r="U1059" s="12" t="str">
        <f t="shared" si="64"/>
        <v>Privado Nacional</v>
      </c>
      <c r="V1059" s="14">
        <f t="shared" si="65"/>
        <v>0</v>
      </c>
      <c r="W1059" s="14">
        <f t="shared" si="66"/>
        <v>4.1595366592075821E-2</v>
      </c>
      <c r="X1059" s="12" t="str">
        <f t="shared" si="67"/>
        <v>Média/Pequena</v>
      </c>
      <c r="Y1059" s="122" t="str" cm="1">
        <f t="array" ref="Y1059">_xlfn.IFS(ISNUMBER(W1059)=FALSE,"Sem dado",W1059&gt;0.075,"Excelente",W1059&gt;0.04,"Bom",W1059&gt;0,"Fraco",TRUE,"Prejuízo")</f>
        <v>Bom</v>
      </c>
    </row>
    <row r="1060" spans="1:25" ht="15" customHeight="1" x14ac:dyDescent="0.2">
      <c r="A1060" s="15" t="s">
        <v>2232</v>
      </c>
      <c r="B1060" s="60">
        <v>62795257</v>
      </c>
      <c r="C1060" s="15"/>
      <c r="D1060" s="15"/>
      <c r="E1060" s="15"/>
      <c r="F1060" s="15" t="s">
        <v>265</v>
      </c>
      <c r="G1060" s="34">
        <v>2</v>
      </c>
      <c r="H1060" s="34">
        <v>9</v>
      </c>
      <c r="I1060" s="15" t="s">
        <v>38</v>
      </c>
      <c r="J1060" s="15" t="s">
        <v>39</v>
      </c>
      <c r="K1060" s="74" t="s">
        <v>29</v>
      </c>
      <c r="L1060" s="16">
        <v>57012</v>
      </c>
      <c r="M1060" s="16">
        <v>12368</v>
      </c>
      <c r="N1060" s="16">
        <v>42672</v>
      </c>
      <c r="O1060" s="16">
        <v>5928</v>
      </c>
      <c r="P1060" s="16">
        <v>0</v>
      </c>
      <c r="Q1060" s="16">
        <v>51084</v>
      </c>
      <c r="R1060" s="16">
        <v>1337</v>
      </c>
      <c r="S1060" s="16">
        <v>0</v>
      </c>
      <c r="T1060" s="16">
        <v>0</v>
      </c>
      <c r="U1060" s="15" t="str">
        <f t="shared" si="64"/>
        <v>Privado Nacional</v>
      </c>
      <c r="V1060" s="17">
        <f t="shared" si="65"/>
        <v>0.21693678523819546</v>
      </c>
      <c r="W1060" s="17">
        <f t="shared" si="66"/>
        <v>2.6172578498159894E-2</v>
      </c>
      <c r="X1060" s="15" t="str">
        <f t="shared" si="67"/>
        <v>Média/Pequena</v>
      </c>
      <c r="Y1060" s="121" t="str" cm="1">
        <f t="array" ref="Y1060">_xlfn.IFS(ISNUMBER(W1060)=FALSE,"Sem dado",W1060&gt;0.075,"Excelente",W1060&gt;0.04,"Bom",W1060&gt;0,"Fraco",TRUE,"Prejuízo")</f>
        <v>Fraco</v>
      </c>
    </row>
    <row r="1061" spans="1:25" ht="15" customHeight="1" x14ac:dyDescent="0.2">
      <c r="A1061" s="12" t="s">
        <v>2233</v>
      </c>
      <c r="B1061" s="56">
        <v>9105360</v>
      </c>
      <c r="C1061" s="12" t="s">
        <v>1842</v>
      </c>
      <c r="D1061" s="12" t="s">
        <v>1843</v>
      </c>
      <c r="E1061" s="12" t="s">
        <v>1844</v>
      </c>
      <c r="F1061" s="12" t="s">
        <v>98</v>
      </c>
      <c r="G1061" s="33">
        <v>3</v>
      </c>
      <c r="H1061" s="33">
        <v>15</v>
      </c>
      <c r="I1061" s="12" t="s">
        <v>38</v>
      </c>
      <c r="J1061" s="12" t="s">
        <v>39</v>
      </c>
      <c r="K1061" s="73" t="s">
        <v>29</v>
      </c>
      <c r="L1061" s="13">
        <v>56979</v>
      </c>
      <c r="M1061" s="13">
        <v>0</v>
      </c>
      <c r="N1061" s="13">
        <v>18849</v>
      </c>
      <c r="O1061" s="13">
        <v>2900</v>
      </c>
      <c r="P1061" s="13">
        <v>1027</v>
      </c>
      <c r="Q1061" s="13">
        <v>54079</v>
      </c>
      <c r="R1061" s="13">
        <v>2290</v>
      </c>
      <c r="S1061" s="13">
        <v>3</v>
      </c>
      <c r="T1061" s="13">
        <v>0</v>
      </c>
      <c r="U1061" s="12" t="str">
        <f t="shared" si="64"/>
        <v>Privado Estrangeiro</v>
      </c>
      <c r="V1061" s="14">
        <f t="shared" si="65"/>
        <v>0</v>
      </c>
      <c r="W1061" s="14">
        <f t="shared" si="66"/>
        <v>4.2345457571330833E-2</v>
      </c>
      <c r="X1061" s="12" t="str">
        <f t="shared" si="67"/>
        <v>Média/Pequena</v>
      </c>
      <c r="Y1061" s="122" t="str" cm="1">
        <f t="array" ref="Y1061">_xlfn.IFS(ISNUMBER(W1061)=FALSE,"Sem dado",W1061&gt;0.075,"Excelente",W1061&gt;0.04,"Bom",W1061&gt;0,"Fraco",TRUE,"Prejuízo")</f>
        <v>Bom</v>
      </c>
    </row>
    <row r="1062" spans="1:25" ht="15" customHeight="1" x14ac:dyDescent="0.2">
      <c r="A1062" s="15" t="s">
        <v>2234</v>
      </c>
      <c r="B1062" s="60">
        <v>11495073</v>
      </c>
      <c r="C1062" s="15" t="s">
        <v>2235</v>
      </c>
      <c r="D1062" s="15"/>
      <c r="E1062" s="15" t="s">
        <v>2236</v>
      </c>
      <c r="F1062" s="15" t="s">
        <v>98</v>
      </c>
      <c r="G1062" s="34">
        <v>2</v>
      </c>
      <c r="H1062" s="34">
        <v>16</v>
      </c>
      <c r="I1062" s="15" t="s">
        <v>38</v>
      </c>
      <c r="J1062" s="15" t="s">
        <v>39</v>
      </c>
      <c r="K1062" s="74" t="s">
        <v>29</v>
      </c>
      <c r="L1062" s="16">
        <v>56599</v>
      </c>
      <c r="M1062" s="16">
        <v>0</v>
      </c>
      <c r="N1062" s="16">
        <v>11643</v>
      </c>
      <c r="O1062" s="16">
        <v>11622</v>
      </c>
      <c r="P1062" s="16">
        <v>0</v>
      </c>
      <c r="Q1062" s="16">
        <v>44976</v>
      </c>
      <c r="R1062" s="16">
        <v>1985</v>
      </c>
      <c r="S1062" s="16">
        <v>2</v>
      </c>
      <c r="T1062" s="16">
        <v>0</v>
      </c>
      <c r="U1062" s="15" t="str">
        <f t="shared" si="64"/>
        <v>Privado Nacional</v>
      </c>
      <c r="V1062" s="17">
        <f t="shared" si="65"/>
        <v>0</v>
      </c>
      <c r="W1062" s="17">
        <f t="shared" si="66"/>
        <v>4.4134649590892923E-2</v>
      </c>
      <c r="X1062" s="15" t="str">
        <f t="shared" si="67"/>
        <v>Média/Pequena</v>
      </c>
      <c r="Y1062" s="121" t="str" cm="1">
        <f t="array" ref="Y1062">_xlfn.IFS(ISNUMBER(W1062)=FALSE,"Sem dado",W1062&gt;0.075,"Excelente",W1062&gt;0.04,"Bom",W1062&gt;0,"Fraco",TRUE,"Prejuízo")</f>
        <v>Bom</v>
      </c>
    </row>
    <row r="1063" spans="1:25" ht="15" customHeight="1" x14ac:dyDescent="0.2">
      <c r="A1063" s="12" t="s">
        <v>2237</v>
      </c>
      <c r="B1063" s="56">
        <v>32971064</v>
      </c>
      <c r="C1063" s="12" t="s">
        <v>2238</v>
      </c>
      <c r="D1063" s="12"/>
      <c r="E1063" s="12" t="s">
        <v>2239</v>
      </c>
      <c r="F1063" s="12" t="s">
        <v>84</v>
      </c>
      <c r="G1063" s="33">
        <v>3</v>
      </c>
      <c r="H1063" s="33">
        <v>41</v>
      </c>
      <c r="I1063" s="12" t="s">
        <v>38</v>
      </c>
      <c r="J1063" s="12" t="s">
        <v>39</v>
      </c>
      <c r="K1063" s="73" t="s">
        <v>29</v>
      </c>
      <c r="L1063" s="13">
        <v>56548</v>
      </c>
      <c r="M1063" s="13">
        <v>0</v>
      </c>
      <c r="N1063" s="13">
        <v>0</v>
      </c>
      <c r="O1063" s="13">
        <v>38514</v>
      </c>
      <c r="P1063" s="13">
        <v>10106</v>
      </c>
      <c r="Q1063" s="13">
        <v>18035</v>
      </c>
      <c r="R1063" s="13">
        <v>-1974</v>
      </c>
      <c r="S1063" s="13">
        <v>1</v>
      </c>
      <c r="T1063" s="13">
        <v>0</v>
      </c>
      <c r="U1063" s="12" t="str">
        <f t="shared" si="64"/>
        <v>Privado Estrangeiro</v>
      </c>
      <c r="V1063" s="14">
        <f t="shared" si="65"/>
        <v>0</v>
      </c>
      <c r="W1063" s="14">
        <f t="shared" si="66"/>
        <v>-0.10945383975602994</v>
      </c>
      <c r="X1063" s="12" t="str">
        <f t="shared" si="67"/>
        <v>Média/Pequena</v>
      </c>
      <c r="Y1063" s="122" t="str" cm="1">
        <f t="array" ref="Y1063">_xlfn.IFS(ISNUMBER(W1063)=FALSE,"Sem dado",W1063&gt;0.075,"Excelente",W1063&gt;0.04,"Bom",W1063&gt;0,"Fraco",TRUE,"Prejuízo")</f>
        <v>Prejuízo</v>
      </c>
    </row>
    <row r="1064" spans="1:25" ht="15" customHeight="1" x14ac:dyDescent="0.2">
      <c r="A1064" s="15" t="s">
        <v>2240</v>
      </c>
      <c r="B1064" s="60">
        <v>17192451</v>
      </c>
      <c r="C1064" s="15" t="s">
        <v>35</v>
      </c>
      <c r="D1064" s="15" t="s">
        <v>36</v>
      </c>
      <c r="E1064" s="15" t="s">
        <v>37</v>
      </c>
      <c r="F1064" s="15" t="s">
        <v>60</v>
      </c>
      <c r="G1064" s="34">
        <v>2</v>
      </c>
      <c r="H1064" s="34">
        <v>8</v>
      </c>
      <c r="I1064" s="15" t="s">
        <v>38</v>
      </c>
      <c r="J1064" s="15" t="s">
        <v>39</v>
      </c>
      <c r="K1064" s="74" t="s">
        <v>29</v>
      </c>
      <c r="L1064" s="16">
        <v>56432</v>
      </c>
      <c r="M1064" s="16">
        <v>0</v>
      </c>
      <c r="N1064" s="16">
        <v>0</v>
      </c>
      <c r="O1064" s="16">
        <v>2105</v>
      </c>
      <c r="P1064" s="16">
        <v>0</v>
      </c>
      <c r="Q1064" s="16">
        <v>54328</v>
      </c>
      <c r="R1064" s="16">
        <v>2471</v>
      </c>
      <c r="S1064" s="16">
        <v>2</v>
      </c>
      <c r="T1064" s="16">
        <v>0</v>
      </c>
      <c r="U1064" s="15" t="str">
        <f t="shared" si="64"/>
        <v>Privado Nacional</v>
      </c>
      <c r="V1064" s="17">
        <f t="shared" si="65"/>
        <v>0</v>
      </c>
      <c r="W1064" s="17">
        <f t="shared" si="66"/>
        <v>4.5482992195552935E-2</v>
      </c>
      <c r="X1064" s="15" t="str">
        <f t="shared" si="67"/>
        <v>Média/Pequena</v>
      </c>
      <c r="Y1064" s="121" t="str" cm="1">
        <f t="array" ref="Y1064">_xlfn.IFS(ISNUMBER(W1064)=FALSE,"Sem dado",W1064&gt;0.075,"Excelente",W1064&gt;0.04,"Bom",W1064&gt;0,"Fraco",TRUE,"Prejuízo")</f>
        <v>Bom</v>
      </c>
    </row>
    <row r="1065" spans="1:25" ht="15" customHeight="1" x14ac:dyDescent="0.2">
      <c r="A1065" s="12" t="s">
        <v>2241</v>
      </c>
      <c r="B1065" s="56">
        <v>17635177</v>
      </c>
      <c r="C1065" s="12" t="s">
        <v>2242</v>
      </c>
      <c r="D1065" s="12"/>
      <c r="E1065" s="12" t="s">
        <v>2243</v>
      </c>
      <c r="F1065" s="12" t="s">
        <v>98</v>
      </c>
      <c r="G1065" s="33">
        <v>3</v>
      </c>
      <c r="H1065" s="33">
        <v>21</v>
      </c>
      <c r="I1065" s="12" t="s">
        <v>38</v>
      </c>
      <c r="J1065" s="12" t="s">
        <v>39</v>
      </c>
      <c r="K1065" s="73" t="s">
        <v>29</v>
      </c>
      <c r="L1065" s="13">
        <v>54714</v>
      </c>
      <c r="M1065" s="13">
        <v>0</v>
      </c>
      <c r="N1065" s="13">
        <v>0</v>
      </c>
      <c r="O1065" s="13">
        <v>3925</v>
      </c>
      <c r="P1065" s="13">
        <v>0</v>
      </c>
      <c r="Q1065" s="13">
        <v>50789</v>
      </c>
      <c r="R1065" s="13">
        <v>1436</v>
      </c>
      <c r="S1065" s="13">
        <v>2</v>
      </c>
      <c r="T1065" s="13">
        <v>0</v>
      </c>
      <c r="U1065" s="12" t="str">
        <f t="shared" si="64"/>
        <v>Privado Estrangeiro</v>
      </c>
      <c r="V1065" s="14">
        <f t="shared" si="65"/>
        <v>0</v>
      </c>
      <c r="W1065" s="14">
        <f t="shared" si="66"/>
        <v>2.8273838823367266E-2</v>
      </c>
      <c r="X1065" s="12" t="str">
        <f t="shared" si="67"/>
        <v>Média/Pequena</v>
      </c>
      <c r="Y1065" s="122" t="str" cm="1">
        <f t="array" ref="Y1065">_xlfn.IFS(ISNUMBER(W1065)=FALSE,"Sem dado",W1065&gt;0.075,"Excelente",W1065&gt;0.04,"Bom",W1065&gt;0,"Fraco",TRUE,"Prejuízo")</f>
        <v>Fraco</v>
      </c>
    </row>
    <row r="1066" spans="1:25" ht="15" customHeight="1" x14ac:dyDescent="0.2">
      <c r="A1066" s="15" t="s">
        <v>2244</v>
      </c>
      <c r="B1066" s="60">
        <v>24074692</v>
      </c>
      <c r="C1066" s="15" t="s">
        <v>2245</v>
      </c>
      <c r="D1066" s="15"/>
      <c r="E1066" s="15" t="s">
        <v>2246</v>
      </c>
      <c r="F1066" s="15" t="s">
        <v>98</v>
      </c>
      <c r="G1066" s="34">
        <v>2</v>
      </c>
      <c r="H1066" s="34">
        <v>21</v>
      </c>
      <c r="I1066" s="15" t="s">
        <v>38</v>
      </c>
      <c r="J1066" s="15" t="s">
        <v>39</v>
      </c>
      <c r="K1066" s="74" t="s">
        <v>29</v>
      </c>
      <c r="L1066" s="16">
        <v>54475</v>
      </c>
      <c r="M1066" s="16">
        <v>0</v>
      </c>
      <c r="N1066" s="16">
        <v>7116</v>
      </c>
      <c r="O1066" s="16">
        <v>43003</v>
      </c>
      <c r="P1066" s="16">
        <v>0</v>
      </c>
      <c r="Q1066" s="16">
        <v>11473</v>
      </c>
      <c r="R1066" s="16">
        <v>553</v>
      </c>
      <c r="S1066" s="16">
        <v>2</v>
      </c>
      <c r="T1066" s="16">
        <v>0</v>
      </c>
      <c r="U1066" s="15" t="str">
        <f t="shared" si="64"/>
        <v>Privado Nacional</v>
      </c>
      <c r="V1066" s="17">
        <f t="shared" si="65"/>
        <v>0</v>
      </c>
      <c r="W1066" s="17">
        <f t="shared" si="66"/>
        <v>4.8200122025625382E-2</v>
      </c>
      <c r="X1066" s="15" t="str">
        <f t="shared" si="67"/>
        <v>Média/Pequena</v>
      </c>
      <c r="Y1066" s="121" t="str" cm="1">
        <f t="array" ref="Y1066">_xlfn.IFS(ISNUMBER(W1066)=FALSE,"Sem dado",W1066&gt;0.075,"Excelente",W1066&gt;0.04,"Bom",W1066&gt;0,"Fraco",TRUE,"Prejuízo")</f>
        <v>Bom</v>
      </c>
    </row>
    <row r="1067" spans="1:25" ht="15" customHeight="1" x14ac:dyDescent="0.2">
      <c r="A1067" s="12" t="s">
        <v>2247</v>
      </c>
      <c r="B1067" s="56">
        <v>9004796</v>
      </c>
      <c r="C1067" s="12"/>
      <c r="D1067" s="12"/>
      <c r="E1067" s="12"/>
      <c r="F1067" s="12" t="s">
        <v>265</v>
      </c>
      <c r="G1067" s="33">
        <v>2</v>
      </c>
      <c r="H1067" s="33">
        <v>9</v>
      </c>
      <c r="I1067" s="12" t="s">
        <v>1933</v>
      </c>
      <c r="J1067" s="12" t="s">
        <v>39</v>
      </c>
      <c r="K1067" s="73" t="s">
        <v>29</v>
      </c>
      <c r="L1067" s="13">
        <v>54458</v>
      </c>
      <c r="M1067" s="13">
        <v>22284</v>
      </c>
      <c r="N1067" s="13">
        <v>29313</v>
      </c>
      <c r="O1067" s="13">
        <v>41638</v>
      </c>
      <c r="P1067" s="13">
        <v>39610</v>
      </c>
      <c r="Q1067" s="13">
        <v>12820</v>
      </c>
      <c r="R1067" s="13">
        <v>148</v>
      </c>
      <c r="S1067" s="13">
        <v>0</v>
      </c>
      <c r="T1067" s="13">
        <v>2</v>
      </c>
      <c r="U1067" s="12" t="str">
        <f t="shared" si="64"/>
        <v>Privado Nacional</v>
      </c>
      <c r="V1067" s="14">
        <f t="shared" si="65"/>
        <v>0.40919607771126371</v>
      </c>
      <c r="W1067" s="14">
        <f t="shared" si="66"/>
        <v>1.1544461778471139E-2</v>
      </c>
      <c r="X1067" s="12" t="str">
        <f t="shared" si="67"/>
        <v>Média/Pequena</v>
      </c>
      <c r="Y1067" s="122" t="str" cm="1">
        <f t="array" ref="Y1067">_xlfn.IFS(ISNUMBER(W1067)=FALSE,"Sem dado",W1067&gt;0.075,"Excelente",W1067&gt;0.04,"Bom",W1067&gt;0,"Fraco",TRUE,"Prejuízo")</f>
        <v>Fraco</v>
      </c>
    </row>
    <row r="1068" spans="1:25" ht="15" customHeight="1" x14ac:dyDescent="0.2">
      <c r="A1068" s="15" t="s">
        <v>2248</v>
      </c>
      <c r="B1068" s="60">
        <v>83325811</v>
      </c>
      <c r="C1068" s="15"/>
      <c r="D1068" s="15"/>
      <c r="E1068" s="15"/>
      <c r="F1068" s="15" t="s">
        <v>265</v>
      </c>
      <c r="G1068" s="34">
        <v>2</v>
      </c>
      <c r="H1068" s="34">
        <v>9</v>
      </c>
      <c r="I1068" s="15" t="s">
        <v>143</v>
      </c>
      <c r="J1068" s="15" t="s">
        <v>144</v>
      </c>
      <c r="K1068" s="74" t="s">
        <v>29</v>
      </c>
      <c r="L1068" s="16">
        <v>54012</v>
      </c>
      <c r="M1068" s="16">
        <v>21456</v>
      </c>
      <c r="N1068" s="16">
        <v>3089</v>
      </c>
      <c r="O1068" s="16">
        <v>11858</v>
      </c>
      <c r="P1068" s="16">
        <v>0</v>
      </c>
      <c r="Q1068" s="16">
        <v>42154</v>
      </c>
      <c r="R1068" s="16">
        <v>2583</v>
      </c>
      <c r="S1068" s="16">
        <v>0</v>
      </c>
      <c r="T1068" s="16">
        <v>0</v>
      </c>
      <c r="U1068" s="15" t="str">
        <f t="shared" si="64"/>
        <v>Privado Nacional</v>
      </c>
      <c r="V1068" s="17">
        <f t="shared" si="65"/>
        <v>0.39724505665407689</v>
      </c>
      <c r="W1068" s="17">
        <f t="shared" si="66"/>
        <v>6.1275323812686813E-2</v>
      </c>
      <c r="X1068" s="15" t="str">
        <f t="shared" si="67"/>
        <v>Média/Pequena</v>
      </c>
      <c r="Y1068" s="121" t="str" cm="1">
        <f t="array" ref="Y1068">_xlfn.IFS(ISNUMBER(W1068)=FALSE,"Sem dado",W1068&gt;0.075,"Excelente",W1068&gt;0.04,"Bom",W1068&gt;0,"Fraco",TRUE,"Prejuízo")</f>
        <v>Bom</v>
      </c>
    </row>
    <row r="1069" spans="1:25" ht="15" customHeight="1" x14ac:dyDescent="0.2">
      <c r="A1069" s="12" t="s">
        <v>2249</v>
      </c>
      <c r="B1069" s="56">
        <v>10769660</v>
      </c>
      <c r="C1069" s="12" t="s">
        <v>2250</v>
      </c>
      <c r="D1069" s="12"/>
      <c r="E1069" s="12" t="s">
        <v>2251</v>
      </c>
      <c r="F1069" s="12" t="s">
        <v>65</v>
      </c>
      <c r="G1069" s="33">
        <v>1</v>
      </c>
      <c r="H1069" s="33">
        <v>30</v>
      </c>
      <c r="I1069" s="12" t="s">
        <v>818</v>
      </c>
      <c r="J1069" s="12" t="s">
        <v>819</v>
      </c>
      <c r="K1069" s="73" t="s">
        <v>29</v>
      </c>
      <c r="L1069" s="13">
        <v>53901</v>
      </c>
      <c r="M1069" s="13">
        <v>21420</v>
      </c>
      <c r="N1069" s="13">
        <v>30469</v>
      </c>
      <c r="O1069" s="13">
        <v>19874</v>
      </c>
      <c r="P1069" s="13">
        <v>17651</v>
      </c>
      <c r="Q1069" s="13">
        <v>34027</v>
      </c>
      <c r="R1069" s="13">
        <v>-5726</v>
      </c>
      <c r="S1069" s="13">
        <v>1</v>
      </c>
      <c r="T1069" s="13">
        <v>0</v>
      </c>
      <c r="U1069" s="12" t="str">
        <f t="shared" si="64"/>
        <v>Público</v>
      </c>
      <c r="V1069" s="14">
        <f t="shared" si="65"/>
        <v>0.39739522457839371</v>
      </c>
      <c r="W1069" s="14">
        <f t="shared" si="66"/>
        <v>-0.1682781320715902</v>
      </c>
      <c r="X1069" s="12" t="str">
        <f t="shared" si="67"/>
        <v>Média/Pequena</v>
      </c>
      <c r="Y1069" s="122" t="str" cm="1">
        <f t="array" ref="Y1069">_xlfn.IFS(ISNUMBER(W1069)=FALSE,"Sem dado",W1069&gt;0.075,"Excelente",W1069&gt;0.04,"Bom",W1069&gt;0,"Fraco",TRUE,"Prejuízo")</f>
        <v>Prejuízo</v>
      </c>
    </row>
    <row r="1070" spans="1:25" ht="15" customHeight="1" x14ac:dyDescent="0.2">
      <c r="A1070" s="15" t="s">
        <v>2252</v>
      </c>
      <c r="B1070" s="60">
        <v>11406965</v>
      </c>
      <c r="C1070" s="15" t="s">
        <v>464</v>
      </c>
      <c r="D1070" s="15" t="s">
        <v>465</v>
      </c>
      <c r="E1070" s="15" t="s">
        <v>466</v>
      </c>
      <c r="F1070" s="15" t="s">
        <v>98</v>
      </c>
      <c r="G1070" s="34">
        <v>3</v>
      </c>
      <c r="H1070" s="34">
        <v>16</v>
      </c>
      <c r="I1070" s="15" t="s">
        <v>38</v>
      </c>
      <c r="J1070" s="15" t="s">
        <v>39</v>
      </c>
      <c r="K1070" s="74" t="s">
        <v>29</v>
      </c>
      <c r="L1070" s="16">
        <v>53699</v>
      </c>
      <c r="M1070" s="16">
        <v>0</v>
      </c>
      <c r="N1070" s="16">
        <v>46857</v>
      </c>
      <c r="O1070" s="16">
        <v>4398</v>
      </c>
      <c r="P1070" s="16">
        <v>0</v>
      </c>
      <c r="Q1070" s="16">
        <v>49301</v>
      </c>
      <c r="R1070" s="16">
        <v>729</v>
      </c>
      <c r="S1070" s="16">
        <v>2</v>
      </c>
      <c r="T1070" s="16">
        <v>0</v>
      </c>
      <c r="U1070" s="15" t="str">
        <f t="shared" si="64"/>
        <v>Privado Estrangeiro</v>
      </c>
      <c r="V1070" s="17">
        <f t="shared" si="65"/>
        <v>0</v>
      </c>
      <c r="W1070" s="17">
        <f t="shared" si="66"/>
        <v>1.4786718322143568E-2</v>
      </c>
      <c r="X1070" s="15" t="str">
        <f t="shared" si="67"/>
        <v>Média/Pequena</v>
      </c>
      <c r="Y1070" s="121" t="str" cm="1">
        <f t="array" ref="Y1070">_xlfn.IFS(ISNUMBER(W1070)=FALSE,"Sem dado",W1070&gt;0.075,"Excelente",W1070&gt;0.04,"Bom",W1070&gt;0,"Fraco",TRUE,"Prejuízo")</f>
        <v>Fraco</v>
      </c>
    </row>
    <row r="1071" spans="1:25" ht="15" customHeight="1" x14ac:dyDescent="0.2">
      <c r="A1071" s="12" t="s">
        <v>2253</v>
      </c>
      <c r="B1071" s="56">
        <v>1864151</v>
      </c>
      <c r="C1071" s="12"/>
      <c r="D1071" s="12"/>
      <c r="E1071" s="12"/>
      <c r="F1071" s="12" t="s">
        <v>265</v>
      </c>
      <c r="G1071" s="33">
        <v>2</v>
      </c>
      <c r="H1071" s="33">
        <v>9</v>
      </c>
      <c r="I1071" s="12" t="s">
        <v>119</v>
      </c>
      <c r="J1071" s="12" t="s">
        <v>120</v>
      </c>
      <c r="K1071" s="73" t="s">
        <v>29</v>
      </c>
      <c r="L1071" s="13">
        <v>53539</v>
      </c>
      <c r="M1071" s="13">
        <v>32947</v>
      </c>
      <c r="N1071" s="13">
        <v>6374</v>
      </c>
      <c r="O1071" s="13">
        <v>27418</v>
      </c>
      <c r="P1071" s="13">
        <v>25458</v>
      </c>
      <c r="Q1071" s="13">
        <v>26122</v>
      </c>
      <c r="R1071" s="13">
        <v>1314</v>
      </c>
      <c r="S1071" s="13">
        <v>0</v>
      </c>
      <c r="T1071" s="13">
        <v>2</v>
      </c>
      <c r="U1071" s="12" t="str">
        <f t="shared" si="64"/>
        <v>Privado Nacional</v>
      </c>
      <c r="V1071" s="14">
        <f t="shared" si="65"/>
        <v>0.61538317861745639</v>
      </c>
      <c r="W1071" s="14">
        <f t="shared" si="66"/>
        <v>5.0302427072965318E-2</v>
      </c>
      <c r="X1071" s="12" t="str">
        <f t="shared" si="67"/>
        <v>Média/Pequena</v>
      </c>
      <c r="Y1071" s="122" t="str" cm="1">
        <f t="array" ref="Y1071">_xlfn.IFS(ISNUMBER(W1071)=FALSE,"Sem dado",W1071&gt;0.075,"Excelente",W1071&gt;0.04,"Bom",W1071&gt;0,"Fraco",TRUE,"Prejuízo")</f>
        <v>Bom</v>
      </c>
    </row>
    <row r="1072" spans="1:25" ht="15" customHeight="1" x14ac:dyDescent="0.2">
      <c r="A1072" s="15" t="s">
        <v>2254</v>
      </c>
      <c r="B1072" s="60">
        <v>52440987</v>
      </c>
      <c r="C1072" s="15" t="s">
        <v>2255</v>
      </c>
      <c r="D1072" s="15"/>
      <c r="E1072" s="15" t="s">
        <v>2256</v>
      </c>
      <c r="F1072" s="15" t="s">
        <v>65</v>
      </c>
      <c r="G1072" s="34">
        <v>2</v>
      </c>
      <c r="H1072" s="34">
        <v>43</v>
      </c>
      <c r="I1072" s="15" t="s">
        <v>587</v>
      </c>
      <c r="J1072" s="15" t="s">
        <v>39</v>
      </c>
      <c r="K1072" s="74" t="s">
        <v>29</v>
      </c>
      <c r="L1072" s="16">
        <v>53464</v>
      </c>
      <c r="M1072" s="16">
        <v>30</v>
      </c>
      <c r="N1072" s="16">
        <v>5973</v>
      </c>
      <c r="O1072" s="16">
        <v>48125</v>
      </c>
      <c r="P1072" s="16">
        <v>34230</v>
      </c>
      <c r="Q1072" s="16">
        <v>5339</v>
      </c>
      <c r="R1072" s="16">
        <v>-504</v>
      </c>
      <c r="S1072" s="16">
        <v>2</v>
      </c>
      <c r="T1072" s="16">
        <v>0</v>
      </c>
      <c r="U1072" s="15" t="str">
        <f t="shared" si="64"/>
        <v>Privado Nacional</v>
      </c>
      <c r="V1072" s="17">
        <f t="shared" si="65"/>
        <v>5.6112524315427199E-4</v>
      </c>
      <c r="W1072" s="17">
        <f t="shared" si="66"/>
        <v>-9.4399700318411689E-2</v>
      </c>
      <c r="X1072" s="15" t="str">
        <f t="shared" si="67"/>
        <v>Média/Pequena</v>
      </c>
      <c r="Y1072" s="121" t="str" cm="1">
        <f t="array" ref="Y1072">_xlfn.IFS(ISNUMBER(W1072)=FALSE,"Sem dado",W1072&gt;0.075,"Excelente",W1072&gt;0.04,"Bom",W1072&gt;0,"Fraco",TRUE,"Prejuízo")</f>
        <v>Prejuízo</v>
      </c>
    </row>
    <row r="1073" spans="1:25" ht="15" customHeight="1" x14ac:dyDescent="0.2">
      <c r="A1073" s="12" t="s">
        <v>2257</v>
      </c>
      <c r="B1073" s="56">
        <v>92764489</v>
      </c>
      <c r="C1073" s="12" t="s">
        <v>296</v>
      </c>
      <c r="D1073" s="12" t="s">
        <v>297</v>
      </c>
      <c r="E1073" s="12" t="s">
        <v>298</v>
      </c>
      <c r="F1073" s="12" t="s">
        <v>65</v>
      </c>
      <c r="G1073" s="33">
        <v>3</v>
      </c>
      <c r="H1073" s="33">
        <v>14</v>
      </c>
      <c r="I1073" s="12" t="s">
        <v>38</v>
      </c>
      <c r="J1073" s="12" t="s">
        <v>39</v>
      </c>
      <c r="K1073" s="73" t="s">
        <v>29</v>
      </c>
      <c r="L1073" s="13">
        <v>52762</v>
      </c>
      <c r="M1073" s="13">
        <v>4140</v>
      </c>
      <c r="N1073" s="13">
        <v>0</v>
      </c>
      <c r="O1073" s="13">
        <v>50474</v>
      </c>
      <c r="P1073" s="13">
        <v>1615</v>
      </c>
      <c r="Q1073" s="13">
        <v>2288</v>
      </c>
      <c r="R1073" s="13">
        <v>3366</v>
      </c>
      <c r="S1073" s="13">
        <v>1</v>
      </c>
      <c r="T1073" s="13">
        <v>0</v>
      </c>
      <c r="U1073" s="12" t="str">
        <f t="shared" si="64"/>
        <v>Privado Estrangeiro</v>
      </c>
      <c r="V1073" s="14">
        <f t="shared" si="65"/>
        <v>7.8465562336530084E-2</v>
      </c>
      <c r="W1073" s="14">
        <f t="shared" si="66"/>
        <v>1.4711538461538463</v>
      </c>
      <c r="X1073" s="12" t="str">
        <f t="shared" si="67"/>
        <v>Média/Pequena</v>
      </c>
      <c r="Y1073" s="122" t="str" cm="1">
        <f t="array" ref="Y1073">_xlfn.IFS(ISNUMBER(W1073)=FALSE,"Sem dado",W1073&gt;0.075,"Excelente",W1073&gt;0.04,"Bom",W1073&gt;0,"Fraco",TRUE,"Prejuízo")</f>
        <v>Excelente</v>
      </c>
    </row>
    <row r="1074" spans="1:25" ht="15" customHeight="1" x14ac:dyDescent="0.2">
      <c r="A1074" s="15" t="s">
        <v>2258</v>
      </c>
      <c r="B1074" s="60">
        <v>12272183</v>
      </c>
      <c r="C1074" s="15"/>
      <c r="D1074" s="15"/>
      <c r="E1074" s="15"/>
      <c r="F1074" s="15" t="s">
        <v>265</v>
      </c>
      <c r="G1074" s="34">
        <v>2</v>
      </c>
      <c r="H1074" s="34">
        <v>9</v>
      </c>
      <c r="I1074" s="15" t="s">
        <v>818</v>
      </c>
      <c r="J1074" s="15" t="s">
        <v>819</v>
      </c>
      <c r="K1074" s="74" t="s">
        <v>29</v>
      </c>
      <c r="L1074" s="16">
        <v>52508</v>
      </c>
      <c r="M1074" s="16">
        <v>14416</v>
      </c>
      <c r="N1074" s="16">
        <v>35946</v>
      </c>
      <c r="O1074" s="16">
        <v>3230</v>
      </c>
      <c r="P1074" s="16">
        <v>1832</v>
      </c>
      <c r="Q1074" s="16">
        <v>49279</v>
      </c>
      <c r="R1074" s="16">
        <v>1224</v>
      </c>
      <c r="S1074" s="16">
        <v>0</v>
      </c>
      <c r="T1074" s="16">
        <v>0</v>
      </c>
      <c r="U1074" s="15" t="str">
        <f t="shared" si="64"/>
        <v>Privado Nacional</v>
      </c>
      <c r="V1074" s="17">
        <f t="shared" si="65"/>
        <v>0.27454864020720654</v>
      </c>
      <c r="W1074" s="17">
        <f t="shared" si="66"/>
        <v>2.4838166358895269E-2</v>
      </c>
      <c r="X1074" s="15" t="str">
        <f t="shared" si="67"/>
        <v>Média/Pequena</v>
      </c>
      <c r="Y1074" s="121" t="str" cm="1">
        <f t="array" ref="Y1074">_xlfn.IFS(ISNUMBER(W1074)=FALSE,"Sem dado",W1074&gt;0.075,"Excelente",W1074&gt;0.04,"Bom",W1074&gt;0,"Fraco",TRUE,"Prejuízo")</f>
        <v>Fraco</v>
      </c>
    </row>
    <row r="1075" spans="1:25" ht="15" customHeight="1" x14ac:dyDescent="0.2">
      <c r="A1075" s="12" t="s">
        <v>2259</v>
      </c>
      <c r="B1075" s="56">
        <v>2024442</v>
      </c>
      <c r="C1075" s="12"/>
      <c r="D1075" s="12"/>
      <c r="E1075" s="12"/>
      <c r="F1075" s="12" t="s">
        <v>265</v>
      </c>
      <c r="G1075" s="33">
        <v>2</v>
      </c>
      <c r="H1075" s="33">
        <v>9</v>
      </c>
      <c r="I1075" s="12" t="s">
        <v>2260</v>
      </c>
      <c r="J1075" s="12" t="s">
        <v>39</v>
      </c>
      <c r="K1075" s="73" t="s">
        <v>29</v>
      </c>
      <c r="L1075" s="13">
        <v>52454</v>
      </c>
      <c r="M1075" s="13">
        <v>44438</v>
      </c>
      <c r="N1075" s="13">
        <v>3534</v>
      </c>
      <c r="O1075" s="13">
        <v>2111</v>
      </c>
      <c r="P1075" s="13">
        <v>0</v>
      </c>
      <c r="Q1075" s="13">
        <v>50342</v>
      </c>
      <c r="R1075" s="13">
        <v>4543</v>
      </c>
      <c r="S1075" s="13">
        <v>0</v>
      </c>
      <c r="T1075" s="13">
        <v>0</v>
      </c>
      <c r="U1075" s="12" t="str">
        <f t="shared" si="64"/>
        <v>Privado Nacional</v>
      </c>
      <c r="V1075" s="14">
        <f t="shared" si="65"/>
        <v>0.84718038662447093</v>
      </c>
      <c r="W1075" s="14">
        <f t="shared" si="66"/>
        <v>9.0242739660720675E-2</v>
      </c>
      <c r="X1075" s="12" t="str">
        <f t="shared" si="67"/>
        <v>Média/Pequena</v>
      </c>
      <c r="Y1075" s="122" t="str" cm="1">
        <f t="array" ref="Y1075">_xlfn.IFS(ISNUMBER(W1075)=FALSE,"Sem dado",W1075&gt;0.075,"Excelente",W1075&gt;0.04,"Bom",W1075&gt;0,"Fraco",TRUE,"Prejuízo")</f>
        <v>Excelente</v>
      </c>
    </row>
    <row r="1076" spans="1:25" ht="15" customHeight="1" x14ac:dyDescent="0.2">
      <c r="A1076" s="15" t="s">
        <v>2261</v>
      </c>
      <c r="B1076" s="60">
        <v>40434681</v>
      </c>
      <c r="C1076" s="15" t="s">
        <v>2262</v>
      </c>
      <c r="D1076" s="15"/>
      <c r="E1076" s="15" t="s">
        <v>2263</v>
      </c>
      <c r="F1076" s="15" t="s">
        <v>98</v>
      </c>
      <c r="G1076" s="34">
        <v>2</v>
      </c>
      <c r="H1076" s="34">
        <v>16</v>
      </c>
      <c r="I1076" s="15" t="s">
        <v>38</v>
      </c>
      <c r="J1076" s="15" t="s">
        <v>39</v>
      </c>
      <c r="K1076" s="74" t="s">
        <v>29</v>
      </c>
      <c r="L1076" s="16">
        <v>52319</v>
      </c>
      <c r="M1076" s="16">
        <v>0</v>
      </c>
      <c r="N1076" s="16">
        <v>7389</v>
      </c>
      <c r="O1076" s="16">
        <v>44779</v>
      </c>
      <c r="P1076" s="16">
        <v>42532</v>
      </c>
      <c r="Q1076" s="16">
        <v>7539</v>
      </c>
      <c r="R1076" s="16">
        <v>625</v>
      </c>
      <c r="S1076" s="16">
        <v>2</v>
      </c>
      <c r="T1076" s="16">
        <v>0</v>
      </c>
      <c r="U1076" s="15" t="str">
        <f t="shared" si="64"/>
        <v>Privado Nacional</v>
      </c>
      <c r="V1076" s="17">
        <f t="shared" si="65"/>
        <v>0</v>
      </c>
      <c r="W1076" s="17">
        <f t="shared" si="66"/>
        <v>8.2902241676614932E-2</v>
      </c>
      <c r="X1076" s="15" t="str">
        <f t="shared" si="67"/>
        <v>Média/Pequena</v>
      </c>
      <c r="Y1076" s="121" t="str" cm="1">
        <f t="array" ref="Y1076">_xlfn.IFS(ISNUMBER(W1076)=FALSE,"Sem dado",W1076&gt;0.075,"Excelente",W1076&gt;0.04,"Bom",W1076&gt;0,"Fraco",TRUE,"Prejuízo")</f>
        <v>Excelente</v>
      </c>
    </row>
    <row r="1077" spans="1:25" ht="15" customHeight="1" x14ac:dyDescent="0.2">
      <c r="A1077" s="12" t="s">
        <v>2264</v>
      </c>
      <c r="B1077" s="56">
        <v>67030395</v>
      </c>
      <c r="C1077" s="12" t="s">
        <v>2265</v>
      </c>
      <c r="D1077" s="12" t="s">
        <v>2266</v>
      </c>
      <c r="E1077" s="12" t="s">
        <v>2266</v>
      </c>
      <c r="F1077" s="12" t="s">
        <v>98</v>
      </c>
      <c r="G1077" s="33">
        <v>2</v>
      </c>
      <c r="H1077" s="33">
        <v>16</v>
      </c>
      <c r="I1077" s="12" t="s">
        <v>38</v>
      </c>
      <c r="J1077" s="12" t="s">
        <v>39</v>
      </c>
      <c r="K1077" s="73" t="s">
        <v>29</v>
      </c>
      <c r="L1077" s="13">
        <v>51546</v>
      </c>
      <c r="M1077" s="13">
        <v>0</v>
      </c>
      <c r="N1077" s="13">
        <v>456</v>
      </c>
      <c r="O1077" s="13">
        <v>34524</v>
      </c>
      <c r="P1077" s="13">
        <v>16449</v>
      </c>
      <c r="Q1077" s="13">
        <v>17022</v>
      </c>
      <c r="R1077" s="13">
        <v>-4739</v>
      </c>
      <c r="S1077" s="13">
        <v>2</v>
      </c>
      <c r="T1077" s="13">
        <v>0</v>
      </c>
      <c r="U1077" s="12" t="str">
        <f t="shared" si="64"/>
        <v>Privado Nacional</v>
      </c>
      <c r="V1077" s="14">
        <f t="shared" si="65"/>
        <v>0</v>
      </c>
      <c r="W1077" s="14">
        <f t="shared" si="66"/>
        <v>-0.27840441781224295</v>
      </c>
      <c r="X1077" s="12" t="str">
        <f t="shared" si="67"/>
        <v>Média/Pequena</v>
      </c>
      <c r="Y1077" s="122" t="str" cm="1">
        <f t="array" ref="Y1077">_xlfn.IFS(ISNUMBER(W1077)=FALSE,"Sem dado",W1077&gt;0.075,"Excelente",W1077&gt;0.04,"Bom",W1077&gt;0,"Fraco",TRUE,"Prejuízo")</f>
        <v>Prejuízo</v>
      </c>
    </row>
    <row r="1078" spans="1:25" ht="15" customHeight="1" x14ac:dyDescent="0.2">
      <c r="A1078" s="15" t="s">
        <v>2267</v>
      </c>
      <c r="B1078" s="60">
        <v>18520834</v>
      </c>
      <c r="C1078" s="15" t="s">
        <v>352</v>
      </c>
      <c r="D1078" s="15" t="s">
        <v>353</v>
      </c>
      <c r="E1078" s="15" t="s">
        <v>354</v>
      </c>
      <c r="F1078" s="15" t="s">
        <v>60</v>
      </c>
      <c r="G1078" s="34">
        <v>3</v>
      </c>
      <c r="H1078" s="34">
        <v>13</v>
      </c>
      <c r="I1078" s="15" t="s">
        <v>38</v>
      </c>
      <c r="J1078" s="15" t="s">
        <v>39</v>
      </c>
      <c r="K1078" s="74" t="s">
        <v>29</v>
      </c>
      <c r="L1078" s="16">
        <v>51316</v>
      </c>
      <c r="M1078" s="16">
        <v>0</v>
      </c>
      <c r="N1078" s="16">
        <v>38778</v>
      </c>
      <c r="O1078" s="16">
        <v>1616</v>
      </c>
      <c r="P1078" s="16">
        <v>0</v>
      </c>
      <c r="Q1078" s="16">
        <v>49700</v>
      </c>
      <c r="R1078" s="16">
        <v>1316</v>
      </c>
      <c r="S1078" s="16">
        <v>2</v>
      </c>
      <c r="T1078" s="16">
        <v>0</v>
      </c>
      <c r="U1078" s="15" t="str">
        <f t="shared" si="64"/>
        <v>Privado Estrangeiro</v>
      </c>
      <c r="V1078" s="17">
        <f t="shared" si="65"/>
        <v>0</v>
      </c>
      <c r="W1078" s="17">
        <f t="shared" si="66"/>
        <v>2.647887323943662E-2</v>
      </c>
      <c r="X1078" s="15" t="str">
        <f t="shared" si="67"/>
        <v>Média/Pequena</v>
      </c>
      <c r="Y1078" s="121" t="str" cm="1">
        <f t="array" ref="Y1078">_xlfn.IFS(ISNUMBER(W1078)=FALSE,"Sem dado",W1078&gt;0.075,"Excelente",W1078&gt;0.04,"Bom",W1078&gt;0,"Fraco",TRUE,"Prejuízo")</f>
        <v>Fraco</v>
      </c>
    </row>
    <row r="1079" spans="1:25" ht="15" customHeight="1" x14ac:dyDescent="0.2">
      <c r="A1079" s="12" t="s">
        <v>2268</v>
      </c>
      <c r="B1079" s="56">
        <v>21040668</v>
      </c>
      <c r="C1079" s="12" t="s">
        <v>2269</v>
      </c>
      <c r="D1079" s="12"/>
      <c r="E1079" s="12" t="s">
        <v>2270</v>
      </c>
      <c r="F1079" s="12" t="s">
        <v>98</v>
      </c>
      <c r="G1079" s="33">
        <v>3</v>
      </c>
      <c r="H1079" s="33">
        <v>21</v>
      </c>
      <c r="I1079" s="12" t="s">
        <v>53</v>
      </c>
      <c r="J1079" s="12" t="s">
        <v>54</v>
      </c>
      <c r="K1079" s="73" t="s">
        <v>29</v>
      </c>
      <c r="L1079" s="13">
        <v>51011</v>
      </c>
      <c r="M1079" s="13">
        <v>0</v>
      </c>
      <c r="N1079" s="13">
        <v>8616</v>
      </c>
      <c r="O1079" s="13">
        <v>32039</v>
      </c>
      <c r="P1079" s="13">
        <v>29924</v>
      </c>
      <c r="Q1079" s="13">
        <v>18972</v>
      </c>
      <c r="R1079" s="13">
        <v>-2075</v>
      </c>
      <c r="S1079" s="13">
        <v>16</v>
      </c>
      <c r="T1079" s="13">
        <v>0</v>
      </c>
      <c r="U1079" s="12" t="str">
        <f t="shared" si="64"/>
        <v>Privado Estrangeiro</v>
      </c>
      <c r="V1079" s="14">
        <f t="shared" si="65"/>
        <v>0</v>
      </c>
      <c r="W1079" s="14">
        <f t="shared" si="66"/>
        <v>-0.10937170567151591</v>
      </c>
      <c r="X1079" s="12" t="str">
        <f t="shared" si="67"/>
        <v>Média/Pequena</v>
      </c>
      <c r="Y1079" s="122" t="str" cm="1">
        <f t="array" ref="Y1079">_xlfn.IFS(ISNUMBER(W1079)=FALSE,"Sem dado",W1079&gt;0.075,"Excelente",W1079&gt;0.04,"Bom",W1079&gt;0,"Fraco",TRUE,"Prejuízo")</f>
        <v>Prejuízo</v>
      </c>
    </row>
    <row r="1080" spans="1:25" ht="15" customHeight="1" x14ac:dyDescent="0.2">
      <c r="A1080" s="15" t="s">
        <v>2271</v>
      </c>
      <c r="B1080" s="60">
        <v>8257293</v>
      </c>
      <c r="C1080" s="15" t="s">
        <v>274</v>
      </c>
      <c r="D1080" s="15" t="s">
        <v>275</v>
      </c>
      <c r="E1080" s="15" t="s">
        <v>276</v>
      </c>
      <c r="F1080" s="15" t="s">
        <v>65</v>
      </c>
      <c r="G1080" s="34">
        <v>2</v>
      </c>
      <c r="H1080" s="34">
        <v>14</v>
      </c>
      <c r="I1080" s="15" t="s">
        <v>38</v>
      </c>
      <c r="J1080" s="15" t="s">
        <v>39</v>
      </c>
      <c r="K1080" s="74" t="s">
        <v>29</v>
      </c>
      <c r="L1080" s="16">
        <v>50741</v>
      </c>
      <c r="M1080" s="16">
        <v>0</v>
      </c>
      <c r="N1080" s="16">
        <v>11671</v>
      </c>
      <c r="O1080" s="16">
        <v>17731</v>
      </c>
      <c r="P1080" s="16">
        <v>0</v>
      </c>
      <c r="Q1080" s="16">
        <v>33010</v>
      </c>
      <c r="R1080" s="16">
        <v>1304</v>
      </c>
      <c r="S1080" s="16">
        <v>2</v>
      </c>
      <c r="T1080" s="16">
        <v>0</v>
      </c>
      <c r="U1080" s="15" t="str">
        <f t="shared" si="64"/>
        <v>Privado Nacional</v>
      </c>
      <c r="V1080" s="17">
        <f t="shared" si="65"/>
        <v>0</v>
      </c>
      <c r="W1080" s="17">
        <f t="shared" si="66"/>
        <v>3.9503180854286578E-2</v>
      </c>
      <c r="X1080" s="15" t="str">
        <f t="shared" si="67"/>
        <v>Média/Pequena</v>
      </c>
      <c r="Y1080" s="121" t="str" cm="1">
        <f t="array" ref="Y1080">_xlfn.IFS(ISNUMBER(W1080)=FALSE,"Sem dado",W1080&gt;0.075,"Excelente",W1080&gt;0.04,"Bom",W1080&gt;0,"Fraco",TRUE,"Prejuízo")</f>
        <v>Fraco</v>
      </c>
    </row>
    <row r="1081" spans="1:25" ht="15" customHeight="1" x14ac:dyDescent="0.2">
      <c r="A1081" s="12" t="s">
        <v>2272</v>
      </c>
      <c r="B1081" s="56">
        <v>9512542</v>
      </c>
      <c r="C1081" s="12" t="s">
        <v>2273</v>
      </c>
      <c r="D1081" s="12" t="s">
        <v>2274</v>
      </c>
      <c r="E1081" s="12" t="s">
        <v>2275</v>
      </c>
      <c r="F1081" s="12" t="s">
        <v>98</v>
      </c>
      <c r="G1081" s="33">
        <v>2</v>
      </c>
      <c r="H1081" s="33">
        <v>15</v>
      </c>
      <c r="I1081" s="12" t="s">
        <v>107</v>
      </c>
      <c r="J1081" s="12" t="s">
        <v>39</v>
      </c>
      <c r="K1081" s="73" t="s">
        <v>29</v>
      </c>
      <c r="L1081" s="13">
        <v>50241</v>
      </c>
      <c r="M1081" s="13">
        <v>0</v>
      </c>
      <c r="N1081" s="13">
        <v>46936</v>
      </c>
      <c r="O1081" s="13">
        <v>2735</v>
      </c>
      <c r="P1081" s="13">
        <v>546</v>
      </c>
      <c r="Q1081" s="13">
        <v>47506</v>
      </c>
      <c r="R1081" s="13">
        <v>448</v>
      </c>
      <c r="S1081" s="13">
        <v>3</v>
      </c>
      <c r="T1081" s="13">
        <v>0</v>
      </c>
      <c r="U1081" s="12" t="str">
        <f t="shared" si="64"/>
        <v>Privado Nacional</v>
      </c>
      <c r="V1081" s="14">
        <f t="shared" si="65"/>
        <v>0</v>
      </c>
      <c r="W1081" s="14">
        <f t="shared" si="66"/>
        <v>9.4303877404959373E-3</v>
      </c>
      <c r="X1081" s="12" t="str">
        <f t="shared" si="67"/>
        <v>Média/Pequena</v>
      </c>
      <c r="Y1081" s="122" t="str" cm="1">
        <f t="array" ref="Y1081">_xlfn.IFS(ISNUMBER(W1081)=FALSE,"Sem dado",W1081&gt;0.075,"Excelente",W1081&gt;0.04,"Bom",W1081&gt;0,"Fraco",TRUE,"Prejuízo")</f>
        <v>Fraco</v>
      </c>
    </row>
    <row r="1082" spans="1:25" ht="15" customHeight="1" x14ac:dyDescent="0.2">
      <c r="A1082" s="15" t="s">
        <v>2276</v>
      </c>
      <c r="B1082" s="60">
        <v>44292580</v>
      </c>
      <c r="C1082" s="15" t="s">
        <v>2277</v>
      </c>
      <c r="D1082" s="15"/>
      <c r="E1082" s="15" t="s">
        <v>2278</v>
      </c>
      <c r="F1082" s="15" t="s">
        <v>65</v>
      </c>
      <c r="G1082" s="34">
        <v>2</v>
      </c>
      <c r="H1082" s="34">
        <v>43</v>
      </c>
      <c r="I1082" s="15" t="s">
        <v>27</v>
      </c>
      <c r="J1082" s="15" t="s">
        <v>28</v>
      </c>
      <c r="K1082" s="74" t="s">
        <v>29</v>
      </c>
      <c r="L1082" s="16">
        <v>50017</v>
      </c>
      <c r="M1082" s="16">
        <v>57462</v>
      </c>
      <c r="N1082" s="16">
        <v>0</v>
      </c>
      <c r="O1082" s="16">
        <v>41748</v>
      </c>
      <c r="P1082" s="16">
        <v>24</v>
      </c>
      <c r="Q1082" s="16">
        <v>8269</v>
      </c>
      <c r="R1082" s="16">
        <v>2396</v>
      </c>
      <c r="S1082" s="16">
        <v>2</v>
      </c>
      <c r="T1082" s="16">
        <v>0</v>
      </c>
      <c r="U1082" s="15" t="str">
        <f t="shared" si="64"/>
        <v>Privado Nacional</v>
      </c>
      <c r="V1082" s="17">
        <f t="shared" si="65"/>
        <v>1.1488493912069897</v>
      </c>
      <c r="W1082" s="17">
        <f t="shared" si="66"/>
        <v>0.28975692344902648</v>
      </c>
      <c r="X1082" s="15" t="str">
        <f t="shared" si="67"/>
        <v>Média/Pequena</v>
      </c>
      <c r="Y1082" s="121" t="str" cm="1">
        <f t="array" ref="Y1082">_xlfn.IFS(ISNUMBER(W1082)=FALSE,"Sem dado",W1082&gt;0.075,"Excelente",W1082&gt;0.04,"Bom",W1082&gt;0,"Fraco",TRUE,"Prejuízo")</f>
        <v>Excelente</v>
      </c>
    </row>
    <row r="1083" spans="1:25" ht="15" customHeight="1" x14ac:dyDescent="0.2">
      <c r="A1083" s="12" t="s">
        <v>2279</v>
      </c>
      <c r="B1083" s="56">
        <v>46403683</v>
      </c>
      <c r="C1083" s="12" t="s">
        <v>137</v>
      </c>
      <c r="D1083" s="12" t="s">
        <v>160</v>
      </c>
      <c r="E1083" s="12" t="s">
        <v>138</v>
      </c>
      <c r="F1083" s="12" t="s">
        <v>98</v>
      </c>
      <c r="G1083" s="33">
        <v>2</v>
      </c>
      <c r="H1083" s="33">
        <v>15</v>
      </c>
      <c r="I1083" s="12" t="s">
        <v>38</v>
      </c>
      <c r="J1083" s="12" t="s">
        <v>39</v>
      </c>
      <c r="K1083" s="73" t="s">
        <v>29</v>
      </c>
      <c r="L1083" s="13">
        <v>48289</v>
      </c>
      <c r="M1083" s="13">
        <v>0</v>
      </c>
      <c r="N1083" s="13">
        <v>42359</v>
      </c>
      <c r="O1083" s="13">
        <v>2113</v>
      </c>
      <c r="P1083" s="13">
        <v>0</v>
      </c>
      <c r="Q1083" s="13">
        <v>46176</v>
      </c>
      <c r="R1083" s="13">
        <v>-1617</v>
      </c>
      <c r="S1083" s="13">
        <v>2</v>
      </c>
      <c r="T1083" s="13">
        <v>0</v>
      </c>
      <c r="U1083" s="12" t="str">
        <f t="shared" si="64"/>
        <v>Privado Nacional</v>
      </c>
      <c r="V1083" s="14">
        <f t="shared" si="65"/>
        <v>0</v>
      </c>
      <c r="W1083" s="14">
        <f t="shared" si="66"/>
        <v>-3.5018191268191265E-2</v>
      </c>
      <c r="X1083" s="12" t="str">
        <f t="shared" si="67"/>
        <v>Média/Pequena</v>
      </c>
      <c r="Y1083" s="122" t="str" cm="1">
        <f t="array" ref="Y1083">_xlfn.IFS(ISNUMBER(W1083)=FALSE,"Sem dado",W1083&gt;0.075,"Excelente",W1083&gt;0.04,"Bom",W1083&gt;0,"Fraco",TRUE,"Prejuízo")</f>
        <v>Prejuízo</v>
      </c>
    </row>
    <row r="1084" spans="1:25" ht="15" customHeight="1" x14ac:dyDescent="0.2">
      <c r="A1084" s="15" t="s">
        <v>2280</v>
      </c>
      <c r="B1084" s="60">
        <v>8609934</v>
      </c>
      <c r="C1084" s="15" t="s">
        <v>2281</v>
      </c>
      <c r="D1084" s="15"/>
      <c r="E1084" s="15" t="s">
        <v>2282</v>
      </c>
      <c r="F1084" s="15" t="s">
        <v>60</v>
      </c>
      <c r="G1084" s="34">
        <v>3</v>
      </c>
      <c r="H1084" s="34">
        <v>39</v>
      </c>
      <c r="I1084" s="15" t="s">
        <v>38</v>
      </c>
      <c r="J1084" s="15" t="s">
        <v>39</v>
      </c>
      <c r="K1084" s="74" t="s">
        <v>29</v>
      </c>
      <c r="L1084" s="16">
        <v>48096</v>
      </c>
      <c r="M1084" s="16">
        <v>0</v>
      </c>
      <c r="N1084" s="16">
        <v>0</v>
      </c>
      <c r="O1084" s="16">
        <v>27358</v>
      </c>
      <c r="P1084" s="16">
        <v>0</v>
      </c>
      <c r="Q1084" s="16">
        <v>20737</v>
      </c>
      <c r="R1084" s="16">
        <v>552</v>
      </c>
      <c r="S1084" s="16">
        <v>2</v>
      </c>
      <c r="T1084" s="16">
        <v>0</v>
      </c>
      <c r="U1084" s="15" t="str">
        <f t="shared" si="64"/>
        <v>Privado Estrangeiro</v>
      </c>
      <c r="V1084" s="17">
        <f t="shared" si="65"/>
        <v>0</v>
      </c>
      <c r="W1084" s="17">
        <f t="shared" si="66"/>
        <v>2.6619086656700583E-2</v>
      </c>
      <c r="X1084" s="15" t="str">
        <f t="shared" si="67"/>
        <v>Média/Pequena</v>
      </c>
      <c r="Y1084" s="121" t="str" cm="1">
        <f t="array" ref="Y1084">_xlfn.IFS(ISNUMBER(W1084)=FALSE,"Sem dado",W1084&gt;0.075,"Excelente",W1084&gt;0.04,"Bom",W1084&gt;0,"Fraco",TRUE,"Prejuízo")</f>
        <v>Fraco</v>
      </c>
    </row>
    <row r="1085" spans="1:25" ht="15" customHeight="1" x14ac:dyDescent="0.2">
      <c r="A1085" s="12" t="s">
        <v>2283</v>
      </c>
      <c r="B1085" s="56">
        <v>73622748</v>
      </c>
      <c r="C1085" s="12" t="s">
        <v>2284</v>
      </c>
      <c r="D1085" s="12"/>
      <c r="E1085" s="12" t="s">
        <v>2285</v>
      </c>
      <c r="F1085" s="12" t="s">
        <v>98</v>
      </c>
      <c r="G1085" s="33">
        <v>2</v>
      </c>
      <c r="H1085" s="33">
        <v>21</v>
      </c>
      <c r="I1085" s="12" t="s">
        <v>38</v>
      </c>
      <c r="J1085" s="12" t="s">
        <v>39</v>
      </c>
      <c r="K1085" s="73" t="s">
        <v>29</v>
      </c>
      <c r="L1085" s="13">
        <v>46931</v>
      </c>
      <c r="M1085" s="13">
        <v>0</v>
      </c>
      <c r="N1085" s="13">
        <v>1217</v>
      </c>
      <c r="O1085" s="13">
        <v>23228</v>
      </c>
      <c r="P1085" s="13">
        <v>0</v>
      </c>
      <c r="Q1085" s="13">
        <v>23704</v>
      </c>
      <c r="R1085" s="13">
        <v>-1385</v>
      </c>
      <c r="S1085" s="13">
        <v>4</v>
      </c>
      <c r="T1085" s="13">
        <v>0</v>
      </c>
      <c r="U1085" s="12" t="str">
        <f t="shared" si="64"/>
        <v>Privado Nacional</v>
      </c>
      <c r="V1085" s="14">
        <f t="shared" si="65"/>
        <v>0</v>
      </c>
      <c r="W1085" s="14">
        <f t="shared" si="66"/>
        <v>-5.8428957138035774E-2</v>
      </c>
      <c r="X1085" s="12" t="str">
        <f t="shared" si="67"/>
        <v>Média/Pequena</v>
      </c>
      <c r="Y1085" s="122" t="str" cm="1">
        <f t="array" ref="Y1085">_xlfn.IFS(ISNUMBER(W1085)=FALSE,"Sem dado",W1085&gt;0.075,"Excelente",W1085&gt;0.04,"Bom",W1085&gt;0,"Fraco",TRUE,"Prejuízo")</f>
        <v>Prejuízo</v>
      </c>
    </row>
    <row r="1086" spans="1:25" ht="15" customHeight="1" x14ac:dyDescent="0.2">
      <c r="A1086" s="15" t="s">
        <v>2286</v>
      </c>
      <c r="B1086" s="60">
        <v>35470647</v>
      </c>
      <c r="C1086" s="15" t="s">
        <v>2287</v>
      </c>
      <c r="D1086" s="15"/>
      <c r="E1086" s="15" t="s">
        <v>2288</v>
      </c>
      <c r="F1086" s="15" t="s">
        <v>98</v>
      </c>
      <c r="G1086" s="34">
        <v>3</v>
      </c>
      <c r="H1086" s="34">
        <v>16</v>
      </c>
      <c r="I1086" s="15" t="s">
        <v>165</v>
      </c>
      <c r="J1086" s="15" t="s">
        <v>39</v>
      </c>
      <c r="K1086" s="74" t="s">
        <v>29</v>
      </c>
      <c r="L1086" s="16">
        <v>46662</v>
      </c>
      <c r="M1086" s="16">
        <v>0</v>
      </c>
      <c r="N1086" s="16">
        <v>33589</v>
      </c>
      <c r="O1086" s="16">
        <v>12795</v>
      </c>
      <c r="P1086" s="16">
        <v>288</v>
      </c>
      <c r="Q1086" s="16">
        <v>33866</v>
      </c>
      <c r="R1086" s="16">
        <v>1049</v>
      </c>
      <c r="S1086" s="16">
        <v>2</v>
      </c>
      <c r="T1086" s="16">
        <v>0</v>
      </c>
      <c r="U1086" s="15" t="str">
        <f t="shared" si="64"/>
        <v>Privado Estrangeiro</v>
      </c>
      <c r="V1086" s="17">
        <f t="shared" si="65"/>
        <v>0</v>
      </c>
      <c r="W1086" s="17">
        <f t="shared" si="66"/>
        <v>3.0975019193291205E-2</v>
      </c>
      <c r="X1086" s="15" t="str">
        <f t="shared" si="67"/>
        <v>Média/Pequena</v>
      </c>
      <c r="Y1086" s="121" t="str" cm="1">
        <f t="array" ref="Y1086">_xlfn.IFS(ISNUMBER(W1086)=FALSE,"Sem dado",W1086&gt;0.075,"Excelente",W1086&gt;0.04,"Bom",W1086&gt;0,"Fraco",TRUE,"Prejuízo")</f>
        <v>Fraco</v>
      </c>
    </row>
    <row r="1087" spans="1:25" ht="15" customHeight="1" x14ac:dyDescent="0.2">
      <c r="A1087" s="12" t="s">
        <v>2289</v>
      </c>
      <c r="B1087" s="56">
        <v>3973814</v>
      </c>
      <c r="C1087" s="12"/>
      <c r="D1087" s="12"/>
      <c r="E1087" s="12"/>
      <c r="F1087" s="12" t="s">
        <v>265</v>
      </c>
      <c r="G1087" s="33">
        <v>2</v>
      </c>
      <c r="H1087" s="33">
        <v>9</v>
      </c>
      <c r="I1087" s="12" t="s">
        <v>73</v>
      </c>
      <c r="J1087" s="12" t="s">
        <v>74</v>
      </c>
      <c r="K1087" s="73" t="s">
        <v>29</v>
      </c>
      <c r="L1087" s="13">
        <v>45977</v>
      </c>
      <c r="M1087" s="13">
        <v>20401</v>
      </c>
      <c r="N1087" s="13">
        <v>20791</v>
      </c>
      <c r="O1087" s="13">
        <v>32233</v>
      </c>
      <c r="P1087" s="13">
        <v>29842</v>
      </c>
      <c r="Q1087" s="13">
        <v>13744</v>
      </c>
      <c r="R1087" s="13">
        <v>209</v>
      </c>
      <c r="S1087" s="13">
        <v>0</v>
      </c>
      <c r="T1087" s="13">
        <v>4</v>
      </c>
      <c r="U1087" s="12" t="str">
        <f t="shared" si="64"/>
        <v>Privado Nacional</v>
      </c>
      <c r="V1087" s="14">
        <f t="shared" si="65"/>
        <v>0.44372186093046523</v>
      </c>
      <c r="W1087" s="14">
        <f t="shared" si="66"/>
        <v>1.520663562281723E-2</v>
      </c>
      <c r="X1087" s="12" t="str">
        <f t="shared" si="67"/>
        <v>Média/Pequena</v>
      </c>
      <c r="Y1087" s="122" t="str" cm="1">
        <f t="array" ref="Y1087">_xlfn.IFS(ISNUMBER(W1087)=FALSE,"Sem dado",W1087&gt;0.075,"Excelente",W1087&gt;0.04,"Bom",W1087&gt;0,"Fraco",TRUE,"Prejuízo")</f>
        <v>Fraco</v>
      </c>
    </row>
    <row r="1088" spans="1:25" ht="15" customHeight="1" x14ac:dyDescent="0.2">
      <c r="A1088" s="15" t="s">
        <v>2290</v>
      </c>
      <c r="B1088" s="60">
        <v>39738065</v>
      </c>
      <c r="C1088" s="15" t="s">
        <v>2180</v>
      </c>
      <c r="D1088" s="15"/>
      <c r="E1088" s="15" t="s">
        <v>2181</v>
      </c>
      <c r="F1088" s="15" t="s">
        <v>65</v>
      </c>
      <c r="G1088" s="34">
        <v>2</v>
      </c>
      <c r="H1088" s="34">
        <v>43</v>
      </c>
      <c r="I1088" s="15" t="s">
        <v>414</v>
      </c>
      <c r="J1088" s="15" t="s">
        <v>74</v>
      </c>
      <c r="K1088" s="74" t="s">
        <v>29</v>
      </c>
      <c r="L1088" s="16">
        <v>45572</v>
      </c>
      <c r="M1088" s="16">
        <v>2727</v>
      </c>
      <c r="N1088" s="16">
        <v>203</v>
      </c>
      <c r="O1088" s="16">
        <v>31459</v>
      </c>
      <c r="P1088" s="16">
        <v>30762</v>
      </c>
      <c r="Q1088" s="16">
        <v>14112</v>
      </c>
      <c r="R1088" s="16">
        <v>185</v>
      </c>
      <c r="S1088" s="16">
        <v>2</v>
      </c>
      <c r="T1088" s="16">
        <v>0</v>
      </c>
      <c r="U1088" s="15" t="str">
        <f t="shared" si="64"/>
        <v>Privado Nacional</v>
      </c>
      <c r="V1088" s="17">
        <f t="shared" si="65"/>
        <v>5.9839375054858243E-2</v>
      </c>
      <c r="W1088" s="17">
        <f t="shared" si="66"/>
        <v>1.3109410430839002E-2</v>
      </c>
      <c r="X1088" s="15" t="str">
        <f t="shared" si="67"/>
        <v>Média/Pequena</v>
      </c>
      <c r="Y1088" s="121" t="str" cm="1">
        <f t="array" ref="Y1088">_xlfn.IFS(ISNUMBER(W1088)=FALSE,"Sem dado",W1088&gt;0.075,"Excelente",W1088&gt;0.04,"Bom",W1088&gt;0,"Fraco",TRUE,"Prejuízo")</f>
        <v>Fraco</v>
      </c>
    </row>
    <row r="1089" spans="1:25" ht="15" customHeight="1" x14ac:dyDescent="0.2">
      <c r="A1089" s="12" t="s">
        <v>2291</v>
      </c>
      <c r="B1089" s="56">
        <v>1062439</v>
      </c>
      <c r="C1089" s="12"/>
      <c r="D1089" s="12"/>
      <c r="E1089" s="12"/>
      <c r="F1089" s="12" t="s">
        <v>265</v>
      </c>
      <c r="G1089" s="33">
        <v>2</v>
      </c>
      <c r="H1089" s="33">
        <v>9</v>
      </c>
      <c r="I1089" s="12" t="s">
        <v>524</v>
      </c>
      <c r="J1089" s="12" t="s">
        <v>389</v>
      </c>
      <c r="K1089" s="73" t="s">
        <v>29</v>
      </c>
      <c r="L1089" s="13">
        <v>44405</v>
      </c>
      <c r="M1089" s="13">
        <v>20121</v>
      </c>
      <c r="N1089" s="13">
        <v>2622</v>
      </c>
      <c r="O1089" s="13">
        <v>20661</v>
      </c>
      <c r="P1089" s="13">
        <v>17666</v>
      </c>
      <c r="Q1089" s="13">
        <v>23744</v>
      </c>
      <c r="R1089" s="13">
        <v>1152</v>
      </c>
      <c r="S1089" s="13">
        <v>0</v>
      </c>
      <c r="T1089" s="13">
        <v>1</v>
      </c>
      <c r="U1089" s="12" t="str">
        <f t="shared" si="64"/>
        <v>Privado Nacional</v>
      </c>
      <c r="V1089" s="14">
        <f t="shared" si="65"/>
        <v>0.45312464812521114</v>
      </c>
      <c r="W1089" s="14">
        <f t="shared" si="66"/>
        <v>4.8517520215633422E-2</v>
      </c>
      <c r="X1089" s="12" t="str">
        <f t="shared" si="67"/>
        <v>Média/Pequena</v>
      </c>
      <c r="Y1089" s="122" t="str" cm="1">
        <f t="array" ref="Y1089">_xlfn.IFS(ISNUMBER(W1089)=FALSE,"Sem dado",W1089&gt;0.075,"Excelente",W1089&gt;0.04,"Bom",W1089&gt;0,"Fraco",TRUE,"Prejuízo")</f>
        <v>Bom</v>
      </c>
    </row>
    <row r="1090" spans="1:25" ht="15" customHeight="1" x14ac:dyDescent="0.2">
      <c r="A1090" s="15" t="s">
        <v>2292</v>
      </c>
      <c r="B1090" s="60">
        <v>4306351</v>
      </c>
      <c r="C1090" s="15"/>
      <c r="D1090" s="15"/>
      <c r="E1090" s="15"/>
      <c r="F1090" s="15" t="s">
        <v>265</v>
      </c>
      <c r="G1090" s="34">
        <v>2</v>
      </c>
      <c r="H1090" s="34">
        <v>9</v>
      </c>
      <c r="I1090" s="15" t="s">
        <v>38</v>
      </c>
      <c r="J1090" s="15" t="s">
        <v>39</v>
      </c>
      <c r="K1090" s="74" t="s">
        <v>29</v>
      </c>
      <c r="L1090" s="16">
        <v>44098</v>
      </c>
      <c r="M1090" s="16">
        <v>6399</v>
      </c>
      <c r="N1090" s="16">
        <v>25835</v>
      </c>
      <c r="O1090" s="16">
        <v>25837</v>
      </c>
      <c r="P1090" s="16">
        <v>24777</v>
      </c>
      <c r="Q1090" s="16">
        <v>18261</v>
      </c>
      <c r="R1090" s="16">
        <v>2138</v>
      </c>
      <c r="S1090" s="16">
        <v>0</v>
      </c>
      <c r="T1090" s="16">
        <v>0</v>
      </c>
      <c r="U1090" s="15" t="str">
        <f t="shared" si="64"/>
        <v>Privado Nacional</v>
      </c>
      <c r="V1090" s="17">
        <f t="shared" si="65"/>
        <v>0.14510862170619981</v>
      </c>
      <c r="W1090" s="17">
        <f t="shared" si="66"/>
        <v>0.11708011609440885</v>
      </c>
      <c r="X1090" s="15" t="str">
        <f t="shared" si="67"/>
        <v>Média/Pequena</v>
      </c>
      <c r="Y1090" s="121" t="str" cm="1">
        <f t="array" ref="Y1090">_xlfn.IFS(ISNUMBER(W1090)=FALSE,"Sem dado",W1090&gt;0.075,"Excelente",W1090&gt;0.04,"Bom",W1090&gt;0,"Fraco",TRUE,"Prejuízo")</f>
        <v>Excelente</v>
      </c>
    </row>
    <row r="1091" spans="1:25" ht="15" customHeight="1" x14ac:dyDescent="0.2">
      <c r="A1091" s="12" t="s">
        <v>2293</v>
      </c>
      <c r="B1091" s="56">
        <v>7631026</v>
      </c>
      <c r="C1091" s="12" t="s">
        <v>2294</v>
      </c>
      <c r="D1091" s="12"/>
      <c r="E1091" s="12" t="s">
        <v>2295</v>
      </c>
      <c r="F1091" s="12" t="s">
        <v>65</v>
      </c>
      <c r="G1091" s="33">
        <v>2</v>
      </c>
      <c r="H1091" s="33">
        <v>14</v>
      </c>
      <c r="I1091" s="12" t="s">
        <v>1172</v>
      </c>
      <c r="J1091" s="12" t="s">
        <v>217</v>
      </c>
      <c r="K1091" s="73" t="s">
        <v>29</v>
      </c>
      <c r="L1091" s="13">
        <v>43822</v>
      </c>
      <c r="M1091" s="13">
        <v>30603</v>
      </c>
      <c r="N1091" s="13">
        <v>0</v>
      </c>
      <c r="O1091" s="13">
        <v>32424</v>
      </c>
      <c r="P1091" s="13">
        <v>11663</v>
      </c>
      <c r="Q1091" s="13">
        <v>11398</v>
      </c>
      <c r="R1091" s="13">
        <v>2094</v>
      </c>
      <c r="S1091" s="13">
        <v>2</v>
      </c>
      <c r="T1091" s="13">
        <v>0</v>
      </c>
      <c r="U1091" s="12" t="str">
        <f t="shared" si="64"/>
        <v>Privado Nacional</v>
      </c>
      <c r="V1091" s="14">
        <f t="shared" si="65"/>
        <v>0.69834786180457309</v>
      </c>
      <c r="W1091" s="14">
        <f t="shared" si="66"/>
        <v>0.18371644148096158</v>
      </c>
      <c r="X1091" s="12" t="str">
        <f t="shared" si="67"/>
        <v>Média/Pequena</v>
      </c>
      <c r="Y1091" s="122" t="str" cm="1">
        <f t="array" ref="Y1091">_xlfn.IFS(ISNUMBER(W1091)=FALSE,"Sem dado",W1091&gt;0.075,"Excelente",W1091&gt;0.04,"Bom",W1091&gt;0,"Fraco",TRUE,"Prejuízo")</f>
        <v>Excelente</v>
      </c>
    </row>
    <row r="1092" spans="1:25" ht="15" customHeight="1" x14ac:dyDescent="0.2">
      <c r="A1092" s="15" t="s">
        <v>2296</v>
      </c>
      <c r="B1092" s="60">
        <v>37134759</v>
      </c>
      <c r="C1092" s="15" t="s">
        <v>2297</v>
      </c>
      <c r="D1092" s="15"/>
      <c r="E1092" s="15" t="s">
        <v>2298</v>
      </c>
      <c r="F1092" s="15" t="s">
        <v>65</v>
      </c>
      <c r="G1092" s="34">
        <v>2</v>
      </c>
      <c r="H1092" s="34">
        <v>43</v>
      </c>
      <c r="I1092" s="15" t="s">
        <v>119</v>
      </c>
      <c r="J1092" s="15" t="s">
        <v>120</v>
      </c>
      <c r="K1092" s="74" t="s">
        <v>29</v>
      </c>
      <c r="L1092" s="16">
        <v>42736</v>
      </c>
      <c r="M1092" s="16">
        <v>19645</v>
      </c>
      <c r="N1092" s="16">
        <v>21444</v>
      </c>
      <c r="O1092" s="16">
        <v>21131</v>
      </c>
      <c r="P1092" s="16">
        <v>0</v>
      </c>
      <c r="Q1092" s="16">
        <v>21605</v>
      </c>
      <c r="R1092" s="16">
        <v>1330</v>
      </c>
      <c r="S1092" s="16">
        <v>2</v>
      </c>
      <c r="T1092" s="16">
        <v>0</v>
      </c>
      <c r="U1092" s="15" t="str">
        <f t="shared" si="64"/>
        <v>Privado Nacional</v>
      </c>
      <c r="V1092" s="17">
        <f t="shared" si="65"/>
        <v>0.45968270310745041</v>
      </c>
      <c r="W1092" s="17">
        <f t="shared" si="66"/>
        <v>6.1559824114788241E-2</v>
      </c>
      <c r="X1092" s="15" t="str">
        <f t="shared" si="67"/>
        <v>Média/Pequena</v>
      </c>
      <c r="Y1092" s="121" t="str" cm="1">
        <f t="array" ref="Y1092">_xlfn.IFS(ISNUMBER(W1092)=FALSE,"Sem dado",W1092&gt;0.075,"Excelente",W1092&gt;0.04,"Bom",W1092&gt;0,"Fraco",TRUE,"Prejuízo")</f>
        <v>Bom</v>
      </c>
    </row>
    <row r="1093" spans="1:25" ht="15" customHeight="1" x14ac:dyDescent="0.2">
      <c r="A1093" s="12" t="s">
        <v>2299</v>
      </c>
      <c r="B1093" s="56">
        <v>53822116</v>
      </c>
      <c r="C1093" s="12" t="s">
        <v>2300</v>
      </c>
      <c r="D1093" s="12"/>
      <c r="E1093" s="12" t="s">
        <v>2301</v>
      </c>
      <c r="F1093" s="12" t="s">
        <v>84</v>
      </c>
      <c r="G1093" s="33">
        <v>2</v>
      </c>
      <c r="H1093" s="33">
        <v>41</v>
      </c>
      <c r="I1093" s="12" t="s">
        <v>528</v>
      </c>
      <c r="J1093" s="12" t="s">
        <v>217</v>
      </c>
      <c r="K1093" s="73" t="s">
        <v>29</v>
      </c>
      <c r="L1093" s="13">
        <v>42677</v>
      </c>
      <c r="M1093" s="13">
        <v>0</v>
      </c>
      <c r="N1093" s="13">
        <v>20</v>
      </c>
      <c r="O1093" s="13">
        <v>23788</v>
      </c>
      <c r="P1093" s="13">
        <v>16656</v>
      </c>
      <c r="Q1093" s="13">
        <v>18889</v>
      </c>
      <c r="R1093" s="13">
        <v>10610</v>
      </c>
      <c r="S1093" s="13">
        <v>1</v>
      </c>
      <c r="T1093" s="13">
        <v>0</v>
      </c>
      <c r="U1093" s="12" t="str">
        <f t="shared" ref="U1093:U1156" si="68">IFERROR(CHOOSE(G1093,"Público","Privado Nacional","Privado Estrangeiro"),"n.d.")</f>
        <v>Privado Nacional</v>
      </c>
      <c r="V1093" s="14">
        <f t="shared" ref="V1093:V1156" si="69">IF(AND(ISNUMBER(M1093),ISNUMBER(L1093)),IF(L1093&gt;0,M1093/L1093,"n.d."),"NI")</f>
        <v>0</v>
      </c>
      <c r="W1093" s="14">
        <f t="shared" ref="W1093:W1156" si="70">IF(AND(ISNUMBER(R1093),ISNUMBER(Q1093)),IF(Q1093&gt;0,R1093/Q1093,"n.d."),"NI")</f>
        <v>0.56170257822012815</v>
      </c>
      <c r="X1093" s="12" t="str">
        <f t="shared" ref="X1093:X1156" si="71">IF(ISNUMBER(L1093),IF(L1093&gt;100000000,"Grande","Média/Pequena"),"Sem dado")</f>
        <v>Média/Pequena</v>
      </c>
      <c r="Y1093" s="122" t="str" cm="1">
        <f t="array" ref="Y1093">_xlfn.IFS(ISNUMBER(W1093)=FALSE,"Sem dado",W1093&gt;0.075,"Excelente",W1093&gt;0.04,"Bom",W1093&gt;0,"Fraco",TRUE,"Prejuízo")</f>
        <v>Excelente</v>
      </c>
    </row>
    <row r="1094" spans="1:25" ht="15" customHeight="1" x14ac:dyDescent="0.2">
      <c r="A1094" s="15" t="s">
        <v>2302</v>
      </c>
      <c r="B1094" s="60">
        <v>34088029</v>
      </c>
      <c r="C1094" s="15" t="s">
        <v>2238</v>
      </c>
      <c r="D1094" s="15"/>
      <c r="E1094" s="15" t="s">
        <v>2239</v>
      </c>
      <c r="F1094" s="15" t="s">
        <v>65</v>
      </c>
      <c r="G1094" s="34">
        <v>3</v>
      </c>
      <c r="H1094" s="34">
        <v>43</v>
      </c>
      <c r="I1094" s="15" t="s">
        <v>38</v>
      </c>
      <c r="J1094" s="15" t="s">
        <v>39</v>
      </c>
      <c r="K1094" s="74" t="s">
        <v>29</v>
      </c>
      <c r="L1094" s="16">
        <v>41968</v>
      </c>
      <c r="M1094" s="16">
        <v>0</v>
      </c>
      <c r="N1094" s="16">
        <v>119</v>
      </c>
      <c r="O1094" s="16">
        <v>15814</v>
      </c>
      <c r="P1094" s="16">
        <v>13688</v>
      </c>
      <c r="Q1094" s="16">
        <v>26155</v>
      </c>
      <c r="R1094" s="16">
        <v>1565</v>
      </c>
      <c r="S1094" s="16">
        <v>2</v>
      </c>
      <c r="T1094" s="16">
        <v>0</v>
      </c>
      <c r="U1094" s="15" t="str">
        <f t="shared" si="68"/>
        <v>Privado Estrangeiro</v>
      </c>
      <c r="V1094" s="17">
        <f t="shared" si="69"/>
        <v>0</v>
      </c>
      <c r="W1094" s="17">
        <f t="shared" si="70"/>
        <v>5.9835595488434333E-2</v>
      </c>
      <c r="X1094" s="15" t="str">
        <f t="shared" si="71"/>
        <v>Média/Pequena</v>
      </c>
      <c r="Y1094" s="121" t="str" cm="1">
        <f t="array" ref="Y1094">_xlfn.IFS(ISNUMBER(W1094)=FALSE,"Sem dado",W1094&gt;0.075,"Excelente",W1094&gt;0.04,"Bom",W1094&gt;0,"Fraco",TRUE,"Prejuízo")</f>
        <v>Bom</v>
      </c>
    </row>
    <row r="1095" spans="1:25" ht="15" customHeight="1" x14ac:dyDescent="0.2">
      <c r="A1095" s="12" t="s">
        <v>2303</v>
      </c>
      <c r="B1095" s="56">
        <v>92858380</v>
      </c>
      <c r="C1095" s="12" t="s">
        <v>2304</v>
      </c>
      <c r="D1095" s="12"/>
      <c r="E1095" s="12" t="s">
        <v>2305</v>
      </c>
      <c r="F1095" s="12" t="s">
        <v>98</v>
      </c>
      <c r="G1095" s="33">
        <v>2</v>
      </c>
      <c r="H1095" s="33">
        <v>15</v>
      </c>
      <c r="I1095" s="12" t="s">
        <v>73</v>
      </c>
      <c r="J1095" s="12" t="s">
        <v>74</v>
      </c>
      <c r="K1095" s="73" t="s">
        <v>29</v>
      </c>
      <c r="L1095" s="13">
        <v>41820</v>
      </c>
      <c r="M1095" s="13">
        <v>0</v>
      </c>
      <c r="N1095" s="13">
        <v>33198</v>
      </c>
      <c r="O1095" s="13">
        <v>26436</v>
      </c>
      <c r="P1095" s="13">
        <v>9813</v>
      </c>
      <c r="Q1095" s="13">
        <v>15384</v>
      </c>
      <c r="R1095" s="13">
        <v>581</v>
      </c>
      <c r="S1095" s="13">
        <v>2</v>
      </c>
      <c r="T1095" s="13">
        <v>0</v>
      </c>
      <c r="U1095" s="12" t="str">
        <f t="shared" si="68"/>
        <v>Privado Nacional</v>
      </c>
      <c r="V1095" s="14">
        <f t="shared" si="69"/>
        <v>0</v>
      </c>
      <c r="W1095" s="14">
        <f t="shared" si="70"/>
        <v>3.7766510660426418E-2</v>
      </c>
      <c r="X1095" s="12" t="str">
        <f t="shared" si="71"/>
        <v>Média/Pequena</v>
      </c>
      <c r="Y1095" s="122" t="str" cm="1">
        <f t="array" ref="Y1095">_xlfn.IFS(ISNUMBER(W1095)=FALSE,"Sem dado",W1095&gt;0.075,"Excelente",W1095&gt;0.04,"Bom",W1095&gt;0,"Fraco",TRUE,"Prejuízo")</f>
        <v>Fraco</v>
      </c>
    </row>
    <row r="1096" spans="1:25" ht="15" customHeight="1" x14ac:dyDescent="0.2">
      <c r="A1096" s="15" t="s">
        <v>2306</v>
      </c>
      <c r="B1096" s="60">
        <v>2275781</v>
      </c>
      <c r="C1096" s="15"/>
      <c r="D1096" s="15"/>
      <c r="E1096" s="15"/>
      <c r="F1096" s="15" t="s">
        <v>265</v>
      </c>
      <c r="G1096" s="34">
        <v>2</v>
      </c>
      <c r="H1096" s="34">
        <v>9</v>
      </c>
      <c r="I1096" s="15" t="s">
        <v>577</v>
      </c>
      <c r="J1096" s="15" t="s">
        <v>578</v>
      </c>
      <c r="K1096" s="74" t="s">
        <v>29</v>
      </c>
      <c r="L1096" s="16">
        <v>41311</v>
      </c>
      <c r="M1096" s="16">
        <v>24438</v>
      </c>
      <c r="N1096" s="16">
        <v>2622</v>
      </c>
      <c r="O1096" s="16">
        <v>29444</v>
      </c>
      <c r="P1096" s="16">
        <v>28144</v>
      </c>
      <c r="Q1096" s="16">
        <v>11866</v>
      </c>
      <c r="R1096" s="16">
        <v>19</v>
      </c>
      <c r="S1096" s="16">
        <v>0</v>
      </c>
      <c r="T1096" s="16">
        <v>1</v>
      </c>
      <c r="U1096" s="15" t="str">
        <f t="shared" si="68"/>
        <v>Privado Nacional</v>
      </c>
      <c r="V1096" s="17">
        <f t="shared" si="69"/>
        <v>0.59156156955774486</v>
      </c>
      <c r="W1096" s="17">
        <f t="shared" si="70"/>
        <v>1.601213551323108E-3</v>
      </c>
      <c r="X1096" s="15" t="str">
        <f t="shared" si="71"/>
        <v>Média/Pequena</v>
      </c>
      <c r="Y1096" s="121" t="str" cm="1">
        <f t="array" ref="Y1096">_xlfn.IFS(ISNUMBER(W1096)=FALSE,"Sem dado",W1096&gt;0.075,"Excelente",W1096&gt;0.04,"Bom",W1096&gt;0,"Fraco",TRUE,"Prejuízo")</f>
        <v>Fraco</v>
      </c>
    </row>
    <row r="1097" spans="1:25" ht="15" customHeight="1" x14ac:dyDescent="0.2">
      <c r="A1097" s="12" t="s">
        <v>2307</v>
      </c>
      <c r="B1097" s="56">
        <v>53776852</v>
      </c>
      <c r="C1097" s="12"/>
      <c r="D1097" s="12"/>
      <c r="E1097" s="12"/>
      <c r="F1097" s="12" t="s">
        <v>265</v>
      </c>
      <c r="G1097" s="33">
        <v>2</v>
      </c>
      <c r="H1097" s="33">
        <v>9</v>
      </c>
      <c r="I1097" s="12" t="s">
        <v>1061</v>
      </c>
      <c r="J1097" s="12" t="s">
        <v>39</v>
      </c>
      <c r="K1097" s="73" t="s">
        <v>29</v>
      </c>
      <c r="L1097" s="13">
        <v>41076</v>
      </c>
      <c r="M1097" s="13">
        <v>15190</v>
      </c>
      <c r="N1097" s="13">
        <v>21198</v>
      </c>
      <c r="O1097" s="13">
        <v>16573</v>
      </c>
      <c r="P1097" s="13">
        <v>13655</v>
      </c>
      <c r="Q1097" s="13">
        <v>24504</v>
      </c>
      <c r="R1097" s="13">
        <v>421</v>
      </c>
      <c r="S1097" s="13">
        <v>0</v>
      </c>
      <c r="T1097" s="13">
        <v>1</v>
      </c>
      <c r="U1097" s="12" t="str">
        <f t="shared" si="68"/>
        <v>Privado Nacional</v>
      </c>
      <c r="V1097" s="14">
        <f t="shared" si="69"/>
        <v>0.36980231765507837</v>
      </c>
      <c r="W1097" s="14">
        <f t="shared" si="70"/>
        <v>1.7180868429644138E-2</v>
      </c>
      <c r="X1097" s="12" t="str">
        <f t="shared" si="71"/>
        <v>Média/Pequena</v>
      </c>
      <c r="Y1097" s="122" t="str" cm="1">
        <f t="array" ref="Y1097">_xlfn.IFS(ISNUMBER(W1097)=FALSE,"Sem dado",W1097&gt;0.075,"Excelente",W1097&gt;0.04,"Bom",W1097&gt;0,"Fraco",TRUE,"Prejuízo")</f>
        <v>Fraco</v>
      </c>
    </row>
    <row r="1098" spans="1:25" ht="15" customHeight="1" x14ac:dyDescent="0.2">
      <c r="A1098" s="15" t="s">
        <v>2308</v>
      </c>
      <c r="B1098" s="60">
        <v>44782130</v>
      </c>
      <c r="C1098" s="15" t="s">
        <v>2309</v>
      </c>
      <c r="D1098" s="15"/>
      <c r="E1098" s="15" t="s">
        <v>2310</v>
      </c>
      <c r="F1098" s="15" t="s">
        <v>98</v>
      </c>
      <c r="G1098" s="34">
        <v>2</v>
      </c>
      <c r="H1098" s="34">
        <v>16</v>
      </c>
      <c r="I1098" s="15" t="s">
        <v>119</v>
      </c>
      <c r="J1098" s="15" t="s">
        <v>120</v>
      </c>
      <c r="K1098" s="74" t="s">
        <v>29</v>
      </c>
      <c r="L1098" s="16">
        <v>40920</v>
      </c>
      <c r="M1098" s="16">
        <v>0</v>
      </c>
      <c r="N1098" s="16">
        <v>4048</v>
      </c>
      <c r="O1098" s="16">
        <v>36558</v>
      </c>
      <c r="P1098" s="16">
        <v>36061</v>
      </c>
      <c r="Q1098" s="16">
        <v>4362</v>
      </c>
      <c r="R1098" s="16">
        <v>531</v>
      </c>
      <c r="S1098" s="16">
        <v>2</v>
      </c>
      <c r="T1098" s="16">
        <v>0</v>
      </c>
      <c r="U1098" s="15" t="str">
        <f t="shared" si="68"/>
        <v>Privado Nacional</v>
      </c>
      <c r="V1098" s="17">
        <f t="shared" si="69"/>
        <v>0</v>
      </c>
      <c r="W1098" s="17">
        <f t="shared" si="70"/>
        <v>0.12173314993122421</v>
      </c>
      <c r="X1098" s="15" t="str">
        <f t="shared" si="71"/>
        <v>Média/Pequena</v>
      </c>
      <c r="Y1098" s="121" t="str" cm="1">
        <f t="array" ref="Y1098">_xlfn.IFS(ISNUMBER(W1098)=FALSE,"Sem dado",W1098&gt;0.075,"Excelente",W1098&gt;0.04,"Bom",W1098&gt;0,"Fraco",TRUE,"Prejuízo")</f>
        <v>Excelente</v>
      </c>
    </row>
    <row r="1099" spans="1:25" ht="15" customHeight="1" x14ac:dyDescent="0.2">
      <c r="A1099" s="12" t="s">
        <v>2311</v>
      </c>
      <c r="B1099" s="56">
        <v>36452762</v>
      </c>
      <c r="C1099" s="12" t="s">
        <v>2312</v>
      </c>
      <c r="D1099" s="12"/>
      <c r="E1099" s="12" t="s">
        <v>2313</v>
      </c>
      <c r="F1099" s="12" t="s">
        <v>65</v>
      </c>
      <c r="G1099" s="33">
        <v>2</v>
      </c>
      <c r="H1099" s="33">
        <v>43</v>
      </c>
      <c r="I1099" s="12" t="s">
        <v>992</v>
      </c>
      <c r="J1099" s="12" t="s">
        <v>120</v>
      </c>
      <c r="K1099" s="73" t="s">
        <v>29</v>
      </c>
      <c r="L1099" s="13">
        <v>40682</v>
      </c>
      <c r="M1099" s="13">
        <v>27339</v>
      </c>
      <c r="N1099" s="13">
        <v>0</v>
      </c>
      <c r="O1099" s="13">
        <v>14411</v>
      </c>
      <c r="P1099" s="13">
        <v>0</v>
      </c>
      <c r="Q1099" s="13">
        <v>26271</v>
      </c>
      <c r="R1099" s="13">
        <v>5871</v>
      </c>
      <c r="S1099" s="13">
        <v>2</v>
      </c>
      <c r="T1099" s="13">
        <v>0</v>
      </c>
      <c r="U1099" s="12" t="str">
        <f t="shared" si="68"/>
        <v>Privado Nacional</v>
      </c>
      <c r="V1099" s="14">
        <f t="shared" si="69"/>
        <v>0.67201710830342654</v>
      </c>
      <c r="W1099" s="14">
        <f t="shared" si="70"/>
        <v>0.22347836016900766</v>
      </c>
      <c r="X1099" s="12" t="str">
        <f t="shared" si="71"/>
        <v>Média/Pequena</v>
      </c>
      <c r="Y1099" s="122" t="str" cm="1">
        <f t="array" ref="Y1099">_xlfn.IFS(ISNUMBER(W1099)=FALSE,"Sem dado",W1099&gt;0.075,"Excelente",W1099&gt;0.04,"Bom",W1099&gt;0,"Fraco",TRUE,"Prejuízo")</f>
        <v>Excelente</v>
      </c>
    </row>
    <row r="1100" spans="1:25" ht="15" customHeight="1" x14ac:dyDescent="0.2">
      <c r="A1100" s="15" t="s">
        <v>2314</v>
      </c>
      <c r="B1100" s="60">
        <v>33423888</v>
      </c>
      <c r="C1100" s="15" t="s">
        <v>2315</v>
      </c>
      <c r="D1100" s="15"/>
      <c r="E1100" s="15" t="s">
        <v>2316</v>
      </c>
      <c r="F1100" s="15" t="s">
        <v>84</v>
      </c>
      <c r="G1100" s="34">
        <v>2</v>
      </c>
      <c r="H1100" s="34">
        <v>41</v>
      </c>
      <c r="I1100" s="15" t="s">
        <v>38</v>
      </c>
      <c r="J1100" s="15" t="s">
        <v>39</v>
      </c>
      <c r="K1100" s="74" t="s">
        <v>29</v>
      </c>
      <c r="L1100" s="16">
        <v>40669</v>
      </c>
      <c r="M1100" s="16">
        <v>0</v>
      </c>
      <c r="N1100" s="16">
        <v>12998</v>
      </c>
      <c r="O1100" s="16">
        <v>29911</v>
      </c>
      <c r="P1100" s="16">
        <v>12556</v>
      </c>
      <c r="Q1100" s="16">
        <v>10758</v>
      </c>
      <c r="R1100" s="16">
        <v>3804</v>
      </c>
      <c r="S1100" s="16">
        <v>1</v>
      </c>
      <c r="T1100" s="16">
        <v>0</v>
      </c>
      <c r="U1100" s="15" t="str">
        <f t="shared" si="68"/>
        <v>Privado Nacional</v>
      </c>
      <c r="V1100" s="17">
        <f t="shared" si="69"/>
        <v>0</v>
      </c>
      <c r="W1100" s="17">
        <f t="shared" si="70"/>
        <v>0.35359732292247631</v>
      </c>
      <c r="X1100" s="15" t="str">
        <f t="shared" si="71"/>
        <v>Média/Pequena</v>
      </c>
      <c r="Y1100" s="121" t="str" cm="1">
        <f t="array" ref="Y1100">_xlfn.IFS(ISNUMBER(W1100)=FALSE,"Sem dado",W1100&gt;0.075,"Excelente",W1100&gt;0.04,"Bom",W1100&gt;0,"Fraco",TRUE,"Prejuízo")</f>
        <v>Excelente</v>
      </c>
    </row>
    <row r="1101" spans="1:25" ht="15" customHeight="1" x14ac:dyDescent="0.2">
      <c r="A1101" s="12" t="s">
        <v>2317</v>
      </c>
      <c r="B1101" s="56">
        <v>33817677</v>
      </c>
      <c r="C1101" s="12" t="s">
        <v>146</v>
      </c>
      <c r="D1101" s="12" t="s">
        <v>147</v>
      </c>
      <c r="E1101" s="12" t="s">
        <v>148</v>
      </c>
      <c r="F1101" s="12" t="s">
        <v>98</v>
      </c>
      <c r="G1101" s="33">
        <v>3</v>
      </c>
      <c r="H1101" s="33">
        <v>16</v>
      </c>
      <c r="I1101" s="12" t="s">
        <v>38</v>
      </c>
      <c r="J1101" s="12" t="s">
        <v>39</v>
      </c>
      <c r="K1101" s="73" t="s">
        <v>29</v>
      </c>
      <c r="L1101" s="13">
        <v>39955</v>
      </c>
      <c r="M1101" s="13">
        <v>0</v>
      </c>
      <c r="N1101" s="13">
        <v>24112</v>
      </c>
      <c r="O1101" s="13">
        <v>9550</v>
      </c>
      <c r="P1101" s="13">
        <v>0</v>
      </c>
      <c r="Q1101" s="13">
        <v>30405</v>
      </c>
      <c r="R1101" s="13">
        <v>7917</v>
      </c>
      <c r="S1101" s="13">
        <v>2</v>
      </c>
      <c r="T1101" s="13">
        <v>0</v>
      </c>
      <c r="U1101" s="12" t="str">
        <f t="shared" si="68"/>
        <v>Privado Estrangeiro</v>
      </c>
      <c r="V1101" s="14">
        <f t="shared" si="69"/>
        <v>0</v>
      </c>
      <c r="W1101" s="14">
        <f t="shared" si="70"/>
        <v>0.26038480513073509</v>
      </c>
      <c r="X1101" s="12" t="str">
        <f t="shared" si="71"/>
        <v>Média/Pequena</v>
      </c>
      <c r="Y1101" s="122" t="str" cm="1">
        <f t="array" ref="Y1101">_xlfn.IFS(ISNUMBER(W1101)=FALSE,"Sem dado",W1101&gt;0.075,"Excelente",W1101&gt;0.04,"Bom",W1101&gt;0,"Fraco",TRUE,"Prejuízo")</f>
        <v>Excelente</v>
      </c>
    </row>
    <row r="1102" spans="1:25" ht="15" customHeight="1" x14ac:dyDescent="0.2">
      <c r="A1102" s="15" t="s">
        <v>2318</v>
      </c>
      <c r="B1102" s="60">
        <v>62284385</v>
      </c>
      <c r="C1102" s="15"/>
      <c r="D1102" s="15"/>
      <c r="E1102" s="15"/>
      <c r="F1102" s="15" t="s">
        <v>265</v>
      </c>
      <c r="G1102" s="34">
        <v>2</v>
      </c>
      <c r="H1102" s="34">
        <v>9</v>
      </c>
      <c r="I1102" s="15" t="s">
        <v>770</v>
      </c>
      <c r="J1102" s="15" t="s">
        <v>39</v>
      </c>
      <c r="K1102" s="74" t="s">
        <v>29</v>
      </c>
      <c r="L1102" s="16">
        <v>39815</v>
      </c>
      <c r="M1102" s="16">
        <v>25014</v>
      </c>
      <c r="N1102" s="16">
        <v>14564</v>
      </c>
      <c r="O1102" s="16">
        <v>640</v>
      </c>
      <c r="P1102" s="16">
        <v>0</v>
      </c>
      <c r="Q1102" s="16">
        <v>39175</v>
      </c>
      <c r="R1102" s="16">
        <v>1869</v>
      </c>
      <c r="S1102" s="16">
        <v>0</v>
      </c>
      <c r="T1102" s="16">
        <v>0</v>
      </c>
      <c r="U1102" s="15" t="str">
        <f t="shared" si="68"/>
        <v>Privado Nacional</v>
      </c>
      <c r="V1102" s="17">
        <f t="shared" si="69"/>
        <v>0.62825568253170916</v>
      </c>
      <c r="W1102" s="17">
        <f t="shared" si="70"/>
        <v>4.7708998085513724E-2</v>
      </c>
      <c r="X1102" s="15" t="str">
        <f t="shared" si="71"/>
        <v>Média/Pequena</v>
      </c>
      <c r="Y1102" s="121" t="str" cm="1">
        <f t="array" ref="Y1102">_xlfn.IFS(ISNUMBER(W1102)=FALSE,"Sem dado",W1102&gt;0.075,"Excelente",W1102&gt;0.04,"Bom",W1102&gt;0,"Fraco",TRUE,"Prejuízo")</f>
        <v>Bom</v>
      </c>
    </row>
    <row r="1103" spans="1:25" ht="15" customHeight="1" x14ac:dyDescent="0.2">
      <c r="A1103" s="12" t="s">
        <v>2319</v>
      </c>
      <c r="B1103" s="56">
        <v>54024532</v>
      </c>
      <c r="C1103" s="12" t="s">
        <v>2320</v>
      </c>
      <c r="D1103" s="12"/>
      <c r="E1103" s="12" t="s">
        <v>2321</v>
      </c>
      <c r="F1103" s="12" t="s">
        <v>84</v>
      </c>
      <c r="G1103" s="33">
        <v>2</v>
      </c>
      <c r="H1103" s="33">
        <v>41</v>
      </c>
      <c r="I1103" s="12" t="s">
        <v>73</v>
      </c>
      <c r="J1103" s="12" t="s">
        <v>74</v>
      </c>
      <c r="K1103" s="73" t="s">
        <v>29</v>
      </c>
      <c r="L1103" s="13">
        <v>39719</v>
      </c>
      <c r="M1103" s="13">
        <v>0</v>
      </c>
      <c r="N1103" s="13">
        <v>12212</v>
      </c>
      <c r="O1103" s="13">
        <v>607</v>
      </c>
      <c r="P1103" s="13">
        <v>0</v>
      </c>
      <c r="Q1103" s="13">
        <v>39112</v>
      </c>
      <c r="R1103" s="13">
        <v>383</v>
      </c>
      <c r="S1103" s="13">
        <v>1</v>
      </c>
      <c r="T1103" s="13">
        <v>0</v>
      </c>
      <c r="U1103" s="12" t="str">
        <f t="shared" si="68"/>
        <v>Privado Nacional</v>
      </c>
      <c r="V1103" s="14">
        <f t="shared" si="69"/>
        <v>0</v>
      </c>
      <c r="W1103" s="14">
        <f t="shared" si="70"/>
        <v>9.7923910820208633E-3</v>
      </c>
      <c r="X1103" s="12" t="str">
        <f t="shared" si="71"/>
        <v>Média/Pequena</v>
      </c>
      <c r="Y1103" s="122" t="str" cm="1">
        <f t="array" ref="Y1103">_xlfn.IFS(ISNUMBER(W1103)=FALSE,"Sem dado",W1103&gt;0.075,"Excelente",W1103&gt;0.04,"Bom",W1103&gt;0,"Fraco",TRUE,"Prejuízo")</f>
        <v>Fraco</v>
      </c>
    </row>
    <row r="1104" spans="1:25" ht="15" customHeight="1" x14ac:dyDescent="0.2">
      <c r="A1104" s="15" t="s">
        <v>2322</v>
      </c>
      <c r="B1104" s="60">
        <v>11491029</v>
      </c>
      <c r="C1104" s="15" t="s">
        <v>2323</v>
      </c>
      <c r="D1104" s="15"/>
      <c r="E1104" s="15" t="s">
        <v>2324</v>
      </c>
      <c r="F1104" s="15" t="s">
        <v>84</v>
      </c>
      <c r="G1104" s="34">
        <v>2</v>
      </c>
      <c r="H1104" s="34">
        <v>41</v>
      </c>
      <c r="I1104" s="15" t="s">
        <v>2210</v>
      </c>
      <c r="J1104" s="15" t="s">
        <v>39</v>
      </c>
      <c r="K1104" s="74" t="s">
        <v>29</v>
      </c>
      <c r="L1104" s="16">
        <v>39196</v>
      </c>
      <c r="M1104" s="16">
        <v>0</v>
      </c>
      <c r="N1104" s="16">
        <v>15262</v>
      </c>
      <c r="O1104" s="16">
        <v>32553</v>
      </c>
      <c r="P1104" s="16">
        <v>30027</v>
      </c>
      <c r="Q1104" s="16">
        <v>6643</v>
      </c>
      <c r="R1104" s="16">
        <v>748</v>
      </c>
      <c r="S1104" s="16">
        <v>1</v>
      </c>
      <c r="T1104" s="16">
        <v>0</v>
      </c>
      <c r="U1104" s="15" t="str">
        <f t="shared" si="68"/>
        <v>Privado Nacional</v>
      </c>
      <c r="V1104" s="17">
        <f t="shared" si="69"/>
        <v>0</v>
      </c>
      <c r="W1104" s="17">
        <f t="shared" si="70"/>
        <v>0.1125997290380852</v>
      </c>
      <c r="X1104" s="15" t="str">
        <f t="shared" si="71"/>
        <v>Média/Pequena</v>
      </c>
      <c r="Y1104" s="121" t="str" cm="1">
        <f t="array" ref="Y1104">_xlfn.IFS(ISNUMBER(W1104)=FALSE,"Sem dado",W1104&gt;0.075,"Excelente",W1104&gt;0.04,"Bom",W1104&gt;0,"Fraco",TRUE,"Prejuízo")</f>
        <v>Excelente</v>
      </c>
    </row>
    <row r="1105" spans="1:25" ht="15" customHeight="1" x14ac:dyDescent="0.2">
      <c r="A1105" s="12" t="s">
        <v>2325</v>
      </c>
      <c r="B1105" s="56">
        <v>18684408</v>
      </c>
      <c r="C1105" s="12" t="s">
        <v>2326</v>
      </c>
      <c r="D1105" s="12"/>
      <c r="E1105" s="12" t="s">
        <v>2327</v>
      </c>
      <c r="F1105" s="12" t="s">
        <v>98</v>
      </c>
      <c r="G1105" s="33">
        <v>3</v>
      </c>
      <c r="H1105" s="33">
        <v>16</v>
      </c>
      <c r="I1105" s="12" t="s">
        <v>38</v>
      </c>
      <c r="J1105" s="12" t="s">
        <v>39</v>
      </c>
      <c r="K1105" s="73" t="s">
        <v>29</v>
      </c>
      <c r="L1105" s="13">
        <v>38558</v>
      </c>
      <c r="M1105" s="13">
        <v>0</v>
      </c>
      <c r="N1105" s="13">
        <v>15210</v>
      </c>
      <c r="O1105" s="13">
        <v>22900</v>
      </c>
      <c r="P1105" s="13">
        <v>18431</v>
      </c>
      <c r="Q1105" s="13">
        <v>15658</v>
      </c>
      <c r="R1105" s="13">
        <v>-33</v>
      </c>
      <c r="S1105" s="13">
        <v>2</v>
      </c>
      <c r="T1105" s="13">
        <v>0</v>
      </c>
      <c r="U1105" s="12" t="str">
        <f t="shared" si="68"/>
        <v>Privado Estrangeiro</v>
      </c>
      <c r="V1105" s="14">
        <f t="shared" si="69"/>
        <v>0</v>
      </c>
      <c r="W1105" s="14">
        <f t="shared" si="70"/>
        <v>-2.1075488568144079E-3</v>
      </c>
      <c r="X1105" s="12" t="str">
        <f t="shared" si="71"/>
        <v>Média/Pequena</v>
      </c>
      <c r="Y1105" s="122" t="str" cm="1">
        <f t="array" ref="Y1105">_xlfn.IFS(ISNUMBER(W1105)=FALSE,"Sem dado",W1105&gt;0.075,"Excelente",W1105&gt;0.04,"Bom",W1105&gt;0,"Fraco",TRUE,"Prejuízo")</f>
        <v>Prejuízo</v>
      </c>
    </row>
    <row r="1106" spans="1:25" ht="15" customHeight="1" x14ac:dyDescent="0.2">
      <c r="A1106" s="15" t="s">
        <v>2328</v>
      </c>
      <c r="B1106" s="60">
        <v>47825528</v>
      </c>
      <c r="C1106" s="15" t="s">
        <v>1027</v>
      </c>
      <c r="D1106" s="15"/>
      <c r="E1106" s="15" t="s">
        <v>1028</v>
      </c>
      <c r="F1106" s="15" t="s">
        <v>84</v>
      </c>
      <c r="G1106" s="34">
        <v>2</v>
      </c>
      <c r="H1106" s="34">
        <v>41</v>
      </c>
      <c r="I1106" s="15" t="s">
        <v>38</v>
      </c>
      <c r="J1106" s="15" t="s">
        <v>39</v>
      </c>
      <c r="K1106" s="74" t="s">
        <v>29</v>
      </c>
      <c r="L1106" s="16">
        <v>37900</v>
      </c>
      <c r="M1106" s="16">
        <v>0</v>
      </c>
      <c r="N1106" s="16">
        <v>36910</v>
      </c>
      <c r="O1106" s="16">
        <v>239</v>
      </c>
      <c r="P1106" s="16">
        <v>1</v>
      </c>
      <c r="Q1106" s="16">
        <v>37661</v>
      </c>
      <c r="R1106" s="16">
        <v>-457</v>
      </c>
      <c r="S1106" s="16">
        <v>1</v>
      </c>
      <c r="T1106" s="16">
        <v>0</v>
      </c>
      <c r="U1106" s="15" t="str">
        <f t="shared" si="68"/>
        <v>Privado Nacional</v>
      </c>
      <c r="V1106" s="17">
        <f t="shared" si="69"/>
        <v>0</v>
      </c>
      <c r="W1106" s="17">
        <f t="shared" si="70"/>
        <v>-1.2134568917447758E-2</v>
      </c>
      <c r="X1106" s="15" t="str">
        <f t="shared" si="71"/>
        <v>Média/Pequena</v>
      </c>
      <c r="Y1106" s="121" t="str" cm="1">
        <f t="array" ref="Y1106">_xlfn.IFS(ISNUMBER(W1106)=FALSE,"Sem dado",W1106&gt;0.075,"Excelente",W1106&gt;0.04,"Bom",W1106&gt;0,"Fraco",TRUE,"Prejuízo")</f>
        <v>Prejuízo</v>
      </c>
    </row>
    <row r="1107" spans="1:25" ht="15" customHeight="1" x14ac:dyDescent="0.2">
      <c r="A1107" s="12" t="s">
        <v>2329</v>
      </c>
      <c r="B1107" s="56">
        <v>1997612</v>
      </c>
      <c r="C1107" s="12"/>
      <c r="D1107" s="12"/>
      <c r="E1107" s="12"/>
      <c r="F1107" s="12" t="s">
        <v>265</v>
      </c>
      <c r="G1107" s="33">
        <v>2</v>
      </c>
      <c r="H1107" s="33">
        <v>9</v>
      </c>
      <c r="I1107" s="12" t="s">
        <v>38</v>
      </c>
      <c r="J1107" s="12" t="s">
        <v>39</v>
      </c>
      <c r="K1107" s="73" t="s">
        <v>29</v>
      </c>
      <c r="L1107" s="13">
        <v>37686</v>
      </c>
      <c r="M1107" s="13">
        <v>18370</v>
      </c>
      <c r="N1107" s="13">
        <v>17853</v>
      </c>
      <c r="O1107" s="13">
        <v>1001</v>
      </c>
      <c r="P1107" s="13">
        <v>0</v>
      </c>
      <c r="Q1107" s="13">
        <v>36684</v>
      </c>
      <c r="R1107" s="13">
        <v>2255</v>
      </c>
      <c r="S1107" s="13">
        <v>0</v>
      </c>
      <c r="T1107" s="13">
        <v>0</v>
      </c>
      <c r="U1107" s="12" t="str">
        <f t="shared" si="68"/>
        <v>Privado Nacional</v>
      </c>
      <c r="V1107" s="14">
        <f t="shared" si="69"/>
        <v>0.48744892002335083</v>
      </c>
      <c r="W1107" s="14">
        <f t="shared" si="70"/>
        <v>6.1470941009704502E-2</v>
      </c>
      <c r="X1107" s="12" t="str">
        <f t="shared" si="71"/>
        <v>Média/Pequena</v>
      </c>
      <c r="Y1107" s="122" t="str" cm="1">
        <f t="array" ref="Y1107">_xlfn.IFS(ISNUMBER(W1107)=FALSE,"Sem dado",W1107&gt;0.075,"Excelente",W1107&gt;0.04,"Bom",W1107&gt;0,"Fraco",TRUE,"Prejuízo")</f>
        <v>Bom</v>
      </c>
    </row>
    <row r="1108" spans="1:25" ht="15" customHeight="1" x14ac:dyDescent="0.2">
      <c r="A1108" s="15" t="s">
        <v>2330</v>
      </c>
      <c r="B1108" s="60">
        <v>336036</v>
      </c>
      <c r="C1108" s="15" t="s">
        <v>2331</v>
      </c>
      <c r="D1108" s="15"/>
      <c r="E1108" s="15" t="s">
        <v>2332</v>
      </c>
      <c r="F1108" s="15" t="s">
        <v>98</v>
      </c>
      <c r="G1108" s="34">
        <v>2</v>
      </c>
      <c r="H1108" s="34">
        <v>15</v>
      </c>
      <c r="I1108" s="15" t="s">
        <v>38</v>
      </c>
      <c r="J1108" s="15" t="s">
        <v>39</v>
      </c>
      <c r="K1108" s="74" t="s">
        <v>29</v>
      </c>
      <c r="L1108" s="16">
        <v>37559</v>
      </c>
      <c r="M1108" s="16">
        <v>0</v>
      </c>
      <c r="N1108" s="16">
        <v>374</v>
      </c>
      <c r="O1108" s="16">
        <v>17935</v>
      </c>
      <c r="P1108" s="16">
        <v>0</v>
      </c>
      <c r="Q1108" s="16">
        <v>19624</v>
      </c>
      <c r="R1108" s="16">
        <v>-321</v>
      </c>
      <c r="S1108" s="16">
        <v>2</v>
      </c>
      <c r="T1108" s="16">
        <v>0</v>
      </c>
      <c r="U1108" s="15" t="str">
        <f t="shared" si="68"/>
        <v>Privado Nacional</v>
      </c>
      <c r="V1108" s="17">
        <f t="shared" si="69"/>
        <v>0</v>
      </c>
      <c r="W1108" s="17">
        <f t="shared" si="70"/>
        <v>-1.6357521402364451E-2</v>
      </c>
      <c r="X1108" s="15" t="str">
        <f t="shared" si="71"/>
        <v>Média/Pequena</v>
      </c>
      <c r="Y1108" s="121" t="str" cm="1">
        <f t="array" ref="Y1108">_xlfn.IFS(ISNUMBER(W1108)=FALSE,"Sem dado",W1108&gt;0.075,"Excelente",W1108&gt;0.04,"Bom",W1108&gt;0,"Fraco",TRUE,"Prejuízo")</f>
        <v>Prejuízo</v>
      </c>
    </row>
    <row r="1109" spans="1:25" ht="15" customHeight="1" x14ac:dyDescent="0.2">
      <c r="A1109" s="12" t="s">
        <v>2333</v>
      </c>
      <c r="B1109" s="56">
        <v>12102128</v>
      </c>
      <c r="C1109" s="12" t="s">
        <v>2334</v>
      </c>
      <c r="D1109" s="12"/>
      <c r="E1109" s="12" t="s">
        <v>2335</v>
      </c>
      <c r="F1109" s="12" t="s">
        <v>84</v>
      </c>
      <c r="G1109" s="33">
        <v>2</v>
      </c>
      <c r="H1109" s="33">
        <v>41</v>
      </c>
      <c r="I1109" s="12" t="s">
        <v>107</v>
      </c>
      <c r="J1109" s="12" t="s">
        <v>39</v>
      </c>
      <c r="K1109" s="73" t="s">
        <v>29</v>
      </c>
      <c r="L1109" s="13">
        <v>37554</v>
      </c>
      <c r="M1109" s="13">
        <v>0</v>
      </c>
      <c r="N1109" s="13">
        <v>24963</v>
      </c>
      <c r="O1109" s="13">
        <v>28818</v>
      </c>
      <c r="P1109" s="13">
        <v>0</v>
      </c>
      <c r="Q1109" s="13">
        <v>8736</v>
      </c>
      <c r="R1109" s="13">
        <v>-4583</v>
      </c>
      <c r="S1109" s="13">
        <v>1</v>
      </c>
      <c r="T1109" s="13">
        <v>0</v>
      </c>
      <c r="U1109" s="12" t="str">
        <f t="shared" si="68"/>
        <v>Privado Nacional</v>
      </c>
      <c r="V1109" s="14">
        <f t="shared" si="69"/>
        <v>0</v>
      </c>
      <c r="W1109" s="14">
        <f t="shared" si="70"/>
        <v>-0.52461080586080588</v>
      </c>
      <c r="X1109" s="12" t="str">
        <f t="shared" si="71"/>
        <v>Média/Pequena</v>
      </c>
      <c r="Y1109" s="122" t="str" cm="1">
        <f t="array" ref="Y1109">_xlfn.IFS(ISNUMBER(W1109)=FALSE,"Sem dado",W1109&gt;0.075,"Excelente",W1109&gt;0.04,"Bom",W1109&gt;0,"Fraco",TRUE,"Prejuízo")</f>
        <v>Prejuízo</v>
      </c>
    </row>
    <row r="1110" spans="1:25" ht="15" customHeight="1" x14ac:dyDescent="0.2">
      <c r="A1110" s="15" t="s">
        <v>2336</v>
      </c>
      <c r="B1110" s="60">
        <v>53263331</v>
      </c>
      <c r="C1110" s="15" t="s">
        <v>2337</v>
      </c>
      <c r="D1110" s="15"/>
      <c r="E1110" s="15" t="s">
        <v>2338</v>
      </c>
      <c r="F1110" s="15" t="s">
        <v>65</v>
      </c>
      <c r="G1110" s="34">
        <v>2</v>
      </c>
      <c r="H1110" s="34">
        <v>29</v>
      </c>
      <c r="I1110" s="15" t="s">
        <v>38</v>
      </c>
      <c r="J1110" s="15" t="s">
        <v>39</v>
      </c>
      <c r="K1110" s="74" t="s">
        <v>29</v>
      </c>
      <c r="L1110" s="16">
        <v>37441</v>
      </c>
      <c r="M1110" s="16">
        <v>0</v>
      </c>
      <c r="N1110" s="16">
        <v>26104</v>
      </c>
      <c r="O1110" s="16">
        <v>30879</v>
      </c>
      <c r="P1110" s="16">
        <v>0</v>
      </c>
      <c r="Q1110" s="16">
        <v>6561</v>
      </c>
      <c r="R1110" s="16">
        <v>-412</v>
      </c>
      <c r="S1110" s="16">
        <v>2</v>
      </c>
      <c r="T1110" s="16">
        <v>0</v>
      </c>
      <c r="U1110" s="15" t="str">
        <f t="shared" si="68"/>
        <v>Privado Nacional</v>
      </c>
      <c r="V1110" s="17">
        <f t="shared" si="69"/>
        <v>0</v>
      </c>
      <c r="W1110" s="17">
        <f t="shared" si="70"/>
        <v>-6.2795305593659506E-2</v>
      </c>
      <c r="X1110" s="15" t="str">
        <f t="shared" si="71"/>
        <v>Média/Pequena</v>
      </c>
      <c r="Y1110" s="121" t="str" cm="1">
        <f t="array" ref="Y1110">_xlfn.IFS(ISNUMBER(W1110)=FALSE,"Sem dado",W1110&gt;0.075,"Excelente",W1110&gt;0.04,"Bom",W1110&gt;0,"Fraco",TRUE,"Prejuízo")</f>
        <v>Prejuízo</v>
      </c>
    </row>
    <row r="1111" spans="1:25" ht="15" customHeight="1" x14ac:dyDescent="0.2">
      <c r="A1111" s="12" t="s">
        <v>2339</v>
      </c>
      <c r="B1111" s="56">
        <v>88325113</v>
      </c>
      <c r="C1111" s="12"/>
      <c r="D1111" s="12"/>
      <c r="E1111" s="12"/>
      <c r="F1111" s="12" t="s">
        <v>265</v>
      </c>
      <c r="G1111" s="33">
        <v>2</v>
      </c>
      <c r="H1111" s="33">
        <v>9</v>
      </c>
      <c r="I1111" s="12" t="s">
        <v>2340</v>
      </c>
      <c r="J1111" s="12" t="s">
        <v>74</v>
      </c>
      <c r="K1111" s="73" t="s">
        <v>29</v>
      </c>
      <c r="L1111" s="13">
        <v>37114</v>
      </c>
      <c r="M1111" s="13">
        <v>14121</v>
      </c>
      <c r="N1111" s="13">
        <v>21685</v>
      </c>
      <c r="O1111" s="13">
        <v>15655</v>
      </c>
      <c r="P1111" s="13">
        <v>14096</v>
      </c>
      <c r="Q1111" s="13">
        <v>21459</v>
      </c>
      <c r="R1111" s="13">
        <v>1154</v>
      </c>
      <c r="S1111" s="13">
        <v>0</v>
      </c>
      <c r="T1111" s="13">
        <v>4</v>
      </c>
      <c r="U1111" s="12" t="str">
        <f t="shared" si="68"/>
        <v>Privado Nacional</v>
      </c>
      <c r="V1111" s="14">
        <f t="shared" si="69"/>
        <v>0.38047637010292612</v>
      </c>
      <c r="W1111" s="14">
        <f t="shared" si="70"/>
        <v>5.3776970035882381E-2</v>
      </c>
      <c r="X1111" s="12" t="str">
        <f t="shared" si="71"/>
        <v>Média/Pequena</v>
      </c>
      <c r="Y1111" s="122" t="str" cm="1">
        <f t="array" ref="Y1111">_xlfn.IFS(ISNUMBER(W1111)=FALSE,"Sem dado",W1111&gt;0.075,"Excelente",W1111&gt;0.04,"Bom",W1111&gt;0,"Fraco",TRUE,"Prejuízo")</f>
        <v>Bom</v>
      </c>
    </row>
    <row r="1112" spans="1:25" ht="15" customHeight="1" x14ac:dyDescent="0.2">
      <c r="A1112" s="15" t="s">
        <v>2341</v>
      </c>
      <c r="B1112" s="60">
        <v>4414354</v>
      </c>
      <c r="C1112" s="15"/>
      <c r="D1112" s="15"/>
      <c r="E1112" s="15"/>
      <c r="F1112" s="15" t="s">
        <v>265</v>
      </c>
      <c r="G1112" s="34">
        <v>2</v>
      </c>
      <c r="H1112" s="34">
        <v>9</v>
      </c>
      <c r="I1112" s="15" t="s">
        <v>255</v>
      </c>
      <c r="J1112" s="15" t="s">
        <v>39</v>
      </c>
      <c r="K1112" s="74" t="s">
        <v>29</v>
      </c>
      <c r="L1112" s="16">
        <v>36985</v>
      </c>
      <c r="M1112" s="16">
        <v>21206</v>
      </c>
      <c r="N1112" s="16">
        <v>11406</v>
      </c>
      <c r="O1112" s="16">
        <v>15790</v>
      </c>
      <c r="P1112" s="16">
        <v>13354</v>
      </c>
      <c r="Q1112" s="16">
        <v>21195</v>
      </c>
      <c r="R1112" s="16">
        <v>392</v>
      </c>
      <c r="S1112" s="16">
        <v>0</v>
      </c>
      <c r="T1112" s="16">
        <v>2</v>
      </c>
      <c r="U1112" s="15" t="str">
        <f t="shared" si="68"/>
        <v>Privado Nacional</v>
      </c>
      <c r="V1112" s="17">
        <f t="shared" si="69"/>
        <v>0.57336758145194</v>
      </c>
      <c r="W1112" s="17">
        <f t="shared" si="70"/>
        <v>1.8494928049068177E-2</v>
      </c>
      <c r="X1112" s="15" t="str">
        <f t="shared" si="71"/>
        <v>Média/Pequena</v>
      </c>
      <c r="Y1112" s="121" t="str" cm="1">
        <f t="array" ref="Y1112">_xlfn.IFS(ISNUMBER(W1112)=FALSE,"Sem dado",W1112&gt;0.075,"Excelente",W1112&gt;0.04,"Bom",W1112&gt;0,"Fraco",TRUE,"Prejuízo")</f>
        <v>Fraco</v>
      </c>
    </row>
    <row r="1113" spans="1:25" ht="15" customHeight="1" x14ac:dyDescent="0.2">
      <c r="A1113" s="12" t="s">
        <v>2342</v>
      </c>
      <c r="B1113" s="56">
        <v>18140913</v>
      </c>
      <c r="C1113" s="12"/>
      <c r="D1113" s="12"/>
      <c r="E1113" s="12"/>
      <c r="F1113" s="12" t="s">
        <v>265</v>
      </c>
      <c r="G1113" s="33">
        <v>2</v>
      </c>
      <c r="H1113" s="33">
        <v>9</v>
      </c>
      <c r="I1113" s="12" t="s">
        <v>1249</v>
      </c>
      <c r="J1113" s="12" t="s">
        <v>120</v>
      </c>
      <c r="K1113" s="73" t="s">
        <v>29</v>
      </c>
      <c r="L1113" s="13">
        <v>36688</v>
      </c>
      <c r="M1113" s="13">
        <v>26282</v>
      </c>
      <c r="N1113" s="13">
        <v>10114</v>
      </c>
      <c r="O1113" s="13">
        <v>2213</v>
      </c>
      <c r="P1113" s="13">
        <v>0</v>
      </c>
      <c r="Q1113" s="13">
        <v>34475</v>
      </c>
      <c r="R1113" s="13">
        <v>3039</v>
      </c>
      <c r="S1113" s="13">
        <v>0</v>
      </c>
      <c r="T1113" s="13">
        <v>1</v>
      </c>
      <c r="U1113" s="12" t="str">
        <f t="shared" si="68"/>
        <v>Privado Nacional</v>
      </c>
      <c r="V1113" s="14">
        <f t="shared" si="69"/>
        <v>0.71636502398604451</v>
      </c>
      <c r="W1113" s="14">
        <f t="shared" si="70"/>
        <v>8.8150833937635967E-2</v>
      </c>
      <c r="X1113" s="12" t="str">
        <f t="shared" si="71"/>
        <v>Média/Pequena</v>
      </c>
      <c r="Y1113" s="122" t="str" cm="1">
        <f t="array" ref="Y1113">_xlfn.IFS(ISNUMBER(W1113)=FALSE,"Sem dado",W1113&gt;0.075,"Excelente",W1113&gt;0.04,"Bom",W1113&gt;0,"Fraco",TRUE,"Prejuízo")</f>
        <v>Excelente</v>
      </c>
    </row>
    <row r="1114" spans="1:25" ht="15" customHeight="1" x14ac:dyDescent="0.2">
      <c r="A1114" s="15" t="s">
        <v>2343</v>
      </c>
      <c r="B1114" s="60">
        <v>2285107</v>
      </c>
      <c r="C1114" s="15"/>
      <c r="D1114" s="15"/>
      <c r="E1114" s="15"/>
      <c r="F1114" s="15" t="s">
        <v>265</v>
      </c>
      <c r="G1114" s="34">
        <v>2</v>
      </c>
      <c r="H1114" s="34">
        <v>9</v>
      </c>
      <c r="I1114" s="15" t="s">
        <v>165</v>
      </c>
      <c r="J1114" s="15" t="s">
        <v>39</v>
      </c>
      <c r="K1114" s="74" t="s">
        <v>29</v>
      </c>
      <c r="L1114" s="16">
        <v>36671</v>
      </c>
      <c r="M1114" s="16">
        <v>20352</v>
      </c>
      <c r="N1114" s="16">
        <v>15232</v>
      </c>
      <c r="O1114" s="16">
        <v>2951</v>
      </c>
      <c r="P1114" s="16">
        <v>0</v>
      </c>
      <c r="Q1114" s="16">
        <v>33720</v>
      </c>
      <c r="R1114" s="16">
        <v>2196</v>
      </c>
      <c r="S1114" s="16">
        <v>0</v>
      </c>
      <c r="T1114" s="16">
        <v>0</v>
      </c>
      <c r="U1114" s="15" t="str">
        <f t="shared" si="68"/>
        <v>Privado Nacional</v>
      </c>
      <c r="V1114" s="17">
        <f t="shared" si="69"/>
        <v>0.55498895585067221</v>
      </c>
      <c r="W1114" s="17">
        <f t="shared" si="70"/>
        <v>6.5124555160142344E-2</v>
      </c>
      <c r="X1114" s="15" t="str">
        <f t="shared" si="71"/>
        <v>Média/Pequena</v>
      </c>
      <c r="Y1114" s="121" t="str" cm="1">
        <f t="array" ref="Y1114">_xlfn.IFS(ISNUMBER(W1114)=FALSE,"Sem dado",W1114&gt;0.075,"Excelente",W1114&gt;0.04,"Bom",W1114&gt;0,"Fraco",TRUE,"Prejuízo")</f>
        <v>Bom</v>
      </c>
    </row>
    <row r="1115" spans="1:25" ht="15" customHeight="1" x14ac:dyDescent="0.2">
      <c r="A1115" s="12" t="s">
        <v>2344</v>
      </c>
      <c r="B1115" s="56">
        <v>46743997</v>
      </c>
      <c r="C1115" s="12" t="s">
        <v>2345</v>
      </c>
      <c r="D1115" s="12"/>
      <c r="E1115" s="12" t="s">
        <v>2346</v>
      </c>
      <c r="F1115" s="12" t="s">
        <v>65</v>
      </c>
      <c r="G1115" s="33">
        <v>2</v>
      </c>
      <c r="H1115" s="33">
        <v>43</v>
      </c>
      <c r="I1115" s="12" t="s">
        <v>38</v>
      </c>
      <c r="J1115" s="12" t="s">
        <v>39</v>
      </c>
      <c r="K1115" s="73" t="s">
        <v>29</v>
      </c>
      <c r="L1115" s="13">
        <v>36312</v>
      </c>
      <c r="M1115" s="13">
        <v>0</v>
      </c>
      <c r="N1115" s="13">
        <v>17239</v>
      </c>
      <c r="O1115" s="13">
        <v>20712</v>
      </c>
      <c r="P1115" s="13">
        <v>0</v>
      </c>
      <c r="Q1115" s="13">
        <v>15600</v>
      </c>
      <c r="R1115" s="13">
        <v>427</v>
      </c>
      <c r="S1115" s="13">
        <v>2</v>
      </c>
      <c r="T1115" s="13">
        <v>0</v>
      </c>
      <c r="U1115" s="12" t="str">
        <f t="shared" si="68"/>
        <v>Privado Nacional</v>
      </c>
      <c r="V1115" s="14">
        <f t="shared" si="69"/>
        <v>0</v>
      </c>
      <c r="W1115" s="14">
        <f t="shared" si="70"/>
        <v>2.737179487179487E-2</v>
      </c>
      <c r="X1115" s="12" t="str">
        <f t="shared" si="71"/>
        <v>Média/Pequena</v>
      </c>
      <c r="Y1115" s="122" t="str" cm="1">
        <f t="array" ref="Y1115">_xlfn.IFS(ISNUMBER(W1115)=FALSE,"Sem dado",W1115&gt;0.075,"Excelente",W1115&gt;0.04,"Bom",W1115&gt;0,"Fraco",TRUE,"Prejuízo")</f>
        <v>Fraco</v>
      </c>
    </row>
    <row r="1116" spans="1:25" ht="15" customHeight="1" x14ac:dyDescent="0.2">
      <c r="A1116" s="15" t="s">
        <v>2347</v>
      </c>
      <c r="B1116" s="60">
        <v>28683892</v>
      </c>
      <c r="C1116" s="15" t="s">
        <v>2348</v>
      </c>
      <c r="D1116" s="15"/>
      <c r="E1116" s="15" t="s">
        <v>2349</v>
      </c>
      <c r="F1116" s="15" t="s">
        <v>84</v>
      </c>
      <c r="G1116" s="34">
        <v>2</v>
      </c>
      <c r="H1116" s="34">
        <v>41</v>
      </c>
      <c r="I1116" s="15" t="s">
        <v>38</v>
      </c>
      <c r="J1116" s="15" t="s">
        <v>39</v>
      </c>
      <c r="K1116" s="74" t="s">
        <v>29</v>
      </c>
      <c r="L1116" s="16">
        <v>35775</v>
      </c>
      <c r="M1116" s="16">
        <v>0</v>
      </c>
      <c r="N1116" s="16">
        <v>16532</v>
      </c>
      <c r="O1116" s="16">
        <v>20411</v>
      </c>
      <c r="P1116" s="16">
        <v>7666</v>
      </c>
      <c r="Q1116" s="16">
        <v>15364</v>
      </c>
      <c r="R1116" s="16">
        <v>-2190</v>
      </c>
      <c r="S1116" s="16">
        <v>1</v>
      </c>
      <c r="T1116" s="16">
        <v>0</v>
      </c>
      <c r="U1116" s="15" t="str">
        <f t="shared" si="68"/>
        <v>Privado Nacional</v>
      </c>
      <c r="V1116" s="17">
        <f t="shared" si="69"/>
        <v>0</v>
      </c>
      <c r="W1116" s="17">
        <f t="shared" si="70"/>
        <v>-0.14254100494662847</v>
      </c>
      <c r="X1116" s="15" t="str">
        <f t="shared" si="71"/>
        <v>Média/Pequena</v>
      </c>
      <c r="Y1116" s="121" t="str" cm="1">
        <f t="array" ref="Y1116">_xlfn.IFS(ISNUMBER(W1116)=FALSE,"Sem dado",W1116&gt;0.075,"Excelente",W1116&gt;0.04,"Bom",W1116&gt;0,"Fraco",TRUE,"Prejuízo")</f>
        <v>Prejuízo</v>
      </c>
    </row>
    <row r="1117" spans="1:25" ht="15" customHeight="1" x14ac:dyDescent="0.2">
      <c r="A1117" s="12" t="s">
        <v>2350</v>
      </c>
      <c r="B1117" s="56">
        <v>40475846</v>
      </c>
      <c r="C1117" s="12" t="s">
        <v>2351</v>
      </c>
      <c r="D1117" s="12" t="s">
        <v>2352</v>
      </c>
      <c r="E1117" s="12" t="s">
        <v>2352</v>
      </c>
      <c r="F1117" s="12" t="s">
        <v>65</v>
      </c>
      <c r="G1117" s="33">
        <v>2</v>
      </c>
      <c r="H1117" s="33">
        <v>43</v>
      </c>
      <c r="I1117" s="12" t="s">
        <v>372</v>
      </c>
      <c r="J1117" s="12" t="s">
        <v>229</v>
      </c>
      <c r="K1117" s="73" t="s">
        <v>29</v>
      </c>
      <c r="L1117" s="13">
        <v>35649</v>
      </c>
      <c r="M1117" s="13">
        <v>23167</v>
      </c>
      <c r="N1117" s="13">
        <v>0</v>
      </c>
      <c r="O1117" s="13">
        <v>14263</v>
      </c>
      <c r="P1117" s="13">
        <v>5322</v>
      </c>
      <c r="Q1117" s="13">
        <v>21386</v>
      </c>
      <c r="R1117" s="13">
        <v>885</v>
      </c>
      <c r="S1117" s="13">
        <v>2</v>
      </c>
      <c r="T1117" s="13">
        <v>0</v>
      </c>
      <c r="U1117" s="12" t="str">
        <f t="shared" si="68"/>
        <v>Privado Nacional</v>
      </c>
      <c r="V1117" s="14">
        <f t="shared" si="69"/>
        <v>0.6498639513029818</v>
      </c>
      <c r="W1117" s="14">
        <f t="shared" si="70"/>
        <v>4.1382212662489481E-2</v>
      </c>
      <c r="X1117" s="12" t="str">
        <f t="shared" si="71"/>
        <v>Média/Pequena</v>
      </c>
      <c r="Y1117" s="122" t="str" cm="1">
        <f t="array" ref="Y1117">_xlfn.IFS(ISNUMBER(W1117)=FALSE,"Sem dado",W1117&gt;0.075,"Excelente",W1117&gt;0.04,"Bom",W1117&gt;0,"Fraco",TRUE,"Prejuízo")</f>
        <v>Bom</v>
      </c>
    </row>
    <row r="1118" spans="1:25" ht="15" customHeight="1" x14ac:dyDescent="0.2">
      <c r="A1118" s="15" t="s">
        <v>2353</v>
      </c>
      <c r="B1118" s="60">
        <v>35340796</v>
      </c>
      <c r="C1118" s="15" t="s">
        <v>2354</v>
      </c>
      <c r="D1118" s="15"/>
      <c r="E1118" s="15" t="s">
        <v>2355</v>
      </c>
      <c r="F1118" s="15" t="s">
        <v>65</v>
      </c>
      <c r="G1118" s="34">
        <v>2</v>
      </c>
      <c r="H1118" s="34">
        <v>44</v>
      </c>
      <c r="I1118" s="15" t="s">
        <v>119</v>
      </c>
      <c r="J1118" s="15" t="s">
        <v>120</v>
      </c>
      <c r="K1118" s="74" t="s">
        <v>29</v>
      </c>
      <c r="L1118" s="16">
        <v>35146</v>
      </c>
      <c r="M1118" s="16">
        <v>0</v>
      </c>
      <c r="N1118" s="16">
        <v>3559</v>
      </c>
      <c r="O1118" s="16">
        <v>29836</v>
      </c>
      <c r="P1118" s="16">
        <v>28772</v>
      </c>
      <c r="Q1118" s="16">
        <v>5310</v>
      </c>
      <c r="R1118" s="16">
        <v>269</v>
      </c>
      <c r="S1118" s="16">
        <v>2</v>
      </c>
      <c r="T1118" s="16">
        <v>0</v>
      </c>
      <c r="U1118" s="15" t="str">
        <f t="shared" si="68"/>
        <v>Privado Nacional</v>
      </c>
      <c r="V1118" s="17">
        <f t="shared" si="69"/>
        <v>0</v>
      </c>
      <c r="W1118" s="17">
        <f t="shared" si="70"/>
        <v>5.0659133709981166E-2</v>
      </c>
      <c r="X1118" s="15" t="str">
        <f t="shared" si="71"/>
        <v>Média/Pequena</v>
      </c>
      <c r="Y1118" s="121" t="str" cm="1">
        <f t="array" ref="Y1118">_xlfn.IFS(ISNUMBER(W1118)=FALSE,"Sem dado",W1118&gt;0.075,"Excelente",W1118&gt;0.04,"Bom",W1118&gt;0,"Fraco",TRUE,"Prejuízo")</f>
        <v>Bom</v>
      </c>
    </row>
    <row r="1119" spans="1:25" ht="15" customHeight="1" x14ac:dyDescent="0.2">
      <c r="A1119" s="12" t="s">
        <v>2356</v>
      </c>
      <c r="B1119" s="56">
        <v>73092827</v>
      </c>
      <c r="C1119" s="12"/>
      <c r="D1119" s="12"/>
      <c r="E1119" s="12"/>
      <c r="F1119" s="12" t="s">
        <v>265</v>
      </c>
      <c r="G1119" s="33">
        <v>2</v>
      </c>
      <c r="H1119" s="33">
        <v>9</v>
      </c>
      <c r="I1119" s="12" t="s">
        <v>38</v>
      </c>
      <c r="J1119" s="12" t="s">
        <v>39</v>
      </c>
      <c r="K1119" s="73" t="s">
        <v>29</v>
      </c>
      <c r="L1119" s="13">
        <v>34511</v>
      </c>
      <c r="M1119" s="13">
        <v>21861</v>
      </c>
      <c r="N1119" s="13">
        <v>12080</v>
      </c>
      <c r="O1119" s="13">
        <v>14925</v>
      </c>
      <c r="P1119" s="13">
        <v>13457</v>
      </c>
      <c r="Q1119" s="13">
        <v>19586</v>
      </c>
      <c r="R1119" s="13">
        <v>44</v>
      </c>
      <c r="S1119" s="13">
        <v>0</v>
      </c>
      <c r="T1119" s="13">
        <v>1</v>
      </c>
      <c r="U1119" s="12" t="str">
        <f t="shared" si="68"/>
        <v>Privado Nacional</v>
      </c>
      <c r="V1119" s="14">
        <f t="shared" si="69"/>
        <v>0.6334502042826925</v>
      </c>
      <c r="W1119" s="14">
        <f t="shared" si="70"/>
        <v>2.2465026039007454E-3</v>
      </c>
      <c r="X1119" s="12" t="str">
        <f t="shared" si="71"/>
        <v>Média/Pequena</v>
      </c>
      <c r="Y1119" s="122" t="str" cm="1">
        <f t="array" ref="Y1119">_xlfn.IFS(ISNUMBER(W1119)=FALSE,"Sem dado",W1119&gt;0.075,"Excelente",W1119&gt;0.04,"Bom",W1119&gt;0,"Fraco",TRUE,"Prejuízo")</f>
        <v>Fraco</v>
      </c>
    </row>
    <row r="1120" spans="1:25" ht="15" customHeight="1" x14ac:dyDescent="0.2">
      <c r="A1120" s="15" t="s">
        <v>2357</v>
      </c>
      <c r="B1120" s="60">
        <v>47873449</v>
      </c>
      <c r="C1120" s="15" t="s">
        <v>2358</v>
      </c>
      <c r="D1120" s="15"/>
      <c r="E1120" s="15" t="s">
        <v>2359</v>
      </c>
      <c r="F1120" s="15" t="s">
        <v>65</v>
      </c>
      <c r="G1120" s="34">
        <v>2</v>
      </c>
      <c r="H1120" s="34">
        <v>43</v>
      </c>
      <c r="I1120" s="15" t="s">
        <v>1133</v>
      </c>
      <c r="J1120" s="15" t="s">
        <v>1078</v>
      </c>
      <c r="K1120" s="74" t="s">
        <v>29</v>
      </c>
      <c r="L1120" s="16">
        <v>34055</v>
      </c>
      <c r="M1120" s="16">
        <v>2873</v>
      </c>
      <c r="N1120" s="16">
        <v>0</v>
      </c>
      <c r="O1120" s="16">
        <v>14993</v>
      </c>
      <c r="P1120" s="16">
        <v>9275</v>
      </c>
      <c r="Q1120" s="16">
        <v>19063</v>
      </c>
      <c r="R1120" s="16">
        <v>-15561</v>
      </c>
      <c r="S1120" s="16">
        <v>2</v>
      </c>
      <c r="T1120" s="16">
        <v>0</v>
      </c>
      <c r="U1120" s="15" t="str">
        <f t="shared" si="68"/>
        <v>Privado Nacional</v>
      </c>
      <c r="V1120" s="17">
        <f t="shared" si="69"/>
        <v>8.4363529584495667E-2</v>
      </c>
      <c r="W1120" s="17">
        <f t="shared" si="70"/>
        <v>-0.81629334312542623</v>
      </c>
      <c r="X1120" s="15" t="str">
        <f t="shared" si="71"/>
        <v>Média/Pequena</v>
      </c>
      <c r="Y1120" s="121" t="str" cm="1">
        <f t="array" ref="Y1120">_xlfn.IFS(ISNUMBER(W1120)=FALSE,"Sem dado",W1120&gt;0.075,"Excelente",W1120&gt;0.04,"Bom",W1120&gt;0,"Fraco",TRUE,"Prejuízo")</f>
        <v>Prejuízo</v>
      </c>
    </row>
    <row r="1121" spans="1:25" ht="15" customHeight="1" x14ac:dyDescent="0.2">
      <c r="A1121" s="12" t="s">
        <v>2360</v>
      </c>
      <c r="B1121" s="56">
        <v>37753531</v>
      </c>
      <c r="C1121" s="12" t="s">
        <v>2361</v>
      </c>
      <c r="D1121" s="12"/>
      <c r="E1121" s="12" t="s">
        <v>2362</v>
      </c>
      <c r="F1121" s="12" t="s">
        <v>84</v>
      </c>
      <c r="G1121" s="33">
        <v>3</v>
      </c>
      <c r="H1121" s="33">
        <v>41</v>
      </c>
      <c r="I1121" s="12" t="s">
        <v>38</v>
      </c>
      <c r="J1121" s="12" t="s">
        <v>39</v>
      </c>
      <c r="K1121" s="73" t="s">
        <v>29</v>
      </c>
      <c r="L1121" s="13">
        <v>33839</v>
      </c>
      <c r="M1121" s="13">
        <v>0</v>
      </c>
      <c r="N1121" s="13">
        <v>827</v>
      </c>
      <c r="O1121" s="13">
        <v>20215</v>
      </c>
      <c r="P1121" s="13">
        <v>17730</v>
      </c>
      <c r="Q1121" s="13">
        <v>13624</v>
      </c>
      <c r="R1121" s="13">
        <v>667</v>
      </c>
      <c r="S1121" s="13">
        <v>1</v>
      </c>
      <c r="T1121" s="13">
        <v>0</v>
      </c>
      <c r="U1121" s="12" t="str">
        <f t="shared" si="68"/>
        <v>Privado Estrangeiro</v>
      </c>
      <c r="V1121" s="14">
        <f t="shared" si="69"/>
        <v>0</v>
      </c>
      <c r="W1121" s="14">
        <f t="shared" si="70"/>
        <v>4.8957721667645331E-2</v>
      </c>
      <c r="X1121" s="12" t="str">
        <f t="shared" si="71"/>
        <v>Média/Pequena</v>
      </c>
      <c r="Y1121" s="122" t="str" cm="1">
        <f t="array" ref="Y1121">_xlfn.IFS(ISNUMBER(W1121)=FALSE,"Sem dado",W1121&gt;0.075,"Excelente",W1121&gt;0.04,"Bom",W1121&gt;0,"Fraco",TRUE,"Prejuízo")</f>
        <v>Bom</v>
      </c>
    </row>
    <row r="1122" spans="1:25" ht="15" customHeight="1" x14ac:dyDescent="0.2">
      <c r="A1122" s="15" t="s">
        <v>2363</v>
      </c>
      <c r="B1122" s="60">
        <v>38253318</v>
      </c>
      <c r="C1122" s="15" t="s">
        <v>2364</v>
      </c>
      <c r="D1122" s="15"/>
      <c r="E1122" s="15" t="s">
        <v>2365</v>
      </c>
      <c r="F1122" s="15" t="s">
        <v>84</v>
      </c>
      <c r="G1122" s="34">
        <v>2</v>
      </c>
      <c r="H1122" s="34">
        <v>41</v>
      </c>
      <c r="I1122" s="15" t="s">
        <v>53</v>
      </c>
      <c r="J1122" s="15" t="s">
        <v>54</v>
      </c>
      <c r="K1122" s="74" t="s">
        <v>29</v>
      </c>
      <c r="L1122" s="16">
        <v>33695</v>
      </c>
      <c r="M1122" s="16">
        <v>0</v>
      </c>
      <c r="N1122" s="16">
        <v>27502</v>
      </c>
      <c r="O1122" s="16">
        <v>29383</v>
      </c>
      <c r="P1122" s="16">
        <v>29057</v>
      </c>
      <c r="Q1122" s="16">
        <v>4312</v>
      </c>
      <c r="R1122" s="16">
        <v>653</v>
      </c>
      <c r="S1122" s="16">
        <v>1</v>
      </c>
      <c r="T1122" s="16">
        <v>0</v>
      </c>
      <c r="U1122" s="15" t="str">
        <f t="shared" si="68"/>
        <v>Privado Nacional</v>
      </c>
      <c r="V1122" s="17">
        <f t="shared" si="69"/>
        <v>0</v>
      </c>
      <c r="W1122" s="17">
        <f t="shared" si="70"/>
        <v>0.15143784786641928</v>
      </c>
      <c r="X1122" s="15" t="str">
        <f t="shared" si="71"/>
        <v>Média/Pequena</v>
      </c>
      <c r="Y1122" s="121" t="str" cm="1">
        <f t="array" ref="Y1122">_xlfn.IFS(ISNUMBER(W1122)=FALSE,"Sem dado",W1122&gt;0.075,"Excelente",W1122&gt;0.04,"Bom",W1122&gt;0,"Fraco",TRUE,"Prejuízo")</f>
        <v>Excelente</v>
      </c>
    </row>
    <row r="1123" spans="1:25" ht="15" customHeight="1" x14ac:dyDescent="0.2">
      <c r="A1123" s="12" t="s">
        <v>2366</v>
      </c>
      <c r="B1123" s="56">
        <v>44663846</v>
      </c>
      <c r="C1123" s="12" t="s">
        <v>2367</v>
      </c>
      <c r="D1123" s="12"/>
      <c r="E1123" s="12" t="s">
        <v>2368</v>
      </c>
      <c r="F1123" s="12" t="s">
        <v>84</v>
      </c>
      <c r="G1123" s="33">
        <v>2</v>
      </c>
      <c r="H1123" s="33">
        <v>41</v>
      </c>
      <c r="I1123" s="12" t="s">
        <v>38</v>
      </c>
      <c r="J1123" s="12" t="s">
        <v>39</v>
      </c>
      <c r="K1123" s="73" t="s">
        <v>29</v>
      </c>
      <c r="L1123" s="13">
        <v>33680</v>
      </c>
      <c r="M1123" s="13">
        <v>0</v>
      </c>
      <c r="N1123" s="13">
        <v>0</v>
      </c>
      <c r="O1123" s="13">
        <v>28156</v>
      </c>
      <c r="P1123" s="13">
        <v>25957</v>
      </c>
      <c r="Q1123" s="13">
        <v>5524</v>
      </c>
      <c r="R1123" s="13">
        <v>-879</v>
      </c>
      <c r="S1123" s="13">
        <v>1</v>
      </c>
      <c r="T1123" s="13">
        <v>0</v>
      </c>
      <c r="U1123" s="12" t="str">
        <f t="shared" si="68"/>
        <v>Privado Nacional</v>
      </c>
      <c r="V1123" s="14">
        <f t="shared" si="69"/>
        <v>0</v>
      </c>
      <c r="W1123" s="14">
        <f t="shared" si="70"/>
        <v>-0.15912382331643737</v>
      </c>
      <c r="X1123" s="12" t="str">
        <f t="shared" si="71"/>
        <v>Média/Pequena</v>
      </c>
      <c r="Y1123" s="122" t="str" cm="1">
        <f t="array" ref="Y1123">_xlfn.IFS(ISNUMBER(W1123)=FALSE,"Sem dado",W1123&gt;0.075,"Excelente",W1123&gt;0.04,"Bom",W1123&gt;0,"Fraco",TRUE,"Prejuízo")</f>
        <v>Prejuízo</v>
      </c>
    </row>
    <row r="1124" spans="1:25" ht="15" customHeight="1" x14ac:dyDescent="0.2">
      <c r="A1124" s="15" t="s">
        <v>2369</v>
      </c>
      <c r="B1124" s="60">
        <v>27842177</v>
      </c>
      <c r="C1124" s="15" t="s">
        <v>2370</v>
      </c>
      <c r="D1124" s="15"/>
      <c r="E1124" s="15" t="s">
        <v>2371</v>
      </c>
      <c r="F1124" s="15" t="s">
        <v>98</v>
      </c>
      <c r="G1124" s="34">
        <v>2</v>
      </c>
      <c r="H1124" s="34">
        <v>15</v>
      </c>
      <c r="I1124" s="15" t="s">
        <v>38</v>
      </c>
      <c r="J1124" s="15" t="s">
        <v>39</v>
      </c>
      <c r="K1124" s="74" t="s">
        <v>29</v>
      </c>
      <c r="L1124" s="16">
        <v>33107</v>
      </c>
      <c r="M1124" s="16">
        <v>0</v>
      </c>
      <c r="N1124" s="16">
        <v>17794</v>
      </c>
      <c r="O1124" s="16">
        <v>25513</v>
      </c>
      <c r="P1124" s="16">
        <v>14453</v>
      </c>
      <c r="Q1124" s="16">
        <v>7594</v>
      </c>
      <c r="R1124" s="16">
        <v>-2439</v>
      </c>
      <c r="S1124" s="16">
        <v>2</v>
      </c>
      <c r="T1124" s="16">
        <v>0</v>
      </c>
      <c r="U1124" s="15" t="str">
        <f t="shared" si="68"/>
        <v>Privado Nacional</v>
      </c>
      <c r="V1124" s="17">
        <f t="shared" si="69"/>
        <v>0</v>
      </c>
      <c r="W1124" s="17">
        <f t="shared" si="70"/>
        <v>-0.3211746115354227</v>
      </c>
      <c r="X1124" s="15" t="str">
        <f t="shared" si="71"/>
        <v>Média/Pequena</v>
      </c>
      <c r="Y1124" s="121" t="str" cm="1">
        <f t="array" ref="Y1124">_xlfn.IFS(ISNUMBER(W1124)=FALSE,"Sem dado",W1124&gt;0.075,"Excelente",W1124&gt;0.04,"Bom",W1124&gt;0,"Fraco",TRUE,"Prejuízo")</f>
        <v>Prejuízo</v>
      </c>
    </row>
    <row r="1125" spans="1:25" ht="15" customHeight="1" x14ac:dyDescent="0.2">
      <c r="A1125" s="12" t="s">
        <v>2372</v>
      </c>
      <c r="B1125" s="56">
        <v>46241852</v>
      </c>
      <c r="C1125" s="12" t="s">
        <v>2373</v>
      </c>
      <c r="D1125" s="12"/>
      <c r="E1125" s="12" t="s">
        <v>2374</v>
      </c>
      <c r="F1125" s="12" t="s">
        <v>65</v>
      </c>
      <c r="G1125" s="33">
        <v>2</v>
      </c>
      <c r="H1125" s="33">
        <v>14</v>
      </c>
      <c r="I1125" s="12" t="s">
        <v>53</v>
      </c>
      <c r="J1125" s="12" t="s">
        <v>54</v>
      </c>
      <c r="K1125" s="73" t="s">
        <v>29</v>
      </c>
      <c r="L1125" s="13">
        <v>32846</v>
      </c>
      <c r="M1125" s="13">
        <v>3094</v>
      </c>
      <c r="N1125" s="13">
        <v>29401</v>
      </c>
      <c r="O1125" s="13">
        <v>260</v>
      </c>
      <c r="P1125" s="13">
        <v>0</v>
      </c>
      <c r="Q1125" s="13">
        <v>32586</v>
      </c>
      <c r="R1125" s="13">
        <v>459</v>
      </c>
      <c r="S1125" s="13">
        <v>2</v>
      </c>
      <c r="T1125" s="13">
        <v>0</v>
      </c>
      <c r="U1125" s="12" t="str">
        <f t="shared" si="68"/>
        <v>Privado Nacional</v>
      </c>
      <c r="V1125" s="14">
        <f t="shared" si="69"/>
        <v>9.4197162515983687E-2</v>
      </c>
      <c r="W1125" s="14">
        <f t="shared" si="70"/>
        <v>1.4085803719388695E-2</v>
      </c>
      <c r="X1125" s="12" t="str">
        <f t="shared" si="71"/>
        <v>Média/Pequena</v>
      </c>
      <c r="Y1125" s="122" t="str" cm="1">
        <f t="array" ref="Y1125">_xlfn.IFS(ISNUMBER(W1125)=FALSE,"Sem dado",W1125&gt;0.075,"Excelente",W1125&gt;0.04,"Bom",W1125&gt;0,"Fraco",TRUE,"Prejuízo")</f>
        <v>Fraco</v>
      </c>
    </row>
    <row r="1126" spans="1:25" ht="15" customHeight="1" x14ac:dyDescent="0.2">
      <c r="A1126" s="15" t="s">
        <v>2375</v>
      </c>
      <c r="B1126" s="60">
        <v>15761217</v>
      </c>
      <c r="C1126" s="15" t="s">
        <v>2376</v>
      </c>
      <c r="D1126" s="15"/>
      <c r="E1126" s="15" t="s">
        <v>2377</v>
      </c>
      <c r="F1126" s="15" t="s">
        <v>98</v>
      </c>
      <c r="G1126" s="34">
        <v>2</v>
      </c>
      <c r="H1126" s="34">
        <v>21</v>
      </c>
      <c r="I1126" s="15" t="s">
        <v>1585</v>
      </c>
      <c r="J1126" s="15" t="s">
        <v>1586</v>
      </c>
      <c r="K1126" s="74" t="s">
        <v>29</v>
      </c>
      <c r="L1126" s="16">
        <v>32609</v>
      </c>
      <c r="M1126" s="16">
        <v>0</v>
      </c>
      <c r="N1126" s="16">
        <v>2297</v>
      </c>
      <c r="O1126" s="16">
        <v>30399</v>
      </c>
      <c r="P1126" s="16">
        <v>0</v>
      </c>
      <c r="Q1126" s="16">
        <v>2209</v>
      </c>
      <c r="R1126" s="16">
        <v>-387</v>
      </c>
      <c r="S1126" s="16">
        <v>2</v>
      </c>
      <c r="T1126" s="16">
        <v>0</v>
      </c>
      <c r="U1126" s="15" t="str">
        <f t="shared" si="68"/>
        <v>Privado Nacional</v>
      </c>
      <c r="V1126" s="17">
        <f t="shared" si="69"/>
        <v>0</v>
      </c>
      <c r="W1126" s="17">
        <f t="shared" si="70"/>
        <v>-0.17519239474875509</v>
      </c>
      <c r="X1126" s="15" t="str">
        <f t="shared" si="71"/>
        <v>Média/Pequena</v>
      </c>
      <c r="Y1126" s="121" t="str" cm="1">
        <f t="array" ref="Y1126">_xlfn.IFS(ISNUMBER(W1126)=FALSE,"Sem dado",W1126&gt;0.075,"Excelente",W1126&gt;0.04,"Bom",W1126&gt;0,"Fraco",TRUE,"Prejuízo")</f>
        <v>Prejuízo</v>
      </c>
    </row>
    <row r="1127" spans="1:25" ht="15" customHeight="1" x14ac:dyDescent="0.2">
      <c r="A1127" s="12" t="s">
        <v>2378</v>
      </c>
      <c r="B1127" s="56">
        <v>8240446</v>
      </c>
      <c r="C1127" s="12"/>
      <c r="D1127" s="12"/>
      <c r="E1127" s="12"/>
      <c r="F1127" s="12" t="s">
        <v>265</v>
      </c>
      <c r="G1127" s="33">
        <v>2</v>
      </c>
      <c r="H1127" s="33">
        <v>9</v>
      </c>
      <c r="I1127" s="12" t="s">
        <v>2379</v>
      </c>
      <c r="J1127" s="12" t="s">
        <v>217</v>
      </c>
      <c r="K1127" s="73" t="s">
        <v>29</v>
      </c>
      <c r="L1127" s="13">
        <v>32478</v>
      </c>
      <c r="M1127" s="13">
        <v>13483</v>
      </c>
      <c r="N1127" s="13">
        <v>1680</v>
      </c>
      <c r="O1127" s="13">
        <v>30253</v>
      </c>
      <c r="P1127" s="13">
        <v>27570</v>
      </c>
      <c r="Q1127" s="13">
        <v>2225</v>
      </c>
      <c r="R1127" s="13">
        <v>-1203</v>
      </c>
      <c r="S1127" s="13">
        <v>0</v>
      </c>
      <c r="T1127" s="13">
        <v>4</v>
      </c>
      <c r="U1127" s="12" t="str">
        <f t="shared" si="68"/>
        <v>Privado Nacional</v>
      </c>
      <c r="V1127" s="14">
        <f t="shared" si="69"/>
        <v>0.41514255803928812</v>
      </c>
      <c r="W1127" s="14">
        <f t="shared" si="70"/>
        <v>-0.54067415730337076</v>
      </c>
      <c r="X1127" s="12" t="str">
        <f t="shared" si="71"/>
        <v>Média/Pequena</v>
      </c>
      <c r="Y1127" s="122" t="str" cm="1">
        <f t="array" ref="Y1127">_xlfn.IFS(ISNUMBER(W1127)=FALSE,"Sem dado",W1127&gt;0.075,"Excelente",W1127&gt;0.04,"Bom",W1127&gt;0,"Fraco",TRUE,"Prejuízo")</f>
        <v>Prejuízo</v>
      </c>
    </row>
    <row r="1128" spans="1:25" ht="15" customHeight="1" x14ac:dyDescent="0.2">
      <c r="A1128" s="15" t="s">
        <v>2380</v>
      </c>
      <c r="B1128" s="60">
        <v>8673569</v>
      </c>
      <c r="C1128" s="15" t="s">
        <v>2381</v>
      </c>
      <c r="D1128" s="15"/>
      <c r="E1128" s="15" t="s">
        <v>2382</v>
      </c>
      <c r="F1128" s="15" t="s">
        <v>98</v>
      </c>
      <c r="G1128" s="34">
        <v>2</v>
      </c>
      <c r="H1128" s="34">
        <v>16</v>
      </c>
      <c r="I1128" s="15" t="s">
        <v>38</v>
      </c>
      <c r="J1128" s="15" t="s">
        <v>39</v>
      </c>
      <c r="K1128" s="74" t="s">
        <v>29</v>
      </c>
      <c r="L1128" s="16">
        <v>32362</v>
      </c>
      <c r="M1128" s="16">
        <v>0</v>
      </c>
      <c r="N1128" s="16">
        <v>0</v>
      </c>
      <c r="O1128" s="16">
        <v>3746</v>
      </c>
      <c r="P1128" s="16">
        <v>8</v>
      </c>
      <c r="Q1128" s="16">
        <v>28616</v>
      </c>
      <c r="R1128" s="16">
        <v>2055</v>
      </c>
      <c r="S1128" s="16">
        <v>2</v>
      </c>
      <c r="T1128" s="16">
        <v>0</v>
      </c>
      <c r="U1128" s="15" t="str">
        <f t="shared" si="68"/>
        <v>Privado Nacional</v>
      </c>
      <c r="V1128" s="17">
        <f t="shared" si="69"/>
        <v>0</v>
      </c>
      <c r="W1128" s="17">
        <f t="shared" si="70"/>
        <v>7.1812971764048092E-2</v>
      </c>
      <c r="X1128" s="15" t="str">
        <f t="shared" si="71"/>
        <v>Média/Pequena</v>
      </c>
      <c r="Y1128" s="121" t="str" cm="1">
        <f t="array" ref="Y1128">_xlfn.IFS(ISNUMBER(W1128)=FALSE,"Sem dado",W1128&gt;0.075,"Excelente",W1128&gt;0.04,"Bom",W1128&gt;0,"Fraco",TRUE,"Prejuízo")</f>
        <v>Bom</v>
      </c>
    </row>
    <row r="1129" spans="1:25" ht="15" customHeight="1" x14ac:dyDescent="0.2">
      <c r="A1129" s="12" t="s">
        <v>2383</v>
      </c>
      <c r="B1129" s="56">
        <v>40429946</v>
      </c>
      <c r="C1129" s="12" t="s">
        <v>2384</v>
      </c>
      <c r="D1129" s="12"/>
      <c r="E1129" s="12" t="s">
        <v>2385</v>
      </c>
      <c r="F1129" s="12" t="s">
        <v>60</v>
      </c>
      <c r="G1129" s="33">
        <v>2</v>
      </c>
      <c r="H1129" s="33">
        <v>13</v>
      </c>
      <c r="I1129" s="12" t="s">
        <v>2386</v>
      </c>
      <c r="J1129" s="12" t="s">
        <v>54</v>
      </c>
      <c r="K1129" s="73" t="s">
        <v>29</v>
      </c>
      <c r="L1129" s="13">
        <v>32201</v>
      </c>
      <c r="M1129" s="13">
        <v>8507</v>
      </c>
      <c r="N1129" s="13">
        <v>0</v>
      </c>
      <c r="O1129" s="13">
        <v>574</v>
      </c>
      <c r="P1129" s="13">
        <v>0</v>
      </c>
      <c r="Q1129" s="13">
        <v>31627</v>
      </c>
      <c r="R1129" s="13">
        <v>577</v>
      </c>
      <c r="S1129" s="13">
        <v>2</v>
      </c>
      <c r="T1129" s="13">
        <v>0</v>
      </c>
      <c r="U1129" s="12" t="str">
        <f t="shared" si="68"/>
        <v>Privado Nacional</v>
      </c>
      <c r="V1129" s="14">
        <f t="shared" si="69"/>
        <v>0.26418434210117697</v>
      </c>
      <c r="W1129" s="14">
        <f t="shared" si="70"/>
        <v>1.8243905523761345E-2</v>
      </c>
      <c r="X1129" s="12" t="str">
        <f t="shared" si="71"/>
        <v>Média/Pequena</v>
      </c>
      <c r="Y1129" s="122" t="str" cm="1">
        <f t="array" ref="Y1129">_xlfn.IFS(ISNUMBER(W1129)=FALSE,"Sem dado",W1129&gt;0.075,"Excelente",W1129&gt;0.04,"Bom",W1129&gt;0,"Fraco",TRUE,"Prejuízo")</f>
        <v>Fraco</v>
      </c>
    </row>
    <row r="1130" spans="1:25" ht="15" customHeight="1" x14ac:dyDescent="0.2">
      <c r="A1130" s="15" t="s">
        <v>2387</v>
      </c>
      <c r="B1130" s="60">
        <v>20155248</v>
      </c>
      <c r="C1130" s="15" t="s">
        <v>2388</v>
      </c>
      <c r="D1130" s="15"/>
      <c r="E1130" s="15" t="s">
        <v>2389</v>
      </c>
      <c r="F1130" s="15" t="s">
        <v>98</v>
      </c>
      <c r="G1130" s="34">
        <v>2</v>
      </c>
      <c r="H1130" s="34">
        <v>16</v>
      </c>
      <c r="I1130" s="15" t="s">
        <v>107</v>
      </c>
      <c r="J1130" s="15" t="s">
        <v>39</v>
      </c>
      <c r="K1130" s="74" t="s">
        <v>29</v>
      </c>
      <c r="L1130" s="16">
        <v>32166</v>
      </c>
      <c r="M1130" s="16">
        <v>0</v>
      </c>
      <c r="N1130" s="16">
        <v>585</v>
      </c>
      <c r="O1130" s="16">
        <v>11399</v>
      </c>
      <c r="P1130" s="16">
        <v>103</v>
      </c>
      <c r="Q1130" s="16">
        <v>20767</v>
      </c>
      <c r="R1130" s="16">
        <v>-1381</v>
      </c>
      <c r="S1130" s="16">
        <v>4</v>
      </c>
      <c r="T1130" s="16">
        <v>0</v>
      </c>
      <c r="U1130" s="15" t="str">
        <f t="shared" si="68"/>
        <v>Privado Nacional</v>
      </c>
      <c r="V1130" s="17">
        <f t="shared" si="69"/>
        <v>0</v>
      </c>
      <c r="W1130" s="17">
        <f t="shared" si="70"/>
        <v>-6.6499735156739057E-2</v>
      </c>
      <c r="X1130" s="15" t="str">
        <f t="shared" si="71"/>
        <v>Média/Pequena</v>
      </c>
      <c r="Y1130" s="121" t="str" cm="1">
        <f t="array" ref="Y1130">_xlfn.IFS(ISNUMBER(W1130)=FALSE,"Sem dado",W1130&gt;0.075,"Excelente",W1130&gt;0.04,"Bom",W1130&gt;0,"Fraco",TRUE,"Prejuízo")</f>
        <v>Prejuízo</v>
      </c>
    </row>
    <row r="1131" spans="1:25" ht="15" customHeight="1" x14ac:dyDescent="0.2">
      <c r="A1131" s="12" t="s">
        <v>2390</v>
      </c>
      <c r="B1131" s="56">
        <v>44746352</v>
      </c>
      <c r="C1131" s="12"/>
      <c r="D1131" s="12"/>
      <c r="E1131" s="12"/>
      <c r="F1131" s="12" t="s">
        <v>265</v>
      </c>
      <c r="G1131" s="33">
        <v>2</v>
      </c>
      <c r="H1131" s="33">
        <v>9</v>
      </c>
      <c r="I1131" s="12" t="s">
        <v>1635</v>
      </c>
      <c r="J1131" s="12" t="s">
        <v>39</v>
      </c>
      <c r="K1131" s="73" t="s">
        <v>29</v>
      </c>
      <c r="L1131" s="13">
        <v>32136</v>
      </c>
      <c r="M1131" s="13">
        <v>20177</v>
      </c>
      <c r="N1131" s="13">
        <v>11417</v>
      </c>
      <c r="O1131" s="13">
        <v>6192</v>
      </c>
      <c r="P1131" s="13">
        <v>3317</v>
      </c>
      <c r="Q1131" s="13">
        <v>25944</v>
      </c>
      <c r="R1131" s="13">
        <v>992</v>
      </c>
      <c r="S1131" s="13">
        <v>0</v>
      </c>
      <c r="T1131" s="13">
        <v>0</v>
      </c>
      <c r="U1131" s="12" t="str">
        <f t="shared" si="68"/>
        <v>Privado Nacional</v>
      </c>
      <c r="V1131" s="14">
        <f t="shared" si="69"/>
        <v>0.62786283295992029</v>
      </c>
      <c r="W1131" s="14">
        <f t="shared" si="70"/>
        <v>3.8236201048411966E-2</v>
      </c>
      <c r="X1131" s="12" t="str">
        <f t="shared" si="71"/>
        <v>Média/Pequena</v>
      </c>
      <c r="Y1131" s="122" t="str" cm="1">
        <f t="array" ref="Y1131">_xlfn.IFS(ISNUMBER(W1131)=FALSE,"Sem dado",W1131&gt;0.075,"Excelente",W1131&gt;0.04,"Bom",W1131&gt;0,"Fraco",TRUE,"Prejuízo")</f>
        <v>Fraco</v>
      </c>
    </row>
    <row r="1132" spans="1:25" ht="15" customHeight="1" x14ac:dyDescent="0.2">
      <c r="A1132" s="15" t="s">
        <v>2391</v>
      </c>
      <c r="B1132" s="60">
        <v>57487987</v>
      </c>
      <c r="C1132" s="15" t="s">
        <v>2392</v>
      </c>
      <c r="D1132" s="15"/>
      <c r="E1132" s="15" t="s">
        <v>2393</v>
      </c>
      <c r="F1132" s="15" t="s">
        <v>65</v>
      </c>
      <c r="G1132" s="34">
        <v>3</v>
      </c>
      <c r="H1132" s="34">
        <v>43</v>
      </c>
      <c r="I1132" s="15" t="s">
        <v>38</v>
      </c>
      <c r="J1132" s="15" t="s">
        <v>39</v>
      </c>
      <c r="K1132" s="74" t="s">
        <v>29</v>
      </c>
      <c r="L1132" s="16">
        <v>31966</v>
      </c>
      <c r="M1132" s="16">
        <v>0</v>
      </c>
      <c r="N1132" s="16">
        <v>30911</v>
      </c>
      <c r="O1132" s="16">
        <v>6288</v>
      </c>
      <c r="P1132" s="16">
        <v>123</v>
      </c>
      <c r="Q1132" s="16">
        <v>25679</v>
      </c>
      <c r="R1132" s="16">
        <v>-5234</v>
      </c>
      <c r="S1132" s="16">
        <v>2</v>
      </c>
      <c r="T1132" s="16">
        <v>0</v>
      </c>
      <c r="U1132" s="15" t="str">
        <f t="shared" si="68"/>
        <v>Privado Estrangeiro</v>
      </c>
      <c r="V1132" s="17">
        <f t="shared" si="69"/>
        <v>0</v>
      </c>
      <c r="W1132" s="17">
        <f t="shared" si="70"/>
        <v>-0.20382413645391176</v>
      </c>
      <c r="X1132" s="15" t="str">
        <f t="shared" si="71"/>
        <v>Média/Pequena</v>
      </c>
      <c r="Y1132" s="121" t="str" cm="1">
        <f t="array" ref="Y1132">_xlfn.IFS(ISNUMBER(W1132)=FALSE,"Sem dado",W1132&gt;0.075,"Excelente",W1132&gt;0.04,"Bom",W1132&gt;0,"Fraco",TRUE,"Prejuízo")</f>
        <v>Prejuízo</v>
      </c>
    </row>
    <row r="1133" spans="1:25" ht="15" customHeight="1" x14ac:dyDescent="0.2">
      <c r="A1133" s="12" t="s">
        <v>2394</v>
      </c>
      <c r="B1133" s="56">
        <v>20110153</v>
      </c>
      <c r="C1133" s="12" t="s">
        <v>2395</v>
      </c>
      <c r="D1133" s="12"/>
      <c r="E1133" s="12" t="s">
        <v>2396</v>
      </c>
      <c r="F1133" s="12" t="s">
        <v>84</v>
      </c>
      <c r="G1133" s="33">
        <v>2</v>
      </c>
      <c r="H1133" s="33">
        <v>41</v>
      </c>
      <c r="I1133" s="12" t="s">
        <v>2397</v>
      </c>
      <c r="J1133" s="12" t="s">
        <v>229</v>
      </c>
      <c r="K1133" s="73" t="s">
        <v>29</v>
      </c>
      <c r="L1133" s="13">
        <v>31898</v>
      </c>
      <c r="M1133" s="13">
        <v>0</v>
      </c>
      <c r="N1133" s="13">
        <v>3932</v>
      </c>
      <c r="O1133" s="13">
        <v>26624</v>
      </c>
      <c r="P1133" s="13">
        <v>0</v>
      </c>
      <c r="Q1133" s="13">
        <v>5274</v>
      </c>
      <c r="R1133" s="13">
        <v>189</v>
      </c>
      <c r="S1133" s="13">
        <v>1</v>
      </c>
      <c r="T1133" s="13">
        <v>0</v>
      </c>
      <c r="U1133" s="12" t="str">
        <f t="shared" si="68"/>
        <v>Privado Nacional</v>
      </c>
      <c r="V1133" s="14">
        <f t="shared" si="69"/>
        <v>0</v>
      </c>
      <c r="W1133" s="14">
        <f t="shared" si="70"/>
        <v>3.5836177474402729E-2</v>
      </c>
      <c r="X1133" s="12" t="str">
        <f t="shared" si="71"/>
        <v>Média/Pequena</v>
      </c>
      <c r="Y1133" s="122" t="str" cm="1">
        <f t="array" ref="Y1133">_xlfn.IFS(ISNUMBER(W1133)=FALSE,"Sem dado",W1133&gt;0.075,"Excelente",W1133&gt;0.04,"Bom",W1133&gt;0,"Fraco",TRUE,"Prejuízo")</f>
        <v>Fraco</v>
      </c>
    </row>
    <row r="1134" spans="1:25" ht="15" customHeight="1" x14ac:dyDescent="0.2">
      <c r="A1134" s="15" t="s">
        <v>2398</v>
      </c>
      <c r="B1134" s="60">
        <v>15213150</v>
      </c>
      <c r="C1134" s="15" t="s">
        <v>207</v>
      </c>
      <c r="D1134" s="15" t="s">
        <v>208</v>
      </c>
      <c r="E1134" s="15" t="s">
        <v>209</v>
      </c>
      <c r="F1134" s="15" t="s">
        <v>98</v>
      </c>
      <c r="G1134" s="34">
        <v>3</v>
      </c>
      <c r="H1134" s="34">
        <v>15</v>
      </c>
      <c r="I1134" s="15" t="s">
        <v>210</v>
      </c>
      <c r="J1134" s="15" t="s">
        <v>211</v>
      </c>
      <c r="K1134" s="74" t="s">
        <v>29</v>
      </c>
      <c r="L1134" s="16">
        <v>31849</v>
      </c>
      <c r="M1134" s="16">
        <v>0</v>
      </c>
      <c r="N1134" s="16">
        <v>3111</v>
      </c>
      <c r="O1134" s="16">
        <v>3948</v>
      </c>
      <c r="P1134" s="16">
        <v>0</v>
      </c>
      <c r="Q1134" s="16">
        <v>27901</v>
      </c>
      <c r="R1134" s="16">
        <v>2736</v>
      </c>
      <c r="S1134" s="16">
        <v>4</v>
      </c>
      <c r="T1134" s="16">
        <v>0</v>
      </c>
      <c r="U1134" s="15" t="str">
        <f t="shared" si="68"/>
        <v>Privado Estrangeiro</v>
      </c>
      <c r="V1134" s="17">
        <f t="shared" si="69"/>
        <v>0</v>
      </c>
      <c r="W1134" s="17">
        <f t="shared" si="70"/>
        <v>9.8061001397799358E-2</v>
      </c>
      <c r="X1134" s="15" t="str">
        <f t="shared" si="71"/>
        <v>Média/Pequena</v>
      </c>
      <c r="Y1134" s="121" t="str" cm="1">
        <f t="array" ref="Y1134">_xlfn.IFS(ISNUMBER(W1134)=FALSE,"Sem dado",W1134&gt;0.075,"Excelente",W1134&gt;0.04,"Bom",W1134&gt;0,"Fraco",TRUE,"Prejuízo")</f>
        <v>Excelente</v>
      </c>
    </row>
    <row r="1135" spans="1:25" ht="15" customHeight="1" x14ac:dyDescent="0.2">
      <c r="A1135" s="12" t="s">
        <v>2399</v>
      </c>
      <c r="B1135" s="56">
        <v>52076716</v>
      </c>
      <c r="C1135" s="12" t="s">
        <v>2400</v>
      </c>
      <c r="D1135" s="12"/>
      <c r="E1135" s="12" t="s">
        <v>2401</v>
      </c>
      <c r="F1135" s="12" t="s">
        <v>84</v>
      </c>
      <c r="G1135" s="33">
        <v>3</v>
      </c>
      <c r="H1135" s="33">
        <v>41</v>
      </c>
      <c r="I1135" s="12" t="s">
        <v>38</v>
      </c>
      <c r="J1135" s="12" t="s">
        <v>39</v>
      </c>
      <c r="K1135" s="73" t="s">
        <v>29</v>
      </c>
      <c r="L1135" s="13">
        <v>31699</v>
      </c>
      <c r="M1135" s="13">
        <v>0</v>
      </c>
      <c r="N1135" s="13">
        <v>0</v>
      </c>
      <c r="O1135" s="13">
        <v>1203</v>
      </c>
      <c r="P1135" s="13">
        <v>0</v>
      </c>
      <c r="Q1135" s="13">
        <v>30496</v>
      </c>
      <c r="R1135" s="13">
        <v>-3767</v>
      </c>
      <c r="S1135" s="13">
        <v>1</v>
      </c>
      <c r="T1135" s="13">
        <v>0</v>
      </c>
      <c r="U1135" s="12" t="str">
        <f t="shared" si="68"/>
        <v>Privado Estrangeiro</v>
      </c>
      <c r="V1135" s="14">
        <f t="shared" si="69"/>
        <v>0</v>
      </c>
      <c r="W1135" s="14">
        <f t="shared" si="70"/>
        <v>-0.12352439664218258</v>
      </c>
      <c r="X1135" s="12" t="str">
        <f t="shared" si="71"/>
        <v>Média/Pequena</v>
      </c>
      <c r="Y1135" s="122" t="str" cm="1">
        <f t="array" ref="Y1135">_xlfn.IFS(ISNUMBER(W1135)=FALSE,"Sem dado",W1135&gt;0.075,"Excelente",W1135&gt;0.04,"Bom",W1135&gt;0,"Fraco",TRUE,"Prejuízo")</f>
        <v>Prejuízo</v>
      </c>
    </row>
    <row r="1136" spans="1:25" ht="15" customHeight="1" x14ac:dyDescent="0.2">
      <c r="A1136" s="15" t="s">
        <v>2402</v>
      </c>
      <c r="B1136" s="60">
        <v>4831810</v>
      </c>
      <c r="C1136" s="15"/>
      <c r="D1136" s="15"/>
      <c r="E1136" s="15"/>
      <c r="F1136" s="15" t="s">
        <v>265</v>
      </c>
      <c r="G1136" s="34">
        <v>2</v>
      </c>
      <c r="H1136" s="34">
        <v>9</v>
      </c>
      <c r="I1136" s="15" t="s">
        <v>2403</v>
      </c>
      <c r="J1136" s="15" t="s">
        <v>229</v>
      </c>
      <c r="K1136" s="74" t="s">
        <v>29</v>
      </c>
      <c r="L1136" s="16">
        <v>31581</v>
      </c>
      <c r="M1136" s="16">
        <v>20117</v>
      </c>
      <c r="N1136" s="16">
        <v>1076</v>
      </c>
      <c r="O1136" s="16">
        <v>22242</v>
      </c>
      <c r="P1136" s="16">
        <v>19623</v>
      </c>
      <c r="Q1136" s="16">
        <v>9339</v>
      </c>
      <c r="R1136" s="16">
        <v>856</v>
      </c>
      <c r="S1136" s="16">
        <v>0</v>
      </c>
      <c r="T1136" s="16">
        <v>1</v>
      </c>
      <c r="U1136" s="15" t="str">
        <f t="shared" si="68"/>
        <v>Privado Nacional</v>
      </c>
      <c r="V1136" s="17">
        <f t="shared" si="69"/>
        <v>0.63699692853297873</v>
      </c>
      <c r="W1136" s="17">
        <f t="shared" si="70"/>
        <v>9.165863582824714E-2</v>
      </c>
      <c r="X1136" s="15" t="str">
        <f t="shared" si="71"/>
        <v>Média/Pequena</v>
      </c>
      <c r="Y1136" s="121" t="str" cm="1">
        <f t="array" ref="Y1136">_xlfn.IFS(ISNUMBER(W1136)=FALSE,"Sem dado",W1136&gt;0.075,"Excelente",W1136&gt;0.04,"Bom",W1136&gt;0,"Fraco",TRUE,"Prejuízo")</f>
        <v>Excelente</v>
      </c>
    </row>
    <row r="1137" spans="1:25" ht="15" customHeight="1" x14ac:dyDescent="0.2">
      <c r="A1137" s="12" t="s">
        <v>2404</v>
      </c>
      <c r="B1137" s="56">
        <v>48718183</v>
      </c>
      <c r="C1137" s="12"/>
      <c r="D1137" s="12"/>
      <c r="E1137" s="12"/>
      <c r="F1137" s="12" t="s">
        <v>265</v>
      </c>
      <c r="G1137" s="33">
        <v>2</v>
      </c>
      <c r="H1137" s="33">
        <v>9</v>
      </c>
      <c r="I1137" s="12" t="s">
        <v>38</v>
      </c>
      <c r="J1137" s="12" t="s">
        <v>39</v>
      </c>
      <c r="K1137" s="73" t="s">
        <v>29</v>
      </c>
      <c r="L1137" s="13">
        <v>31519</v>
      </c>
      <c r="M1137" s="13">
        <v>13137</v>
      </c>
      <c r="N1137" s="13">
        <v>18016</v>
      </c>
      <c r="O1137" s="13">
        <v>666</v>
      </c>
      <c r="P1137" s="13">
        <v>0</v>
      </c>
      <c r="Q1137" s="13">
        <v>30853</v>
      </c>
      <c r="R1137" s="13">
        <v>1643</v>
      </c>
      <c r="S1137" s="13">
        <v>0</v>
      </c>
      <c r="T1137" s="13">
        <v>0</v>
      </c>
      <c r="U1137" s="12" t="str">
        <f t="shared" si="68"/>
        <v>Privado Nacional</v>
      </c>
      <c r="V1137" s="14">
        <f t="shared" si="69"/>
        <v>0.41679621815412926</v>
      </c>
      <c r="W1137" s="14">
        <f t="shared" si="70"/>
        <v>5.3252520014261173E-2</v>
      </c>
      <c r="X1137" s="12" t="str">
        <f t="shared" si="71"/>
        <v>Média/Pequena</v>
      </c>
      <c r="Y1137" s="122" t="str" cm="1">
        <f t="array" ref="Y1137">_xlfn.IFS(ISNUMBER(W1137)=FALSE,"Sem dado",W1137&gt;0.075,"Excelente",W1137&gt;0.04,"Bom",W1137&gt;0,"Fraco",TRUE,"Prejuízo")</f>
        <v>Bom</v>
      </c>
    </row>
    <row r="1138" spans="1:25" ht="15" customHeight="1" x14ac:dyDescent="0.2">
      <c r="A1138" s="15" t="s">
        <v>2405</v>
      </c>
      <c r="B1138" s="60">
        <v>35713491</v>
      </c>
      <c r="C1138" s="15" t="s">
        <v>2406</v>
      </c>
      <c r="D1138" s="15"/>
      <c r="E1138" s="15" t="s">
        <v>2407</v>
      </c>
      <c r="F1138" s="15" t="s">
        <v>84</v>
      </c>
      <c r="G1138" s="34">
        <v>2</v>
      </c>
      <c r="H1138" s="34">
        <v>41</v>
      </c>
      <c r="I1138" s="15" t="s">
        <v>38</v>
      </c>
      <c r="J1138" s="15" t="s">
        <v>39</v>
      </c>
      <c r="K1138" s="74" t="s">
        <v>29</v>
      </c>
      <c r="L1138" s="16">
        <v>31141</v>
      </c>
      <c r="M1138" s="16">
        <v>0</v>
      </c>
      <c r="N1138" s="16">
        <v>10314</v>
      </c>
      <c r="O1138" s="16">
        <v>20042</v>
      </c>
      <c r="P1138" s="16">
        <v>13424</v>
      </c>
      <c r="Q1138" s="16">
        <v>11100</v>
      </c>
      <c r="R1138" s="16">
        <v>2252</v>
      </c>
      <c r="S1138" s="16">
        <v>1</v>
      </c>
      <c r="T1138" s="16">
        <v>0</v>
      </c>
      <c r="U1138" s="15" t="str">
        <f t="shared" si="68"/>
        <v>Privado Nacional</v>
      </c>
      <c r="V1138" s="17">
        <f t="shared" si="69"/>
        <v>0</v>
      </c>
      <c r="W1138" s="17">
        <f t="shared" si="70"/>
        <v>0.20288288288288289</v>
      </c>
      <c r="X1138" s="15" t="str">
        <f t="shared" si="71"/>
        <v>Média/Pequena</v>
      </c>
      <c r="Y1138" s="121" t="str" cm="1">
        <f t="array" ref="Y1138">_xlfn.IFS(ISNUMBER(W1138)=FALSE,"Sem dado",W1138&gt;0.075,"Excelente",W1138&gt;0.04,"Bom",W1138&gt;0,"Fraco",TRUE,"Prejuízo")</f>
        <v>Excelente</v>
      </c>
    </row>
    <row r="1139" spans="1:25" ht="15" customHeight="1" x14ac:dyDescent="0.2">
      <c r="A1139" s="12" t="s">
        <v>2408</v>
      </c>
      <c r="B1139" s="56">
        <v>34878543</v>
      </c>
      <c r="C1139" s="12" t="s">
        <v>2409</v>
      </c>
      <c r="D1139" s="12"/>
      <c r="E1139" s="12" t="s">
        <v>2410</v>
      </c>
      <c r="F1139" s="12" t="s">
        <v>84</v>
      </c>
      <c r="G1139" s="33">
        <v>3</v>
      </c>
      <c r="H1139" s="33">
        <v>41</v>
      </c>
      <c r="I1139" s="12" t="s">
        <v>38</v>
      </c>
      <c r="J1139" s="12" t="s">
        <v>39</v>
      </c>
      <c r="K1139" s="73" t="s">
        <v>29</v>
      </c>
      <c r="L1139" s="13">
        <v>30993</v>
      </c>
      <c r="M1139" s="13">
        <v>0</v>
      </c>
      <c r="N1139" s="13">
        <v>0</v>
      </c>
      <c r="O1139" s="13">
        <v>22005</v>
      </c>
      <c r="P1139" s="13">
        <v>2309</v>
      </c>
      <c r="Q1139" s="13">
        <v>8988</v>
      </c>
      <c r="R1139" s="13">
        <v>-59902</v>
      </c>
      <c r="S1139" s="13">
        <v>1</v>
      </c>
      <c r="T1139" s="13">
        <v>0</v>
      </c>
      <c r="U1139" s="12" t="str">
        <f t="shared" si="68"/>
        <v>Privado Estrangeiro</v>
      </c>
      <c r="V1139" s="14">
        <f t="shared" si="69"/>
        <v>0</v>
      </c>
      <c r="W1139" s="14">
        <f t="shared" si="70"/>
        <v>-6.664663996439697</v>
      </c>
      <c r="X1139" s="12" t="str">
        <f t="shared" si="71"/>
        <v>Média/Pequena</v>
      </c>
      <c r="Y1139" s="122" t="str" cm="1">
        <f t="array" ref="Y1139">_xlfn.IFS(ISNUMBER(W1139)=FALSE,"Sem dado",W1139&gt;0.075,"Excelente",W1139&gt;0.04,"Bom",W1139&gt;0,"Fraco",TRUE,"Prejuízo")</f>
        <v>Prejuízo</v>
      </c>
    </row>
    <row r="1140" spans="1:25" ht="15" customHeight="1" x14ac:dyDescent="0.2">
      <c r="A1140" s="15" t="s">
        <v>2411</v>
      </c>
      <c r="B1140" s="60">
        <v>40303299</v>
      </c>
      <c r="C1140" s="15" t="s">
        <v>222</v>
      </c>
      <c r="D1140" s="15" t="s">
        <v>223</v>
      </c>
      <c r="E1140" s="15" t="s">
        <v>224</v>
      </c>
      <c r="F1140" s="15" t="s">
        <v>98</v>
      </c>
      <c r="G1140" s="34">
        <v>2</v>
      </c>
      <c r="H1140" s="34">
        <v>16</v>
      </c>
      <c r="I1140" s="15" t="s">
        <v>38</v>
      </c>
      <c r="J1140" s="15" t="s">
        <v>39</v>
      </c>
      <c r="K1140" s="74" t="s">
        <v>29</v>
      </c>
      <c r="L1140" s="16">
        <v>30838</v>
      </c>
      <c r="M1140" s="16">
        <v>0</v>
      </c>
      <c r="N1140" s="16">
        <v>23262</v>
      </c>
      <c r="O1140" s="16">
        <v>5950</v>
      </c>
      <c r="P1140" s="16">
        <v>0</v>
      </c>
      <c r="Q1140" s="16">
        <v>24887</v>
      </c>
      <c r="R1140" s="16">
        <v>-4318</v>
      </c>
      <c r="S1140" s="16">
        <v>2</v>
      </c>
      <c r="T1140" s="16">
        <v>0</v>
      </c>
      <c r="U1140" s="15" t="str">
        <f t="shared" si="68"/>
        <v>Privado Nacional</v>
      </c>
      <c r="V1140" s="17">
        <f t="shared" si="69"/>
        <v>0</v>
      </c>
      <c r="W1140" s="17">
        <f t="shared" si="70"/>
        <v>-0.17350423916100777</v>
      </c>
      <c r="X1140" s="15" t="str">
        <f t="shared" si="71"/>
        <v>Média/Pequena</v>
      </c>
      <c r="Y1140" s="121" t="str" cm="1">
        <f t="array" ref="Y1140">_xlfn.IFS(ISNUMBER(W1140)=FALSE,"Sem dado",W1140&gt;0.075,"Excelente",W1140&gt;0.04,"Bom",W1140&gt;0,"Fraco",TRUE,"Prejuízo")</f>
        <v>Prejuízo</v>
      </c>
    </row>
    <row r="1141" spans="1:25" ht="15" customHeight="1" x14ac:dyDescent="0.2">
      <c r="A1141" s="12" t="s">
        <v>2412</v>
      </c>
      <c r="B1141" s="56">
        <v>67915868</v>
      </c>
      <c r="C1141" s="12"/>
      <c r="D1141" s="12"/>
      <c r="E1141" s="12"/>
      <c r="F1141" s="12" t="s">
        <v>265</v>
      </c>
      <c r="G1141" s="33">
        <v>2</v>
      </c>
      <c r="H1141" s="33">
        <v>9</v>
      </c>
      <c r="I1141" s="12" t="s">
        <v>2413</v>
      </c>
      <c r="J1141" s="12" t="s">
        <v>39</v>
      </c>
      <c r="K1141" s="73" t="s">
        <v>29</v>
      </c>
      <c r="L1141" s="13">
        <v>30796</v>
      </c>
      <c r="M1141" s="13">
        <v>8627</v>
      </c>
      <c r="N1141" s="13">
        <v>19928</v>
      </c>
      <c r="O1141" s="13">
        <v>3467</v>
      </c>
      <c r="P1141" s="13">
        <v>1</v>
      </c>
      <c r="Q1141" s="13">
        <v>27329</v>
      </c>
      <c r="R1141" s="13">
        <v>743</v>
      </c>
      <c r="S1141" s="13">
        <v>0</v>
      </c>
      <c r="T1141" s="13">
        <v>0</v>
      </c>
      <c r="U1141" s="12" t="str">
        <f t="shared" si="68"/>
        <v>Privado Nacional</v>
      </c>
      <c r="V1141" s="14">
        <f t="shared" si="69"/>
        <v>0.2801337836082608</v>
      </c>
      <c r="W1141" s="14">
        <f t="shared" si="70"/>
        <v>2.7187237000987963E-2</v>
      </c>
      <c r="X1141" s="12" t="str">
        <f t="shared" si="71"/>
        <v>Média/Pequena</v>
      </c>
      <c r="Y1141" s="122" t="str" cm="1">
        <f t="array" ref="Y1141">_xlfn.IFS(ISNUMBER(W1141)=FALSE,"Sem dado",W1141&gt;0.075,"Excelente",W1141&gt;0.04,"Bom",W1141&gt;0,"Fraco",TRUE,"Prejuízo")</f>
        <v>Fraco</v>
      </c>
    </row>
    <row r="1142" spans="1:25" ht="15" customHeight="1" x14ac:dyDescent="0.2">
      <c r="A1142" s="15" t="s">
        <v>2414</v>
      </c>
      <c r="B1142" s="60">
        <v>35274306</v>
      </c>
      <c r="C1142" s="15" t="s">
        <v>2415</v>
      </c>
      <c r="D1142" s="15"/>
      <c r="E1142" s="15" t="s">
        <v>2416</v>
      </c>
      <c r="F1142" s="15" t="s">
        <v>65</v>
      </c>
      <c r="G1142" s="34">
        <v>2</v>
      </c>
      <c r="H1142" s="34">
        <v>14</v>
      </c>
      <c r="I1142" s="15" t="s">
        <v>1357</v>
      </c>
      <c r="J1142" s="15" t="s">
        <v>1358</v>
      </c>
      <c r="K1142" s="74" t="s">
        <v>29</v>
      </c>
      <c r="L1142" s="16">
        <v>30544</v>
      </c>
      <c r="M1142" s="16">
        <v>90</v>
      </c>
      <c r="N1142" s="16">
        <v>30319</v>
      </c>
      <c r="O1142" s="16">
        <v>341</v>
      </c>
      <c r="P1142" s="16">
        <v>0</v>
      </c>
      <c r="Q1142" s="16">
        <v>30203</v>
      </c>
      <c r="R1142" s="16">
        <v>771</v>
      </c>
      <c r="S1142" s="16">
        <v>2</v>
      </c>
      <c r="T1142" s="16">
        <v>0</v>
      </c>
      <c r="U1142" s="15" t="str">
        <f t="shared" si="68"/>
        <v>Privado Nacional</v>
      </c>
      <c r="V1142" s="17">
        <f t="shared" si="69"/>
        <v>2.9465688842325827E-3</v>
      </c>
      <c r="W1142" s="17">
        <f t="shared" si="70"/>
        <v>2.5527265503426811E-2</v>
      </c>
      <c r="X1142" s="15" t="str">
        <f t="shared" si="71"/>
        <v>Média/Pequena</v>
      </c>
      <c r="Y1142" s="121" t="str" cm="1">
        <f t="array" ref="Y1142">_xlfn.IFS(ISNUMBER(W1142)=FALSE,"Sem dado",W1142&gt;0.075,"Excelente",W1142&gt;0.04,"Bom",W1142&gt;0,"Fraco",TRUE,"Prejuízo")</f>
        <v>Fraco</v>
      </c>
    </row>
    <row r="1143" spans="1:25" ht="15" customHeight="1" x14ac:dyDescent="0.2">
      <c r="A1143" s="12" t="s">
        <v>2417</v>
      </c>
      <c r="B1143" s="56">
        <v>3535065</v>
      </c>
      <c r="C1143" s="12"/>
      <c r="D1143" s="12"/>
      <c r="E1143" s="12"/>
      <c r="F1143" s="12" t="s">
        <v>265</v>
      </c>
      <c r="G1143" s="33">
        <v>2</v>
      </c>
      <c r="H1143" s="33">
        <v>9</v>
      </c>
      <c r="I1143" s="12" t="s">
        <v>44</v>
      </c>
      <c r="J1143" s="12" t="s">
        <v>39</v>
      </c>
      <c r="K1143" s="73" t="s">
        <v>29</v>
      </c>
      <c r="L1143" s="13">
        <v>30389</v>
      </c>
      <c r="M1143" s="13">
        <v>12657</v>
      </c>
      <c r="N1143" s="13">
        <v>17193</v>
      </c>
      <c r="O1143" s="13">
        <v>18294</v>
      </c>
      <c r="P1143" s="13">
        <v>17251</v>
      </c>
      <c r="Q1143" s="13">
        <v>12095</v>
      </c>
      <c r="R1143" s="13">
        <v>-587</v>
      </c>
      <c r="S1143" s="13">
        <v>0</v>
      </c>
      <c r="T1143" s="13">
        <v>2</v>
      </c>
      <c r="U1143" s="12" t="str">
        <f t="shared" si="68"/>
        <v>Privado Nacional</v>
      </c>
      <c r="V1143" s="14">
        <f t="shared" si="69"/>
        <v>0.41649939122708873</v>
      </c>
      <c r="W1143" s="14">
        <f t="shared" si="70"/>
        <v>-4.8532451426209176E-2</v>
      </c>
      <c r="X1143" s="12" t="str">
        <f t="shared" si="71"/>
        <v>Média/Pequena</v>
      </c>
      <c r="Y1143" s="122" t="str" cm="1">
        <f t="array" ref="Y1143">_xlfn.IFS(ISNUMBER(W1143)=FALSE,"Sem dado",W1143&gt;0.075,"Excelente",W1143&gt;0.04,"Bom",W1143&gt;0,"Fraco",TRUE,"Prejuízo")</f>
        <v>Prejuízo</v>
      </c>
    </row>
    <row r="1144" spans="1:25" ht="15" customHeight="1" x14ac:dyDescent="0.2">
      <c r="A1144" s="15" t="s">
        <v>2418</v>
      </c>
      <c r="B1144" s="60">
        <v>2671743</v>
      </c>
      <c r="C1144" s="15" t="s">
        <v>2265</v>
      </c>
      <c r="D1144" s="15" t="s">
        <v>2266</v>
      </c>
      <c r="E1144" s="15" t="s">
        <v>2266</v>
      </c>
      <c r="F1144" s="15" t="s">
        <v>98</v>
      </c>
      <c r="G1144" s="34">
        <v>2</v>
      </c>
      <c r="H1144" s="34">
        <v>16</v>
      </c>
      <c r="I1144" s="15" t="s">
        <v>38</v>
      </c>
      <c r="J1144" s="15" t="s">
        <v>39</v>
      </c>
      <c r="K1144" s="74" t="s">
        <v>29</v>
      </c>
      <c r="L1144" s="16">
        <v>30035</v>
      </c>
      <c r="M1144" s="16">
        <v>0</v>
      </c>
      <c r="N1144" s="16">
        <v>869</v>
      </c>
      <c r="O1144" s="16">
        <v>24800</v>
      </c>
      <c r="P1144" s="16">
        <v>17278</v>
      </c>
      <c r="Q1144" s="16">
        <v>5235</v>
      </c>
      <c r="R1144" s="16">
        <v>938</v>
      </c>
      <c r="S1144" s="16">
        <v>2</v>
      </c>
      <c r="T1144" s="16">
        <v>0</v>
      </c>
      <c r="U1144" s="15" t="str">
        <f t="shared" si="68"/>
        <v>Privado Nacional</v>
      </c>
      <c r="V1144" s="17">
        <f t="shared" si="69"/>
        <v>0</v>
      </c>
      <c r="W1144" s="17">
        <f t="shared" si="70"/>
        <v>0.17917860553963705</v>
      </c>
      <c r="X1144" s="15" t="str">
        <f t="shared" si="71"/>
        <v>Média/Pequena</v>
      </c>
      <c r="Y1144" s="121" t="str" cm="1">
        <f t="array" ref="Y1144">_xlfn.IFS(ISNUMBER(W1144)=FALSE,"Sem dado",W1144&gt;0.075,"Excelente",W1144&gt;0.04,"Bom",W1144&gt;0,"Fraco",TRUE,"Prejuízo")</f>
        <v>Excelente</v>
      </c>
    </row>
    <row r="1145" spans="1:25" ht="15" customHeight="1" x14ac:dyDescent="0.2">
      <c r="A1145" s="12" t="s">
        <v>2419</v>
      </c>
      <c r="B1145" s="56">
        <v>48176336</v>
      </c>
      <c r="C1145" s="12" t="s">
        <v>2420</v>
      </c>
      <c r="D1145" s="12"/>
      <c r="E1145" s="12" t="s">
        <v>2421</v>
      </c>
      <c r="F1145" s="12" t="s">
        <v>65</v>
      </c>
      <c r="G1145" s="33">
        <v>2</v>
      </c>
      <c r="H1145" s="33">
        <v>43</v>
      </c>
      <c r="I1145" s="12" t="s">
        <v>107</v>
      </c>
      <c r="J1145" s="12" t="s">
        <v>39</v>
      </c>
      <c r="K1145" s="73" t="s">
        <v>29</v>
      </c>
      <c r="L1145" s="13">
        <v>29961</v>
      </c>
      <c r="M1145" s="13">
        <v>0</v>
      </c>
      <c r="N1145" s="13">
        <v>0</v>
      </c>
      <c r="O1145" s="13">
        <v>15822</v>
      </c>
      <c r="P1145" s="13">
        <v>14806</v>
      </c>
      <c r="Q1145" s="13">
        <v>14138</v>
      </c>
      <c r="R1145" s="13">
        <v>-3745</v>
      </c>
      <c r="S1145" s="13">
        <v>2</v>
      </c>
      <c r="T1145" s="13">
        <v>0</v>
      </c>
      <c r="U1145" s="12" t="str">
        <f t="shared" si="68"/>
        <v>Privado Nacional</v>
      </c>
      <c r="V1145" s="14">
        <f t="shared" si="69"/>
        <v>0</v>
      </c>
      <c r="W1145" s="14">
        <f t="shared" si="70"/>
        <v>-0.26488895176121091</v>
      </c>
      <c r="X1145" s="12" t="str">
        <f t="shared" si="71"/>
        <v>Média/Pequena</v>
      </c>
      <c r="Y1145" s="122" t="str" cm="1">
        <f t="array" ref="Y1145">_xlfn.IFS(ISNUMBER(W1145)=FALSE,"Sem dado",W1145&gt;0.075,"Excelente",W1145&gt;0.04,"Bom",W1145&gt;0,"Fraco",TRUE,"Prejuízo")</f>
        <v>Prejuízo</v>
      </c>
    </row>
    <row r="1146" spans="1:25" ht="15" customHeight="1" x14ac:dyDescent="0.2">
      <c r="A1146" s="15" t="s">
        <v>2422</v>
      </c>
      <c r="B1146" s="60">
        <v>39676772</v>
      </c>
      <c r="C1146" s="15" t="s">
        <v>2423</v>
      </c>
      <c r="D1146" s="15"/>
      <c r="E1146" s="15" t="s">
        <v>2424</v>
      </c>
      <c r="F1146" s="15" t="s">
        <v>65</v>
      </c>
      <c r="G1146" s="34">
        <v>2</v>
      </c>
      <c r="H1146" s="34">
        <v>43</v>
      </c>
      <c r="I1146" s="15" t="s">
        <v>210</v>
      </c>
      <c r="J1146" s="15" t="s">
        <v>211</v>
      </c>
      <c r="K1146" s="74" t="s">
        <v>29</v>
      </c>
      <c r="L1146" s="16">
        <v>29956</v>
      </c>
      <c r="M1146" s="16">
        <v>9508</v>
      </c>
      <c r="N1146" s="16">
        <v>11525</v>
      </c>
      <c r="O1146" s="16">
        <v>21423</v>
      </c>
      <c r="P1146" s="16">
        <v>8432</v>
      </c>
      <c r="Q1146" s="16">
        <v>8533</v>
      </c>
      <c r="R1146" s="16">
        <v>2008</v>
      </c>
      <c r="S1146" s="16">
        <v>2</v>
      </c>
      <c r="T1146" s="16">
        <v>0</v>
      </c>
      <c r="U1146" s="15" t="str">
        <f t="shared" si="68"/>
        <v>Privado Nacional</v>
      </c>
      <c r="V1146" s="17">
        <f t="shared" si="69"/>
        <v>0.31739885164908532</v>
      </c>
      <c r="W1146" s="17">
        <f t="shared" si="70"/>
        <v>0.23532169225360366</v>
      </c>
      <c r="X1146" s="15" t="str">
        <f t="shared" si="71"/>
        <v>Média/Pequena</v>
      </c>
      <c r="Y1146" s="121" t="str" cm="1">
        <f t="array" ref="Y1146">_xlfn.IFS(ISNUMBER(W1146)=FALSE,"Sem dado",W1146&gt;0.075,"Excelente",W1146&gt;0.04,"Bom",W1146&gt;0,"Fraco",TRUE,"Prejuízo")</f>
        <v>Excelente</v>
      </c>
    </row>
    <row r="1147" spans="1:25" ht="15" customHeight="1" x14ac:dyDescent="0.2">
      <c r="A1147" s="12" t="s">
        <v>2425</v>
      </c>
      <c r="B1147" s="56">
        <v>49686505</v>
      </c>
      <c r="C1147" s="12" t="s">
        <v>2426</v>
      </c>
      <c r="D1147" s="12"/>
      <c r="E1147" s="12" t="s">
        <v>2427</v>
      </c>
      <c r="F1147" s="12" t="s">
        <v>84</v>
      </c>
      <c r="G1147" s="33">
        <v>2</v>
      </c>
      <c r="H1147" s="33">
        <v>41</v>
      </c>
      <c r="I1147" s="12" t="s">
        <v>2222</v>
      </c>
      <c r="J1147" s="12" t="s">
        <v>217</v>
      </c>
      <c r="K1147" s="73" t="s">
        <v>29</v>
      </c>
      <c r="L1147" s="13">
        <v>29927</v>
      </c>
      <c r="M1147" s="13">
        <v>0</v>
      </c>
      <c r="N1147" s="13">
        <v>2549</v>
      </c>
      <c r="O1147" s="13">
        <v>24128</v>
      </c>
      <c r="P1147" s="13">
        <v>22738</v>
      </c>
      <c r="Q1147" s="13">
        <v>5799</v>
      </c>
      <c r="R1147" s="13">
        <v>564</v>
      </c>
      <c r="S1147" s="13">
        <v>1</v>
      </c>
      <c r="T1147" s="13">
        <v>0</v>
      </c>
      <c r="U1147" s="12" t="str">
        <f t="shared" si="68"/>
        <v>Privado Nacional</v>
      </c>
      <c r="V1147" s="14">
        <f t="shared" si="69"/>
        <v>0</v>
      </c>
      <c r="W1147" s="14">
        <f t="shared" si="70"/>
        <v>9.7258147956544236E-2</v>
      </c>
      <c r="X1147" s="12" t="str">
        <f t="shared" si="71"/>
        <v>Média/Pequena</v>
      </c>
      <c r="Y1147" s="122" t="str" cm="1">
        <f t="array" ref="Y1147">_xlfn.IFS(ISNUMBER(W1147)=FALSE,"Sem dado",W1147&gt;0.075,"Excelente",W1147&gt;0.04,"Bom",W1147&gt;0,"Fraco",TRUE,"Prejuízo")</f>
        <v>Excelente</v>
      </c>
    </row>
    <row r="1148" spans="1:25" ht="15" customHeight="1" x14ac:dyDescent="0.2">
      <c r="A1148" s="15" t="s">
        <v>2428</v>
      </c>
      <c r="B1148" s="60">
        <v>67341487</v>
      </c>
      <c r="C1148" s="15"/>
      <c r="D1148" s="15"/>
      <c r="E1148" s="15"/>
      <c r="F1148" s="15" t="s">
        <v>265</v>
      </c>
      <c r="G1148" s="34">
        <v>2</v>
      </c>
      <c r="H1148" s="34">
        <v>9</v>
      </c>
      <c r="I1148" s="15" t="s">
        <v>2429</v>
      </c>
      <c r="J1148" s="15" t="s">
        <v>39</v>
      </c>
      <c r="K1148" s="74" t="s">
        <v>29</v>
      </c>
      <c r="L1148" s="16">
        <v>29271</v>
      </c>
      <c r="M1148" s="16">
        <v>16998</v>
      </c>
      <c r="N1148" s="16">
        <v>11227</v>
      </c>
      <c r="O1148" s="16">
        <v>297</v>
      </c>
      <c r="P1148" s="16">
        <v>0</v>
      </c>
      <c r="Q1148" s="16">
        <v>28975</v>
      </c>
      <c r="R1148" s="16">
        <v>2333</v>
      </c>
      <c r="S1148" s="16">
        <v>0</v>
      </c>
      <c r="T1148" s="16">
        <v>0</v>
      </c>
      <c r="U1148" s="15" t="str">
        <f t="shared" si="68"/>
        <v>Privado Nacional</v>
      </c>
      <c r="V1148" s="17">
        <f t="shared" si="69"/>
        <v>0.58071128420621088</v>
      </c>
      <c r="W1148" s="17">
        <f t="shared" si="70"/>
        <v>8.0517687661777401E-2</v>
      </c>
      <c r="X1148" s="15" t="str">
        <f t="shared" si="71"/>
        <v>Média/Pequena</v>
      </c>
      <c r="Y1148" s="121" t="str" cm="1">
        <f t="array" ref="Y1148">_xlfn.IFS(ISNUMBER(W1148)=FALSE,"Sem dado",W1148&gt;0.075,"Excelente",W1148&gt;0.04,"Bom",W1148&gt;0,"Fraco",TRUE,"Prejuízo")</f>
        <v>Excelente</v>
      </c>
    </row>
    <row r="1149" spans="1:25" ht="15" customHeight="1" x14ac:dyDescent="0.2">
      <c r="A1149" s="12" t="s">
        <v>2430</v>
      </c>
      <c r="B1149" s="56">
        <v>51118615</v>
      </c>
      <c r="C1149" s="12" t="s">
        <v>2431</v>
      </c>
      <c r="D1149" s="12"/>
      <c r="E1149" s="12" t="s">
        <v>2432</v>
      </c>
      <c r="F1149" s="12" t="s">
        <v>65</v>
      </c>
      <c r="G1149" s="33">
        <v>2</v>
      </c>
      <c r="H1149" s="33">
        <v>43</v>
      </c>
      <c r="I1149" s="12" t="s">
        <v>38</v>
      </c>
      <c r="J1149" s="12" t="s">
        <v>39</v>
      </c>
      <c r="K1149" s="73" t="s">
        <v>29</v>
      </c>
      <c r="L1149" s="13">
        <v>29234</v>
      </c>
      <c r="M1149" s="13">
        <v>2601</v>
      </c>
      <c r="N1149" s="13">
        <v>0</v>
      </c>
      <c r="O1149" s="13">
        <v>23941</v>
      </c>
      <c r="P1149" s="13">
        <v>19851</v>
      </c>
      <c r="Q1149" s="13">
        <v>5293</v>
      </c>
      <c r="R1149" s="13">
        <v>-728</v>
      </c>
      <c r="S1149" s="13">
        <v>2</v>
      </c>
      <c r="T1149" s="13">
        <v>0</v>
      </c>
      <c r="U1149" s="12" t="str">
        <f t="shared" si="68"/>
        <v>Privado Nacional</v>
      </c>
      <c r="V1149" s="14">
        <f t="shared" si="69"/>
        <v>8.8971745228158997E-2</v>
      </c>
      <c r="W1149" s="14">
        <f t="shared" si="70"/>
        <v>-0.13754014736444362</v>
      </c>
      <c r="X1149" s="12" t="str">
        <f t="shared" si="71"/>
        <v>Média/Pequena</v>
      </c>
      <c r="Y1149" s="122" t="str" cm="1">
        <f t="array" ref="Y1149">_xlfn.IFS(ISNUMBER(W1149)=FALSE,"Sem dado",W1149&gt;0.075,"Excelente",W1149&gt;0.04,"Bom",W1149&gt;0,"Fraco",TRUE,"Prejuízo")</f>
        <v>Prejuízo</v>
      </c>
    </row>
    <row r="1150" spans="1:25" ht="15" customHeight="1" x14ac:dyDescent="0.2">
      <c r="A1150" s="15" t="s">
        <v>2433</v>
      </c>
      <c r="B1150" s="60">
        <v>44527444</v>
      </c>
      <c r="C1150" s="15" t="s">
        <v>745</v>
      </c>
      <c r="D1150" s="15" t="s">
        <v>746</v>
      </c>
      <c r="E1150" s="15" t="s">
        <v>747</v>
      </c>
      <c r="F1150" s="15" t="s">
        <v>98</v>
      </c>
      <c r="G1150" s="34">
        <v>3</v>
      </c>
      <c r="H1150" s="34">
        <v>15</v>
      </c>
      <c r="I1150" s="15" t="s">
        <v>38</v>
      </c>
      <c r="J1150" s="15" t="s">
        <v>39</v>
      </c>
      <c r="K1150" s="74" t="s">
        <v>29</v>
      </c>
      <c r="L1150" s="16">
        <v>28654</v>
      </c>
      <c r="M1150" s="16">
        <v>0</v>
      </c>
      <c r="N1150" s="16">
        <v>3660</v>
      </c>
      <c r="O1150" s="16">
        <v>647</v>
      </c>
      <c r="P1150" s="16">
        <v>0</v>
      </c>
      <c r="Q1150" s="16">
        <v>28007</v>
      </c>
      <c r="R1150" s="16">
        <v>-2914</v>
      </c>
      <c r="S1150" s="16">
        <v>2</v>
      </c>
      <c r="T1150" s="16">
        <v>0</v>
      </c>
      <c r="U1150" s="15" t="str">
        <f t="shared" si="68"/>
        <v>Privado Estrangeiro</v>
      </c>
      <c r="V1150" s="17">
        <f t="shared" si="69"/>
        <v>0</v>
      </c>
      <c r="W1150" s="17">
        <f t="shared" si="70"/>
        <v>-0.10404541721712429</v>
      </c>
      <c r="X1150" s="15" t="str">
        <f t="shared" si="71"/>
        <v>Média/Pequena</v>
      </c>
      <c r="Y1150" s="121" t="str" cm="1">
        <f t="array" ref="Y1150">_xlfn.IFS(ISNUMBER(W1150)=FALSE,"Sem dado",W1150&gt;0.075,"Excelente",W1150&gt;0.04,"Bom",W1150&gt;0,"Fraco",TRUE,"Prejuízo")</f>
        <v>Prejuízo</v>
      </c>
    </row>
    <row r="1151" spans="1:25" ht="15" customHeight="1" x14ac:dyDescent="0.2">
      <c r="A1151" s="12" t="s">
        <v>2434</v>
      </c>
      <c r="B1151" s="56">
        <v>57563728</v>
      </c>
      <c r="C1151" s="12"/>
      <c r="D1151" s="12"/>
      <c r="E1151" s="12"/>
      <c r="F1151" s="12" t="s">
        <v>265</v>
      </c>
      <c r="G1151" s="33">
        <v>2</v>
      </c>
      <c r="H1151" s="33">
        <v>9</v>
      </c>
      <c r="I1151" s="12" t="s">
        <v>2435</v>
      </c>
      <c r="J1151" s="12" t="s">
        <v>39</v>
      </c>
      <c r="K1151" s="73" t="s">
        <v>29</v>
      </c>
      <c r="L1151" s="13">
        <v>28428</v>
      </c>
      <c r="M1151" s="13">
        <v>16129</v>
      </c>
      <c r="N1151" s="13">
        <v>11584</v>
      </c>
      <c r="O1151" s="13">
        <v>8208</v>
      </c>
      <c r="P1151" s="13">
        <v>6743</v>
      </c>
      <c r="Q1151" s="13">
        <v>20221</v>
      </c>
      <c r="R1151" s="13">
        <v>855</v>
      </c>
      <c r="S1151" s="13">
        <v>0</v>
      </c>
      <c r="T1151" s="13">
        <v>1</v>
      </c>
      <c r="U1151" s="12" t="str">
        <f t="shared" si="68"/>
        <v>Privado Nacional</v>
      </c>
      <c r="V1151" s="14">
        <f t="shared" si="69"/>
        <v>0.56736316307865486</v>
      </c>
      <c r="W1151" s="14">
        <f t="shared" si="70"/>
        <v>4.2282775332575046E-2</v>
      </c>
      <c r="X1151" s="12" t="str">
        <f t="shared" si="71"/>
        <v>Média/Pequena</v>
      </c>
      <c r="Y1151" s="122" t="str" cm="1">
        <f t="array" ref="Y1151">_xlfn.IFS(ISNUMBER(W1151)=FALSE,"Sem dado",W1151&gt;0.075,"Excelente",W1151&gt;0.04,"Bom",W1151&gt;0,"Fraco",TRUE,"Prejuízo")</f>
        <v>Bom</v>
      </c>
    </row>
    <row r="1152" spans="1:25" ht="15" customHeight="1" x14ac:dyDescent="0.2">
      <c r="A1152" s="15" t="s">
        <v>2436</v>
      </c>
      <c r="B1152" s="60">
        <v>20062766</v>
      </c>
      <c r="C1152" s="15"/>
      <c r="D1152" s="15"/>
      <c r="E1152" s="15"/>
      <c r="F1152" s="15" t="s">
        <v>265</v>
      </c>
      <c r="G1152" s="34">
        <v>2</v>
      </c>
      <c r="H1152" s="34">
        <v>9</v>
      </c>
      <c r="I1152" s="15" t="s">
        <v>2437</v>
      </c>
      <c r="J1152" s="15" t="s">
        <v>120</v>
      </c>
      <c r="K1152" s="74" t="s">
        <v>29</v>
      </c>
      <c r="L1152" s="16">
        <v>28283</v>
      </c>
      <c r="M1152" s="16">
        <v>13337</v>
      </c>
      <c r="N1152" s="16">
        <v>4566</v>
      </c>
      <c r="O1152" s="16">
        <v>5035</v>
      </c>
      <c r="P1152" s="16">
        <v>3234</v>
      </c>
      <c r="Q1152" s="16">
        <v>23248</v>
      </c>
      <c r="R1152" s="16">
        <v>1048</v>
      </c>
      <c r="S1152" s="16">
        <v>0</v>
      </c>
      <c r="T1152" s="16">
        <v>1</v>
      </c>
      <c r="U1152" s="15" t="str">
        <f t="shared" si="68"/>
        <v>Privado Nacional</v>
      </c>
      <c r="V1152" s="17">
        <f t="shared" si="69"/>
        <v>0.47155535127108156</v>
      </c>
      <c r="W1152" s="17">
        <f t="shared" si="70"/>
        <v>4.5079146593255334E-2</v>
      </c>
      <c r="X1152" s="15" t="str">
        <f t="shared" si="71"/>
        <v>Média/Pequena</v>
      </c>
      <c r="Y1152" s="121" t="str" cm="1">
        <f t="array" ref="Y1152">_xlfn.IFS(ISNUMBER(W1152)=FALSE,"Sem dado",W1152&gt;0.075,"Excelente",W1152&gt;0.04,"Bom",W1152&gt;0,"Fraco",TRUE,"Prejuízo")</f>
        <v>Bom</v>
      </c>
    </row>
    <row r="1153" spans="1:25" ht="15" customHeight="1" x14ac:dyDescent="0.2">
      <c r="A1153" s="12" t="s">
        <v>2438</v>
      </c>
      <c r="B1153" s="56">
        <v>56392166</v>
      </c>
      <c r="C1153" s="12" t="s">
        <v>2439</v>
      </c>
      <c r="D1153" s="12"/>
      <c r="E1153" s="12" t="s">
        <v>2440</v>
      </c>
      <c r="F1153" s="12" t="s">
        <v>65</v>
      </c>
      <c r="G1153" s="33">
        <v>2</v>
      </c>
      <c r="H1153" s="33">
        <v>14</v>
      </c>
      <c r="I1153" s="12" t="s">
        <v>38</v>
      </c>
      <c r="J1153" s="12" t="s">
        <v>39</v>
      </c>
      <c r="K1153" s="73" t="s">
        <v>29</v>
      </c>
      <c r="L1153" s="13">
        <v>28229</v>
      </c>
      <c r="M1153" s="13">
        <v>106</v>
      </c>
      <c r="N1153" s="13">
        <v>23794</v>
      </c>
      <c r="O1153" s="13">
        <v>3173</v>
      </c>
      <c r="P1153" s="13">
        <v>2432</v>
      </c>
      <c r="Q1153" s="13">
        <v>25055</v>
      </c>
      <c r="R1153" s="13">
        <v>-2693</v>
      </c>
      <c r="S1153" s="13">
        <v>2</v>
      </c>
      <c r="T1153" s="13">
        <v>0</v>
      </c>
      <c r="U1153" s="12" t="str">
        <f t="shared" si="68"/>
        <v>Privado Nacional</v>
      </c>
      <c r="V1153" s="14">
        <f t="shared" si="69"/>
        <v>3.7550037195791561E-3</v>
      </c>
      <c r="W1153" s="14">
        <f t="shared" si="70"/>
        <v>-0.10748353622031531</v>
      </c>
      <c r="X1153" s="12" t="str">
        <f t="shared" si="71"/>
        <v>Média/Pequena</v>
      </c>
      <c r="Y1153" s="122" t="str" cm="1">
        <f t="array" ref="Y1153">_xlfn.IFS(ISNUMBER(W1153)=FALSE,"Sem dado",W1153&gt;0.075,"Excelente",W1153&gt;0.04,"Bom",W1153&gt;0,"Fraco",TRUE,"Prejuízo")</f>
        <v>Prejuízo</v>
      </c>
    </row>
    <row r="1154" spans="1:25" ht="15" customHeight="1" x14ac:dyDescent="0.2">
      <c r="A1154" s="15" t="s">
        <v>2441</v>
      </c>
      <c r="B1154" s="60">
        <v>23241540</v>
      </c>
      <c r="C1154" s="15"/>
      <c r="D1154" s="15"/>
      <c r="E1154" s="15"/>
      <c r="F1154" s="15" t="s">
        <v>265</v>
      </c>
      <c r="G1154" s="34">
        <v>2</v>
      </c>
      <c r="H1154" s="34">
        <v>9</v>
      </c>
      <c r="I1154" s="15" t="s">
        <v>2442</v>
      </c>
      <c r="J1154" s="15" t="s">
        <v>120</v>
      </c>
      <c r="K1154" s="74" t="s">
        <v>29</v>
      </c>
      <c r="L1154" s="16">
        <v>28177</v>
      </c>
      <c r="M1154" s="16">
        <v>9176</v>
      </c>
      <c r="N1154" s="16">
        <v>18944</v>
      </c>
      <c r="O1154" s="16">
        <v>2877</v>
      </c>
      <c r="P1154" s="16">
        <v>0</v>
      </c>
      <c r="Q1154" s="16">
        <v>25299</v>
      </c>
      <c r="R1154" s="16">
        <v>1783</v>
      </c>
      <c r="S1154" s="16">
        <v>0</v>
      </c>
      <c r="T1154" s="16">
        <v>0</v>
      </c>
      <c r="U1154" s="15" t="str">
        <f t="shared" si="68"/>
        <v>Privado Nacional</v>
      </c>
      <c r="V1154" s="17">
        <f t="shared" si="69"/>
        <v>0.32565567661567946</v>
      </c>
      <c r="W1154" s="17">
        <f t="shared" si="70"/>
        <v>7.0477093956282863E-2</v>
      </c>
      <c r="X1154" s="15" t="str">
        <f t="shared" si="71"/>
        <v>Média/Pequena</v>
      </c>
      <c r="Y1154" s="121" t="str" cm="1">
        <f t="array" ref="Y1154">_xlfn.IFS(ISNUMBER(W1154)=FALSE,"Sem dado",W1154&gt;0.075,"Excelente",W1154&gt;0.04,"Bom",W1154&gt;0,"Fraco",TRUE,"Prejuízo")</f>
        <v>Bom</v>
      </c>
    </row>
    <row r="1155" spans="1:25" ht="15" customHeight="1" x14ac:dyDescent="0.2">
      <c r="A1155" s="12" t="s">
        <v>2443</v>
      </c>
      <c r="B1155" s="56">
        <v>69720894</v>
      </c>
      <c r="C1155" s="12" t="s">
        <v>296</v>
      </c>
      <c r="D1155" s="12" t="s">
        <v>297</v>
      </c>
      <c r="E1155" s="12" t="s">
        <v>298</v>
      </c>
      <c r="F1155" s="12" t="s">
        <v>98</v>
      </c>
      <c r="G1155" s="33">
        <v>3</v>
      </c>
      <c r="H1155" s="33">
        <v>16</v>
      </c>
      <c r="I1155" s="12" t="s">
        <v>38</v>
      </c>
      <c r="J1155" s="12" t="s">
        <v>39</v>
      </c>
      <c r="K1155" s="73" t="s">
        <v>29</v>
      </c>
      <c r="L1155" s="13">
        <v>27993</v>
      </c>
      <c r="M1155" s="13">
        <v>0</v>
      </c>
      <c r="N1155" s="13">
        <v>0</v>
      </c>
      <c r="O1155" s="13">
        <v>1481</v>
      </c>
      <c r="P1155" s="13">
        <v>0</v>
      </c>
      <c r="Q1155" s="13">
        <v>26511</v>
      </c>
      <c r="R1155" s="13">
        <v>813</v>
      </c>
      <c r="S1155" s="13">
        <v>2</v>
      </c>
      <c r="T1155" s="13">
        <v>0</v>
      </c>
      <c r="U1155" s="12" t="str">
        <f t="shared" si="68"/>
        <v>Privado Estrangeiro</v>
      </c>
      <c r="V1155" s="14">
        <f t="shared" si="69"/>
        <v>0</v>
      </c>
      <c r="W1155" s="14">
        <f t="shared" si="70"/>
        <v>3.0666515785900194E-2</v>
      </c>
      <c r="X1155" s="12" t="str">
        <f t="shared" si="71"/>
        <v>Média/Pequena</v>
      </c>
      <c r="Y1155" s="122" t="str" cm="1">
        <f t="array" ref="Y1155">_xlfn.IFS(ISNUMBER(W1155)=FALSE,"Sem dado",W1155&gt;0.075,"Excelente",W1155&gt;0.04,"Bom",W1155&gt;0,"Fraco",TRUE,"Prejuízo")</f>
        <v>Fraco</v>
      </c>
    </row>
    <row r="1156" spans="1:25" ht="15" customHeight="1" x14ac:dyDescent="0.2">
      <c r="A1156" s="15" t="s">
        <v>2444</v>
      </c>
      <c r="B1156" s="60">
        <v>4051232</v>
      </c>
      <c r="C1156" s="15" t="s">
        <v>1893</v>
      </c>
      <c r="D1156" s="15"/>
      <c r="E1156" s="15" t="s">
        <v>1894</v>
      </c>
      <c r="F1156" s="15" t="s">
        <v>84</v>
      </c>
      <c r="G1156" s="34">
        <v>2</v>
      </c>
      <c r="H1156" s="34">
        <v>41</v>
      </c>
      <c r="I1156" s="15" t="s">
        <v>107</v>
      </c>
      <c r="J1156" s="15" t="s">
        <v>39</v>
      </c>
      <c r="K1156" s="74" t="s">
        <v>29</v>
      </c>
      <c r="L1156" s="16">
        <v>27880</v>
      </c>
      <c r="M1156" s="16">
        <v>0</v>
      </c>
      <c r="N1156" s="16">
        <v>0</v>
      </c>
      <c r="O1156" s="16">
        <v>20713</v>
      </c>
      <c r="P1156" s="16">
        <v>17666</v>
      </c>
      <c r="Q1156" s="16">
        <v>7167</v>
      </c>
      <c r="R1156" s="16">
        <v>863</v>
      </c>
      <c r="S1156" s="16">
        <v>1</v>
      </c>
      <c r="T1156" s="16">
        <v>0</v>
      </c>
      <c r="U1156" s="15" t="str">
        <f t="shared" si="68"/>
        <v>Privado Nacional</v>
      </c>
      <c r="V1156" s="17">
        <f t="shared" si="69"/>
        <v>0</v>
      </c>
      <c r="W1156" s="17">
        <f t="shared" si="70"/>
        <v>0.12041300404632342</v>
      </c>
      <c r="X1156" s="15" t="str">
        <f t="shared" si="71"/>
        <v>Média/Pequena</v>
      </c>
      <c r="Y1156" s="121" t="str" cm="1">
        <f t="array" ref="Y1156">_xlfn.IFS(ISNUMBER(W1156)=FALSE,"Sem dado",W1156&gt;0.075,"Excelente",W1156&gt;0.04,"Bom",W1156&gt;0,"Fraco",TRUE,"Prejuízo")</f>
        <v>Excelente</v>
      </c>
    </row>
    <row r="1157" spans="1:25" ht="15" customHeight="1" x14ac:dyDescent="0.2">
      <c r="A1157" s="12" t="s">
        <v>2445</v>
      </c>
      <c r="B1157" s="56">
        <v>37663090</v>
      </c>
      <c r="C1157" s="12" t="s">
        <v>2446</v>
      </c>
      <c r="D1157" s="12"/>
      <c r="E1157" s="12" t="s">
        <v>2447</v>
      </c>
      <c r="F1157" s="12" t="s">
        <v>84</v>
      </c>
      <c r="G1157" s="33">
        <v>2</v>
      </c>
      <c r="H1157" s="33">
        <v>41</v>
      </c>
      <c r="I1157" s="12" t="s">
        <v>38</v>
      </c>
      <c r="J1157" s="12" t="s">
        <v>39</v>
      </c>
      <c r="K1157" s="73" t="s">
        <v>29</v>
      </c>
      <c r="L1157" s="13">
        <v>27795</v>
      </c>
      <c r="M1157" s="13">
        <v>0</v>
      </c>
      <c r="N1157" s="13">
        <v>16998</v>
      </c>
      <c r="O1157" s="13">
        <v>1601</v>
      </c>
      <c r="P1157" s="13">
        <v>0</v>
      </c>
      <c r="Q1157" s="13">
        <v>26194</v>
      </c>
      <c r="R1157" s="13">
        <v>-1395</v>
      </c>
      <c r="S1157" s="13">
        <v>1</v>
      </c>
      <c r="T1157" s="13">
        <v>0</v>
      </c>
      <c r="U1157" s="12" t="str">
        <f t="shared" ref="U1157:U1220" si="72">IFERROR(CHOOSE(G1157,"Público","Privado Nacional","Privado Estrangeiro"),"n.d.")</f>
        <v>Privado Nacional</v>
      </c>
      <c r="V1157" s="14">
        <f t="shared" ref="V1157:V1220" si="73">IF(AND(ISNUMBER(M1157),ISNUMBER(L1157)),IF(L1157&gt;0,M1157/L1157,"n.d."),"NI")</f>
        <v>0</v>
      </c>
      <c r="W1157" s="14">
        <f t="shared" ref="W1157:W1220" si="74">IF(AND(ISNUMBER(R1157),ISNUMBER(Q1157)),IF(Q1157&gt;0,R1157/Q1157,"n.d."),"NI")</f>
        <v>-5.3256470947545237E-2</v>
      </c>
      <c r="X1157" s="12" t="str">
        <f t="shared" ref="X1157:X1220" si="75">IF(ISNUMBER(L1157),IF(L1157&gt;100000000,"Grande","Média/Pequena"),"Sem dado")</f>
        <v>Média/Pequena</v>
      </c>
      <c r="Y1157" s="122" t="str" cm="1">
        <f t="array" ref="Y1157">_xlfn.IFS(ISNUMBER(W1157)=FALSE,"Sem dado",W1157&gt;0.075,"Excelente",W1157&gt;0.04,"Bom",W1157&gt;0,"Fraco",TRUE,"Prejuízo")</f>
        <v>Prejuízo</v>
      </c>
    </row>
    <row r="1158" spans="1:25" ht="15" customHeight="1" x14ac:dyDescent="0.2">
      <c r="A1158" s="15" t="s">
        <v>2448</v>
      </c>
      <c r="B1158" s="60">
        <v>7554076</v>
      </c>
      <c r="C1158" s="15" t="s">
        <v>917</v>
      </c>
      <c r="D1158" s="15" t="s">
        <v>918</v>
      </c>
      <c r="E1158" s="15" t="s">
        <v>919</v>
      </c>
      <c r="F1158" s="15" t="s">
        <v>98</v>
      </c>
      <c r="G1158" s="34">
        <v>3</v>
      </c>
      <c r="H1158" s="34">
        <v>15</v>
      </c>
      <c r="I1158" s="15" t="s">
        <v>38</v>
      </c>
      <c r="J1158" s="15" t="s">
        <v>39</v>
      </c>
      <c r="K1158" s="74" t="s">
        <v>29</v>
      </c>
      <c r="L1158" s="16">
        <v>27682</v>
      </c>
      <c r="M1158" s="16">
        <v>0</v>
      </c>
      <c r="N1158" s="16">
        <v>0</v>
      </c>
      <c r="O1158" s="16">
        <v>1113</v>
      </c>
      <c r="P1158" s="16">
        <v>0</v>
      </c>
      <c r="Q1158" s="16">
        <v>26569</v>
      </c>
      <c r="R1158" s="16">
        <v>1525</v>
      </c>
      <c r="S1158" s="16">
        <v>2</v>
      </c>
      <c r="T1158" s="16">
        <v>0</v>
      </c>
      <c r="U1158" s="15" t="str">
        <f t="shared" si="72"/>
        <v>Privado Estrangeiro</v>
      </c>
      <c r="V1158" s="17">
        <f t="shared" si="73"/>
        <v>0</v>
      </c>
      <c r="W1158" s="17">
        <f t="shared" si="74"/>
        <v>5.7397719146373594E-2</v>
      </c>
      <c r="X1158" s="15" t="str">
        <f t="shared" si="75"/>
        <v>Média/Pequena</v>
      </c>
      <c r="Y1158" s="121" t="str" cm="1">
        <f t="array" ref="Y1158">_xlfn.IFS(ISNUMBER(W1158)=FALSE,"Sem dado",W1158&gt;0.075,"Excelente",W1158&gt;0.04,"Bom",W1158&gt;0,"Fraco",TRUE,"Prejuízo")</f>
        <v>Bom</v>
      </c>
    </row>
    <row r="1159" spans="1:25" ht="15" customHeight="1" x14ac:dyDescent="0.2">
      <c r="A1159" s="12" t="s">
        <v>2449</v>
      </c>
      <c r="B1159" s="56">
        <v>5040680</v>
      </c>
      <c r="C1159" s="12"/>
      <c r="D1159" s="12"/>
      <c r="E1159" s="12"/>
      <c r="F1159" s="12" t="s">
        <v>265</v>
      </c>
      <c r="G1159" s="33">
        <v>2</v>
      </c>
      <c r="H1159" s="33">
        <v>9</v>
      </c>
      <c r="I1159" s="12" t="s">
        <v>53</v>
      </c>
      <c r="J1159" s="12" t="s">
        <v>54</v>
      </c>
      <c r="K1159" s="73" t="s">
        <v>29</v>
      </c>
      <c r="L1159" s="13">
        <v>27533</v>
      </c>
      <c r="M1159" s="13">
        <v>19943</v>
      </c>
      <c r="N1159" s="13">
        <v>7360</v>
      </c>
      <c r="O1159" s="13">
        <v>16317</v>
      </c>
      <c r="P1159" s="13">
        <v>15372</v>
      </c>
      <c r="Q1159" s="13">
        <v>11216</v>
      </c>
      <c r="R1159" s="13">
        <v>339</v>
      </c>
      <c r="S1159" s="13">
        <v>0</v>
      </c>
      <c r="T1159" s="13">
        <v>2</v>
      </c>
      <c r="U1159" s="12" t="str">
        <f t="shared" si="72"/>
        <v>Privado Nacional</v>
      </c>
      <c r="V1159" s="14">
        <f t="shared" si="73"/>
        <v>0.72433080303635633</v>
      </c>
      <c r="W1159" s="14">
        <f t="shared" si="74"/>
        <v>3.0224679029957204E-2</v>
      </c>
      <c r="X1159" s="12" t="str">
        <f t="shared" si="75"/>
        <v>Média/Pequena</v>
      </c>
      <c r="Y1159" s="122" t="str" cm="1">
        <f t="array" ref="Y1159">_xlfn.IFS(ISNUMBER(W1159)=FALSE,"Sem dado",W1159&gt;0.075,"Excelente",W1159&gt;0.04,"Bom",W1159&gt;0,"Fraco",TRUE,"Prejuízo")</f>
        <v>Fraco</v>
      </c>
    </row>
    <row r="1160" spans="1:25" ht="15" customHeight="1" x14ac:dyDescent="0.2">
      <c r="A1160" s="15" t="s">
        <v>2450</v>
      </c>
      <c r="B1160" s="60">
        <v>35911258</v>
      </c>
      <c r="C1160" s="15" t="s">
        <v>2451</v>
      </c>
      <c r="D1160" s="15"/>
      <c r="E1160" s="15" t="s">
        <v>2452</v>
      </c>
      <c r="F1160" s="15" t="s">
        <v>65</v>
      </c>
      <c r="G1160" s="34">
        <v>2</v>
      </c>
      <c r="H1160" s="34">
        <v>43</v>
      </c>
      <c r="I1160" s="15" t="s">
        <v>38</v>
      </c>
      <c r="J1160" s="15" t="s">
        <v>39</v>
      </c>
      <c r="K1160" s="74" t="s">
        <v>29</v>
      </c>
      <c r="L1160" s="16">
        <v>27482</v>
      </c>
      <c r="M1160" s="16">
        <v>0</v>
      </c>
      <c r="N1160" s="16">
        <v>14600</v>
      </c>
      <c r="O1160" s="16">
        <v>152</v>
      </c>
      <c r="P1160" s="16">
        <v>0</v>
      </c>
      <c r="Q1160" s="16">
        <v>27330</v>
      </c>
      <c r="R1160" s="16">
        <v>661</v>
      </c>
      <c r="S1160" s="16">
        <v>2</v>
      </c>
      <c r="T1160" s="16">
        <v>0</v>
      </c>
      <c r="U1160" s="15" t="str">
        <f t="shared" si="72"/>
        <v>Privado Nacional</v>
      </c>
      <c r="V1160" s="17">
        <f t="shared" si="73"/>
        <v>0</v>
      </c>
      <c r="W1160" s="17">
        <f t="shared" si="74"/>
        <v>2.4185876326381264E-2</v>
      </c>
      <c r="X1160" s="15" t="str">
        <f t="shared" si="75"/>
        <v>Média/Pequena</v>
      </c>
      <c r="Y1160" s="121" t="str" cm="1">
        <f t="array" ref="Y1160">_xlfn.IFS(ISNUMBER(W1160)=FALSE,"Sem dado",W1160&gt;0.075,"Excelente",W1160&gt;0.04,"Bom",W1160&gt;0,"Fraco",TRUE,"Prejuízo")</f>
        <v>Fraco</v>
      </c>
    </row>
    <row r="1161" spans="1:25" ht="15" customHeight="1" x14ac:dyDescent="0.2">
      <c r="A1161" s="12" t="s">
        <v>2453</v>
      </c>
      <c r="B1161" s="56">
        <v>250699</v>
      </c>
      <c r="C1161" s="12" t="s">
        <v>2454</v>
      </c>
      <c r="D1161" s="12"/>
      <c r="E1161" s="12" t="s">
        <v>2455</v>
      </c>
      <c r="F1161" s="12" t="s">
        <v>98</v>
      </c>
      <c r="G1161" s="33">
        <v>2</v>
      </c>
      <c r="H1161" s="33">
        <v>21</v>
      </c>
      <c r="I1161" s="12" t="s">
        <v>38</v>
      </c>
      <c r="J1161" s="12" t="s">
        <v>39</v>
      </c>
      <c r="K1161" s="73" t="s">
        <v>29</v>
      </c>
      <c r="L1161" s="13">
        <v>27382</v>
      </c>
      <c r="M1161" s="13">
        <v>0</v>
      </c>
      <c r="N1161" s="13">
        <v>3984</v>
      </c>
      <c r="O1161" s="13">
        <v>19331</v>
      </c>
      <c r="P1161" s="13">
        <v>0</v>
      </c>
      <c r="Q1161" s="13">
        <v>8051</v>
      </c>
      <c r="R1161" s="13">
        <v>1027</v>
      </c>
      <c r="S1161" s="13">
        <v>2</v>
      </c>
      <c r="T1161" s="13">
        <v>0</v>
      </c>
      <c r="U1161" s="12" t="str">
        <f t="shared" si="72"/>
        <v>Privado Nacional</v>
      </c>
      <c r="V1161" s="14">
        <f t="shared" si="73"/>
        <v>0</v>
      </c>
      <c r="W1161" s="14">
        <f t="shared" si="74"/>
        <v>0.12756179356601666</v>
      </c>
      <c r="X1161" s="12" t="str">
        <f t="shared" si="75"/>
        <v>Média/Pequena</v>
      </c>
      <c r="Y1161" s="122" t="str" cm="1">
        <f t="array" ref="Y1161">_xlfn.IFS(ISNUMBER(W1161)=FALSE,"Sem dado",W1161&gt;0.075,"Excelente",W1161&gt;0.04,"Bom",W1161&gt;0,"Fraco",TRUE,"Prejuízo")</f>
        <v>Excelente</v>
      </c>
    </row>
    <row r="1162" spans="1:25" ht="15" customHeight="1" x14ac:dyDescent="0.2">
      <c r="A1162" s="15" t="s">
        <v>2456</v>
      </c>
      <c r="B1162" s="60">
        <v>18394228</v>
      </c>
      <c r="C1162" s="15" t="s">
        <v>2457</v>
      </c>
      <c r="D1162" s="15"/>
      <c r="E1162" s="15" t="s">
        <v>2458</v>
      </c>
      <c r="F1162" s="15" t="s">
        <v>65</v>
      </c>
      <c r="G1162" s="34">
        <v>2</v>
      </c>
      <c r="H1162" s="34">
        <v>43</v>
      </c>
      <c r="I1162" s="15" t="s">
        <v>119</v>
      </c>
      <c r="J1162" s="15" t="s">
        <v>120</v>
      </c>
      <c r="K1162" s="74" t="s">
        <v>29</v>
      </c>
      <c r="L1162" s="16">
        <v>27244</v>
      </c>
      <c r="M1162" s="16">
        <v>6001</v>
      </c>
      <c r="N1162" s="16">
        <v>12523</v>
      </c>
      <c r="O1162" s="16">
        <v>18237</v>
      </c>
      <c r="P1162" s="16">
        <v>16779</v>
      </c>
      <c r="Q1162" s="16">
        <v>9007</v>
      </c>
      <c r="R1162" s="16">
        <v>-24</v>
      </c>
      <c r="S1162" s="16">
        <v>2</v>
      </c>
      <c r="T1162" s="16">
        <v>0</v>
      </c>
      <c r="U1162" s="15" t="str">
        <f t="shared" si="72"/>
        <v>Privado Nacional</v>
      </c>
      <c r="V1162" s="17">
        <f t="shared" si="73"/>
        <v>0.22026868301277344</v>
      </c>
      <c r="W1162" s="17">
        <f t="shared" si="74"/>
        <v>-2.664594204507605E-3</v>
      </c>
      <c r="X1162" s="15" t="str">
        <f t="shared" si="75"/>
        <v>Média/Pequena</v>
      </c>
      <c r="Y1162" s="121" t="str" cm="1">
        <f t="array" ref="Y1162">_xlfn.IFS(ISNUMBER(W1162)=FALSE,"Sem dado",W1162&gt;0.075,"Excelente",W1162&gt;0.04,"Bom",W1162&gt;0,"Fraco",TRUE,"Prejuízo")</f>
        <v>Prejuízo</v>
      </c>
    </row>
    <row r="1163" spans="1:25" ht="15" customHeight="1" x14ac:dyDescent="0.2">
      <c r="A1163" s="12" t="s">
        <v>2459</v>
      </c>
      <c r="B1163" s="56">
        <v>44471172</v>
      </c>
      <c r="C1163" s="12" t="s">
        <v>2460</v>
      </c>
      <c r="D1163" s="12"/>
      <c r="E1163" s="12" t="s">
        <v>2461</v>
      </c>
      <c r="F1163" s="12" t="s">
        <v>84</v>
      </c>
      <c r="G1163" s="33">
        <v>2</v>
      </c>
      <c r="H1163" s="33">
        <v>41</v>
      </c>
      <c r="I1163" s="12" t="s">
        <v>38</v>
      </c>
      <c r="J1163" s="12" t="s">
        <v>39</v>
      </c>
      <c r="K1163" s="73" t="s">
        <v>29</v>
      </c>
      <c r="L1163" s="13">
        <v>26945</v>
      </c>
      <c r="M1163" s="13">
        <v>0</v>
      </c>
      <c r="N1163" s="13">
        <v>14529</v>
      </c>
      <c r="O1163" s="13">
        <v>2526</v>
      </c>
      <c r="P1163" s="13">
        <v>0</v>
      </c>
      <c r="Q1163" s="13">
        <v>24419</v>
      </c>
      <c r="R1163" s="13">
        <v>1502</v>
      </c>
      <c r="S1163" s="13">
        <v>1</v>
      </c>
      <c r="T1163" s="13">
        <v>0</v>
      </c>
      <c r="U1163" s="12" t="str">
        <f t="shared" si="72"/>
        <v>Privado Nacional</v>
      </c>
      <c r="V1163" s="14">
        <f t="shared" si="73"/>
        <v>0</v>
      </c>
      <c r="W1163" s="14">
        <f t="shared" si="74"/>
        <v>6.1509480322699539E-2</v>
      </c>
      <c r="X1163" s="12" t="str">
        <f t="shared" si="75"/>
        <v>Média/Pequena</v>
      </c>
      <c r="Y1163" s="122" t="str" cm="1">
        <f t="array" ref="Y1163">_xlfn.IFS(ISNUMBER(W1163)=FALSE,"Sem dado",W1163&gt;0.075,"Excelente",W1163&gt;0.04,"Bom",W1163&gt;0,"Fraco",TRUE,"Prejuízo")</f>
        <v>Bom</v>
      </c>
    </row>
    <row r="1164" spans="1:25" ht="15" customHeight="1" x14ac:dyDescent="0.2">
      <c r="A1164" s="15" t="s">
        <v>2462</v>
      </c>
      <c r="B1164" s="60">
        <v>38429045</v>
      </c>
      <c r="C1164" s="15" t="s">
        <v>2463</v>
      </c>
      <c r="D1164" s="15"/>
      <c r="E1164" s="15" t="s">
        <v>2464</v>
      </c>
      <c r="F1164" s="15" t="s">
        <v>98</v>
      </c>
      <c r="G1164" s="34">
        <v>2</v>
      </c>
      <c r="H1164" s="34">
        <v>16</v>
      </c>
      <c r="I1164" s="15" t="s">
        <v>803</v>
      </c>
      <c r="J1164" s="15" t="s">
        <v>329</v>
      </c>
      <c r="K1164" s="74" t="s">
        <v>29</v>
      </c>
      <c r="L1164" s="16">
        <v>26928</v>
      </c>
      <c r="M1164" s="16">
        <v>0</v>
      </c>
      <c r="N1164" s="16">
        <v>0</v>
      </c>
      <c r="O1164" s="16">
        <v>18078</v>
      </c>
      <c r="P1164" s="16">
        <v>0</v>
      </c>
      <c r="Q1164" s="16">
        <v>8851</v>
      </c>
      <c r="R1164" s="16">
        <v>689</v>
      </c>
      <c r="S1164" s="16">
        <v>2</v>
      </c>
      <c r="T1164" s="16">
        <v>0</v>
      </c>
      <c r="U1164" s="15" t="str">
        <f t="shared" si="72"/>
        <v>Privado Nacional</v>
      </c>
      <c r="V1164" s="17">
        <f t="shared" si="73"/>
        <v>0</v>
      </c>
      <c r="W1164" s="17">
        <f t="shared" si="74"/>
        <v>7.7844311377245512E-2</v>
      </c>
      <c r="X1164" s="15" t="str">
        <f t="shared" si="75"/>
        <v>Média/Pequena</v>
      </c>
      <c r="Y1164" s="121" t="str" cm="1">
        <f t="array" ref="Y1164">_xlfn.IFS(ISNUMBER(W1164)=FALSE,"Sem dado",W1164&gt;0.075,"Excelente",W1164&gt;0.04,"Bom",W1164&gt;0,"Fraco",TRUE,"Prejuízo")</f>
        <v>Excelente</v>
      </c>
    </row>
    <row r="1165" spans="1:25" ht="15" customHeight="1" x14ac:dyDescent="0.2">
      <c r="A1165" s="12" t="s">
        <v>2465</v>
      </c>
      <c r="B1165" s="56">
        <v>36586946</v>
      </c>
      <c r="C1165" s="12" t="s">
        <v>2466</v>
      </c>
      <c r="D1165" s="12"/>
      <c r="E1165" s="12" t="s">
        <v>2467</v>
      </c>
      <c r="F1165" s="12" t="s">
        <v>65</v>
      </c>
      <c r="G1165" s="33">
        <v>2</v>
      </c>
      <c r="H1165" s="33">
        <v>43</v>
      </c>
      <c r="I1165" s="12" t="s">
        <v>971</v>
      </c>
      <c r="J1165" s="12" t="s">
        <v>229</v>
      </c>
      <c r="K1165" s="73" t="s">
        <v>29</v>
      </c>
      <c r="L1165" s="13">
        <v>26534</v>
      </c>
      <c r="M1165" s="13">
        <v>5740</v>
      </c>
      <c r="N1165" s="13">
        <v>214</v>
      </c>
      <c r="O1165" s="13">
        <v>19327</v>
      </c>
      <c r="P1165" s="13">
        <v>18257</v>
      </c>
      <c r="Q1165" s="13">
        <v>7207</v>
      </c>
      <c r="R1165" s="13">
        <v>922</v>
      </c>
      <c r="S1165" s="13">
        <v>2</v>
      </c>
      <c r="T1165" s="13">
        <v>0</v>
      </c>
      <c r="U1165" s="12" t="str">
        <f t="shared" si="72"/>
        <v>Privado Nacional</v>
      </c>
      <c r="V1165" s="14">
        <f t="shared" si="73"/>
        <v>0.21632622295922213</v>
      </c>
      <c r="W1165" s="14">
        <f t="shared" si="74"/>
        <v>0.12793117802136811</v>
      </c>
      <c r="X1165" s="12" t="str">
        <f t="shared" si="75"/>
        <v>Média/Pequena</v>
      </c>
      <c r="Y1165" s="122" t="str" cm="1">
        <f t="array" ref="Y1165">_xlfn.IFS(ISNUMBER(W1165)=FALSE,"Sem dado",W1165&gt;0.075,"Excelente",W1165&gt;0.04,"Bom",W1165&gt;0,"Fraco",TRUE,"Prejuízo")</f>
        <v>Excelente</v>
      </c>
    </row>
    <row r="1166" spans="1:25" ht="15" customHeight="1" x14ac:dyDescent="0.2">
      <c r="A1166" s="15" t="s">
        <v>2468</v>
      </c>
      <c r="B1166" s="60">
        <v>4791645</v>
      </c>
      <c r="C1166" s="15"/>
      <c r="D1166" s="15"/>
      <c r="E1166" s="15"/>
      <c r="F1166" s="15" t="s">
        <v>265</v>
      </c>
      <c r="G1166" s="34">
        <v>2</v>
      </c>
      <c r="H1166" s="34">
        <v>9</v>
      </c>
      <c r="I1166" s="15" t="s">
        <v>38</v>
      </c>
      <c r="J1166" s="15" t="s">
        <v>39</v>
      </c>
      <c r="K1166" s="74" t="s">
        <v>29</v>
      </c>
      <c r="L1166" s="16">
        <v>26382</v>
      </c>
      <c r="M1166" s="16">
        <v>23349</v>
      </c>
      <c r="N1166" s="16">
        <v>2992</v>
      </c>
      <c r="O1166" s="16">
        <v>1031</v>
      </c>
      <c r="P1166" s="16">
        <v>0</v>
      </c>
      <c r="Q1166" s="16">
        <v>25351</v>
      </c>
      <c r="R1166" s="16">
        <v>1713</v>
      </c>
      <c r="S1166" s="16">
        <v>0</v>
      </c>
      <c r="T1166" s="16">
        <v>0</v>
      </c>
      <c r="U1166" s="15" t="str">
        <f t="shared" si="72"/>
        <v>Privado Nacional</v>
      </c>
      <c r="V1166" s="17">
        <f t="shared" si="73"/>
        <v>0.88503525130770977</v>
      </c>
      <c r="W1166" s="17">
        <f t="shared" si="74"/>
        <v>6.7571298962565585E-2</v>
      </c>
      <c r="X1166" s="15" t="str">
        <f t="shared" si="75"/>
        <v>Média/Pequena</v>
      </c>
      <c r="Y1166" s="121" t="str" cm="1">
        <f t="array" ref="Y1166">_xlfn.IFS(ISNUMBER(W1166)=FALSE,"Sem dado",W1166&gt;0.075,"Excelente",W1166&gt;0.04,"Bom",W1166&gt;0,"Fraco",TRUE,"Prejuízo")</f>
        <v>Bom</v>
      </c>
    </row>
    <row r="1167" spans="1:25" ht="15" customHeight="1" x14ac:dyDescent="0.2">
      <c r="A1167" s="12" t="s">
        <v>2469</v>
      </c>
      <c r="B1167" s="56">
        <v>17826860</v>
      </c>
      <c r="C1167" s="12" t="s">
        <v>2470</v>
      </c>
      <c r="D1167" s="12"/>
      <c r="E1167" s="12" t="s">
        <v>2471</v>
      </c>
      <c r="F1167" s="12" t="s">
        <v>65</v>
      </c>
      <c r="G1167" s="33">
        <v>2</v>
      </c>
      <c r="H1167" s="33">
        <v>43</v>
      </c>
      <c r="I1167" s="12" t="s">
        <v>132</v>
      </c>
      <c r="J1167" s="12" t="s">
        <v>133</v>
      </c>
      <c r="K1167" s="73" t="s">
        <v>29</v>
      </c>
      <c r="L1167" s="13">
        <v>26351</v>
      </c>
      <c r="M1167" s="13">
        <v>3891</v>
      </c>
      <c r="N1167" s="13">
        <v>1</v>
      </c>
      <c r="O1167" s="13">
        <v>19018</v>
      </c>
      <c r="P1167" s="13">
        <v>15467</v>
      </c>
      <c r="Q1167" s="13">
        <v>7333</v>
      </c>
      <c r="R1167" s="13">
        <v>2227</v>
      </c>
      <c r="S1167" s="13">
        <v>2</v>
      </c>
      <c r="T1167" s="13">
        <v>0</v>
      </c>
      <c r="U1167" s="12" t="str">
        <f t="shared" si="72"/>
        <v>Privado Nacional</v>
      </c>
      <c r="V1167" s="14">
        <f t="shared" si="73"/>
        <v>0.14766043034419946</v>
      </c>
      <c r="W1167" s="14">
        <f t="shared" si="74"/>
        <v>0.30369562252829674</v>
      </c>
      <c r="X1167" s="12" t="str">
        <f t="shared" si="75"/>
        <v>Média/Pequena</v>
      </c>
      <c r="Y1167" s="122" t="str" cm="1">
        <f t="array" ref="Y1167">_xlfn.IFS(ISNUMBER(W1167)=FALSE,"Sem dado",W1167&gt;0.075,"Excelente",W1167&gt;0.04,"Bom",W1167&gt;0,"Fraco",TRUE,"Prejuízo")</f>
        <v>Excelente</v>
      </c>
    </row>
    <row r="1168" spans="1:25" ht="15" customHeight="1" x14ac:dyDescent="0.2">
      <c r="A1168" s="15" t="s">
        <v>2472</v>
      </c>
      <c r="B1168" s="60">
        <v>7397614</v>
      </c>
      <c r="C1168" s="15" t="s">
        <v>76</v>
      </c>
      <c r="D1168" s="15" t="s">
        <v>77</v>
      </c>
      <c r="E1168" s="15" t="s">
        <v>78</v>
      </c>
      <c r="F1168" s="15" t="s">
        <v>98</v>
      </c>
      <c r="G1168" s="34">
        <v>2</v>
      </c>
      <c r="H1168" s="34">
        <v>16</v>
      </c>
      <c r="I1168" s="15" t="s">
        <v>27</v>
      </c>
      <c r="J1168" s="15" t="s">
        <v>28</v>
      </c>
      <c r="K1168" s="74" t="s">
        <v>29</v>
      </c>
      <c r="L1168" s="16">
        <v>26338</v>
      </c>
      <c r="M1168" s="16">
        <v>0</v>
      </c>
      <c r="N1168" s="16">
        <v>18778</v>
      </c>
      <c r="O1168" s="16">
        <v>6547</v>
      </c>
      <c r="P1168" s="16">
        <v>0</v>
      </c>
      <c r="Q1168" s="16">
        <v>19790</v>
      </c>
      <c r="R1168" s="16">
        <v>6539</v>
      </c>
      <c r="S1168" s="16">
        <v>2</v>
      </c>
      <c r="T1168" s="16">
        <v>0</v>
      </c>
      <c r="U1168" s="15" t="str">
        <f t="shared" si="72"/>
        <v>Privado Nacional</v>
      </c>
      <c r="V1168" s="17">
        <f t="shared" si="73"/>
        <v>0</v>
      </c>
      <c r="W1168" s="17">
        <f t="shared" si="74"/>
        <v>0.33041940373926226</v>
      </c>
      <c r="X1168" s="15" t="str">
        <f t="shared" si="75"/>
        <v>Média/Pequena</v>
      </c>
      <c r="Y1168" s="121" t="str" cm="1">
        <f t="array" ref="Y1168">_xlfn.IFS(ISNUMBER(W1168)=FALSE,"Sem dado",W1168&gt;0.075,"Excelente",W1168&gt;0.04,"Bom",W1168&gt;0,"Fraco",TRUE,"Prejuízo")</f>
        <v>Excelente</v>
      </c>
    </row>
    <row r="1169" spans="1:25" ht="15" customHeight="1" x14ac:dyDescent="0.2">
      <c r="A1169" s="12" t="s">
        <v>2473</v>
      </c>
      <c r="B1169" s="56">
        <v>55823094</v>
      </c>
      <c r="C1169" s="12" t="s">
        <v>2474</v>
      </c>
      <c r="D1169" s="12"/>
      <c r="E1169" s="12" t="s">
        <v>2475</v>
      </c>
      <c r="F1169" s="12" t="s">
        <v>65</v>
      </c>
      <c r="G1169" s="33">
        <v>2</v>
      </c>
      <c r="H1169" s="33">
        <v>43</v>
      </c>
      <c r="I1169" s="12" t="s">
        <v>38</v>
      </c>
      <c r="J1169" s="12" t="s">
        <v>39</v>
      </c>
      <c r="K1169" s="73" t="s">
        <v>29</v>
      </c>
      <c r="L1169" s="13">
        <v>25568</v>
      </c>
      <c r="M1169" s="13">
        <v>15920</v>
      </c>
      <c r="N1169" s="13">
        <v>1397</v>
      </c>
      <c r="O1169" s="13">
        <v>14074</v>
      </c>
      <c r="P1169" s="13">
        <v>6038</v>
      </c>
      <c r="Q1169" s="13">
        <v>11495</v>
      </c>
      <c r="R1169" s="13">
        <v>4564</v>
      </c>
      <c r="S1169" s="13">
        <v>2</v>
      </c>
      <c r="T1169" s="13">
        <v>0</v>
      </c>
      <c r="U1169" s="12" t="str">
        <f t="shared" si="72"/>
        <v>Privado Nacional</v>
      </c>
      <c r="V1169" s="14">
        <f t="shared" si="73"/>
        <v>0.62265331664580725</v>
      </c>
      <c r="W1169" s="14">
        <f t="shared" si="74"/>
        <v>0.39704219225750326</v>
      </c>
      <c r="X1169" s="12" t="str">
        <f t="shared" si="75"/>
        <v>Média/Pequena</v>
      </c>
      <c r="Y1169" s="122" t="str" cm="1">
        <f t="array" ref="Y1169">_xlfn.IFS(ISNUMBER(W1169)=FALSE,"Sem dado",W1169&gt;0.075,"Excelente",W1169&gt;0.04,"Bom",W1169&gt;0,"Fraco",TRUE,"Prejuízo")</f>
        <v>Excelente</v>
      </c>
    </row>
    <row r="1170" spans="1:25" ht="15" customHeight="1" x14ac:dyDescent="0.2">
      <c r="A1170" s="15" t="s">
        <v>2476</v>
      </c>
      <c r="B1170" s="60">
        <v>53505681</v>
      </c>
      <c r="C1170" s="15"/>
      <c r="D1170" s="15"/>
      <c r="E1170" s="15"/>
      <c r="F1170" s="15" t="s">
        <v>265</v>
      </c>
      <c r="G1170" s="34">
        <v>2</v>
      </c>
      <c r="H1170" s="34">
        <v>9</v>
      </c>
      <c r="I1170" s="15" t="s">
        <v>2477</v>
      </c>
      <c r="J1170" s="15" t="s">
        <v>39</v>
      </c>
      <c r="K1170" s="74" t="s">
        <v>29</v>
      </c>
      <c r="L1170" s="16">
        <v>25178</v>
      </c>
      <c r="M1170" s="16">
        <v>17182</v>
      </c>
      <c r="N1170" s="16">
        <v>6209</v>
      </c>
      <c r="O1170" s="16">
        <v>4064</v>
      </c>
      <c r="P1170" s="16">
        <v>1833</v>
      </c>
      <c r="Q1170" s="16">
        <v>21114</v>
      </c>
      <c r="R1170" s="16">
        <v>624</v>
      </c>
      <c r="S1170" s="16">
        <v>0</v>
      </c>
      <c r="T1170" s="16">
        <v>0</v>
      </c>
      <c r="U1170" s="15" t="str">
        <f t="shared" si="72"/>
        <v>Privado Nacional</v>
      </c>
      <c r="V1170" s="17">
        <f t="shared" si="73"/>
        <v>0.68242116133132102</v>
      </c>
      <c r="W1170" s="17">
        <f t="shared" si="74"/>
        <v>2.9553850525717535E-2</v>
      </c>
      <c r="X1170" s="15" t="str">
        <f t="shared" si="75"/>
        <v>Média/Pequena</v>
      </c>
      <c r="Y1170" s="121" t="str" cm="1">
        <f t="array" ref="Y1170">_xlfn.IFS(ISNUMBER(W1170)=FALSE,"Sem dado",W1170&gt;0.075,"Excelente",W1170&gt;0.04,"Bom",W1170&gt;0,"Fraco",TRUE,"Prejuízo")</f>
        <v>Fraco</v>
      </c>
    </row>
    <row r="1171" spans="1:25" ht="15" customHeight="1" x14ac:dyDescent="0.2">
      <c r="A1171" s="12" t="s">
        <v>2478</v>
      </c>
      <c r="B1171" s="56">
        <v>17314501</v>
      </c>
      <c r="C1171" s="12"/>
      <c r="D1171" s="12"/>
      <c r="E1171" s="12"/>
      <c r="F1171" s="12" t="s">
        <v>265</v>
      </c>
      <c r="G1171" s="33">
        <v>2</v>
      </c>
      <c r="H1171" s="33">
        <v>9</v>
      </c>
      <c r="I1171" s="12" t="s">
        <v>2479</v>
      </c>
      <c r="J1171" s="12" t="s">
        <v>120</v>
      </c>
      <c r="K1171" s="73" t="s">
        <v>29</v>
      </c>
      <c r="L1171" s="13">
        <v>25083</v>
      </c>
      <c r="M1171" s="13">
        <v>7048</v>
      </c>
      <c r="N1171" s="13">
        <v>16835</v>
      </c>
      <c r="O1171" s="13">
        <v>3746</v>
      </c>
      <c r="P1171" s="13">
        <v>0</v>
      </c>
      <c r="Q1171" s="13">
        <v>21337</v>
      </c>
      <c r="R1171" s="13">
        <v>1163</v>
      </c>
      <c r="S1171" s="13">
        <v>0</v>
      </c>
      <c r="T1171" s="13">
        <v>0</v>
      </c>
      <c r="U1171" s="12" t="str">
        <f t="shared" si="72"/>
        <v>Privado Nacional</v>
      </c>
      <c r="V1171" s="14">
        <f t="shared" si="73"/>
        <v>0.28098712275246185</v>
      </c>
      <c r="W1171" s="14">
        <f t="shared" si="74"/>
        <v>5.450625673712331E-2</v>
      </c>
      <c r="X1171" s="12" t="str">
        <f t="shared" si="75"/>
        <v>Média/Pequena</v>
      </c>
      <c r="Y1171" s="122" t="str" cm="1">
        <f t="array" ref="Y1171">_xlfn.IFS(ISNUMBER(W1171)=FALSE,"Sem dado",W1171&gt;0.075,"Excelente",W1171&gt;0.04,"Bom",W1171&gt;0,"Fraco",TRUE,"Prejuízo")</f>
        <v>Bom</v>
      </c>
    </row>
    <row r="1172" spans="1:25" ht="15" customHeight="1" x14ac:dyDescent="0.2">
      <c r="A1172" s="15" t="s">
        <v>2480</v>
      </c>
      <c r="B1172" s="60">
        <v>47631123</v>
      </c>
      <c r="C1172" s="15" t="s">
        <v>2481</v>
      </c>
      <c r="D1172" s="15"/>
      <c r="E1172" s="15" t="s">
        <v>2482</v>
      </c>
      <c r="F1172" s="15" t="s">
        <v>98</v>
      </c>
      <c r="G1172" s="34">
        <v>2</v>
      </c>
      <c r="H1172" s="34">
        <v>16</v>
      </c>
      <c r="I1172" s="15" t="s">
        <v>38</v>
      </c>
      <c r="J1172" s="15" t="s">
        <v>39</v>
      </c>
      <c r="K1172" s="74" t="s">
        <v>29</v>
      </c>
      <c r="L1172" s="16">
        <v>25013</v>
      </c>
      <c r="M1172" s="16">
        <v>0</v>
      </c>
      <c r="N1172" s="16">
        <v>19329</v>
      </c>
      <c r="O1172" s="16">
        <v>4723</v>
      </c>
      <c r="P1172" s="16">
        <v>0</v>
      </c>
      <c r="Q1172" s="16">
        <v>20290</v>
      </c>
      <c r="R1172" s="16">
        <v>8920</v>
      </c>
      <c r="S1172" s="16">
        <v>2</v>
      </c>
      <c r="T1172" s="16">
        <v>0</v>
      </c>
      <c r="U1172" s="15" t="str">
        <f t="shared" si="72"/>
        <v>Privado Nacional</v>
      </c>
      <c r="V1172" s="17">
        <f t="shared" si="73"/>
        <v>0</v>
      </c>
      <c r="W1172" s="17">
        <f t="shared" si="74"/>
        <v>0.43962543124691966</v>
      </c>
      <c r="X1172" s="15" t="str">
        <f t="shared" si="75"/>
        <v>Média/Pequena</v>
      </c>
      <c r="Y1172" s="121" t="str" cm="1">
        <f t="array" ref="Y1172">_xlfn.IFS(ISNUMBER(W1172)=FALSE,"Sem dado",W1172&gt;0.075,"Excelente",W1172&gt;0.04,"Bom",W1172&gt;0,"Fraco",TRUE,"Prejuízo")</f>
        <v>Excelente</v>
      </c>
    </row>
    <row r="1173" spans="1:25" ht="15" customHeight="1" x14ac:dyDescent="0.2">
      <c r="A1173" s="12" t="s">
        <v>2483</v>
      </c>
      <c r="B1173" s="56">
        <v>43167610</v>
      </c>
      <c r="C1173" s="12" t="s">
        <v>1439</v>
      </c>
      <c r="D1173" s="12"/>
      <c r="E1173" s="12" t="s">
        <v>1440</v>
      </c>
      <c r="F1173" s="12" t="s">
        <v>65</v>
      </c>
      <c r="G1173" s="33">
        <v>2</v>
      </c>
      <c r="H1173" s="33">
        <v>43</v>
      </c>
      <c r="I1173" s="12" t="s">
        <v>38</v>
      </c>
      <c r="J1173" s="12" t="s">
        <v>39</v>
      </c>
      <c r="K1173" s="73" t="s">
        <v>29</v>
      </c>
      <c r="L1173" s="13">
        <v>24812</v>
      </c>
      <c r="M1173" s="13">
        <v>0</v>
      </c>
      <c r="N1173" s="13">
        <v>18507</v>
      </c>
      <c r="O1173" s="13">
        <v>4850</v>
      </c>
      <c r="P1173" s="13">
        <v>0</v>
      </c>
      <c r="Q1173" s="13">
        <v>19963</v>
      </c>
      <c r="R1173" s="13">
        <v>4265</v>
      </c>
      <c r="S1173" s="13">
        <v>2</v>
      </c>
      <c r="T1173" s="13">
        <v>0</v>
      </c>
      <c r="U1173" s="12" t="str">
        <f t="shared" si="72"/>
        <v>Privado Nacional</v>
      </c>
      <c r="V1173" s="14">
        <f t="shared" si="73"/>
        <v>0</v>
      </c>
      <c r="W1173" s="14">
        <f t="shared" si="74"/>
        <v>0.21364524370084656</v>
      </c>
      <c r="X1173" s="12" t="str">
        <f t="shared" si="75"/>
        <v>Média/Pequena</v>
      </c>
      <c r="Y1173" s="122" t="str" cm="1">
        <f t="array" ref="Y1173">_xlfn.IFS(ISNUMBER(W1173)=FALSE,"Sem dado",W1173&gt;0.075,"Excelente",W1173&gt;0.04,"Bom",W1173&gt;0,"Fraco",TRUE,"Prejuízo")</f>
        <v>Excelente</v>
      </c>
    </row>
    <row r="1174" spans="1:25" ht="15" customHeight="1" x14ac:dyDescent="0.2">
      <c r="A1174" s="15" t="s">
        <v>2484</v>
      </c>
      <c r="B1174" s="60">
        <v>68969625</v>
      </c>
      <c r="C1174" s="15"/>
      <c r="D1174" s="15"/>
      <c r="E1174" s="15"/>
      <c r="F1174" s="15" t="s">
        <v>265</v>
      </c>
      <c r="G1174" s="34">
        <v>2</v>
      </c>
      <c r="H1174" s="34">
        <v>9</v>
      </c>
      <c r="I1174" s="15" t="s">
        <v>2485</v>
      </c>
      <c r="J1174" s="15" t="s">
        <v>39</v>
      </c>
      <c r="K1174" s="74" t="s">
        <v>29</v>
      </c>
      <c r="L1174" s="16">
        <v>24808</v>
      </c>
      <c r="M1174" s="16">
        <v>12906</v>
      </c>
      <c r="N1174" s="16">
        <v>11414</v>
      </c>
      <c r="O1174" s="16">
        <v>4078</v>
      </c>
      <c r="P1174" s="16">
        <v>2505</v>
      </c>
      <c r="Q1174" s="16">
        <v>20729</v>
      </c>
      <c r="R1174" s="16">
        <v>1227</v>
      </c>
      <c r="S1174" s="16">
        <v>0</v>
      </c>
      <c r="T1174" s="16">
        <v>0</v>
      </c>
      <c r="U1174" s="15" t="str">
        <f t="shared" si="72"/>
        <v>Privado Nacional</v>
      </c>
      <c r="V1174" s="17">
        <f t="shared" si="73"/>
        <v>0.52023540793292489</v>
      </c>
      <c r="W1174" s="17">
        <f t="shared" si="74"/>
        <v>5.9192435718076128E-2</v>
      </c>
      <c r="X1174" s="15" t="str">
        <f t="shared" si="75"/>
        <v>Média/Pequena</v>
      </c>
      <c r="Y1174" s="121" t="str" cm="1">
        <f t="array" ref="Y1174">_xlfn.IFS(ISNUMBER(W1174)=FALSE,"Sem dado",W1174&gt;0.075,"Excelente",W1174&gt;0.04,"Bom",W1174&gt;0,"Fraco",TRUE,"Prejuízo")</f>
        <v>Bom</v>
      </c>
    </row>
    <row r="1175" spans="1:25" ht="15" customHeight="1" x14ac:dyDescent="0.2">
      <c r="A1175" s="12" t="s">
        <v>2486</v>
      </c>
      <c r="B1175" s="56">
        <v>38320462</v>
      </c>
      <c r="C1175" s="12" t="s">
        <v>2487</v>
      </c>
      <c r="D1175" s="12"/>
      <c r="E1175" s="12" t="s">
        <v>2488</v>
      </c>
      <c r="F1175" s="12" t="s">
        <v>84</v>
      </c>
      <c r="G1175" s="33">
        <v>2</v>
      </c>
      <c r="H1175" s="33">
        <v>41</v>
      </c>
      <c r="I1175" s="12" t="s">
        <v>132</v>
      </c>
      <c r="J1175" s="12" t="s">
        <v>133</v>
      </c>
      <c r="K1175" s="73" t="s">
        <v>29</v>
      </c>
      <c r="L1175" s="13">
        <v>24714</v>
      </c>
      <c r="M1175" s="13">
        <v>0</v>
      </c>
      <c r="N1175" s="13">
        <v>270</v>
      </c>
      <c r="O1175" s="13">
        <v>10667</v>
      </c>
      <c r="P1175" s="13">
        <v>5558</v>
      </c>
      <c r="Q1175" s="13">
        <v>14047</v>
      </c>
      <c r="R1175" s="13">
        <v>2266</v>
      </c>
      <c r="S1175" s="13">
        <v>1</v>
      </c>
      <c r="T1175" s="13">
        <v>0</v>
      </c>
      <c r="U1175" s="12" t="str">
        <f t="shared" si="72"/>
        <v>Privado Nacional</v>
      </c>
      <c r="V1175" s="14">
        <f t="shared" si="73"/>
        <v>0</v>
      </c>
      <c r="W1175" s="14">
        <f t="shared" si="74"/>
        <v>0.16131558339859045</v>
      </c>
      <c r="X1175" s="12" t="str">
        <f t="shared" si="75"/>
        <v>Média/Pequena</v>
      </c>
      <c r="Y1175" s="122" t="str" cm="1">
        <f t="array" ref="Y1175">_xlfn.IFS(ISNUMBER(W1175)=FALSE,"Sem dado",W1175&gt;0.075,"Excelente",W1175&gt;0.04,"Bom",W1175&gt;0,"Fraco",TRUE,"Prejuízo")</f>
        <v>Excelente</v>
      </c>
    </row>
    <row r="1176" spans="1:25" ht="15" customHeight="1" x14ac:dyDescent="0.2">
      <c r="A1176" s="15" t="s">
        <v>2489</v>
      </c>
      <c r="B1176" s="60">
        <v>54335401</v>
      </c>
      <c r="C1176" s="15"/>
      <c r="D1176" s="15"/>
      <c r="E1176" s="15"/>
      <c r="F1176" s="15" t="s">
        <v>265</v>
      </c>
      <c r="G1176" s="34">
        <v>2</v>
      </c>
      <c r="H1176" s="34">
        <v>9</v>
      </c>
      <c r="I1176" s="15" t="s">
        <v>2490</v>
      </c>
      <c r="J1176" s="15" t="s">
        <v>39</v>
      </c>
      <c r="K1176" s="74" t="s">
        <v>29</v>
      </c>
      <c r="L1176" s="16">
        <v>24299</v>
      </c>
      <c r="M1176" s="16">
        <v>11075</v>
      </c>
      <c r="N1176" s="16">
        <v>12064</v>
      </c>
      <c r="O1176" s="16">
        <v>1436</v>
      </c>
      <c r="P1176" s="16">
        <v>100</v>
      </c>
      <c r="Q1176" s="16">
        <v>22863</v>
      </c>
      <c r="R1176" s="16">
        <v>469</v>
      </c>
      <c r="S1176" s="16">
        <v>0</v>
      </c>
      <c r="T1176" s="16">
        <v>0</v>
      </c>
      <c r="U1176" s="15" t="str">
        <f t="shared" si="72"/>
        <v>Privado Nacional</v>
      </c>
      <c r="V1176" s="17">
        <f t="shared" si="73"/>
        <v>0.45578007325404335</v>
      </c>
      <c r="W1176" s="17">
        <f t="shared" si="74"/>
        <v>2.0513493417311814E-2</v>
      </c>
      <c r="X1176" s="15" t="str">
        <f t="shared" si="75"/>
        <v>Média/Pequena</v>
      </c>
      <c r="Y1176" s="121" t="str" cm="1">
        <f t="array" ref="Y1176">_xlfn.IFS(ISNUMBER(W1176)=FALSE,"Sem dado",W1176&gt;0.075,"Excelente",W1176&gt;0.04,"Bom",W1176&gt;0,"Fraco",TRUE,"Prejuízo")</f>
        <v>Fraco</v>
      </c>
    </row>
    <row r="1177" spans="1:25" ht="15" customHeight="1" x14ac:dyDescent="0.2">
      <c r="A1177" s="12" t="s">
        <v>2491</v>
      </c>
      <c r="B1177" s="56">
        <v>24361690</v>
      </c>
      <c r="C1177" s="12" t="s">
        <v>2492</v>
      </c>
      <c r="D1177" s="12"/>
      <c r="E1177" s="12" t="s">
        <v>2493</v>
      </c>
      <c r="F1177" s="12" t="s">
        <v>98</v>
      </c>
      <c r="G1177" s="33">
        <v>2</v>
      </c>
      <c r="H1177" s="33">
        <v>16</v>
      </c>
      <c r="I1177" s="12" t="s">
        <v>38</v>
      </c>
      <c r="J1177" s="12" t="s">
        <v>39</v>
      </c>
      <c r="K1177" s="73" t="s">
        <v>29</v>
      </c>
      <c r="L1177" s="13">
        <v>24255</v>
      </c>
      <c r="M1177" s="13">
        <v>0</v>
      </c>
      <c r="N1177" s="13">
        <v>11191</v>
      </c>
      <c r="O1177" s="13">
        <v>6559</v>
      </c>
      <c r="P1177" s="13">
        <v>0</v>
      </c>
      <c r="Q1177" s="13">
        <v>17696</v>
      </c>
      <c r="R1177" s="13">
        <v>7163</v>
      </c>
      <c r="S1177" s="13">
        <v>2</v>
      </c>
      <c r="T1177" s="13">
        <v>0</v>
      </c>
      <c r="U1177" s="12" t="str">
        <f t="shared" si="72"/>
        <v>Privado Nacional</v>
      </c>
      <c r="V1177" s="14">
        <f t="shared" si="73"/>
        <v>0</v>
      </c>
      <c r="W1177" s="14">
        <f t="shared" si="74"/>
        <v>0.40478074141048825</v>
      </c>
      <c r="X1177" s="12" t="str">
        <f t="shared" si="75"/>
        <v>Média/Pequena</v>
      </c>
      <c r="Y1177" s="122" t="str" cm="1">
        <f t="array" ref="Y1177">_xlfn.IFS(ISNUMBER(W1177)=FALSE,"Sem dado",W1177&gt;0.075,"Excelente",W1177&gt;0.04,"Bom",W1177&gt;0,"Fraco",TRUE,"Prejuízo")</f>
        <v>Excelente</v>
      </c>
    </row>
    <row r="1178" spans="1:25" ht="15" customHeight="1" x14ac:dyDescent="0.2">
      <c r="A1178" s="15" t="s">
        <v>2494</v>
      </c>
      <c r="B1178" s="60">
        <v>17364795</v>
      </c>
      <c r="C1178" s="15" t="s">
        <v>175</v>
      </c>
      <c r="D1178" s="15" t="s">
        <v>176</v>
      </c>
      <c r="E1178" s="15" t="s">
        <v>177</v>
      </c>
      <c r="F1178" s="15" t="s">
        <v>98</v>
      </c>
      <c r="G1178" s="34">
        <v>2</v>
      </c>
      <c r="H1178" s="34">
        <v>16</v>
      </c>
      <c r="I1178" s="15" t="s">
        <v>119</v>
      </c>
      <c r="J1178" s="15" t="s">
        <v>120</v>
      </c>
      <c r="K1178" s="74" t="s">
        <v>29</v>
      </c>
      <c r="L1178" s="16">
        <v>24157</v>
      </c>
      <c r="M1178" s="16">
        <v>0</v>
      </c>
      <c r="N1178" s="16">
        <v>0</v>
      </c>
      <c r="O1178" s="16">
        <v>1101</v>
      </c>
      <c r="P1178" s="16">
        <v>0</v>
      </c>
      <c r="Q1178" s="16">
        <v>23056</v>
      </c>
      <c r="R1178" s="16">
        <v>692</v>
      </c>
      <c r="S1178" s="16">
        <v>2</v>
      </c>
      <c r="T1178" s="16">
        <v>0</v>
      </c>
      <c r="U1178" s="15" t="str">
        <f t="shared" si="72"/>
        <v>Privado Nacional</v>
      </c>
      <c r="V1178" s="17">
        <f t="shared" si="73"/>
        <v>0</v>
      </c>
      <c r="W1178" s="17">
        <f t="shared" si="74"/>
        <v>3.0013879250520473E-2</v>
      </c>
      <c r="X1178" s="15" t="str">
        <f t="shared" si="75"/>
        <v>Média/Pequena</v>
      </c>
      <c r="Y1178" s="121" t="str" cm="1">
        <f t="array" ref="Y1178">_xlfn.IFS(ISNUMBER(W1178)=FALSE,"Sem dado",W1178&gt;0.075,"Excelente",W1178&gt;0.04,"Bom",W1178&gt;0,"Fraco",TRUE,"Prejuízo")</f>
        <v>Fraco</v>
      </c>
    </row>
    <row r="1179" spans="1:25" ht="15" customHeight="1" x14ac:dyDescent="0.2">
      <c r="A1179" s="12" t="s">
        <v>2495</v>
      </c>
      <c r="B1179" s="56">
        <v>460065</v>
      </c>
      <c r="C1179" s="12" t="s">
        <v>2496</v>
      </c>
      <c r="D1179" s="12"/>
      <c r="E1179" s="12" t="s">
        <v>2497</v>
      </c>
      <c r="F1179" s="12" t="s">
        <v>98</v>
      </c>
      <c r="G1179" s="33">
        <v>2</v>
      </c>
      <c r="H1179" s="33">
        <v>16</v>
      </c>
      <c r="I1179" s="12" t="s">
        <v>53</v>
      </c>
      <c r="J1179" s="12" t="s">
        <v>54</v>
      </c>
      <c r="K1179" s="73" t="s">
        <v>29</v>
      </c>
      <c r="L1179" s="13">
        <v>24099</v>
      </c>
      <c r="M1179" s="13">
        <v>0</v>
      </c>
      <c r="N1179" s="13">
        <v>7227</v>
      </c>
      <c r="O1179" s="13">
        <v>13257</v>
      </c>
      <c r="P1179" s="13">
        <v>1</v>
      </c>
      <c r="Q1179" s="13">
        <v>10842</v>
      </c>
      <c r="R1179" s="13">
        <v>-3165</v>
      </c>
      <c r="S1179" s="13">
        <v>2</v>
      </c>
      <c r="T1179" s="13">
        <v>0</v>
      </c>
      <c r="U1179" s="12" t="str">
        <f t="shared" si="72"/>
        <v>Privado Nacional</v>
      </c>
      <c r="V1179" s="14">
        <f t="shared" si="73"/>
        <v>0</v>
      </c>
      <c r="W1179" s="14">
        <f t="shared" si="74"/>
        <v>-0.29192030990592144</v>
      </c>
      <c r="X1179" s="12" t="str">
        <f t="shared" si="75"/>
        <v>Média/Pequena</v>
      </c>
      <c r="Y1179" s="122" t="str" cm="1">
        <f t="array" ref="Y1179">_xlfn.IFS(ISNUMBER(W1179)=FALSE,"Sem dado",W1179&gt;0.075,"Excelente",W1179&gt;0.04,"Bom",W1179&gt;0,"Fraco",TRUE,"Prejuízo")</f>
        <v>Prejuízo</v>
      </c>
    </row>
    <row r="1180" spans="1:25" ht="15" customHeight="1" x14ac:dyDescent="0.2">
      <c r="A1180" s="15" t="s">
        <v>2498</v>
      </c>
      <c r="B1180" s="60">
        <v>35534511</v>
      </c>
      <c r="C1180" s="15" t="s">
        <v>2499</v>
      </c>
      <c r="D1180" s="15"/>
      <c r="E1180" s="15" t="s">
        <v>2500</v>
      </c>
      <c r="F1180" s="15" t="s">
        <v>84</v>
      </c>
      <c r="G1180" s="34">
        <v>2</v>
      </c>
      <c r="H1180" s="34">
        <v>41</v>
      </c>
      <c r="I1180" s="15" t="s">
        <v>2501</v>
      </c>
      <c r="J1180" s="15" t="s">
        <v>74</v>
      </c>
      <c r="K1180" s="74" t="s">
        <v>29</v>
      </c>
      <c r="L1180" s="16">
        <v>23695</v>
      </c>
      <c r="M1180" s="16">
        <v>0</v>
      </c>
      <c r="N1180" s="16">
        <v>19738</v>
      </c>
      <c r="O1180" s="16">
        <v>18411</v>
      </c>
      <c r="P1180" s="16">
        <v>18379</v>
      </c>
      <c r="Q1180" s="16">
        <v>5284</v>
      </c>
      <c r="R1180" s="16">
        <v>102</v>
      </c>
      <c r="S1180" s="16">
        <v>1</v>
      </c>
      <c r="T1180" s="16">
        <v>0</v>
      </c>
      <c r="U1180" s="15" t="str">
        <f t="shared" si="72"/>
        <v>Privado Nacional</v>
      </c>
      <c r="V1180" s="17">
        <f t="shared" si="73"/>
        <v>0</v>
      </c>
      <c r="W1180" s="17">
        <f t="shared" si="74"/>
        <v>1.9303557910673733E-2</v>
      </c>
      <c r="X1180" s="15" t="str">
        <f t="shared" si="75"/>
        <v>Média/Pequena</v>
      </c>
      <c r="Y1180" s="121" t="str" cm="1">
        <f t="array" ref="Y1180">_xlfn.IFS(ISNUMBER(W1180)=FALSE,"Sem dado",W1180&gt;0.075,"Excelente",W1180&gt;0.04,"Bom",W1180&gt;0,"Fraco",TRUE,"Prejuízo")</f>
        <v>Fraco</v>
      </c>
    </row>
    <row r="1181" spans="1:25" ht="15" customHeight="1" x14ac:dyDescent="0.2">
      <c r="A1181" s="12" t="s">
        <v>2502</v>
      </c>
      <c r="B1181" s="56">
        <v>7253654</v>
      </c>
      <c r="C1181" s="12" t="s">
        <v>2503</v>
      </c>
      <c r="D1181" s="12"/>
      <c r="E1181" s="12" t="s">
        <v>2504</v>
      </c>
      <c r="F1181" s="12" t="s">
        <v>98</v>
      </c>
      <c r="G1181" s="33">
        <v>2</v>
      </c>
      <c r="H1181" s="33">
        <v>16</v>
      </c>
      <c r="I1181" s="12" t="s">
        <v>38</v>
      </c>
      <c r="J1181" s="12" t="s">
        <v>39</v>
      </c>
      <c r="K1181" s="73" t="s">
        <v>29</v>
      </c>
      <c r="L1181" s="13">
        <v>23533</v>
      </c>
      <c r="M1181" s="13">
        <v>0</v>
      </c>
      <c r="N1181" s="13">
        <v>12296</v>
      </c>
      <c r="O1181" s="13">
        <v>8856</v>
      </c>
      <c r="P1181" s="13">
        <v>2647</v>
      </c>
      <c r="Q1181" s="13">
        <v>14677</v>
      </c>
      <c r="R1181" s="13">
        <v>949</v>
      </c>
      <c r="S1181" s="13">
        <v>2</v>
      </c>
      <c r="T1181" s="13">
        <v>0</v>
      </c>
      <c r="U1181" s="12" t="str">
        <f t="shared" si="72"/>
        <v>Privado Nacional</v>
      </c>
      <c r="V1181" s="14">
        <f t="shared" si="73"/>
        <v>0</v>
      </c>
      <c r="W1181" s="14">
        <f t="shared" si="74"/>
        <v>6.4658990256864488E-2</v>
      </c>
      <c r="X1181" s="12" t="str">
        <f t="shared" si="75"/>
        <v>Média/Pequena</v>
      </c>
      <c r="Y1181" s="122" t="str" cm="1">
        <f t="array" ref="Y1181">_xlfn.IFS(ISNUMBER(W1181)=FALSE,"Sem dado",W1181&gt;0.075,"Excelente",W1181&gt;0.04,"Bom",W1181&gt;0,"Fraco",TRUE,"Prejuízo")</f>
        <v>Bom</v>
      </c>
    </row>
    <row r="1182" spans="1:25" ht="15" customHeight="1" x14ac:dyDescent="0.2">
      <c r="A1182" s="15" t="s">
        <v>2505</v>
      </c>
      <c r="B1182" s="60">
        <v>53846242</v>
      </c>
      <c r="C1182" s="15"/>
      <c r="D1182" s="15"/>
      <c r="E1182" s="15"/>
      <c r="F1182" s="15" t="s">
        <v>265</v>
      </c>
      <c r="G1182" s="34">
        <v>2</v>
      </c>
      <c r="H1182" s="34">
        <v>9</v>
      </c>
      <c r="I1182" s="15" t="s">
        <v>2506</v>
      </c>
      <c r="J1182" s="15" t="s">
        <v>39</v>
      </c>
      <c r="K1182" s="74" t="s">
        <v>29</v>
      </c>
      <c r="L1182" s="16">
        <v>23280</v>
      </c>
      <c r="M1182" s="16">
        <v>19361</v>
      </c>
      <c r="N1182" s="16">
        <v>3871</v>
      </c>
      <c r="O1182" s="16">
        <v>317</v>
      </c>
      <c r="P1182" s="16">
        <v>0</v>
      </c>
      <c r="Q1182" s="16">
        <v>22963</v>
      </c>
      <c r="R1182" s="16">
        <v>1341</v>
      </c>
      <c r="S1182" s="16">
        <v>0</v>
      </c>
      <c r="T1182" s="16">
        <v>0</v>
      </c>
      <c r="U1182" s="15" t="str">
        <f t="shared" si="72"/>
        <v>Privado Nacional</v>
      </c>
      <c r="V1182" s="17">
        <f t="shared" si="73"/>
        <v>0.83165807560137461</v>
      </c>
      <c r="W1182" s="17">
        <f t="shared" si="74"/>
        <v>5.8398292905979185E-2</v>
      </c>
      <c r="X1182" s="15" t="str">
        <f t="shared" si="75"/>
        <v>Média/Pequena</v>
      </c>
      <c r="Y1182" s="121" t="str" cm="1">
        <f t="array" ref="Y1182">_xlfn.IFS(ISNUMBER(W1182)=FALSE,"Sem dado",W1182&gt;0.075,"Excelente",W1182&gt;0.04,"Bom",W1182&gt;0,"Fraco",TRUE,"Prejuízo")</f>
        <v>Bom</v>
      </c>
    </row>
    <row r="1183" spans="1:25" ht="15" customHeight="1" x14ac:dyDescent="0.2">
      <c r="A1183" s="12" t="s">
        <v>2507</v>
      </c>
      <c r="B1183" s="56">
        <v>43182278</v>
      </c>
      <c r="C1183" s="12"/>
      <c r="D1183" s="12"/>
      <c r="E1183" s="12"/>
      <c r="F1183" s="12" t="s">
        <v>265</v>
      </c>
      <c r="G1183" s="33">
        <v>2</v>
      </c>
      <c r="H1183" s="33">
        <v>9</v>
      </c>
      <c r="I1183" s="12" t="s">
        <v>38</v>
      </c>
      <c r="J1183" s="12" t="s">
        <v>39</v>
      </c>
      <c r="K1183" s="73" t="s">
        <v>29</v>
      </c>
      <c r="L1183" s="13">
        <v>23141</v>
      </c>
      <c r="M1183" s="13">
        <v>7312</v>
      </c>
      <c r="N1183" s="13">
        <v>15138</v>
      </c>
      <c r="O1183" s="13">
        <v>861</v>
      </c>
      <c r="P1183" s="13">
        <v>0</v>
      </c>
      <c r="Q1183" s="13">
        <v>22280</v>
      </c>
      <c r="R1183" s="13">
        <v>1138</v>
      </c>
      <c r="S1183" s="13">
        <v>0</v>
      </c>
      <c r="T1183" s="13">
        <v>0</v>
      </c>
      <c r="U1183" s="12" t="str">
        <f t="shared" si="72"/>
        <v>Privado Nacional</v>
      </c>
      <c r="V1183" s="14">
        <f t="shared" si="73"/>
        <v>0.31597597338057992</v>
      </c>
      <c r="W1183" s="14">
        <f t="shared" si="74"/>
        <v>5.1077199281867144E-2</v>
      </c>
      <c r="X1183" s="12" t="str">
        <f t="shared" si="75"/>
        <v>Média/Pequena</v>
      </c>
      <c r="Y1183" s="122" t="str" cm="1">
        <f t="array" ref="Y1183">_xlfn.IFS(ISNUMBER(W1183)=FALSE,"Sem dado",W1183&gt;0.075,"Excelente",W1183&gt;0.04,"Bom",W1183&gt;0,"Fraco",TRUE,"Prejuízo")</f>
        <v>Bom</v>
      </c>
    </row>
    <row r="1184" spans="1:25" ht="15" customHeight="1" x14ac:dyDescent="0.2">
      <c r="A1184" s="15" t="s">
        <v>2508</v>
      </c>
      <c r="B1184" s="60">
        <v>45331622</v>
      </c>
      <c r="C1184" s="15" t="s">
        <v>2509</v>
      </c>
      <c r="D1184" s="15"/>
      <c r="E1184" s="15" t="s">
        <v>2510</v>
      </c>
      <c r="F1184" s="15" t="s">
        <v>65</v>
      </c>
      <c r="G1184" s="34">
        <v>2</v>
      </c>
      <c r="H1184" s="34">
        <v>43</v>
      </c>
      <c r="I1184" s="15" t="s">
        <v>1004</v>
      </c>
      <c r="J1184" s="15" t="s">
        <v>39</v>
      </c>
      <c r="K1184" s="74" t="s">
        <v>29</v>
      </c>
      <c r="L1184" s="16">
        <v>23007</v>
      </c>
      <c r="M1184" s="16">
        <v>1228</v>
      </c>
      <c r="N1184" s="16">
        <v>4908</v>
      </c>
      <c r="O1184" s="16">
        <v>12759</v>
      </c>
      <c r="P1184" s="16">
        <v>12592</v>
      </c>
      <c r="Q1184" s="16">
        <v>10248</v>
      </c>
      <c r="R1184" s="16">
        <v>247</v>
      </c>
      <c r="S1184" s="16">
        <v>2</v>
      </c>
      <c r="T1184" s="16">
        <v>0</v>
      </c>
      <c r="U1184" s="15" t="str">
        <f t="shared" si="72"/>
        <v>Privado Nacional</v>
      </c>
      <c r="V1184" s="17">
        <f t="shared" si="73"/>
        <v>5.3375059764419523E-2</v>
      </c>
      <c r="W1184" s="17">
        <f t="shared" si="74"/>
        <v>2.4102263856362216E-2</v>
      </c>
      <c r="X1184" s="15" t="str">
        <f t="shared" si="75"/>
        <v>Média/Pequena</v>
      </c>
      <c r="Y1184" s="121" t="str" cm="1">
        <f t="array" ref="Y1184">_xlfn.IFS(ISNUMBER(W1184)=FALSE,"Sem dado",W1184&gt;0.075,"Excelente",W1184&gt;0.04,"Bom",W1184&gt;0,"Fraco",TRUE,"Prejuízo")</f>
        <v>Fraco</v>
      </c>
    </row>
    <row r="1185" spans="1:25" ht="15" customHeight="1" x14ac:dyDescent="0.2">
      <c r="A1185" s="12" t="s">
        <v>2511</v>
      </c>
      <c r="B1185" s="56">
        <v>946465</v>
      </c>
      <c r="C1185" s="12"/>
      <c r="D1185" s="12"/>
      <c r="E1185" s="12"/>
      <c r="F1185" s="12" t="s">
        <v>265</v>
      </c>
      <c r="G1185" s="33">
        <v>2</v>
      </c>
      <c r="H1185" s="33">
        <v>9</v>
      </c>
      <c r="I1185" s="12" t="s">
        <v>1223</v>
      </c>
      <c r="J1185" s="12" t="s">
        <v>39</v>
      </c>
      <c r="K1185" s="73" t="s">
        <v>29</v>
      </c>
      <c r="L1185" s="13">
        <v>22977</v>
      </c>
      <c r="M1185" s="13">
        <v>17560</v>
      </c>
      <c r="N1185" s="13">
        <v>4228</v>
      </c>
      <c r="O1185" s="13">
        <v>418</v>
      </c>
      <c r="P1185" s="13">
        <v>0</v>
      </c>
      <c r="Q1185" s="13">
        <v>22559</v>
      </c>
      <c r="R1185" s="13">
        <v>1091</v>
      </c>
      <c r="S1185" s="13">
        <v>0</v>
      </c>
      <c r="T1185" s="13">
        <v>0</v>
      </c>
      <c r="U1185" s="12" t="str">
        <f t="shared" si="72"/>
        <v>Privado Nacional</v>
      </c>
      <c r="V1185" s="14">
        <f t="shared" si="73"/>
        <v>0.7642425033729382</v>
      </c>
      <c r="W1185" s="14">
        <f t="shared" si="74"/>
        <v>4.836207278691431E-2</v>
      </c>
      <c r="X1185" s="12" t="str">
        <f t="shared" si="75"/>
        <v>Média/Pequena</v>
      </c>
      <c r="Y1185" s="122" t="str" cm="1">
        <f t="array" ref="Y1185">_xlfn.IFS(ISNUMBER(W1185)=FALSE,"Sem dado",W1185&gt;0.075,"Excelente",W1185&gt;0.04,"Bom",W1185&gt;0,"Fraco",TRUE,"Prejuízo")</f>
        <v>Bom</v>
      </c>
    </row>
    <row r="1186" spans="1:25" ht="15" customHeight="1" x14ac:dyDescent="0.2">
      <c r="A1186" s="15" t="s">
        <v>2512</v>
      </c>
      <c r="B1186" s="60">
        <v>51604356</v>
      </c>
      <c r="C1186" s="15" t="s">
        <v>2513</v>
      </c>
      <c r="D1186" s="15"/>
      <c r="E1186" s="15" t="s">
        <v>2514</v>
      </c>
      <c r="F1186" s="15" t="s">
        <v>65</v>
      </c>
      <c r="G1186" s="34">
        <v>2</v>
      </c>
      <c r="H1186" s="34">
        <v>43</v>
      </c>
      <c r="I1186" s="15" t="s">
        <v>2515</v>
      </c>
      <c r="J1186" s="15" t="s">
        <v>39</v>
      </c>
      <c r="K1186" s="74" t="s">
        <v>29</v>
      </c>
      <c r="L1186" s="16">
        <v>22966</v>
      </c>
      <c r="M1186" s="16">
        <v>0</v>
      </c>
      <c r="N1186" s="16">
        <v>6840</v>
      </c>
      <c r="O1186" s="16">
        <v>13824</v>
      </c>
      <c r="P1186" s="16">
        <v>0</v>
      </c>
      <c r="Q1186" s="16">
        <v>9142</v>
      </c>
      <c r="R1186" s="16">
        <v>1955</v>
      </c>
      <c r="S1186" s="16">
        <v>2</v>
      </c>
      <c r="T1186" s="16">
        <v>0</v>
      </c>
      <c r="U1186" s="15" t="str">
        <f t="shared" si="72"/>
        <v>Privado Nacional</v>
      </c>
      <c r="V1186" s="17">
        <f t="shared" si="73"/>
        <v>0</v>
      </c>
      <c r="W1186" s="17">
        <f t="shared" si="74"/>
        <v>0.21384817326624372</v>
      </c>
      <c r="X1186" s="15" t="str">
        <f t="shared" si="75"/>
        <v>Média/Pequena</v>
      </c>
      <c r="Y1186" s="121" t="str" cm="1">
        <f t="array" ref="Y1186">_xlfn.IFS(ISNUMBER(W1186)=FALSE,"Sem dado",W1186&gt;0.075,"Excelente",W1186&gt;0.04,"Bom",W1186&gt;0,"Fraco",TRUE,"Prejuízo")</f>
        <v>Excelente</v>
      </c>
    </row>
    <row r="1187" spans="1:25" ht="15" customHeight="1" x14ac:dyDescent="0.2">
      <c r="A1187" s="12" t="s">
        <v>2516</v>
      </c>
      <c r="B1187" s="56">
        <v>45854066</v>
      </c>
      <c r="C1187" s="12" t="s">
        <v>2517</v>
      </c>
      <c r="D1187" s="12"/>
      <c r="E1187" s="12" t="s">
        <v>2518</v>
      </c>
      <c r="F1187" s="12" t="s">
        <v>98</v>
      </c>
      <c r="G1187" s="33">
        <v>2</v>
      </c>
      <c r="H1187" s="33">
        <v>16</v>
      </c>
      <c r="I1187" s="12" t="s">
        <v>38</v>
      </c>
      <c r="J1187" s="12" t="s">
        <v>39</v>
      </c>
      <c r="K1187" s="73" t="s">
        <v>29</v>
      </c>
      <c r="L1187" s="13">
        <v>22585</v>
      </c>
      <c r="M1187" s="13">
        <v>0</v>
      </c>
      <c r="N1187" s="13">
        <v>11703</v>
      </c>
      <c r="O1187" s="13">
        <v>10103</v>
      </c>
      <c r="P1187" s="13">
        <v>9163</v>
      </c>
      <c r="Q1187" s="13">
        <v>12481</v>
      </c>
      <c r="R1187" s="13">
        <v>563</v>
      </c>
      <c r="S1187" s="13">
        <v>2</v>
      </c>
      <c r="T1187" s="13">
        <v>0</v>
      </c>
      <c r="U1187" s="12" t="str">
        <f t="shared" si="72"/>
        <v>Privado Nacional</v>
      </c>
      <c r="V1187" s="14">
        <f t="shared" si="73"/>
        <v>0</v>
      </c>
      <c r="W1187" s="14">
        <f t="shared" si="74"/>
        <v>4.5108565018828622E-2</v>
      </c>
      <c r="X1187" s="12" t="str">
        <f t="shared" si="75"/>
        <v>Média/Pequena</v>
      </c>
      <c r="Y1187" s="122" t="str" cm="1">
        <f t="array" ref="Y1187">_xlfn.IFS(ISNUMBER(W1187)=FALSE,"Sem dado",W1187&gt;0.075,"Excelente",W1187&gt;0.04,"Bom",W1187&gt;0,"Fraco",TRUE,"Prejuízo")</f>
        <v>Bom</v>
      </c>
    </row>
    <row r="1188" spans="1:25" ht="15" customHeight="1" x14ac:dyDescent="0.2">
      <c r="A1188" s="15" t="s">
        <v>2519</v>
      </c>
      <c r="B1188" s="60">
        <v>6975532</v>
      </c>
      <c r="C1188" s="15"/>
      <c r="D1188" s="15"/>
      <c r="E1188" s="15"/>
      <c r="F1188" s="15" t="s">
        <v>265</v>
      </c>
      <c r="G1188" s="34">
        <v>2</v>
      </c>
      <c r="H1188" s="34">
        <v>9</v>
      </c>
      <c r="I1188" s="15" t="s">
        <v>73</v>
      </c>
      <c r="J1188" s="15" t="s">
        <v>74</v>
      </c>
      <c r="K1188" s="74" t="s">
        <v>29</v>
      </c>
      <c r="L1188" s="16">
        <v>22299</v>
      </c>
      <c r="M1188" s="16">
        <v>10634</v>
      </c>
      <c r="N1188" s="16">
        <v>504</v>
      </c>
      <c r="O1188" s="16">
        <v>13235</v>
      </c>
      <c r="P1188" s="16">
        <v>8833</v>
      </c>
      <c r="Q1188" s="16">
        <v>9064</v>
      </c>
      <c r="R1188" s="16">
        <v>-283</v>
      </c>
      <c r="S1188" s="16">
        <v>0</v>
      </c>
      <c r="T1188" s="16">
        <v>0</v>
      </c>
      <c r="U1188" s="15" t="str">
        <f t="shared" si="72"/>
        <v>Privado Nacional</v>
      </c>
      <c r="V1188" s="17">
        <f t="shared" si="73"/>
        <v>0.47688237140678952</v>
      </c>
      <c r="W1188" s="17">
        <f t="shared" si="74"/>
        <v>-3.1222418358340689E-2</v>
      </c>
      <c r="X1188" s="15" t="str">
        <f t="shared" si="75"/>
        <v>Média/Pequena</v>
      </c>
      <c r="Y1188" s="121" t="str" cm="1">
        <f t="array" ref="Y1188">_xlfn.IFS(ISNUMBER(W1188)=FALSE,"Sem dado",W1188&gt;0.075,"Excelente",W1188&gt;0.04,"Bom",W1188&gt;0,"Fraco",TRUE,"Prejuízo")</f>
        <v>Prejuízo</v>
      </c>
    </row>
    <row r="1189" spans="1:25" ht="15" customHeight="1" x14ac:dyDescent="0.2">
      <c r="A1189" s="12" t="s">
        <v>2520</v>
      </c>
      <c r="B1189" s="56">
        <v>43978697</v>
      </c>
      <c r="C1189" s="12" t="s">
        <v>2521</v>
      </c>
      <c r="D1189" s="12"/>
      <c r="E1189" s="12" t="s">
        <v>2522</v>
      </c>
      <c r="F1189" s="12" t="s">
        <v>65</v>
      </c>
      <c r="G1189" s="33">
        <v>2</v>
      </c>
      <c r="H1189" s="33">
        <v>43</v>
      </c>
      <c r="I1189" s="12" t="s">
        <v>107</v>
      </c>
      <c r="J1189" s="12" t="s">
        <v>39</v>
      </c>
      <c r="K1189" s="73" t="s">
        <v>29</v>
      </c>
      <c r="L1189" s="13">
        <v>22045</v>
      </c>
      <c r="M1189" s="13">
        <v>0</v>
      </c>
      <c r="N1189" s="13">
        <v>276</v>
      </c>
      <c r="O1189" s="13">
        <v>12381</v>
      </c>
      <c r="P1189" s="13">
        <v>11561</v>
      </c>
      <c r="Q1189" s="13">
        <v>9664</v>
      </c>
      <c r="R1189" s="13">
        <v>274</v>
      </c>
      <c r="S1189" s="13">
        <v>2</v>
      </c>
      <c r="T1189" s="13">
        <v>0</v>
      </c>
      <c r="U1189" s="12" t="str">
        <f t="shared" si="72"/>
        <v>Privado Nacional</v>
      </c>
      <c r="V1189" s="14">
        <f t="shared" si="73"/>
        <v>0</v>
      </c>
      <c r="W1189" s="14">
        <f t="shared" si="74"/>
        <v>2.8352649006622516E-2</v>
      </c>
      <c r="X1189" s="12" t="str">
        <f t="shared" si="75"/>
        <v>Média/Pequena</v>
      </c>
      <c r="Y1189" s="122" t="str" cm="1">
        <f t="array" ref="Y1189">_xlfn.IFS(ISNUMBER(W1189)=FALSE,"Sem dado",W1189&gt;0.075,"Excelente",W1189&gt;0.04,"Bom",W1189&gt;0,"Fraco",TRUE,"Prejuízo")</f>
        <v>Fraco</v>
      </c>
    </row>
    <row r="1190" spans="1:25" ht="15" customHeight="1" x14ac:dyDescent="0.2">
      <c r="A1190" s="15" t="s">
        <v>2523</v>
      </c>
      <c r="B1190" s="60">
        <v>5548335</v>
      </c>
      <c r="C1190" s="15"/>
      <c r="D1190" s="15"/>
      <c r="E1190" s="15"/>
      <c r="F1190" s="15" t="s">
        <v>265</v>
      </c>
      <c r="G1190" s="34">
        <v>2</v>
      </c>
      <c r="H1190" s="34">
        <v>9</v>
      </c>
      <c r="I1190" s="15" t="s">
        <v>2524</v>
      </c>
      <c r="J1190" s="15" t="s">
        <v>54</v>
      </c>
      <c r="K1190" s="74" t="s">
        <v>29</v>
      </c>
      <c r="L1190" s="16">
        <v>21781</v>
      </c>
      <c r="M1190" s="16">
        <v>5144</v>
      </c>
      <c r="N1190" s="16">
        <v>6646</v>
      </c>
      <c r="O1190" s="16">
        <v>3288</v>
      </c>
      <c r="P1190" s="16">
        <v>0</v>
      </c>
      <c r="Q1190" s="16">
        <v>18493</v>
      </c>
      <c r="R1190" s="16">
        <v>752</v>
      </c>
      <c r="S1190" s="16">
        <v>0</v>
      </c>
      <c r="T1190" s="16">
        <v>0</v>
      </c>
      <c r="U1190" s="15" t="str">
        <f t="shared" si="72"/>
        <v>Privado Nacional</v>
      </c>
      <c r="V1190" s="17">
        <f t="shared" si="73"/>
        <v>0.23616913823975025</v>
      </c>
      <c r="W1190" s="17">
        <f t="shared" si="74"/>
        <v>4.0664035040285512E-2</v>
      </c>
      <c r="X1190" s="15" t="str">
        <f t="shared" si="75"/>
        <v>Média/Pequena</v>
      </c>
      <c r="Y1190" s="121" t="str" cm="1">
        <f t="array" ref="Y1190">_xlfn.IFS(ISNUMBER(W1190)=FALSE,"Sem dado",W1190&gt;0.075,"Excelente",W1190&gt;0.04,"Bom",W1190&gt;0,"Fraco",TRUE,"Prejuízo")</f>
        <v>Bom</v>
      </c>
    </row>
    <row r="1191" spans="1:25" ht="15" customHeight="1" x14ac:dyDescent="0.2">
      <c r="A1191" s="12" t="s">
        <v>2525</v>
      </c>
      <c r="B1191" s="56">
        <v>16944141</v>
      </c>
      <c r="C1191" s="12" t="s">
        <v>2526</v>
      </c>
      <c r="D1191" s="12"/>
      <c r="E1191" s="12" t="s">
        <v>2527</v>
      </c>
      <c r="F1191" s="12" t="s">
        <v>98</v>
      </c>
      <c r="G1191" s="33">
        <v>2</v>
      </c>
      <c r="H1191" s="33">
        <v>21</v>
      </c>
      <c r="I1191" s="12" t="s">
        <v>38</v>
      </c>
      <c r="J1191" s="12" t="s">
        <v>39</v>
      </c>
      <c r="K1191" s="73" t="s">
        <v>29</v>
      </c>
      <c r="L1191" s="13">
        <v>21749</v>
      </c>
      <c r="M1191" s="13">
        <v>0</v>
      </c>
      <c r="N1191" s="13">
        <v>10252</v>
      </c>
      <c r="O1191" s="13">
        <v>9540</v>
      </c>
      <c r="P1191" s="13">
        <v>0</v>
      </c>
      <c r="Q1191" s="13">
        <v>12209</v>
      </c>
      <c r="R1191" s="13">
        <v>1209</v>
      </c>
      <c r="S1191" s="13">
        <v>2</v>
      </c>
      <c r="T1191" s="13">
        <v>0</v>
      </c>
      <c r="U1191" s="12" t="str">
        <f t="shared" si="72"/>
        <v>Privado Nacional</v>
      </c>
      <c r="V1191" s="14">
        <f t="shared" si="73"/>
        <v>0</v>
      </c>
      <c r="W1191" s="14">
        <f t="shared" si="74"/>
        <v>9.902530919813253E-2</v>
      </c>
      <c r="X1191" s="12" t="str">
        <f t="shared" si="75"/>
        <v>Média/Pequena</v>
      </c>
      <c r="Y1191" s="122" t="str" cm="1">
        <f t="array" ref="Y1191">_xlfn.IFS(ISNUMBER(W1191)=FALSE,"Sem dado",W1191&gt;0.075,"Excelente",W1191&gt;0.04,"Bom",W1191&gt;0,"Fraco",TRUE,"Prejuízo")</f>
        <v>Excelente</v>
      </c>
    </row>
    <row r="1192" spans="1:25" ht="15" customHeight="1" x14ac:dyDescent="0.2">
      <c r="A1192" s="15" t="s">
        <v>2528</v>
      </c>
      <c r="B1192" s="60">
        <v>4998845</v>
      </c>
      <c r="C1192" s="15"/>
      <c r="D1192" s="15"/>
      <c r="E1192" s="15"/>
      <c r="F1192" s="15" t="s">
        <v>265</v>
      </c>
      <c r="G1192" s="34">
        <v>2</v>
      </c>
      <c r="H1192" s="34">
        <v>9</v>
      </c>
      <c r="I1192" s="15" t="s">
        <v>2529</v>
      </c>
      <c r="J1192" s="15" t="s">
        <v>144</v>
      </c>
      <c r="K1192" s="74" t="s">
        <v>29</v>
      </c>
      <c r="L1192" s="16">
        <v>21393</v>
      </c>
      <c r="M1192" s="16">
        <v>14048</v>
      </c>
      <c r="N1192" s="16">
        <v>6276</v>
      </c>
      <c r="O1192" s="16">
        <v>656</v>
      </c>
      <c r="P1192" s="16">
        <v>0</v>
      </c>
      <c r="Q1192" s="16">
        <v>20737</v>
      </c>
      <c r="R1192" s="16">
        <v>901</v>
      </c>
      <c r="S1192" s="16">
        <v>0</v>
      </c>
      <c r="T1192" s="16">
        <v>0</v>
      </c>
      <c r="U1192" s="15" t="str">
        <f t="shared" si="72"/>
        <v>Privado Nacional</v>
      </c>
      <c r="V1192" s="17">
        <f t="shared" si="73"/>
        <v>0.65666339456831679</v>
      </c>
      <c r="W1192" s="17">
        <f t="shared" si="74"/>
        <v>4.3448907749433378E-2</v>
      </c>
      <c r="X1192" s="15" t="str">
        <f t="shared" si="75"/>
        <v>Média/Pequena</v>
      </c>
      <c r="Y1192" s="121" t="str" cm="1">
        <f t="array" ref="Y1192">_xlfn.IFS(ISNUMBER(W1192)=FALSE,"Sem dado",W1192&gt;0.075,"Excelente",W1192&gt;0.04,"Bom",W1192&gt;0,"Fraco",TRUE,"Prejuízo")</f>
        <v>Bom</v>
      </c>
    </row>
    <row r="1193" spans="1:25" ht="15" customHeight="1" x14ac:dyDescent="0.2">
      <c r="A1193" s="12" t="s">
        <v>2530</v>
      </c>
      <c r="B1193" s="56">
        <v>48786608</v>
      </c>
      <c r="C1193" s="12" t="s">
        <v>722</v>
      </c>
      <c r="D1193" s="12"/>
      <c r="E1193" s="12" t="s">
        <v>723</v>
      </c>
      <c r="F1193" s="12" t="s">
        <v>65</v>
      </c>
      <c r="G1193" s="33">
        <v>2</v>
      </c>
      <c r="H1193" s="33">
        <v>14</v>
      </c>
      <c r="I1193" s="12" t="s">
        <v>528</v>
      </c>
      <c r="J1193" s="12" t="s">
        <v>217</v>
      </c>
      <c r="K1193" s="73" t="s">
        <v>29</v>
      </c>
      <c r="L1193" s="13">
        <v>21338</v>
      </c>
      <c r="M1193" s="13">
        <v>501</v>
      </c>
      <c r="N1193" s="13">
        <v>20407</v>
      </c>
      <c r="O1193" s="13">
        <v>503</v>
      </c>
      <c r="P1193" s="13">
        <v>0</v>
      </c>
      <c r="Q1193" s="13">
        <v>20835</v>
      </c>
      <c r="R1193" s="13">
        <v>558</v>
      </c>
      <c r="S1193" s="13">
        <v>2</v>
      </c>
      <c r="T1193" s="13">
        <v>0</v>
      </c>
      <c r="U1193" s="12" t="str">
        <f t="shared" si="72"/>
        <v>Privado Nacional</v>
      </c>
      <c r="V1193" s="14">
        <f t="shared" si="73"/>
        <v>2.3479238916487018E-2</v>
      </c>
      <c r="W1193" s="14">
        <f t="shared" si="74"/>
        <v>2.6781857451403889E-2</v>
      </c>
      <c r="X1193" s="12" t="str">
        <f t="shared" si="75"/>
        <v>Média/Pequena</v>
      </c>
      <c r="Y1193" s="122" t="str" cm="1">
        <f t="array" ref="Y1193">_xlfn.IFS(ISNUMBER(W1193)=FALSE,"Sem dado",W1193&gt;0.075,"Excelente",W1193&gt;0.04,"Bom",W1193&gt;0,"Fraco",TRUE,"Prejuízo")</f>
        <v>Fraco</v>
      </c>
    </row>
    <row r="1194" spans="1:25" ht="15" customHeight="1" x14ac:dyDescent="0.2">
      <c r="A1194" s="15" t="s">
        <v>2531</v>
      </c>
      <c r="B1194" s="60">
        <v>5289612</v>
      </c>
      <c r="C1194" s="15" t="s">
        <v>2532</v>
      </c>
      <c r="D1194" s="15"/>
      <c r="E1194" s="15" t="s">
        <v>2533</v>
      </c>
      <c r="F1194" s="15" t="s">
        <v>65</v>
      </c>
      <c r="G1194" s="34">
        <v>2</v>
      </c>
      <c r="H1194" s="34">
        <v>10</v>
      </c>
      <c r="I1194" s="15" t="s">
        <v>73</v>
      </c>
      <c r="J1194" s="15" t="s">
        <v>74</v>
      </c>
      <c r="K1194" s="74" t="s">
        <v>29</v>
      </c>
      <c r="L1194" s="16">
        <v>21256</v>
      </c>
      <c r="M1194" s="16">
        <v>11987</v>
      </c>
      <c r="N1194" s="16">
        <v>881</v>
      </c>
      <c r="O1194" s="16">
        <v>7102</v>
      </c>
      <c r="P1194" s="16">
        <v>0</v>
      </c>
      <c r="Q1194" s="16">
        <v>14154</v>
      </c>
      <c r="R1194" s="16">
        <v>3002</v>
      </c>
      <c r="S1194" s="16">
        <v>2</v>
      </c>
      <c r="T1194" s="16">
        <v>0</v>
      </c>
      <c r="U1194" s="15" t="str">
        <f t="shared" si="72"/>
        <v>Privado Nacional</v>
      </c>
      <c r="V1194" s="17">
        <f t="shared" si="73"/>
        <v>0.56393488897252542</v>
      </c>
      <c r="W1194" s="17">
        <f t="shared" si="74"/>
        <v>0.21209552070086193</v>
      </c>
      <c r="X1194" s="15" t="str">
        <f t="shared" si="75"/>
        <v>Média/Pequena</v>
      </c>
      <c r="Y1194" s="121" t="str" cm="1">
        <f t="array" ref="Y1194">_xlfn.IFS(ISNUMBER(W1194)=FALSE,"Sem dado",W1194&gt;0.075,"Excelente",W1194&gt;0.04,"Bom",W1194&gt;0,"Fraco",TRUE,"Prejuízo")</f>
        <v>Excelente</v>
      </c>
    </row>
    <row r="1195" spans="1:25" ht="15" customHeight="1" x14ac:dyDescent="0.2">
      <c r="A1195" s="12" t="s">
        <v>2534</v>
      </c>
      <c r="B1195" s="56">
        <v>7115294</v>
      </c>
      <c r="C1195" s="12" t="s">
        <v>2535</v>
      </c>
      <c r="D1195" s="12"/>
      <c r="E1195" s="12" t="s">
        <v>2536</v>
      </c>
      <c r="F1195" s="12" t="s">
        <v>84</v>
      </c>
      <c r="G1195" s="33">
        <v>3</v>
      </c>
      <c r="H1195" s="33">
        <v>41</v>
      </c>
      <c r="I1195" s="12" t="s">
        <v>38</v>
      </c>
      <c r="J1195" s="12" t="s">
        <v>39</v>
      </c>
      <c r="K1195" s="73" t="s">
        <v>29</v>
      </c>
      <c r="L1195" s="13">
        <v>21005</v>
      </c>
      <c r="M1195" s="13">
        <v>0</v>
      </c>
      <c r="N1195" s="13">
        <v>32</v>
      </c>
      <c r="O1195" s="13">
        <v>15333</v>
      </c>
      <c r="P1195" s="13">
        <v>0</v>
      </c>
      <c r="Q1195" s="13">
        <v>5672</v>
      </c>
      <c r="R1195" s="13">
        <v>-458</v>
      </c>
      <c r="S1195" s="13">
        <v>1</v>
      </c>
      <c r="T1195" s="13">
        <v>0</v>
      </c>
      <c r="U1195" s="12" t="str">
        <f t="shared" si="72"/>
        <v>Privado Estrangeiro</v>
      </c>
      <c r="V1195" s="14">
        <f t="shared" si="73"/>
        <v>0</v>
      </c>
      <c r="W1195" s="14">
        <f t="shared" si="74"/>
        <v>-8.0747531734837799E-2</v>
      </c>
      <c r="X1195" s="12" t="str">
        <f t="shared" si="75"/>
        <v>Média/Pequena</v>
      </c>
      <c r="Y1195" s="122" t="str" cm="1">
        <f t="array" ref="Y1195">_xlfn.IFS(ISNUMBER(W1195)=FALSE,"Sem dado",W1195&gt;0.075,"Excelente",W1195&gt;0.04,"Bom",W1195&gt;0,"Fraco",TRUE,"Prejuízo")</f>
        <v>Prejuízo</v>
      </c>
    </row>
    <row r="1196" spans="1:25" ht="15" customHeight="1" x14ac:dyDescent="0.2">
      <c r="A1196" s="15" t="s">
        <v>2537</v>
      </c>
      <c r="B1196" s="60">
        <v>15173776</v>
      </c>
      <c r="C1196" s="15" t="s">
        <v>2538</v>
      </c>
      <c r="D1196" s="15"/>
      <c r="E1196" s="15" t="s">
        <v>2539</v>
      </c>
      <c r="F1196" s="15" t="s">
        <v>26</v>
      </c>
      <c r="G1196" s="34">
        <v>2</v>
      </c>
      <c r="H1196" s="34">
        <v>8</v>
      </c>
      <c r="I1196" s="15" t="s">
        <v>210</v>
      </c>
      <c r="J1196" s="15" t="s">
        <v>211</v>
      </c>
      <c r="K1196" s="74" t="s">
        <v>29</v>
      </c>
      <c r="L1196" s="16">
        <v>20972</v>
      </c>
      <c r="M1196" s="16">
        <v>2071</v>
      </c>
      <c r="N1196" s="16">
        <v>0</v>
      </c>
      <c r="O1196" s="16">
        <v>2216</v>
      </c>
      <c r="P1196" s="16">
        <v>2066</v>
      </c>
      <c r="Q1196" s="16">
        <v>18755</v>
      </c>
      <c r="R1196" s="16">
        <v>-502</v>
      </c>
      <c r="S1196" s="16">
        <v>1</v>
      </c>
      <c r="T1196" s="16">
        <v>0</v>
      </c>
      <c r="U1196" s="15" t="str">
        <f t="shared" si="72"/>
        <v>Privado Nacional</v>
      </c>
      <c r="V1196" s="17">
        <f t="shared" si="73"/>
        <v>9.8750715239366779E-2</v>
      </c>
      <c r="W1196" s="17">
        <f t="shared" si="74"/>
        <v>-2.6766195681151694E-2</v>
      </c>
      <c r="X1196" s="15" t="str">
        <f t="shared" si="75"/>
        <v>Média/Pequena</v>
      </c>
      <c r="Y1196" s="121" t="str" cm="1">
        <f t="array" ref="Y1196">_xlfn.IFS(ISNUMBER(W1196)=FALSE,"Sem dado",W1196&gt;0.075,"Excelente",W1196&gt;0.04,"Bom",W1196&gt;0,"Fraco",TRUE,"Prejuízo")</f>
        <v>Prejuízo</v>
      </c>
    </row>
    <row r="1197" spans="1:25" ht="15" customHeight="1" x14ac:dyDescent="0.2">
      <c r="A1197" s="12" t="s">
        <v>2540</v>
      </c>
      <c r="B1197" s="56">
        <v>35542555</v>
      </c>
      <c r="C1197" s="12" t="s">
        <v>2541</v>
      </c>
      <c r="D1197" s="12"/>
      <c r="E1197" s="12" t="s">
        <v>2542</v>
      </c>
      <c r="F1197" s="12" t="s">
        <v>84</v>
      </c>
      <c r="G1197" s="33">
        <v>3</v>
      </c>
      <c r="H1197" s="33">
        <v>41</v>
      </c>
      <c r="I1197" s="12" t="s">
        <v>38</v>
      </c>
      <c r="J1197" s="12" t="s">
        <v>39</v>
      </c>
      <c r="K1197" s="73" t="s">
        <v>29</v>
      </c>
      <c r="L1197" s="13">
        <v>20904</v>
      </c>
      <c r="M1197" s="13">
        <v>0</v>
      </c>
      <c r="N1197" s="13">
        <v>7615</v>
      </c>
      <c r="O1197" s="13">
        <v>11091</v>
      </c>
      <c r="P1197" s="13">
        <v>0</v>
      </c>
      <c r="Q1197" s="13">
        <v>9812</v>
      </c>
      <c r="R1197" s="13">
        <v>-285</v>
      </c>
      <c r="S1197" s="13">
        <v>1</v>
      </c>
      <c r="T1197" s="13">
        <v>0</v>
      </c>
      <c r="U1197" s="12" t="str">
        <f t="shared" si="72"/>
        <v>Privado Estrangeiro</v>
      </c>
      <c r="V1197" s="14">
        <f t="shared" si="73"/>
        <v>0</v>
      </c>
      <c r="W1197" s="14">
        <f t="shared" si="74"/>
        <v>-2.9046066041581737E-2</v>
      </c>
      <c r="X1197" s="12" t="str">
        <f t="shared" si="75"/>
        <v>Média/Pequena</v>
      </c>
      <c r="Y1197" s="122" t="str" cm="1">
        <f t="array" ref="Y1197">_xlfn.IFS(ISNUMBER(W1197)=FALSE,"Sem dado",W1197&gt;0.075,"Excelente",W1197&gt;0.04,"Bom",W1197&gt;0,"Fraco",TRUE,"Prejuízo")</f>
        <v>Prejuízo</v>
      </c>
    </row>
    <row r="1198" spans="1:25" ht="15" customHeight="1" x14ac:dyDescent="0.2">
      <c r="A1198" s="15" t="s">
        <v>2543</v>
      </c>
      <c r="B1198" s="60">
        <v>43730498</v>
      </c>
      <c r="C1198" s="15"/>
      <c r="D1198" s="15"/>
      <c r="E1198" s="15"/>
      <c r="F1198" s="15" t="s">
        <v>265</v>
      </c>
      <c r="G1198" s="34">
        <v>2</v>
      </c>
      <c r="H1198" s="34">
        <v>9</v>
      </c>
      <c r="I1198" s="15" t="s">
        <v>38</v>
      </c>
      <c r="J1198" s="15" t="s">
        <v>39</v>
      </c>
      <c r="K1198" s="74" t="s">
        <v>29</v>
      </c>
      <c r="L1198" s="16">
        <v>20436</v>
      </c>
      <c r="M1198" s="16">
        <v>12157</v>
      </c>
      <c r="N1198" s="16">
        <v>1917</v>
      </c>
      <c r="O1198" s="16">
        <v>999</v>
      </c>
      <c r="P1198" s="16">
        <v>0</v>
      </c>
      <c r="Q1198" s="16">
        <v>19437</v>
      </c>
      <c r="R1198" s="16">
        <v>941</v>
      </c>
      <c r="S1198" s="16">
        <v>0</v>
      </c>
      <c r="T1198" s="16">
        <v>0</v>
      </c>
      <c r="U1198" s="15" t="str">
        <f t="shared" si="72"/>
        <v>Privado Nacional</v>
      </c>
      <c r="V1198" s="17">
        <f t="shared" si="73"/>
        <v>0.5948815815228029</v>
      </c>
      <c r="W1198" s="17">
        <f t="shared" si="74"/>
        <v>4.8412820908576425E-2</v>
      </c>
      <c r="X1198" s="15" t="str">
        <f t="shared" si="75"/>
        <v>Média/Pequena</v>
      </c>
      <c r="Y1198" s="121" t="str" cm="1">
        <f t="array" ref="Y1198">_xlfn.IFS(ISNUMBER(W1198)=FALSE,"Sem dado",W1198&gt;0.075,"Excelente",W1198&gt;0.04,"Bom",W1198&gt;0,"Fraco",TRUE,"Prejuízo")</f>
        <v>Bom</v>
      </c>
    </row>
    <row r="1199" spans="1:25" ht="15" customHeight="1" x14ac:dyDescent="0.2">
      <c r="A1199" s="12" t="s">
        <v>2544</v>
      </c>
      <c r="B1199" s="56">
        <v>16683062</v>
      </c>
      <c r="C1199" s="12" t="s">
        <v>1979</v>
      </c>
      <c r="D1199" s="12"/>
      <c r="E1199" s="12" t="s">
        <v>1980</v>
      </c>
      <c r="F1199" s="12" t="s">
        <v>98</v>
      </c>
      <c r="G1199" s="33">
        <v>2</v>
      </c>
      <c r="H1199" s="33">
        <v>15</v>
      </c>
      <c r="I1199" s="12" t="s">
        <v>119</v>
      </c>
      <c r="J1199" s="12" t="s">
        <v>120</v>
      </c>
      <c r="K1199" s="73" t="s">
        <v>29</v>
      </c>
      <c r="L1199" s="13">
        <v>20122</v>
      </c>
      <c r="M1199" s="13">
        <v>9215</v>
      </c>
      <c r="N1199" s="13">
        <v>0</v>
      </c>
      <c r="O1199" s="13">
        <v>1246</v>
      </c>
      <c r="P1199" s="13">
        <v>12</v>
      </c>
      <c r="Q1199" s="13">
        <v>18876</v>
      </c>
      <c r="R1199" s="13">
        <v>-88</v>
      </c>
      <c r="S1199" s="13">
        <v>2</v>
      </c>
      <c r="T1199" s="13">
        <v>0</v>
      </c>
      <c r="U1199" s="12" t="str">
        <f t="shared" si="72"/>
        <v>Privado Nacional</v>
      </c>
      <c r="V1199" s="14">
        <f t="shared" si="73"/>
        <v>0.45795646556008351</v>
      </c>
      <c r="W1199" s="14">
        <f t="shared" si="74"/>
        <v>-4.662004662004662E-3</v>
      </c>
      <c r="X1199" s="12" t="str">
        <f t="shared" si="75"/>
        <v>Média/Pequena</v>
      </c>
      <c r="Y1199" s="122" t="str" cm="1">
        <f t="array" ref="Y1199">_xlfn.IFS(ISNUMBER(W1199)=FALSE,"Sem dado",W1199&gt;0.075,"Excelente",W1199&gt;0.04,"Bom",W1199&gt;0,"Fraco",TRUE,"Prejuízo")</f>
        <v>Prejuízo</v>
      </c>
    </row>
    <row r="1200" spans="1:25" ht="15" customHeight="1" x14ac:dyDescent="0.2">
      <c r="A1200" s="15" t="s">
        <v>2545</v>
      </c>
      <c r="B1200" s="60">
        <v>30949267</v>
      </c>
      <c r="C1200" s="15"/>
      <c r="D1200" s="15"/>
      <c r="E1200" s="15"/>
      <c r="F1200" s="15" t="s">
        <v>265</v>
      </c>
      <c r="G1200" s="34">
        <v>2</v>
      </c>
      <c r="H1200" s="34">
        <v>9</v>
      </c>
      <c r="I1200" s="15" t="s">
        <v>2546</v>
      </c>
      <c r="J1200" s="15" t="s">
        <v>183</v>
      </c>
      <c r="K1200" s="74" t="s">
        <v>29</v>
      </c>
      <c r="L1200" s="16">
        <v>20121</v>
      </c>
      <c r="M1200" s="16">
        <v>8010</v>
      </c>
      <c r="N1200" s="16">
        <v>10127</v>
      </c>
      <c r="O1200" s="16">
        <v>17392</v>
      </c>
      <c r="P1200" s="16">
        <v>16315</v>
      </c>
      <c r="Q1200" s="16">
        <v>2729</v>
      </c>
      <c r="R1200" s="16">
        <v>-100</v>
      </c>
      <c r="S1200" s="16">
        <v>0</v>
      </c>
      <c r="T1200" s="16">
        <v>0</v>
      </c>
      <c r="U1200" s="15" t="str">
        <f t="shared" si="72"/>
        <v>Privado Nacional</v>
      </c>
      <c r="V1200" s="17">
        <f t="shared" si="73"/>
        <v>0.39809154614581782</v>
      </c>
      <c r="W1200" s="17">
        <f t="shared" si="74"/>
        <v>-3.6643459142543057E-2</v>
      </c>
      <c r="X1200" s="15" t="str">
        <f t="shared" si="75"/>
        <v>Média/Pequena</v>
      </c>
      <c r="Y1200" s="121" t="str" cm="1">
        <f t="array" ref="Y1200">_xlfn.IFS(ISNUMBER(W1200)=FALSE,"Sem dado",W1200&gt;0.075,"Excelente",W1200&gt;0.04,"Bom",W1200&gt;0,"Fraco",TRUE,"Prejuízo")</f>
        <v>Prejuízo</v>
      </c>
    </row>
    <row r="1201" spans="1:25" ht="15" customHeight="1" x14ac:dyDescent="0.2">
      <c r="A1201" s="12" t="s">
        <v>2547</v>
      </c>
      <c r="B1201" s="56">
        <v>57440521</v>
      </c>
      <c r="C1201" s="12"/>
      <c r="D1201" s="12"/>
      <c r="E1201" s="12"/>
      <c r="F1201" s="12" t="s">
        <v>265</v>
      </c>
      <c r="G1201" s="33">
        <v>2</v>
      </c>
      <c r="H1201" s="33">
        <v>9</v>
      </c>
      <c r="I1201" s="12" t="s">
        <v>38</v>
      </c>
      <c r="J1201" s="12" t="s">
        <v>39</v>
      </c>
      <c r="K1201" s="73" t="s">
        <v>29</v>
      </c>
      <c r="L1201" s="13">
        <v>20062</v>
      </c>
      <c r="M1201" s="13">
        <v>3396</v>
      </c>
      <c r="N1201" s="13">
        <v>15170</v>
      </c>
      <c r="O1201" s="13">
        <v>4145</v>
      </c>
      <c r="P1201" s="13">
        <v>0</v>
      </c>
      <c r="Q1201" s="13">
        <v>15917</v>
      </c>
      <c r="R1201" s="13">
        <v>887</v>
      </c>
      <c r="S1201" s="13">
        <v>0</v>
      </c>
      <c r="T1201" s="13">
        <v>0</v>
      </c>
      <c r="U1201" s="12" t="str">
        <f t="shared" si="72"/>
        <v>Privado Nacional</v>
      </c>
      <c r="V1201" s="14">
        <f t="shared" si="73"/>
        <v>0.16927524673512112</v>
      </c>
      <c r="W1201" s="14">
        <f t="shared" si="74"/>
        <v>5.572658164226927E-2</v>
      </c>
      <c r="X1201" s="12" t="str">
        <f t="shared" si="75"/>
        <v>Média/Pequena</v>
      </c>
      <c r="Y1201" s="122" t="str" cm="1">
        <f t="array" ref="Y1201">_xlfn.IFS(ISNUMBER(W1201)=FALSE,"Sem dado",W1201&gt;0.075,"Excelente",W1201&gt;0.04,"Bom",W1201&gt;0,"Fraco",TRUE,"Prejuízo")</f>
        <v>Bom</v>
      </c>
    </row>
    <row r="1202" spans="1:25" ht="15" customHeight="1" x14ac:dyDescent="0.2">
      <c r="A1202" s="15" t="s">
        <v>2548</v>
      </c>
      <c r="B1202" s="60">
        <v>53184438</v>
      </c>
      <c r="C1202" s="15"/>
      <c r="D1202" s="15"/>
      <c r="E1202" s="15"/>
      <c r="F1202" s="15" t="s">
        <v>265</v>
      </c>
      <c r="G1202" s="34">
        <v>2</v>
      </c>
      <c r="H1202" s="34">
        <v>9</v>
      </c>
      <c r="I1202" s="15" t="s">
        <v>2549</v>
      </c>
      <c r="J1202" s="15" t="s">
        <v>39</v>
      </c>
      <c r="K1202" s="74" t="s">
        <v>29</v>
      </c>
      <c r="L1202" s="16">
        <v>20060</v>
      </c>
      <c r="M1202" s="16">
        <v>16849</v>
      </c>
      <c r="N1202" s="16">
        <v>3139</v>
      </c>
      <c r="O1202" s="16">
        <v>399</v>
      </c>
      <c r="P1202" s="16">
        <v>0</v>
      </c>
      <c r="Q1202" s="16">
        <v>19661</v>
      </c>
      <c r="R1202" s="16">
        <v>1195</v>
      </c>
      <c r="S1202" s="16">
        <v>0</v>
      </c>
      <c r="T1202" s="16">
        <v>2</v>
      </c>
      <c r="U1202" s="15" t="str">
        <f t="shared" si="72"/>
        <v>Privado Nacional</v>
      </c>
      <c r="V1202" s="17">
        <f t="shared" si="73"/>
        <v>0.83993020937188434</v>
      </c>
      <c r="W1202" s="17">
        <f t="shared" si="74"/>
        <v>6.078022481053863E-2</v>
      </c>
      <c r="X1202" s="15" t="str">
        <f t="shared" si="75"/>
        <v>Média/Pequena</v>
      </c>
      <c r="Y1202" s="121" t="str" cm="1">
        <f t="array" ref="Y1202">_xlfn.IFS(ISNUMBER(W1202)=FALSE,"Sem dado",W1202&gt;0.075,"Excelente",W1202&gt;0.04,"Bom",W1202&gt;0,"Fraco",TRUE,"Prejuízo")</f>
        <v>Bom</v>
      </c>
    </row>
    <row r="1203" spans="1:25" ht="15" customHeight="1" x14ac:dyDescent="0.2">
      <c r="A1203" s="12" t="s">
        <v>2550</v>
      </c>
      <c r="B1203" s="56">
        <v>17502881</v>
      </c>
      <c r="C1203" s="12"/>
      <c r="D1203" s="12"/>
      <c r="E1203" s="12"/>
      <c r="F1203" s="12" t="s">
        <v>265</v>
      </c>
      <c r="G1203" s="33">
        <v>2</v>
      </c>
      <c r="H1203" s="33">
        <v>9</v>
      </c>
      <c r="I1203" s="12" t="s">
        <v>119</v>
      </c>
      <c r="J1203" s="12" t="s">
        <v>120</v>
      </c>
      <c r="K1203" s="73" t="s">
        <v>29</v>
      </c>
      <c r="L1203" s="13">
        <v>20029</v>
      </c>
      <c r="M1203" s="13">
        <v>7013</v>
      </c>
      <c r="N1203" s="13">
        <v>2267</v>
      </c>
      <c r="O1203" s="13">
        <v>10091</v>
      </c>
      <c r="P1203" s="13">
        <v>9006</v>
      </c>
      <c r="Q1203" s="13">
        <v>9938</v>
      </c>
      <c r="R1203" s="13">
        <v>392</v>
      </c>
      <c r="S1203" s="13">
        <v>0</v>
      </c>
      <c r="T1203" s="13">
        <v>0</v>
      </c>
      <c r="U1203" s="12" t="str">
        <f t="shared" si="72"/>
        <v>Privado Nacional</v>
      </c>
      <c r="V1203" s="14">
        <f t="shared" si="73"/>
        <v>0.35014229367417243</v>
      </c>
      <c r="W1203" s="14">
        <f t="shared" si="74"/>
        <v>3.9444556248742199E-2</v>
      </c>
      <c r="X1203" s="12" t="str">
        <f t="shared" si="75"/>
        <v>Média/Pequena</v>
      </c>
      <c r="Y1203" s="122" t="str" cm="1">
        <f t="array" ref="Y1203">_xlfn.IFS(ISNUMBER(W1203)=FALSE,"Sem dado",W1203&gt;0.075,"Excelente",W1203&gt;0.04,"Bom",W1203&gt;0,"Fraco",TRUE,"Prejuízo")</f>
        <v>Fraco</v>
      </c>
    </row>
    <row r="1204" spans="1:25" ht="15" customHeight="1" x14ac:dyDescent="0.2">
      <c r="A1204" s="15" t="s">
        <v>2551</v>
      </c>
      <c r="B1204" s="60">
        <v>42047025</v>
      </c>
      <c r="C1204" s="15" t="s">
        <v>2552</v>
      </c>
      <c r="D1204" s="15"/>
      <c r="E1204" s="15" t="s">
        <v>2553</v>
      </c>
      <c r="F1204" s="15" t="s">
        <v>65</v>
      </c>
      <c r="G1204" s="34">
        <v>2</v>
      </c>
      <c r="H1204" s="34">
        <v>43</v>
      </c>
      <c r="I1204" s="15" t="s">
        <v>305</v>
      </c>
      <c r="J1204" s="15" t="s">
        <v>229</v>
      </c>
      <c r="K1204" s="74" t="s">
        <v>29</v>
      </c>
      <c r="L1204" s="16">
        <v>19896</v>
      </c>
      <c r="M1204" s="16">
        <v>1875</v>
      </c>
      <c r="N1204" s="16">
        <v>0</v>
      </c>
      <c r="O1204" s="16">
        <v>12946</v>
      </c>
      <c r="P1204" s="16">
        <v>8573</v>
      </c>
      <c r="Q1204" s="16">
        <v>6950</v>
      </c>
      <c r="R1204" s="16">
        <v>-33</v>
      </c>
      <c r="S1204" s="16">
        <v>2</v>
      </c>
      <c r="T1204" s="16">
        <v>0</v>
      </c>
      <c r="U1204" s="15" t="str">
        <f t="shared" si="72"/>
        <v>Privado Nacional</v>
      </c>
      <c r="V1204" s="17">
        <f t="shared" si="73"/>
        <v>9.4240048250904707E-2</v>
      </c>
      <c r="W1204" s="17">
        <f t="shared" si="74"/>
        <v>-4.7482014388489212E-3</v>
      </c>
      <c r="X1204" s="15" t="str">
        <f t="shared" si="75"/>
        <v>Média/Pequena</v>
      </c>
      <c r="Y1204" s="121" t="str" cm="1">
        <f t="array" ref="Y1204">_xlfn.IFS(ISNUMBER(W1204)=FALSE,"Sem dado",W1204&gt;0.075,"Excelente",W1204&gt;0.04,"Bom",W1204&gt;0,"Fraco",TRUE,"Prejuízo")</f>
        <v>Prejuízo</v>
      </c>
    </row>
    <row r="1205" spans="1:25" ht="15" customHeight="1" x14ac:dyDescent="0.2">
      <c r="A1205" s="12" t="s">
        <v>2554</v>
      </c>
      <c r="B1205" s="56">
        <v>60717928</v>
      </c>
      <c r="C1205" s="12" t="s">
        <v>2555</v>
      </c>
      <c r="D1205" s="12"/>
      <c r="E1205" s="12" t="s">
        <v>2556</v>
      </c>
      <c r="F1205" s="12" t="s">
        <v>65</v>
      </c>
      <c r="G1205" s="33">
        <v>2</v>
      </c>
      <c r="H1205" s="33">
        <v>43</v>
      </c>
      <c r="I1205" s="12" t="s">
        <v>38</v>
      </c>
      <c r="J1205" s="12" t="s">
        <v>39</v>
      </c>
      <c r="K1205" s="73" t="s">
        <v>29</v>
      </c>
      <c r="L1205" s="13">
        <v>19811</v>
      </c>
      <c r="M1205" s="13">
        <v>0</v>
      </c>
      <c r="N1205" s="13">
        <v>19274</v>
      </c>
      <c r="O1205" s="13">
        <v>897</v>
      </c>
      <c r="P1205" s="13">
        <v>0</v>
      </c>
      <c r="Q1205" s="13">
        <v>18914</v>
      </c>
      <c r="R1205" s="13">
        <v>678</v>
      </c>
      <c r="S1205" s="13">
        <v>2</v>
      </c>
      <c r="T1205" s="13">
        <v>0</v>
      </c>
      <c r="U1205" s="12" t="str">
        <f t="shared" si="72"/>
        <v>Privado Nacional</v>
      </c>
      <c r="V1205" s="14">
        <f t="shared" si="73"/>
        <v>0</v>
      </c>
      <c r="W1205" s="14">
        <f t="shared" si="74"/>
        <v>3.584646293750661E-2</v>
      </c>
      <c r="X1205" s="12" t="str">
        <f t="shared" si="75"/>
        <v>Média/Pequena</v>
      </c>
      <c r="Y1205" s="122" t="str" cm="1">
        <f t="array" ref="Y1205">_xlfn.IFS(ISNUMBER(W1205)=FALSE,"Sem dado",W1205&gt;0.075,"Excelente",W1205&gt;0.04,"Bom",W1205&gt;0,"Fraco",TRUE,"Prejuízo")</f>
        <v>Fraco</v>
      </c>
    </row>
    <row r="1206" spans="1:25" ht="15" customHeight="1" x14ac:dyDescent="0.2">
      <c r="A1206" s="15" t="s">
        <v>2557</v>
      </c>
      <c r="B1206" s="60">
        <v>50053267</v>
      </c>
      <c r="C1206" s="15" t="s">
        <v>459</v>
      </c>
      <c r="D1206" s="15"/>
      <c r="E1206" s="15" t="s">
        <v>460</v>
      </c>
      <c r="F1206" s="15" t="s">
        <v>65</v>
      </c>
      <c r="G1206" s="34">
        <v>3</v>
      </c>
      <c r="H1206" s="34">
        <v>43</v>
      </c>
      <c r="I1206" s="15" t="s">
        <v>38</v>
      </c>
      <c r="J1206" s="15" t="s">
        <v>39</v>
      </c>
      <c r="K1206" s="74" t="s">
        <v>29</v>
      </c>
      <c r="L1206" s="16">
        <v>19773</v>
      </c>
      <c r="M1206" s="16">
        <v>584</v>
      </c>
      <c r="N1206" s="16">
        <v>16007</v>
      </c>
      <c r="O1206" s="16">
        <v>1015</v>
      </c>
      <c r="P1206" s="16">
        <v>0</v>
      </c>
      <c r="Q1206" s="16">
        <v>18758</v>
      </c>
      <c r="R1206" s="16">
        <v>831</v>
      </c>
      <c r="S1206" s="16">
        <v>2</v>
      </c>
      <c r="T1206" s="16">
        <v>0</v>
      </c>
      <c r="U1206" s="15" t="str">
        <f t="shared" si="72"/>
        <v>Privado Estrangeiro</v>
      </c>
      <c r="V1206" s="17">
        <f t="shared" si="73"/>
        <v>2.9535224801496989E-2</v>
      </c>
      <c r="W1206" s="17">
        <f t="shared" si="74"/>
        <v>4.4301098198102143E-2</v>
      </c>
      <c r="X1206" s="15" t="str">
        <f t="shared" si="75"/>
        <v>Média/Pequena</v>
      </c>
      <c r="Y1206" s="121" t="str" cm="1">
        <f t="array" ref="Y1206">_xlfn.IFS(ISNUMBER(W1206)=FALSE,"Sem dado",W1206&gt;0.075,"Excelente",W1206&gt;0.04,"Bom",W1206&gt;0,"Fraco",TRUE,"Prejuízo")</f>
        <v>Bom</v>
      </c>
    </row>
    <row r="1207" spans="1:25" ht="15" customHeight="1" x14ac:dyDescent="0.2">
      <c r="A1207" s="12" t="s">
        <v>2558</v>
      </c>
      <c r="B1207" s="56">
        <v>32422628</v>
      </c>
      <c r="C1207" s="12"/>
      <c r="D1207" s="12"/>
      <c r="E1207" s="12"/>
      <c r="F1207" s="12" t="s">
        <v>265</v>
      </c>
      <c r="G1207" s="33">
        <v>2</v>
      </c>
      <c r="H1207" s="33">
        <v>9</v>
      </c>
      <c r="I1207" s="12" t="s">
        <v>2559</v>
      </c>
      <c r="J1207" s="12" t="s">
        <v>183</v>
      </c>
      <c r="K1207" s="73" t="s">
        <v>29</v>
      </c>
      <c r="L1207" s="13">
        <v>19742</v>
      </c>
      <c r="M1207" s="13">
        <v>5235</v>
      </c>
      <c r="N1207" s="13">
        <v>12764</v>
      </c>
      <c r="O1207" s="13">
        <v>9348</v>
      </c>
      <c r="P1207" s="13">
        <v>7119</v>
      </c>
      <c r="Q1207" s="13">
        <v>10394</v>
      </c>
      <c r="R1207" s="13">
        <v>468</v>
      </c>
      <c r="S1207" s="13">
        <v>0</v>
      </c>
      <c r="T1207" s="13">
        <v>0</v>
      </c>
      <c r="U1207" s="12" t="str">
        <f t="shared" si="72"/>
        <v>Privado Nacional</v>
      </c>
      <c r="V1207" s="14">
        <f t="shared" si="73"/>
        <v>0.26517070205652921</v>
      </c>
      <c r="W1207" s="14">
        <f t="shared" si="74"/>
        <v>4.5025976524918222E-2</v>
      </c>
      <c r="X1207" s="12" t="str">
        <f t="shared" si="75"/>
        <v>Média/Pequena</v>
      </c>
      <c r="Y1207" s="122" t="str" cm="1">
        <f t="array" ref="Y1207">_xlfn.IFS(ISNUMBER(W1207)=FALSE,"Sem dado",W1207&gt;0.075,"Excelente",W1207&gt;0.04,"Bom",W1207&gt;0,"Fraco",TRUE,"Prejuízo")</f>
        <v>Bom</v>
      </c>
    </row>
    <row r="1208" spans="1:25" ht="15" customHeight="1" x14ac:dyDescent="0.2">
      <c r="A1208" s="15" t="s">
        <v>2560</v>
      </c>
      <c r="B1208" s="60">
        <v>1235921</v>
      </c>
      <c r="C1208" s="15"/>
      <c r="D1208" s="15"/>
      <c r="E1208" s="15"/>
      <c r="F1208" s="15" t="s">
        <v>265</v>
      </c>
      <c r="G1208" s="34">
        <v>2</v>
      </c>
      <c r="H1208" s="34">
        <v>9</v>
      </c>
      <c r="I1208" s="15" t="s">
        <v>182</v>
      </c>
      <c r="J1208" s="15" t="s">
        <v>183</v>
      </c>
      <c r="K1208" s="74" t="s">
        <v>29</v>
      </c>
      <c r="L1208" s="16">
        <v>19739</v>
      </c>
      <c r="M1208" s="16">
        <v>12725</v>
      </c>
      <c r="N1208" s="16">
        <v>4115</v>
      </c>
      <c r="O1208" s="16">
        <v>1795</v>
      </c>
      <c r="P1208" s="16">
        <v>0</v>
      </c>
      <c r="Q1208" s="16">
        <v>17945</v>
      </c>
      <c r="R1208" s="16">
        <v>339</v>
      </c>
      <c r="S1208" s="16">
        <v>0</v>
      </c>
      <c r="T1208" s="16">
        <v>1</v>
      </c>
      <c r="U1208" s="15" t="str">
        <f t="shared" si="72"/>
        <v>Privado Nacional</v>
      </c>
      <c r="V1208" s="17">
        <f t="shared" si="73"/>
        <v>0.64466285019504532</v>
      </c>
      <c r="W1208" s="17">
        <f t="shared" si="74"/>
        <v>1.8891056004458066E-2</v>
      </c>
      <c r="X1208" s="15" t="str">
        <f t="shared" si="75"/>
        <v>Média/Pequena</v>
      </c>
      <c r="Y1208" s="121" t="str" cm="1">
        <f t="array" ref="Y1208">_xlfn.IFS(ISNUMBER(W1208)=FALSE,"Sem dado",W1208&gt;0.075,"Excelente",W1208&gt;0.04,"Bom",W1208&gt;0,"Fraco",TRUE,"Prejuízo")</f>
        <v>Fraco</v>
      </c>
    </row>
    <row r="1209" spans="1:25" ht="15" customHeight="1" x14ac:dyDescent="0.2">
      <c r="A1209" s="12" t="s">
        <v>2561</v>
      </c>
      <c r="B1209" s="56">
        <v>48756121</v>
      </c>
      <c r="C1209" s="12" t="s">
        <v>2562</v>
      </c>
      <c r="D1209" s="12"/>
      <c r="E1209" s="12" t="s">
        <v>2563</v>
      </c>
      <c r="F1209" s="12" t="s">
        <v>65</v>
      </c>
      <c r="G1209" s="33">
        <v>2</v>
      </c>
      <c r="H1209" s="33">
        <v>43</v>
      </c>
      <c r="I1209" s="12" t="s">
        <v>38</v>
      </c>
      <c r="J1209" s="12" t="s">
        <v>39</v>
      </c>
      <c r="K1209" s="73" t="s">
        <v>29</v>
      </c>
      <c r="L1209" s="13">
        <v>19558</v>
      </c>
      <c r="M1209" s="13">
        <v>342</v>
      </c>
      <c r="N1209" s="13">
        <v>0</v>
      </c>
      <c r="O1209" s="13">
        <v>3480</v>
      </c>
      <c r="P1209" s="13">
        <v>492</v>
      </c>
      <c r="Q1209" s="13">
        <v>16078</v>
      </c>
      <c r="R1209" s="13">
        <v>4657</v>
      </c>
      <c r="S1209" s="13">
        <v>2</v>
      </c>
      <c r="T1209" s="13">
        <v>0</v>
      </c>
      <c r="U1209" s="12" t="str">
        <f t="shared" si="72"/>
        <v>Privado Nacional</v>
      </c>
      <c r="V1209" s="14">
        <f t="shared" si="73"/>
        <v>1.74864505573167E-2</v>
      </c>
      <c r="W1209" s="14">
        <f t="shared" si="74"/>
        <v>0.28965045403657169</v>
      </c>
      <c r="X1209" s="12" t="str">
        <f t="shared" si="75"/>
        <v>Média/Pequena</v>
      </c>
      <c r="Y1209" s="122" t="str" cm="1">
        <f t="array" ref="Y1209">_xlfn.IFS(ISNUMBER(W1209)=FALSE,"Sem dado",W1209&gt;0.075,"Excelente",W1209&gt;0.04,"Bom",W1209&gt;0,"Fraco",TRUE,"Prejuízo")</f>
        <v>Excelente</v>
      </c>
    </row>
    <row r="1210" spans="1:25" ht="15" customHeight="1" x14ac:dyDescent="0.2">
      <c r="A1210" s="15" t="s">
        <v>2564</v>
      </c>
      <c r="B1210" s="60">
        <v>1582158</v>
      </c>
      <c r="C1210" s="15" t="s">
        <v>2565</v>
      </c>
      <c r="D1210" s="15"/>
      <c r="E1210" s="15" t="s">
        <v>2566</v>
      </c>
      <c r="F1210" s="15" t="s">
        <v>98</v>
      </c>
      <c r="G1210" s="34">
        <v>2</v>
      </c>
      <c r="H1210" s="34">
        <v>16</v>
      </c>
      <c r="I1210" s="15" t="s">
        <v>53</v>
      </c>
      <c r="J1210" s="15" t="s">
        <v>54</v>
      </c>
      <c r="K1210" s="74" t="s">
        <v>29</v>
      </c>
      <c r="L1210" s="16">
        <v>19523</v>
      </c>
      <c r="M1210" s="16">
        <v>0</v>
      </c>
      <c r="N1210" s="16">
        <v>13747</v>
      </c>
      <c r="O1210" s="16">
        <v>3878</v>
      </c>
      <c r="P1210" s="16">
        <v>0</v>
      </c>
      <c r="Q1210" s="16">
        <v>15645</v>
      </c>
      <c r="R1210" s="16">
        <v>1961</v>
      </c>
      <c r="S1210" s="16">
        <v>3</v>
      </c>
      <c r="T1210" s="16">
        <v>0</v>
      </c>
      <c r="U1210" s="15" t="str">
        <f t="shared" si="72"/>
        <v>Privado Nacional</v>
      </c>
      <c r="V1210" s="17">
        <f t="shared" si="73"/>
        <v>0</v>
      </c>
      <c r="W1210" s="17">
        <f t="shared" si="74"/>
        <v>0.12534356024288909</v>
      </c>
      <c r="X1210" s="15" t="str">
        <f t="shared" si="75"/>
        <v>Média/Pequena</v>
      </c>
      <c r="Y1210" s="121" t="str" cm="1">
        <f t="array" ref="Y1210">_xlfn.IFS(ISNUMBER(W1210)=FALSE,"Sem dado",W1210&gt;0.075,"Excelente",W1210&gt;0.04,"Bom",W1210&gt;0,"Fraco",TRUE,"Prejuízo")</f>
        <v>Excelente</v>
      </c>
    </row>
    <row r="1211" spans="1:25" ht="15" customHeight="1" x14ac:dyDescent="0.2">
      <c r="A1211" s="12" t="s">
        <v>2567</v>
      </c>
      <c r="B1211" s="56">
        <v>18310649</v>
      </c>
      <c r="C1211" s="12"/>
      <c r="D1211" s="12"/>
      <c r="E1211" s="12"/>
      <c r="F1211" s="12" t="s">
        <v>265</v>
      </c>
      <c r="G1211" s="33">
        <v>2</v>
      </c>
      <c r="H1211" s="33">
        <v>9</v>
      </c>
      <c r="I1211" s="12" t="s">
        <v>615</v>
      </c>
      <c r="J1211" s="12" t="s">
        <v>120</v>
      </c>
      <c r="K1211" s="73" t="s">
        <v>29</v>
      </c>
      <c r="L1211" s="13">
        <v>19518</v>
      </c>
      <c r="M1211" s="13">
        <v>14400</v>
      </c>
      <c r="N1211" s="13">
        <v>4004</v>
      </c>
      <c r="O1211" s="13">
        <v>1824</v>
      </c>
      <c r="P1211" s="13">
        <v>0</v>
      </c>
      <c r="Q1211" s="13">
        <v>17694</v>
      </c>
      <c r="R1211" s="13">
        <v>902</v>
      </c>
      <c r="S1211" s="13">
        <v>0</v>
      </c>
      <c r="T1211" s="13">
        <v>0</v>
      </c>
      <c r="U1211" s="12" t="str">
        <f t="shared" si="72"/>
        <v>Privado Nacional</v>
      </c>
      <c r="V1211" s="14">
        <f t="shared" si="73"/>
        <v>0.73778051029818625</v>
      </c>
      <c r="W1211" s="14">
        <f t="shared" si="74"/>
        <v>5.0977732564711199E-2</v>
      </c>
      <c r="X1211" s="12" t="str">
        <f t="shared" si="75"/>
        <v>Média/Pequena</v>
      </c>
      <c r="Y1211" s="122" t="str" cm="1">
        <f t="array" ref="Y1211">_xlfn.IFS(ISNUMBER(W1211)=FALSE,"Sem dado",W1211&gt;0.075,"Excelente",W1211&gt;0.04,"Bom",W1211&gt;0,"Fraco",TRUE,"Prejuízo")</f>
        <v>Bom</v>
      </c>
    </row>
    <row r="1212" spans="1:25" ht="15" customHeight="1" x14ac:dyDescent="0.2">
      <c r="A1212" s="15" t="s">
        <v>2568</v>
      </c>
      <c r="B1212" s="60">
        <v>2232228</v>
      </c>
      <c r="C1212" s="15"/>
      <c r="D1212" s="15"/>
      <c r="E1212" s="15"/>
      <c r="F1212" s="15" t="s">
        <v>265</v>
      </c>
      <c r="G1212" s="34">
        <v>2</v>
      </c>
      <c r="H1212" s="34">
        <v>9</v>
      </c>
      <c r="I1212" s="15" t="s">
        <v>38</v>
      </c>
      <c r="J1212" s="15" t="s">
        <v>39</v>
      </c>
      <c r="K1212" s="74" t="s">
        <v>29</v>
      </c>
      <c r="L1212" s="16">
        <v>18914</v>
      </c>
      <c r="M1212" s="16">
        <v>13050</v>
      </c>
      <c r="N1212" s="16">
        <v>5619</v>
      </c>
      <c r="O1212" s="16">
        <v>2395</v>
      </c>
      <c r="P1212" s="16">
        <v>0</v>
      </c>
      <c r="Q1212" s="16">
        <v>16519</v>
      </c>
      <c r="R1212" s="16">
        <v>1198</v>
      </c>
      <c r="S1212" s="16">
        <v>0</v>
      </c>
      <c r="T1212" s="16">
        <v>0</v>
      </c>
      <c r="U1212" s="15" t="str">
        <f t="shared" si="72"/>
        <v>Privado Nacional</v>
      </c>
      <c r="V1212" s="17">
        <f t="shared" si="73"/>
        <v>0.68996510521306964</v>
      </c>
      <c r="W1212" s="17">
        <f t="shared" si="74"/>
        <v>7.2522549791149582E-2</v>
      </c>
      <c r="X1212" s="15" t="str">
        <f t="shared" si="75"/>
        <v>Média/Pequena</v>
      </c>
      <c r="Y1212" s="121" t="str" cm="1">
        <f t="array" ref="Y1212">_xlfn.IFS(ISNUMBER(W1212)=FALSE,"Sem dado",W1212&gt;0.075,"Excelente",W1212&gt;0.04,"Bom",W1212&gt;0,"Fraco",TRUE,"Prejuízo")</f>
        <v>Bom</v>
      </c>
    </row>
    <row r="1213" spans="1:25" ht="15" customHeight="1" x14ac:dyDescent="0.2">
      <c r="A1213" s="12" t="s">
        <v>2569</v>
      </c>
      <c r="B1213" s="56">
        <v>57771416</v>
      </c>
      <c r="C1213" s="12" t="s">
        <v>2570</v>
      </c>
      <c r="D1213" s="12" t="s">
        <v>2571</v>
      </c>
      <c r="E1213" s="12" t="s">
        <v>2571</v>
      </c>
      <c r="F1213" s="12" t="s">
        <v>65</v>
      </c>
      <c r="G1213" s="33">
        <v>2</v>
      </c>
      <c r="H1213" s="33">
        <v>14</v>
      </c>
      <c r="I1213" s="12" t="s">
        <v>38</v>
      </c>
      <c r="J1213" s="12" t="s">
        <v>39</v>
      </c>
      <c r="K1213" s="73" t="s">
        <v>29</v>
      </c>
      <c r="L1213" s="13">
        <v>18784</v>
      </c>
      <c r="M1213" s="13">
        <v>13696</v>
      </c>
      <c r="N1213" s="13">
        <v>4808</v>
      </c>
      <c r="O1213" s="13">
        <v>6367</v>
      </c>
      <c r="P1213" s="13">
        <v>5897</v>
      </c>
      <c r="Q1213" s="13">
        <v>12418</v>
      </c>
      <c r="R1213" s="13">
        <v>361</v>
      </c>
      <c r="S1213" s="13">
        <v>2</v>
      </c>
      <c r="T1213" s="13">
        <v>0</v>
      </c>
      <c r="U1213" s="12" t="str">
        <f t="shared" si="72"/>
        <v>Privado Nacional</v>
      </c>
      <c r="V1213" s="14">
        <f t="shared" si="73"/>
        <v>0.72913117546848383</v>
      </c>
      <c r="W1213" s="14">
        <f t="shared" si="74"/>
        <v>2.9070703817039779E-2</v>
      </c>
      <c r="X1213" s="12" t="str">
        <f t="shared" si="75"/>
        <v>Média/Pequena</v>
      </c>
      <c r="Y1213" s="122" t="str" cm="1">
        <f t="array" ref="Y1213">_xlfn.IFS(ISNUMBER(W1213)=FALSE,"Sem dado",W1213&gt;0.075,"Excelente",W1213&gt;0.04,"Bom",W1213&gt;0,"Fraco",TRUE,"Prejuízo")</f>
        <v>Fraco</v>
      </c>
    </row>
    <row r="1214" spans="1:25" ht="15" customHeight="1" x14ac:dyDescent="0.2">
      <c r="A1214" s="15" t="s">
        <v>2572</v>
      </c>
      <c r="B1214" s="60">
        <v>2115870</v>
      </c>
      <c r="C1214" s="15"/>
      <c r="D1214" s="15"/>
      <c r="E1214" s="15"/>
      <c r="F1214" s="15" t="s">
        <v>265</v>
      </c>
      <c r="G1214" s="34">
        <v>2</v>
      </c>
      <c r="H1214" s="34">
        <v>9</v>
      </c>
      <c r="I1214" s="15" t="s">
        <v>2573</v>
      </c>
      <c r="J1214" s="15" t="s">
        <v>39</v>
      </c>
      <c r="K1214" s="74" t="s">
        <v>29</v>
      </c>
      <c r="L1214" s="16">
        <v>18554</v>
      </c>
      <c r="M1214" s="16">
        <v>13401</v>
      </c>
      <c r="N1214" s="16">
        <v>4017</v>
      </c>
      <c r="O1214" s="16">
        <v>760</v>
      </c>
      <c r="P1214" s="16">
        <v>0</v>
      </c>
      <c r="Q1214" s="16">
        <v>17794</v>
      </c>
      <c r="R1214" s="16">
        <v>1021</v>
      </c>
      <c r="S1214" s="16">
        <v>0</v>
      </c>
      <c r="T1214" s="16">
        <v>0</v>
      </c>
      <c r="U1214" s="15" t="str">
        <f t="shared" si="72"/>
        <v>Privado Nacional</v>
      </c>
      <c r="V1214" s="17">
        <f t="shared" si="73"/>
        <v>0.72227013043009591</v>
      </c>
      <c r="W1214" s="17">
        <f t="shared" si="74"/>
        <v>5.7378891761267842E-2</v>
      </c>
      <c r="X1214" s="15" t="str">
        <f t="shared" si="75"/>
        <v>Média/Pequena</v>
      </c>
      <c r="Y1214" s="121" t="str" cm="1">
        <f t="array" ref="Y1214">_xlfn.IFS(ISNUMBER(W1214)=FALSE,"Sem dado",W1214&gt;0.075,"Excelente",W1214&gt;0.04,"Bom",W1214&gt;0,"Fraco",TRUE,"Prejuízo")</f>
        <v>Bom</v>
      </c>
    </row>
    <row r="1215" spans="1:25" ht="15" customHeight="1" x14ac:dyDescent="0.2">
      <c r="A1215" s="12" t="s">
        <v>2574</v>
      </c>
      <c r="B1215" s="56">
        <v>13673855</v>
      </c>
      <c r="C1215" s="12" t="s">
        <v>2575</v>
      </c>
      <c r="D1215" s="12"/>
      <c r="E1215" s="12" t="s">
        <v>2576</v>
      </c>
      <c r="F1215" s="12" t="s">
        <v>98</v>
      </c>
      <c r="G1215" s="33">
        <v>2</v>
      </c>
      <c r="H1215" s="33">
        <v>16</v>
      </c>
      <c r="I1215" s="12" t="s">
        <v>38</v>
      </c>
      <c r="J1215" s="12" t="s">
        <v>39</v>
      </c>
      <c r="K1215" s="73" t="s">
        <v>29</v>
      </c>
      <c r="L1215" s="13">
        <v>18545</v>
      </c>
      <c r="M1215" s="13">
        <v>0</v>
      </c>
      <c r="N1215" s="13">
        <v>2048</v>
      </c>
      <c r="O1215" s="13">
        <v>9330</v>
      </c>
      <c r="P1215" s="13">
        <v>1217</v>
      </c>
      <c r="Q1215" s="13">
        <v>9215</v>
      </c>
      <c r="R1215" s="13">
        <v>-3275</v>
      </c>
      <c r="S1215" s="13">
        <v>2</v>
      </c>
      <c r="T1215" s="13">
        <v>0</v>
      </c>
      <c r="U1215" s="12" t="str">
        <f t="shared" si="72"/>
        <v>Privado Nacional</v>
      </c>
      <c r="V1215" s="14">
        <f t="shared" si="73"/>
        <v>0</v>
      </c>
      <c r="W1215" s="14">
        <f t="shared" si="74"/>
        <v>-0.35539880629408571</v>
      </c>
      <c r="X1215" s="12" t="str">
        <f t="shared" si="75"/>
        <v>Média/Pequena</v>
      </c>
      <c r="Y1215" s="122" t="str" cm="1">
        <f t="array" ref="Y1215">_xlfn.IFS(ISNUMBER(W1215)=FALSE,"Sem dado",W1215&gt;0.075,"Excelente",W1215&gt;0.04,"Bom",W1215&gt;0,"Fraco",TRUE,"Prejuízo")</f>
        <v>Prejuízo</v>
      </c>
    </row>
    <row r="1216" spans="1:25" ht="15" customHeight="1" x14ac:dyDescent="0.2">
      <c r="A1216" s="15" t="s">
        <v>2577</v>
      </c>
      <c r="B1216" s="60">
        <v>37526080</v>
      </c>
      <c r="C1216" s="15" t="s">
        <v>2578</v>
      </c>
      <c r="D1216" s="15"/>
      <c r="E1216" s="15" t="s">
        <v>2579</v>
      </c>
      <c r="F1216" s="15" t="s">
        <v>65</v>
      </c>
      <c r="G1216" s="34">
        <v>2</v>
      </c>
      <c r="H1216" s="34">
        <v>43</v>
      </c>
      <c r="I1216" s="15" t="s">
        <v>38</v>
      </c>
      <c r="J1216" s="15" t="s">
        <v>39</v>
      </c>
      <c r="K1216" s="74" t="s">
        <v>29</v>
      </c>
      <c r="L1216" s="16">
        <v>18497</v>
      </c>
      <c r="M1216" s="16">
        <v>220</v>
      </c>
      <c r="N1216" s="16">
        <v>10621</v>
      </c>
      <c r="O1216" s="16">
        <v>7553</v>
      </c>
      <c r="P1216" s="16">
        <v>6175</v>
      </c>
      <c r="Q1216" s="16">
        <v>10944</v>
      </c>
      <c r="R1216" s="16">
        <v>712</v>
      </c>
      <c r="S1216" s="16">
        <v>2</v>
      </c>
      <c r="T1216" s="16">
        <v>0</v>
      </c>
      <c r="U1216" s="15" t="str">
        <f t="shared" si="72"/>
        <v>Privado Nacional</v>
      </c>
      <c r="V1216" s="17">
        <f t="shared" si="73"/>
        <v>1.1893820619559929E-2</v>
      </c>
      <c r="W1216" s="17">
        <f t="shared" si="74"/>
        <v>6.5058479532163746E-2</v>
      </c>
      <c r="X1216" s="15" t="str">
        <f t="shared" si="75"/>
        <v>Média/Pequena</v>
      </c>
      <c r="Y1216" s="121" t="str" cm="1">
        <f t="array" ref="Y1216">_xlfn.IFS(ISNUMBER(W1216)=FALSE,"Sem dado",W1216&gt;0.075,"Excelente",W1216&gt;0.04,"Bom",W1216&gt;0,"Fraco",TRUE,"Prejuízo")</f>
        <v>Bom</v>
      </c>
    </row>
    <row r="1217" spans="1:25" ht="15" customHeight="1" x14ac:dyDescent="0.2">
      <c r="A1217" s="12" t="s">
        <v>2580</v>
      </c>
      <c r="B1217" s="56">
        <v>44728700</v>
      </c>
      <c r="C1217" s="12" t="s">
        <v>2581</v>
      </c>
      <c r="D1217" s="12"/>
      <c r="E1217" s="12" t="s">
        <v>2582</v>
      </c>
      <c r="F1217" s="12" t="s">
        <v>65</v>
      </c>
      <c r="G1217" s="33">
        <v>2</v>
      </c>
      <c r="H1217" s="33">
        <v>43</v>
      </c>
      <c r="I1217" s="12" t="s">
        <v>73</v>
      </c>
      <c r="J1217" s="12" t="s">
        <v>74</v>
      </c>
      <c r="K1217" s="73" t="s">
        <v>29</v>
      </c>
      <c r="L1217" s="13">
        <v>18324</v>
      </c>
      <c r="M1217" s="13">
        <v>0</v>
      </c>
      <c r="N1217" s="13">
        <v>124</v>
      </c>
      <c r="O1217" s="13">
        <v>7188</v>
      </c>
      <c r="P1217" s="13">
        <v>5497</v>
      </c>
      <c r="Q1217" s="13">
        <v>11136</v>
      </c>
      <c r="R1217" s="13">
        <v>897</v>
      </c>
      <c r="S1217" s="13">
        <v>2</v>
      </c>
      <c r="T1217" s="13">
        <v>0</v>
      </c>
      <c r="U1217" s="12" t="str">
        <f t="shared" si="72"/>
        <v>Privado Nacional</v>
      </c>
      <c r="V1217" s="14">
        <f t="shared" si="73"/>
        <v>0</v>
      </c>
      <c r="W1217" s="14">
        <f t="shared" si="74"/>
        <v>8.0549568965517238E-2</v>
      </c>
      <c r="X1217" s="12" t="str">
        <f t="shared" si="75"/>
        <v>Média/Pequena</v>
      </c>
      <c r="Y1217" s="122" t="str" cm="1">
        <f t="array" ref="Y1217">_xlfn.IFS(ISNUMBER(W1217)=FALSE,"Sem dado",W1217&gt;0.075,"Excelente",W1217&gt;0.04,"Bom",W1217&gt;0,"Fraco",TRUE,"Prejuízo")</f>
        <v>Excelente</v>
      </c>
    </row>
    <row r="1218" spans="1:25" ht="15" customHeight="1" x14ac:dyDescent="0.2">
      <c r="A1218" s="15" t="s">
        <v>2583</v>
      </c>
      <c r="B1218" s="60">
        <v>2083914</v>
      </c>
      <c r="C1218" s="15"/>
      <c r="D1218" s="15"/>
      <c r="E1218" s="15"/>
      <c r="F1218" s="15" t="s">
        <v>265</v>
      </c>
      <c r="G1218" s="34">
        <v>2</v>
      </c>
      <c r="H1218" s="34">
        <v>9</v>
      </c>
      <c r="I1218" s="15" t="s">
        <v>2546</v>
      </c>
      <c r="J1218" s="15" t="s">
        <v>183</v>
      </c>
      <c r="K1218" s="74" t="s">
        <v>29</v>
      </c>
      <c r="L1218" s="16">
        <v>18255</v>
      </c>
      <c r="M1218" s="16">
        <v>10793</v>
      </c>
      <c r="N1218" s="16">
        <v>7135</v>
      </c>
      <c r="O1218" s="16">
        <v>12929</v>
      </c>
      <c r="P1218" s="16">
        <v>12248</v>
      </c>
      <c r="Q1218" s="16">
        <v>5326</v>
      </c>
      <c r="R1218" s="16">
        <v>79</v>
      </c>
      <c r="S1218" s="16">
        <v>0</v>
      </c>
      <c r="T1218" s="16">
        <v>1</v>
      </c>
      <c r="U1218" s="15" t="str">
        <f t="shared" si="72"/>
        <v>Privado Nacional</v>
      </c>
      <c r="V1218" s="17">
        <f t="shared" si="73"/>
        <v>0.59123527800602571</v>
      </c>
      <c r="W1218" s="17">
        <f t="shared" si="74"/>
        <v>1.4832895230942547E-2</v>
      </c>
      <c r="X1218" s="15" t="str">
        <f t="shared" si="75"/>
        <v>Média/Pequena</v>
      </c>
      <c r="Y1218" s="121" t="str" cm="1">
        <f t="array" ref="Y1218">_xlfn.IFS(ISNUMBER(W1218)=FALSE,"Sem dado",W1218&gt;0.075,"Excelente",W1218&gt;0.04,"Bom",W1218&gt;0,"Fraco",TRUE,"Prejuízo")</f>
        <v>Fraco</v>
      </c>
    </row>
    <row r="1219" spans="1:25" ht="15" customHeight="1" x14ac:dyDescent="0.2">
      <c r="A1219" s="12" t="s">
        <v>2584</v>
      </c>
      <c r="B1219" s="56">
        <v>73302408</v>
      </c>
      <c r="C1219" s="12" t="s">
        <v>2585</v>
      </c>
      <c r="D1219" s="12"/>
      <c r="E1219" s="12" t="s">
        <v>2586</v>
      </c>
      <c r="F1219" s="12" t="s">
        <v>98</v>
      </c>
      <c r="G1219" s="33">
        <v>2</v>
      </c>
      <c r="H1219" s="33">
        <v>21</v>
      </c>
      <c r="I1219" s="12" t="s">
        <v>73</v>
      </c>
      <c r="J1219" s="12" t="s">
        <v>74</v>
      </c>
      <c r="K1219" s="73" t="s">
        <v>29</v>
      </c>
      <c r="L1219" s="13">
        <v>18226</v>
      </c>
      <c r="M1219" s="13">
        <v>0</v>
      </c>
      <c r="N1219" s="13">
        <v>0</v>
      </c>
      <c r="O1219" s="13">
        <v>15827</v>
      </c>
      <c r="P1219" s="13">
        <v>0</v>
      </c>
      <c r="Q1219" s="13">
        <v>2398</v>
      </c>
      <c r="R1219" s="13">
        <v>-142</v>
      </c>
      <c r="S1219" s="13">
        <v>2</v>
      </c>
      <c r="T1219" s="13">
        <v>0</v>
      </c>
      <c r="U1219" s="12" t="str">
        <f t="shared" si="72"/>
        <v>Privado Nacional</v>
      </c>
      <c r="V1219" s="14">
        <f t="shared" si="73"/>
        <v>0</v>
      </c>
      <c r="W1219" s="14">
        <f t="shared" si="74"/>
        <v>-5.9216013344453713E-2</v>
      </c>
      <c r="X1219" s="12" t="str">
        <f t="shared" si="75"/>
        <v>Média/Pequena</v>
      </c>
      <c r="Y1219" s="122" t="str" cm="1">
        <f t="array" ref="Y1219">_xlfn.IFS(ISNUMBER(W1219)=FALSE,"Sem dado",W1219&gt;0.075,"Excelente",W1219&gt;0.04,"Bom",W1219&gt;0,"Fraco",TRUE,"Prejuízo")</f>
        <v>Prejuízo</v>
      </c>
    </row>
    <row r="1220" spans="1:25" ht="15" customHeight="1" x14ac:dyDescent="0.2">
      <c r="A1220" s="15" t="s">
        <v>2587</v>
      </c>
      <c r="B1220" s="60">
        <v>45756448</v>
      </c>
      <c r="C1220" s="15" t="s">
        <v>2588</v>
      </c>
      <c r="D1220" s="15"/>
      <c r="E1220" s="15" t="s">
        <v>2589</v>
      </c>
      <c r="F1220" s="15" t="s">
        <v>65</v>
      </c>
      <c r="G1220" s="34">
        <v>2</v>
      </c>
      <c r="H1220" s="34">
        <v>10</v>
      </c>
      <c r="I1220" s="15" t="s">
        <v>38</v>
      </c>
      <c r="J1220" s="15" t="s">
        <v>39</v>
      </c>
      <c r="K1220" s="74" t="s">
        <v>29</v>
      </c>
      <c r="L1220" s="16">
        <v>18119</v>
      </c>
      <c r="M1220" s="16">
        <v>0</v>
      </c>
      <c r="N1220" s="16">
        <v>13544</v>
      </c>
      <c r="O1220" s="16">
        <v>1579</v>
      </c>
      <c r="P1220" s="16">
        <v>0</v>
      </c>
      <c r="Q1220" s="16">
        <v>16540</v>
      </c>
      <c r="R1220" s="16">
        <v>-809</v>
      </c>
      <c r="S1220" s="16">
        <v>2</v>
      </c>
      <c r="T1220" s="16">
        <v>0</v>
      </c>
      <c r="U1220" s="15" t="str">
        <f t="shared" si="72"/>
        <v>Privado Nacional</v>
      </c>
      <c r="V1220" s="17">
        <f t="shared" si="73"/>
        <v>0</v>
      </c>
      <c r="W1220" s="17">
        <f t="shared" si="74"/>
        <v>-4.8911729141475214E-2</v>
      </c>
      <c r="X1220" s="15" t="str">
        <f t="shared" si="75"/>
        <v>Média/Pequena</v>
      </c>
      <c r="Y1220" s="121" t="str" cm="1">
        <f t="array" ref="Y1220">_xlfn.IFS(ISNUMBER(W1220)=FALSE,"Sem dado",W1220&gt;0.075,"Excelente",W1220&gt;0.04,"Bom",W1220&gt;0,"Fraco",TRUE,"Prejuízo")</f>
        <v>Prejuízo</v>
      </c>
    </row>
    <row r="1221" spans="1:25" ht="15" customHeight="1" x14ac:dyDescent="0.2">
      <c r="A1221" s="12" t="s">
        <v>2590</v>
      </c>
      <c r="B1221" s="56">
        <v>20622809</v>
      </c>
      <c r="C1221" s="12"/>
      <c r="D1221" s="12"/>
      <c r="E1221" s="12"/>
      <c r="F1221" s="12" t="s">
        <v>265</v>
      </c>
      <c r="G1221" s="33">
        <v>2</v>
      </c>
      <c r="H1221" s="33">
        <v>9</v>
      </c>
      <c r="I1221" s="12" t="s">
        <v>119</v>
      </c>
      <c r="J1221" s="12" t="s">
        <v>120</v>
      </c>
      <c r="K1221" s="73" t="s">
        <v>29</v>
      </c>
      <c r="L1221" s="13">
        <v>18081</v>
      </c>
      <c r="M1221" s="13">
        <v>8151</v>
      </c>
      <c r="N1221" s="13">
        <v>9679</v>
      </c>
      <c r="O1221" s="13">
        <v>956</v>
      </c>
      <c r="P1221" s="13">
        <v>0</v>
      </c>
      <c r="Q1221" s="13">
        <v>17125</v>
      </c>
      <c r="R1221" s="13">
        <v>713</v>
      </c>
      <c r="S1221" s="13">
        <v>0</v>
      </c>
      <c r="T1221" s="13">
        <v>0</v>
      </c>
      <c r="U1221" s="12" t="str">
        <f t="shared" ref="U1221:U1284" si="76">IFERROR(CHOOSE(G1221,"Público","Privado Nacional","Privado Estrangeiro"),"n.d.")</f>
        <v>Privado Nacional</v>
      </c>
      <c r="V1221" s="14">
        <f t="shared" ref="V1221:V1284" si="77">IF(AND(ISNUMBER(M1221),ISNUMBER(L1221)),IF(L1221&gt;0,M1221/L1221,"n.d."),"NI")</f>
        <v>0.45080471212875395</v>
      </c>
      <c r="W1221" s="14">
        <f t="shared" ref="W1221:W1284" si="78">IF(AND(ISNUMBER(R1221),ISNUMBER(Q1221)),IF(Q1221&gt;0,R1221/Q1221,"n.d."),"NI")</f>
        <v>4.1635036496350364E-2</v>
      </c>
      <c r="X1221" s="12" t="str">
        <f t="shared" ref="X1221:X1284" si="79">IF(ISNUMBER(L1221),IF(L1221&gt;100000000,"Grande","Média/Pequena"),"Sem dado")</f>
        <v>Média/Pequena</v>
      </c>
      <c r="Y1221" s="122" t="str" cm="1">
        <f t="array" ref="Y1221">_xlfn.IFS(ISNUMBER(W1221)=FALSE,"Sem dado",W1221&gt;0.075,"Excelente",W1221&gt;0.04,"Bom",W1221&gt;0,"Fraco",TRUE,"Prejuízo")</f>
        <v>Bom</v>
      </c>
    </row>
    <row r="1222" spans="1:25" ht="15" customHeight="1" x14ac:dyDescent="0.2">
      <c r="A1222" s="15" t="s">
        <v>2591</v>
      </c>
      <c r="B1222" s="60">
        <v>59620708</v>
      </c>
      <c r="C1222" s="15"/>
      <c r="D1222" s="15"/>
      <c r="E1222" s="15"/>
      <c r="F1222" s="15" t="s">
        <v>265</v>
      </c>
      <c r="G1222" s="34">
        <v>2</v>
      </c>
      <c r="H1222" s="34">
        <v>9</v>
      </c>
      <c r="I1222" s="15" t="s">
        <v>38</v>
      </c>
      <c r="J1222" s="15" t="s">
        <v>39</v>
      </c>
      <c r="K1222" s="74" t="s">
        <v>29</v>
      </c>
      <c r="L1222" s="16">
        <v>18052</v>
      </c>
      <c r="M1222" s="16">
        <v>13763</v>
      </c>
      <c r="N1222" s="16">
        <v>4139</v>
      </c>
      <c r="O1222" s="16">
        <v>242</v>
      </c>
      <c r="P1222" s="16">
        <v>0</v>
      </c>
      <c r="Q1222" s="16">
        <v>17810</v>
      </c>
      <c r="R1222" s="16">
        <v>908</v>
      </c>
      <c r="S1222" s="16">
        <v>0</v>
      </c>
      <c r="T1222" s="16">
        <v>0</v>
      </c>
      <c r="U1222" s="15" t="str">
        <f t="shared" si="76"/>
        <v>Privado Nacional</v>
      </c>
      <c r="V1222" s="17">
        <f t="shared" si="77"/>
        <v>0.76240859738533129</v>
      </c>
      <c r="W1222" s="17">
        <f t="shared" si="78"/>
        <v>5.0982594048287477E-2</v>
      </c>
      <c r="X1222" s="15" t="str">
        <f t="shared" si="79"/>
        <v>Média/Pequena</v>
      </c>
      <c r="Y1222" s="121" t="str" cm="1">
        <f t="array" ref="Y1222">_xlfn.IFS(ISNUMBER(W1222)=FALSE,"Sem dado",W1222&gt;0.075,"Excelente",W1222&gt;0.04,"Bom",W1222&gt;0,"Fraco",TRUE,"Prejuízo")</f>
        <v>Bom</v>
      </c>
    </row>
    <row r="1223" spans="1:25" ht="15" customHeight="1" x14ac:dyDescent="0.2">
      <c r="A1223" s="12" t="s">
        <v>2592</v>
      </c>
      <c r="B1223" s="56">
        <v>53146221</v>
      </c>
      <c r="C1223" s="12" t="s">
        <v>2593</v>
      </c>
      <c r="D1223" s="12"/>
      <c r="E1223" s="12" t="s">
        <v>2594</v>
      </c>
      <c r="F1223" s="12" t="s">
        <v>65</v>
      </c>
      <c r="G1223" s="33">
        <v>2</v>
      </c>
      <c r="H1223" s="33">
        <v>29</v>
      </c>
      <c r="I1223" s="12" t="s">
        <v>1167</v>
      </c>
      <c r="J1223" s="12" t="s">
        <v>39</v>
      </c>
      <c r="K1223" s="73" t="s">
        <v>29</v>
      </c>
      <c r="L1223" s="13">
        <v>18010</v>
      </c>
      <c r="M1223" s="13">
        <v>107</v>
      </c>
      <c r="N1223" s="13">
        <v>7819</v>
      </c>
      <c r="O1223" s="13">
        <v>7796</v>
      </c>
      <c r="P1223" s="13">
        <v>0</v>
      </c>
      <c r="Q1223" s="13">
        <v>10215</v>
      </c>
      <c r="R1223" s="13">
        <v>34</v>
      </c>
      <c r="S1223" s="13">
        <v>2</v>
      </c>
      <c r="T1223" s="13">
        <v>0</v>
      </c>
      <c r="U1223" s="12" t="str">
        <f t="shared" si="76"/>
        <v>Privado Nacional</v>
      </c>
      <c r="V1223" s="14">
        <f t="shared" si="77"/>
        <v>5.9411438089950024E-3</v>
      </c>
      <c r="W1223" s="14">
        <f t="shared" si="78"/>
        <v>3.3284385707293197E-3</v>
      </c>
      <c r="X1223" s="12" t="str">
        <f t="shared" si="79"/>
        <v>Média/Pequena</v>
      </c>
      <c r="Y1223" s="122" t="str" cm="1">
        <f t="array" ref="Y1223">_xlfn.IFS(ISNUMBER(W1223)=FALSE,"Sem dado",W1223&gt;0.075,"Excelente",W1223&gt;0.04,"Bom",W1223&gt;0,"Fraco",TRUE,"Prejuízo")</f>
        <v>Fraco</v>
      </c>
    </row>
    <row r="1224" spans="1:25" ht="15" customHeight="1" x14ac:dyDescent="0.2">
      <c r="A1224" s="15" t="s">
        <v>2595</v>
      </c>
      <c r="B1224" s="60">
        <v>2588819</v>
      </c>
      <c r="C1224" s="15"/>
      <c r="D1224" s="15"/>
      <c r="E1224" s="15"/>
      <c r="F1224" s="15" t="s">
        <v>265</v>
      </c>
      <c r="G1224" s="34">
        <v>2</v>
      </c>
      <c r="H1224" s="34">
        <v>9</v>
      </c>
      <c r="I1224" s="15" t="s">
        <v>119</v>
      </c>
      <c r="J1224" s="15" t="s">
        <v>120</v>
      </c>
      <c r="K1224" s="74" t="s">
        <v>29</v>
      </c>
      <c r="L1224" s="16">
        <v>18010</v>
      </c>
      <c r="M1224" s="16">
        <v>10247</v>
      </c>
      <c r="N1224" s="16">
        <v>7472</v>
      </c>
      <c r="O1224" s="16">
        <v>1900</v>
      </c>
      <c r="P1224" s="16">
        <v>0</v>
      </c>
      <c r="Q1224" s="16">
        <v>16110</v>
      </c>
      <c r="R1224" s="16">
        <v>430</v>
      </c>
      <c r="S1224" s="16">
        <v>0</v>
      </c>
      <c r="T1224" s="16">
        <v>0</v>
      </c>
      <c r="U1224" s="15" t="str">
        <f t="shared" si="76"/>
        <v>Privado Nacional</v>
      </c>
      <c r="V1224" s="17">
        <f t="shared" si="77"/>
        <v>0.56896168795113822</v>
      </c>
      <c r="W1224" s="17">
        <f t="shared" si="78"/>
        <v>2.6691495965238982E-2</v>
      </c>
      <c r="X1224" s="15" t="str">
        <f t="shared" si="79"/>
        <v>Média/Pequena</v>
      </c>
      <c r="Y1224" s="121" t="str" cm="1">
        <f t="array" ref="Y1224">_xlfn.IFS(ISNUMBER(W1224)=FALSE,"Sem dado",W1224&gt;0.075,"Excelente",W1224&gt;0.04,"Bom",W1224&gt;0,"Fraco",TRUE,"Prejuízo")</f>
        <v>Fraco</v>
      </c>
    </row>
    <row r="1225" spans="1:25" ht="15" customHeight="1" x14ac:dyDescent="0.2">
      <c r="A1225" s="12" t="s">
        <v>2596</v>
      </c>
      <c r="B1225" s="56">
        <v>44921281</v>
      </c>
      <c r="C1225" s="12" t="s">
        <v>2597</v>
      </c>
      <c r="D1225" s="12"/>
      <c r="E1225" s="12" t="s">
        <v>2598</v>
      </c>
      <c r="F1225" s="12" t="s">
        <v>65</v>
      </c>
      <c r="G1225" s="33">
        <v>2</v>
      </c>
      <c r="H1225" s="33">
        <v>43</v>
      </c>
      <c r="I1225" s="12" t="s">
        <v>216</v>
      </c>
      <c r="J1225" s="12" t="s">
        <v>217</v>
      </c>
      <c r="K1225" s="73" t="s">
        <v>29</v>
      </c>
      <c r="L1225" s="13">
        <v>17967</v>
      </c>
      <c r="M1225" s="13">
        <v>0</v>
      </c>
      <c r="N1225" s="13">
        <v>8440</v>
      </c>
      <c r="O1225" s="13">
        <v>9233</v>
      </c>
      <c r="P1225" s="13">
        <v>9084</v>
      </c>
      <c r="Q1225" s="13">
        <v>8733</v>
      </c>
      <c r="R1225" s="13">
        <v>484</v>
      </c>
      <c r="S1225" s="13">
        <v>2</v>
      </c>
      <c r="T1225" s="13">
        <v>0</v>
      </c>
      <c r="U1225" s="12" t="str">
        <f t="shared" si="76"/>
        <v>Privado Nacional</v>
      </c>
      <c r="V1225" s="14">
        <f t="shared" si="77"/>
        <v>0</v>
      </c>
      <c r="W1225" s="14">
        <f t="shared" si="78"/>
        <v>5.5421962670330928E-2</v>
      </c>
      <c r="X1225" s="12" t="str">
        <f t="shared" si="79"/>
        <v>Média/Pequena</v>
      </c>
      <c r="Y1225" s="122" t="str" cm="1">
        <f t="array" ref="Y1225">_xlfn.IFS(ISNUMBER(W1225)=FALSE,"Sem dado",W1225&gt;0.075,"Excelente",W1225&gt;0.04,"Bom",W1225&gt;0,"Fraco",TRUE,"Prejuízo")</f>
        <v>Bom</v>
      </c>
    </row>
    <row r="1226" spans="1:25" ht="15" customHeight="1" x14ac:dyDescent="0.2">
      <c r="A1226" s="15" t="s">
        <v>2599</v>
      </c>
      <c r="B1226" s="60">
        <v>63055668</v>
      </c>
      <c r="C1226" s="15" t="s">
        <v>506</v>
      </c>
      <c r="D1226" s="15" t="s">
        <v>507</v>
      </c>
      <c r="E1226" s="15" t="s">
        <v>507</v>
      </c>
      <c r="F1226" s="15" t="s">
        <v>65</v>
      </c>
      <c r="G1226" s="34">
        <v>3</v>
      </c>
      <c r="H1226" s="34">
        <v>14</v>
      </c>
      <c r="I1226" s="15" t="s">
        <v>38</v>
      </c>
      <c r="J1226" s="15" t="s">
        <v>39</v>
      </c>
      <c r="K1226" s="74" t="s">
        <v>29</v>
      </c>
      <c r="L1226" s="16">
        <v>17914</v>
      </c>
      <c r="M1226" s="16">
        <v>0</v>
      </c>
      <c r="N1226" s="16">
        <v>17728</v>
      </c>
      <c r="O1226" s="16">
        <v>172</v>
      </c>
      <c r="P1226" s="16">
        <v>86</v>
      </c>
      <c r="Q1226" s="16">
        <v>17742</v>
      </c>
      <c r="R1226" s="16">
        <v>242</v>
      </c>
      <c r="S1226" s="16">
        <v>2</v>
      </c>
      <c r="T1226" s="16">
        <v>0</v>
      </c>
      <c r="U1226" s="15" t="str">
        <f t="shared" si="76"/>
        <v>Privado Estrangeiro</v>
      </c>
      <c r="V1226" s="17">
        <f t="shared" si="77"/>
        <v>0</v>
      </c>
      <c r="W1226" s="17">
        <f t="shared" si="78"/>
        <v>1.3639950400180362E-2</v>
      </c>
      <c r="X1226" s="15" t="str">
        <f t="shared" si="79"/>
        <v>Média/Pequena</v>
      </c>
      <c r="Y1226" s="121" t="str" cm="1">
        <f t="array" ref="Y1226">_xlfn.IFS(ISNUMBER(W1226)=FALSE,"Sem dado",W1226&gt;0.075,"Excelente",W1226&gt;0.04,"Bom",W1226&gt;0,"Fraco",TRUE,"Prejuízo")</f>
        <v>Fraco</v>
      </c>
    </row>
    <row r="1227" spans="1:25" ht="15" customHeight="1" x14ac:dyDescent="0.2">
      <c r="A1227" s="12" t="s">
        <v>2600</v>
      </c>
      <c r="B1227" s="56">
        <v>35977097</v>
      </c>
      <c r="C1227" s="12" t="s">
        <v>2601</v>
      </c>
      <c r="D1227" s="12"/>
      <c r="E1227" s="12" t="s">
        <v>2602</v>
      </c>
      <c r="F1227" s="12" t="s">
        <v>65</v>
      </c>
      <c r="G1227" s="33">
        <v>2</v>
      </c>
      <c r="H1227" s="33">
        <v>44</v>
      </c>
      <c r="I1227" s="12" t="s">
        <v>38</v>
      </c>
      <c r="J1227" s="12" t="s">
        <v>39</v>
      </c>
      <c r="K1227" s="73" t="s">
        <v>29</v>
      </c>
      <c r="L1227" s="13">
        <v>17901</v>
      </c>
      <c r="M1227" s="13">
        <v>0</v>
      </c>
      <c r="N1227" s="13">
        <v>5753</v>
      </c>
      <c r="O1227" s="13">
        <v>9179</v>
      </c>
      <c r="P1227" s="13">
        <v>3821</v>
      </c>
      <c r="Q1227" s="13">
        <v>8722</v>
      </c>
      <c r="R1227" s="13">
        <v>1002</v>
      </c>
      <c r="S1227" s="13">
        <v>2</v>
      </c>
      <c r="T1227" s="13">
        <v>0</v>
      </c>
      <c r="U1227" s="12" t="str">
        <f t="shared" si="76"/>
        <v>Privado Nacional</v>
      </c>
      <c r="V1227" s="14">
        <f t="shared" si="77"/>
        <v>0</v>
      </c>
      <c r="W1227" s="14">
        <f t="shared" si="78"/>
        <v>0.1148819078193075</v>
      </c>
      <c r="X1227" s="12" t="str">
        <f t="shared" si="79"/>
        <v>Média/Pequena</v>
      </c>
      <c r="Y1227" s="122" t="str" cm="1">
        <f t="array" ref="Y1227">_xlfn.IFS(ISNUMBER(W1227)=FALSE,"Sem dado",W1227&gt;0.075,"Excelente",W1227&gt;0.04,"Bom",W1227&gt;0,"Fraco",TRUE,"Prejuízo")</f>
        <v>Excelente</v>
      </c>
    </row>
    <row r="1228" spans="1:25" ht="15" customHeight="1" x14ac:dyDescent="0.2">
      <c r="A1228" s="15" t="s">
        <v>2603</v>
      </c>
      <c r="B1228" s="60">
        <v>3634239</v>
      </c>
      <c r="C1228" s="15" t="s">
        <v>365</v>
      </c>
      <c r="D1228" s="15" t="s">
        <v>366</v>
      </c>
      <c r="E1228" s="15" t="s">
        <v>367</v>
      </c>
      <c r="F1228" s="15" t="s">
        <v>65</v>
      </c>
      <c r="G1228" s="34">
        <v>3</v>
      </c>
      <c r="H1228" s="34">
        <v>19</v>
      </c>
      <c r="I1228" s="15" t="s">
        <v>38</v>
      </c>
      <c r="J1228" s="15" t="s">
        <v>39</v>
      </c>
      <c r="K1228" s="74" t="s">
        <v>29</v>
      </c>
      <c r="L1228" s="16">
        <v>17685</v>
      </c>
      <c r="M1228" s="16">
        <v>0</v>
      </c>
      <c r="N1228" s="16">
        <v>0</v>
      </c>
      <c r="O1228" s="16">
        <v>344</v>
      </c>
      <c r="P1228" s="16">
        <v>0</v>
      </c>
      <c r="Q1228" s="16">
        <v>17342</v>
      </c>
      <c r="R1228" s="16">
        <v>711</v>
      </c>
      <c r="S1228" s="16">
        <v>2</v>
      </c>
      <c r="T1228" s="16">
        <v>0</v>
      </c>
      <c r="U1228" s="15" t="str">
        <f t="shared" si="76"/>
        <v>Privado Estrangeiro</v>
      </c>
      <c r="V1228" s="17">
        <f t="shared" si="77"/>
        <v>0</v>
      </c>
      <c r="W1228" s="17">
        <f t="shared" si="78"/>
        <v>4.0998731403529005E-2</v>
      </c>
      <c r="X1228" s="15" t="str">
        <f t="shared" si="79"/>
        <v>Média/Pequena</v>
      </c>
      <c r="Y1228" s="121" t="str" cm="1">
        <f t="array" ref="Y1228">_xlfn.IFS(ISNUMBER(W1228)=FALSE,"Sem dado",W1228&gt;0.075,"Excelente",W1228&gt;0.04,"Bom",W1228&gt;0,"Fraco",TRUE,"Prejuízo")</f>
        <v>Bom</v>
      </c>
    </row>
    <row r="1229" spans="1:25" ht="15" customHeight="1" x14ac:dyDescent="0.2">
      <c r="A1229" s="12" t="s">
        <v>2604</v>
      </c>
      <c r="B1229" s="56">
        <v>20833976</v>
      </c>
      <c r="C1229" s="12"/>
      <c r="D1229" s="12"/>
      <c r="E1229" s="12"/>
      <c r="F1229" s="12" t="s">
        <v>265</v>
      </c>
      <c r="G1229" s="33">
        <v>2</v>
      </c>
      <c r="H1229" s="33">
        <v>9</v>
      </c>
      <c r="I1229" s="12" t="s">
        <v>1938</v>
      </c>
      <c r="J1229" s="12" t="s">
        <v>120</v>
      </c>
      <c r="K1229" s="73" t="s">
        <v>29</v>
      </c>
      <c r="L1229" s="13">
        <v>17680</v>
      </c>
      <c r="M1229" s="13">
        <v>13948</v>
      </c>
      <c r="N1229" s="13">
        <v>0</v>
      </c>
      <c r="O1229" s="13">
        <v>820</v>
      </c>
      <c r="P1229" s="13">
        <v>0</v>
      </c>
      <c r="Q1229" s="13">
        <v>16860</v>
      </c>
      <c r="R1229" s="13">
        <v>936</v>
      </c>
      <c r="S1229" s="13">
        <v>0</v>
      </c>
      <c r="T1229" s="13">
        <v>0</v>
      </c>
      <c r="U1229" s="12" t="str">
        <f t="shared" si="76"/>
        <v>Privado Nacional</v>
      </c>
      <c r="V1229" s="14">
        <f t="shared" si="77"/>
        <v>0.78891402714932124</v>
      </c>
      <c r="W1229" s="14">
        <f t="shared" si="78"/>
        <v>5.5516014234875448E-2</v>
      </c>
      <c r="X1229" s="12" t="str">
        <f t="shared" si="79"/>
        <v>Média/Pequena</v>
      </c>
      <c r="Y1229" s="122" t="str" cm="1">
        <f t="array" ref="Y1229">_xlfn.IFS(ISNUMBER(W1229)=FALSE,"Sem dado",W1229&gt;0.075,"Excelente",W1229&gt;0.04,"Bom",W1229&gt;0,"Fraco",TRUE,"Prejuízo")</f>
        <v>Bom</v>
      </c>
    </row>
    <row r="1230" spans="1:25" ht="15" customHeight="1" x14ac:dyDescent="0.2">
      <c r="A1230" s="15" t="s">
        <v>2605</v>
      </c>
      <c r="B1230" s="60">
        <v>50579044</v>
      </c>
      <c r="C1230" s="15" t="s">
        <v>2606</v>
      </c>
      <c r="D1230" s="15"/>
      <c r="E1230" s="15" t="s">
        <v>2607</v>
      </c>
      <c r="F1230" s="15" t="s">
        <v>98</v>
      </c>
      <c r="G1230" s="34">
        <v>2</v>
      </c>
      <c r="H1230" s="34">
        <v>15</v>
      </c>
      <c r="I1230" s="15" t="s">
        <v>38</v>
      </c>
      <c r="J1230" s="15" t="s">
        <v>39</v>
      </c>
      <c r="K1230" s="74" t="s">
        <v>29</v>
      </c>
      <c r="L1230" s="16">
        <v>17667</v>
      </c>
      <c r="M1230" s="16">
        <v>0</v>
      </c>
      <c r="N1230" s="16">
        <v>0</v>
      </c>
      <c r="O1230" s="16">
        <v>13142</v>
      </c>
      <c r="P1230" s="16">
        <v>0</v>
      </c>
      <c r="Q1230" s="16">
        <v>4526</v>
      </c>
      <c r="R1230" s="16">
        <v>1495</v>
      </c>
      <c r="S1230" s="16">
        <v>4</v>
      </c>
      <c r="T1230" s="16">
        <v>0</v>
      </c>
      <c r="U1230" s="15" t="str">
        <f t="shared" si="76"/>
        <v>Privado Nacional</v>
      </c>
      <c r="V1230" s="17">
        <f t="shared" si="77"/>
        <v>0</v>
      </c>
      <c r="W1230" s="17">
        <f t="shared" si="78"/>
        <v>0.33031374281926645</v>
      </c>
      <c r="X1230" s="15" t="str">
        <f t="shared" si="79"/>
        <v>Média/Pequena</v>
      </c>
      <c r="Y1230" s="121" t="str" cm="1">
        <f t="array" ref="Y1230">_xlfn.IFS(ISNUMBER(W1230)=FALSE,"Sem dado",W1230&gt;0.075,"Excelente",W1230&gt;0.04,"Bom",W1230&gt;0,"Fraco",TRUE,"Prejuízo")</f>
        <v>Excelente</v>
      </c>
    </row>
    <row r="1231" spans="1:25" ht="15" customHeight="1" x14ac:dyDescent="0.2">
      <c r="A1231" s="12" t="s">
        <v>2608</v>
      </c>
      <c r="B1231" s="56">
        <v>45860531</v>
      </c>
      <c r="C1231" s="12" t="s">
        <v>2609</v>
      </c>
      <c r="D1231" s="12"/>
      <c r="E1231" s="12" t="s">
        <v>2610</v>
      </c>
      <c r="F1231" s="12" t="s">
        <v>84</v>
      </c>
      <c r="G1231" s="33">
        <v>2</v>
      </c>
      <c r="H1231" s="33">
        <v>41</v>
      </c>
      <c r="I1231" s="12" t="s">
        <v>38</v>
      </c>
      <c r="J1231" s="12" t="s">
        <v>39</v>
      </c>
      <c r="K1231" s="73" t="s">
        <v>29</v>
      </c>
      <c r="L1231" s="13">
        <v>17608</v>
      </c>
      <c r="M1231" s="13">
        <v>0</v>
      </c>
      <c r="N1231" s="13">
        <v>10802</v>
      </c>
      <c r="O1231" s="13">
        <v>9444</v>
      </c>
      <c r="P1231" s="13">
        <v>4393</v>
      </c>
      <c r="Q1231" s="13">
        <v>8164</v>
      </c>
      <c r="R1231" s="13">
        <v>-2802</v>
      </c>
      <c r="S1231" s="13">
        <v>1</v>
      </c>
      <c r="T1231" s="13">
        <v>0</v>
      </c>
      <c r="U1231" s="12" t="str">
        <f t="shared" si="76"/>
        <v>Privado Nacional</v>
      </c>
      <c r="V1231" s="14">
        <f t="shared" si="77"/>
        <v>0</v>
      </c>
      <c r="W1231" s="14">
        <f t="shared" si="78"/>
        <v>-0.34321411073003427</v>
      </c>
      <c r="X1231" s="12" t="str">
        <f t="shared" si="79"/>
        <v>Média/Pequena</v>
      </c>
      <c r="Y1231" s="122" t="str" cm="1">
        <f t="array" ref="Y1231">_xlfn.IFS(ISNUMBER(W1231)=FALSE,"Sem dado",W1231&gt;0.075,"Excelente",W1231&gt;0.04,"Bom",W1231&gt;0,"Fraco",TRUE,"Prejuízo")</f>
        <v>Prejuízo</v>
      </c>
    </row>
    <row r="1232" spans="1:25" ht="15" customHeight="1" x14ac:dyDescent="0.2">
      <c r="A1232" s="15" t="s">
        <v>2611</v>
      </c>
      <c r="B1232" s="60">
        <v>25104230</v>
      </c>
      <c r="C1232" s="15" t="s">
        <v>2612</v>
      </c>
      <c r="D1232" s="15"/>
      <c r="E1232" s="15" t="s">
        <v>2613</v>
      </c>
      <c r="F1232" s="15" t="s">
        <v>84</v>
      </c>
      <c r="G1232" s="34">
        <v>2</v>
      </c>
      <c r="H1232" s="34">
        <v>41</v>
      </c>
      <c r="I1232" s="15" t="s">
        <v>38</v>
      </c>
      <c r="J1232" s="15" t="s">
        <v>39</v>
      </c>
      <c r="K1232" s="74" t="s">
        <v>29</v>
      </c>
      <c r="L1232" s="16">
        <v>17586</v>
      </c>
      <c r="M1232" s="16">
        <v>266</v>
      </c>
      <c r="N1232" s="16">
        <v>0</v>
      </c>
      <c r="O1232" s="16">
        <v>13773</v>
      </c>
      <c r="P1232" s="16">
        <v>4103</v>
      </c>
      <c r="Q1232" s="16">
        <v>3813</v>
      </c>
      <c r="R1232" s="16">
        <v>-2791</v>
      </c>
      <c r="S1232" s="16">
        <v>1</v>
      </c>
      <c r="T1232" s="16">
        <v>0</v>
      </c>
      <c r="U1232" s="15" t="str">
        <f t="shared" si="76"/>
        <v>Privado Nacional</v>
      </c>
      <c r="V1232" s="17">
        <f t="shared" si="77"/>
        <v>1.5125668145115432E-2</v>
      </c>
      <c r="W1232" s="17">
        <f t="shared" si="78"/>
        <v>-0.7319695777602937</v>
      </c>
      <c r="X1232" s="15" t="str">
        <f t="shared" si="79"/>
        <v>Média/Pequena</v>
      </c>
      <c r="Y1232" s="121" t="str" cm="1">
        <f t="array" ref="Y1232">_xlfn.IFS(ISNUMBER(W1232)=FALSE,"Sem dado",W1232&gt;0.075,"Excelente",W1232&gt;0.04,"Bom",W1232&gt;0,"Fraco",TRUE,"Prejuízo")</f>
        <v>Prejuízo</v>
      </c>
    </row>
    <row r="1233" spans="1:25" ht="15" customHeight="1" x14ac:dyDescent="0.2">
      <c r="A1233" s="12" t="s">
        <v>2614</v>
      </c>
      <c r="B1233" s="56">
        <v>37678915</v>
      </c>
      <c r="C1233" s="12" t="s">
        <v>2615</v>
      </c>
      <c r="D1233" s="12"/>
      <c r="E1233" s="12" t="s">
        <v>2616</v>
      </c>
      <c r="F1233" s="12" t="s">
        <v>98</v>
      </c>
      <c r="G1233" s="33">
        <v>2</v>
      </c>
      <c r="H1233" s="33">
        <v>16</v>
      </c>
      <c r="I1233" s="12" t="s">
        <v>38</v>
      </c>
      <c r="J1233" s="12" t="s">
        <v>39</v>
      </c>
      <c r="K1233" s="73" t="s">
        <v>29</v>
      </c>
      <c r="L1233" s="13">
        <v>17513</v>
      </c>
      <c r="M1233" s="13">
        <v>0</v>
      </c>
      <c r="N1233" s="13">
        <v>10</v>
      </c>
      <c r="O1233" s="13">
        <v>13860</v>
      </c>
      <c r="P1233" s="13">
        <v>8795</v>
      </c>
      <c r="Q1233" s="13">
        <v>3652</v>
      </c>
      <c r="R1233" s="13">
        <v>-822</v>
      </c>
      <c r="S1233" s="13">
        <v>2</v>
      </c>
      <c r="T1233" s="13">
        <v>0</v>
      </c>
      <c r="U1233" s="12" t="str">
        <f t="shared" si="76"/>
        <v>Privado Nacional</v>
      </c>
      <c r="V1233" s="14">
        <f t="shared" si="77"/>
        <v>0</v>
      </c>
      <c r="W1233" s="14">
        <f t="shared" si="78"/>
        <v>-0.22508214676889376</v>
      </c>
      <c r="X1233" s="12" t="str">
        <f t="shared" si="79"/>
        <v>Média/Pequena</v>
      </c>
      <c r="Y1233" s="122" t="str" cm="1">
        <f t="array" ref="Y1233">_xlfn.IFS(ISNUMBER(W1233)=FALSE,"Sem dado",W1233&gt;0.075,"Excelente",W1233&gt;0.04,"Bom",W1233&gt;0,"Fraco",TRUE,"Prejuízo")</f>
        <v>Prejuízo</v>
      </c>
    </row>
    <row r="1234" spans="1:25" ht="15" customHeight="1" x14ac:dyDescent="0.2">
      <c r="A1234" s="15" t="s">
        <v>2617</v>
      </c>
      <c r="B1234" s="60">
        <v>30944783</v>
      </c>
      <c r="C1234" s="15" t="s">
        <v>2618</v>
      </c>
      <c r="D1234" s="15"/>
      <c r="E1234" s="15" t="s">
        <v>2619</v>
      </c>
      <c r="F1234" s="15" t="s">
        <v>84</v>
      </c>
      <c r="G1234" s="34">
        <v>2</v>
      </c>
      <c r="H1234" s="34">
        <v>41</v>
      </c>
      <c r="I1234" s="15" t="s">
        <v>388</v>
      </c>
      <c r="J1234" s="15" t="s">
        <v>389</v>
      </c>
      <c r="K1234" s="74" t="s">
        <v>29</v>
      </c>
      <c r="L1234" s="16">
        <v>17490</v>
      </c>
      <c r="M1234" s="16">
        <v>0</v>
      </c>
      <c r="N1234" s="16">
        <v>0</v>
      </c>
      <c r="O1234" s="16">
        <v>11828</v>
      </c>
      <c r="P1234" s="16">
        <v>8429</v>
      </c>
      <c r="Q1234" s="16">
        <v>5662</v>
      </c>
      <c r="R1234" s="16">
        <v>268</v>
      </c>
      <c r="S1234" s="16">
        <v>1</v>
      </c>
      <c r="T1234" s="16">
        <v>0</v>
      </c>
      <c r="U1234" s="15" t="str">
        <f t="shared" si="76"/>
        <v>Privado Nacional</v>
      </c>
      <c r="V1234" s="17">
        <f t="shared" si="77"/>
        <v>0</v>
      </c>
      <c r="W1234" s="17">
        <f t="shared" si="78"/>
        <v>4.7333097845284354E-2</v>
      </c>
      <c r="X1234" s="15" t="str">
        <f t="shared" si="79"/>
        <v>Média/Pequena</v>
      </c>
      <c r="Y1234" s="121" t="str" cm="1">
        <f t="array" ref="Y1234">_xlfn.IFS(ISNUMBER(W1234)=FALSE,"Sem dado",W1234&gt;0.075,"Excelente",W1234&gt;0.04,"Bom",W1234&gt;0,"Fraco",TRUE,"Prejuízo")</f>
        <v>Bom</v>
      </c>
    </row>
    <row r="1235" spans="1:25" ht="15" customHeight="1" x14ac:dyDescent="0.2">
      <c r="A1235" s="12" t="s">
        <v>2620</v>
      </c>
      <c r="B1235" s="56">
        <v>2814832</v>
      </c>
      <c r="C1235" s="12"/>
      <c r="D1235" s="12"/>
      <c r="E1235" s="12"/>
      <c r="F1235" s="12" t="s">
        <v>265</v>
      </c>
      <c r="G1235" s="33">
        <v>2</v>
      </c>
      <c r="H1235" s="33">
        <v>9</v>
      </c>
      <c r="I1235" s="12" t="s">
        <v>38</v>
      </c>
      <c r="J1235" s="12" t="s">
        <v>39</v>
      </c>
      <c r="K1235" s="73" t="s">
        <v>29</v>
      </c>
      <c r="L1235" s="13">
        <v>17467</v>
      </c>
      <c r="M1235" s="13">
        <v>11581</v>
      </c>
      <c r="N1235" s="13">
        <v>5044</v>
      </c>
      <c r="O1235" s="13">
        <v>411</v>
      </c>
      <c r="P1235" s="13">
        <v>0</v>
      </c>
      <c r="Q1235" s="13">
        <v>17056</v>
      </c>
      <c r="R1235" s="13">
        <v>789</v>
      </c>
      <c r="S1235" s="13">
        <v>0</v>
      </c>
      <c r="T1235" s="13">
        <v>0</v>
      </c>
      <c r="U1235" s="12" t="str">
        <f t="shared" si="76"/>
        <v>Privado Nacional</v>
      </c>
      <c r="V1235" s="14">
        <f t="shared" si="77"/>
        <v>0.66302169805919731</v>
      </c>
      <c r="W1235" s="14">
        <f t="shared" si="78"/>
        <v>4.62593808630394E-2</v>
      </c>
      <c r="X1235" s="12" t="str">
        <f t="shared" si="79"/>
        <v>Média/Pequena</v>
      </c>
      <c r="Y1235" s="122" t="str" cm="1">
        <f t="array" ref="Y1235">_xlfn.IFS(ISNUMBER(W1235)=FALSE,"Sem dado",W1235&gt;0.075,"Excelente",W1235&gt;0.04,"Bom",W1235&gt;0,"Fraco",TRUE,"Prejuízo")</f>
        <v>Bom</v>
      </c>
    </row>
    <row r="1236" spans="1:25" ht="15" customHeight="1" x14ac:dyDescent="0.2">
      <c r="A1236" s="15" t="s">
        <v>2621</v>
      </c>
      <c r="B1236" s="60">
        <v>92675578</v>
      </c>
      <c r="C1236" s="15"/>
      <c r="D1236" s="15"/>
      <c r="E1236" s="15"/>
      <c r="F1236" s="15" t="s">
        <v>265</v>
      </c>
      <c r="G1236" s="34">
        <v>2</v>
      </c>
      <c r="H1236" s="34">
        <v>9</v>
      </c>
      <c r="I1236" s="15" t="s">
        <v>73</v>
      </c>
      <c r="J1236" s="15" t="s">
        <v>74</v>
      </c>
      <c r="K1236" s="74" t="s">
        <v>29</v>
      </c>
      <c r="L1236" s="16">
        <v>17381</v>
      </c>
      <c r="M1236" s="16">
        <v>10460</v>
      </c>
      <c r="N1236" s="16">
        <v>0</v>
      </c>
      <c r="O1236" s="16">
        <v>1000</v>
      </c>
      <c r="P1236" s="16">
        <v>0</v>
      </c>
      <c r="Q1236" s="16">
        <v>16381</v>
      </c>
      <c r="R1236" s="16">
        <v>1087</v>
      </c>
      <c r="S1236" s="16">
        <v>0</v>
      </c>
      <c r="T1236" s="16">
        <v>0</v>
      </c>
      <c r="U1236" s="15" t="str">
        <f t="shared" si="76"/>
        <v>Privado Nacional</v>
      </c>
      <c r="V1236" s="17">
        <f t="shared" si="77"/>
        <v>0.60180657039295782</v>
      </c>
      <c r="W1236" s="17">
        <f t="shared" si="78"/>
        <v>6.635736524021732E-2</v>
      </c>
      <c r="X1236" s="15" t="str">
        <f t="shared" si="79"/>
        <v>Média/Pequena</v>
      </c>
      <c r="Y1236" s="121" t="str" cm="1">
        <f t="array" ref="Y1236">_xlfn.IFS(ISNUMBER(W1236)=FALSE,"Sem dado",W1236&gt;0.075,"Excelente",W1236&gt;0.04,"Bom",W1236&gt;0,"Fraco",TRUE,"Prejuízo")</f>
        <v>Bom</v>
      </c>
    </row>
    <row r="1237" spans="1:25" ht="15" customHeight="1" x14ac:dyDescent="0.2">
      <c r="A1237" s="12" t="s">
        <v>2622</v>
      </c>
      <c r="B1237" s="56">
        <v>8030215</v>
      </c>
      <c r="C1237" s="12" t="s">
        <v>167</v>
      </c>
      <c r="D1237" s="12" t="s">
        <v>168</v>
      </c>
      <c r="E1237" s="12" t="s">
        <v>169</v>
      </c>
      <c r="F1237" s="12" t="s">
        <v>98</v>
      </c>
      <c r="G1237" s="33">
        <v>2</v>
      </c>
      <c r="H1237" s="33">
        <v>16</v>
      </c>
      <c r="I1237" s="12" t="s">
        <v>38</v>
      </c>
      <c r="J1237" s="12" t="s">
        <v>39</v>
      </c>
      <c r="K1237" s="73" t="s">
        <v>29</v>
      </c>
      <c r="L1237" s="13">
        <v>17305</v>
      </c>
      <c r="M1237" s="13">
        <v>0</v>
      </c>
      <c r="N1237" s="13">
        <v>0</v>
      </c>
      <c r="O1237" s="13">
        <v>2549</v>
      </c>
      <c r="P1237" s="13">
        <v>0</v>
      </c>
      <c r="Q1237" s="13">
        <v>14756</v>
      </c>
      <c r="R1237" s="13">
        <v>391</v>
      </c>
      <c r="S1237" s="13">
        <v>2</v>
      </c>
      <c r="T1237" s="13">
        <v>0</v>
      </c>
      <c r="U1237" s="12" t="str">
        <f t="shared" si="76"/>
        <v>Privado Nacional</v>
      </c>
      <c r="V1237" s="14">
        <f t="shared" si="77"/>
        <v>0</v>
      </c>
      <c r="W1237" s="14">
        <f t="shared" si="78"/>
        <v>2.6497695852534562E-2</v>
      </c>
      <c r="X1237" s="12" t="str">
        <f t="shared" si="79"/>
        <v>Média/Pequena</v>
      </c>
      <c r="Y1237" s="122" t="str" cm="1">
        <f t="array" ref="Y1237">_xlfn.IFS(ISNUMBER(W1237)=FALSE,"Sem dado",W1237&gt;0.075,"Excelente",W1237&gt;0.04,"Bom",W1237&gt;0,"Fraco",TRUE,"Prejuízo")</f>
        <v>Fraco</v>
      </c>
    </row>
    <row r="1238" spans="1:25" ht="15" customHeight="1" x14ac:dyDescent="0.2">
      <c r="A1238" s="15" t="s">
        <v>2623</v>
      </c>
      <c r="B1238" s="60">
        <v>58513168</v>
      </c>
      <c r="C1238" s="15" t="s">
        <v>1189</v>
      </c>
      <c r="D1238" s="15" t="s">
        <v>1190</v>
      </c>
      <c r="E1238" s="15" t="s">
        <v>1190</v>
      </c>
      <c r="F1238" s="15" t="s">
        <v>65</v>
      </c>
      <c r="G1238" s="34">
        <v>2</v>
      </c>
      <c r="H1238" s="34">
        <v>43</v>
      </c>
      <c r="I1238" s="15" t="s">
        <v>38</v>
      </c>
      <c r="J1238" s="15" t="s">
        <v>39</v>
      </c>
      <c r="K1238" s="74" t="s">
        <v>29</v>
      </c>
      <c r="L1238" s="16">
        <v>17226</v>
      </c>
      <c r="M1238" s="16">
        <v>103</v>
      </c>
      <c r="N1238" s="16">
        <v>11784</v>
      </c>
      <c r="O1238" s="16">
        <v>978</v>
      </c>
      <c r="P1238" s="16">
        <v>0</v>
      </c>
      <c r="Q1238" s="16">
        <v>16248</v>
      </c>
      <c r="R1238" s="16">
        <v>167</v>
      </c>
      <c r="S1238" s="16">
        <v>2</v>
      </c>
      <c r="T1238" s="16">
        <v>0</v>
      </c>
      <c r="U1238" s="15" t="str">
        <f t="shared" si="76"/>
        <v>Privado Nacional</v>
      </c>
      <c r="V1238" s="17">
        <f t="shared" si="77"/>
        <v>5.9793335655404624E-3</v>
      </c>
      <c r="W1238" s="17">
        <f t="shared" si="78"/>
        <v>1.0278188084687346E-2</v>
      </c>
      <c r="X1238" s="15" t="str">
        <f t="shared" si="79"/>
        <v>Média/Pequena</v>
      </c>
      <c r="Y1238" s="121" t="str" cm="1">
        <f t="array" ref="Y1238">_xlfn.IFS(ISNUMBER(W1238)=FALSE,"Sem dado",W1238&gt;0.075,"Excelente",W1238&gt;0.04,"Bom",W1238&gt;0,"Fraco",TRUE,"Prejuízo")</f>
        <v>Fraco</v>
      </c>
    </row>
    <row r="1239" spans="1:25" ht="15" customHeight="1" x14ac:dyDescent="0.2">
      <c r="A1239" s="12" t="s">
        <v>2624</v>
      </c>
      <c r="B1239" s="56">
        <v>21995256</v>
      </c>
      <c r="C1239" s="12" t="s">
        <v>2625</v>
      </c>
      <c r="D1239" s="12"/>
      <c r="E1239" s="12" t="s">
        <v>2626</v>
      </c>
      <c r="F1239" s="12" t="s">
        <v>84</v>
      </c>
      <c r="G1239" s="33">
        <v>2</v>
      </c>
      <c r="H1239" s="33">
        <v>41</v>
      </c>
      <c r="I1239" s="12" t="s">
        <v>53</v>
      </c>
      <c r="J1239" s="12" t="s">
        <v>54</v>
      </c>
      <c r="K1239" s="73" t="s">
        <v>29</v>
      </c>
      <c r="L1239" s="13">
        <v>17138</v>
      </c>
      <c r="M1239" s="13">
        <v>0</v>
      </c>
      <c r="N1239" s="13">
        <v>11213</v>
      </c>
      <c r="O1239" s="13">
        <v>2429</v>
      </c>
      <c r="P1239" s="13">
        <v>1312</v>
      </c>
      <c r="Q1239" s="13">
        <v>14709</v>
      </c>
      <c r="R1239" s="13">
        <v>-889</v>
      </c>
      <c r="S1239" s="13">
        <v>1</v>
      </c>
      <c r="T1239" s="13">
        <v>0</v>
      </c>
      <c r="U1239" s="12" t="str">
        <f t="shared" si="76"/>
        <v>Privado Nacional</v>
      </c>
      <c r="V1239" s="14">
        <f t="shared" si="77"/>
        <v>0</v>
      </c>
      <c r="W1239" s="14">
        <f t="shared" si="78"/>
        <v>-6.0439186892378816E-2</v>
      </c>
      <c r="X1239" s="12" t="str">
        <f t="shared" si="79"/>
        <v>Média/Pequena</v>
      </c>
      <c r="Y1239" s="122" t="str" cm="1">
        <f t="array" ref="Y1239">_xlfn.IFS(ISNUMBER(W1239)=FALSE,"Sem dado",W1239&gt;0.075,"Excelente",W1239&gt;0.04,"Bom",W1239&gt;0,"Fraco",TRUE,"Prejuízo")</f>
        <v>Prejuízo</v>
      </c>
    </row>
    <row r="1240" spans="1:25" ht="15" customHeight="1" x14ac:dyDescent="0.2">
      <c r="A1240" s="15" t="s">
        <v>2627</v>
      </c>
      <c r="B1240" s="60">
        <v>41791005</v>
      </c>
      <c r="C1240" s="15"/>
      <c r="D1240" s="15"/>
      <c r="E1240" s="15"/>
      <c r="F1240" s="15" t="s">
        <v>265</v>
      </c>
      <c r="G1240" s="34">
        <v>2</v>
      </c>
      <c r="H1240" s="34">
        <v>9</v>
      </c>
      <c r="I1240" s="15" t="s">
        <v>2628</v>
      </c>
      <c r="J1240" s="15" t="s">
        <v>120</v>
      </c>
      <c r="K1240" s="74" t="s">
        <v>29</v>
      </c>
      <c r="L1240" s="16">
        <v>17091</v>
      </c>
      <c r="M1240" s="16">
        <v>13263</v>
      </c>
      <c r="N1240" s="16">
        <v>2352</v>
      </c>
      <c r="O1240" s="16">
        <v>3390</v>
      </c>
      <c r="P1240" s="16">
        <v>588</v>
      </c>
      <c r="Q1240" s="16">
        <v>13701</v>
      </c>
      <c r="R1240" s="16">
        <v>670</v>
      </c>
      <c r="S1240" s="16">
        <v>0</v>
      </c>
      <c r="T1240" s="16">
        <v>0</v>
      </c>
      <c r="U1240" s="15" t="str">
        <f t="shared" si="76"/>
        <v>Privado Nacional</v>
      </c>
      <c r="V1240" s="17">
        <f t="shared" si="77"/>
        <v>0.77602246796559593</v>
      </c>
      <c r="W1240" s="17">
        <f t="shared" si="78"/>
        <v>4.8901540033574192E-2</v>
      </c>
      <c r="X1240" s="15" t="str">
        <f t="shared" si="79"/>
        <v>Média/Pequena</v>
      </c>
      <c r="Y1240" s="121" t="str" cm="1">
        <f t="array" ref="Y1240">_xlfn.IFS(ISNUMBER(W1240)=FALSE,"Sem dado",W1240&gt;0.075,"Excelente",W1240&gt;0.04,"Bom",W1240&gt;0,"Fraco",TRUE,"Prejuízo")</f>
        <v>Bom</v>
      </c>
    </row>
    <row r="1241" spans="1:25" ht="15" customHeight="1" x14ac:dyDescent="0.2">
      <c r="A1241" s="12" t="s">
        <v>2629</v>
      </c>
      <c r="B1241" s="56">
        <v>39321657</v>
      </c>
      <c r="C1241" s="12" t="s">
        <v>2630</v>
      </c>
      <c r="D1241" s="12"/>
      <c r="E1241" s="12" t="s">
        <v>2631</v>
      </c>
      <c r="F1241" s="12" t="s">
        <v>84</v>
      </c>
      <c r="G1241" s="33">
        <v>3</v>
      </c>
      <c r="H1241" s="33">
        <v>41</v>
      </c>
      <c r="I1241" s="12" t="s">
        <v>38</v>
      </c>
      <c r="J1241" s="12" t="s">
        <v>39</v>
      </c>
      <c r="K1241" s="73" t="s">
        <v>29</v>
      </c>
      <c r="L1241" s="13">
        <v>17034</v>
      </c>
      <c r="M1241" s="13">
        <v>0</v>
      </c>
      <c r="N1241" s="13">
        <v>3273</v>
      </c>
      <c r="O1241" s="13">
        <v>2833</v>
      </c>
      <c r="P1241" s="13">
        <v>0</v>
      </c>
      <c r="Q1241" s="13">
        <v>14201</v>
      </c>
      <c r="R1241" s="13">
        <v>1401</v>
      </c>
      <c r="S1241" s="13">
        <v>1</v>
      </c>
      <c r="T1241" s="13">
        <v>0</v>
      </c>
      <c r="U1241" s="12" t="str">
        <f t="shared" si="76"/>
        <v>Privado Estrangeiro</v>
      </c>
      <c r="V1241" s="14">
        <f t="shared" si="77"/>
        <v>0</v>
      </c>
      <c r="W1241" s="14">
        <f t="shared" si="78"/>
        <v>9.8655024294063795E-2</v>
      </c>
      <c r="X1241" s="12" t="str">
        <f t="shared" si="79"/>
        <v>Média/Pequena</v>
      </c>
      <c r="Y1241" s="122" t="str" cm="1">
        <f t="array" ref="Y1241">_xlfn.IFS(ISNUMBER(W1241)=FALSE,"Sem dado",W1241&gt;0.075,"Excelente",W1241&gt;0.04,"Bom",W1241&gt;0,"Fraco",TRUE,"Prejuízo")</f>
        <v>Excelente</v>
      </c>
    </row>
    <row r="1242" spans="1:25" ht="15" customHeight="1" x14ac:dyDescent="0.2">
      <c r="A1242" s="15" t="s">
        <v>2632</v>
      </c>
      <c r="B1242" s="60">
        <v>28979546</v>
      </c>
      <c r="C1242" s="15" t="s">
        <v>2633</v>
      </c>
      <c r="D1242" s="15"/>
      <c r="E1242" s="15" t="s">
        <v>2634</v>
      </c>
      <c r="F1242" s="15" t="s">
        <v>84</v>
      </c>
      <c r="G1242" s="34">
        <v>2</v>
      </c>
      <c r="H1242" s="34">
        <v>41</v>
      </c>
      <c r="I1242" s="15" t="s">
        <v>38</v>
      </c>
      <c r="J1242" s="15" t="s">
        <v>39</v>
      </c>
      <c r="K1242" s="74" t="s">
        <v>29</v>
      </c>
      <c r="L1242" s="16">
        <v>17015</v>
      </c>
      <c r="M1242" s="16">
        <v>0</v>
      </c>
      <c r="N1242" s="16">
        <v>8706</v>
      </c>
      <c r="O1242" s="16">
        <v>7110</v>
      </c>
      <c r="P1242" s="16">
        <v>3695</v>
      </c>
      <c r="Q1242" s="16">
        <v>9905</v>
      </c>
      <c r="R1242" s="16">
        <v>438</v>
      </c>
      <c r="S1242" s="16">
        <v>1</v>
      </c>
      <c r="T1242" s="16">
        <v>0</v>
      </c>
      <c r="U1242" s="15" t="str">
        <f t="shared" si="76"/>
        <v>Privado Nacional</v>
      </c>
      <c r="V1242" s="17">
        <f t="shared" si="77"/>
        <v>0</v>
      </c>
      <c r="W1242" s="17">
        <f t="shared" si="78"/>
        <v>4.4220090863200404E-2</v>
      </c>
      <c r="X1242" s="15" t="str">
        <f t="shared" si="79"/>
        <v>Média/Pequena</v>
      </c>
      <c r="Y1242" s="121" t="str" cm="1">
        <f t="array" ref="Y1242">_xlfn.IFS(ISNUMBER(W1242)=FALSE,"Sem dado",W1242&gt;0.075,"Excelente",W1242&gt;0.04,"Bom",W1242&gt;0,"Fraco",TRUE,"Prejuízo")</f>
        <v>Bom</v>
      </c>
    </row>
    <row r="1243" spans="1:25" ht="15" customHeight="1" x14ac:dyDescent="0.2">
      <c r="A1243" s="12" t="s">
        <v>2635</v>
      </c>
      <c r="B1243" s="56">
        <v>4062902</v>
      </c>
      <c r="C1243" s="12" t="s">
        <v>2636</v>
      </c>
      <c r="D1243" s="12"/>
      <c r="E1243" s="12" t="s">
        <v>2637</v>
      </c>
      <c r="F1243" s="12" t="s">
        <v>98</v>
      </c>
      <c r="G1243" s="33">
        <v>2</v>
      </c>
      <c r="H1243" s="33">
        <v>21</v>
      </c>
      <c r="I1243" s="12" t="s">
        <v>38</v>
      </c>
      <c r="J1243" s="12" t="s">
        <v>39</v>
      </c>
      <c r="K1243" s="73" t="s">
        <v>29</v>
      </c>
      <c r="L1243" s="13">
        <v>16963</v>
      </c>
      <c r="M1243" s="13">
        <v>0</v>
      </c>
      <c r="N1243" s="13">
        <v>3</v>
      </c>
      <c r="O1243" s="13">
        <v>11927</v>
      </c>
      <c r="P1243" s="13">
        <v>0</v>
      </c>
      <c r="Q1243" s="13">
        <v>5036</v>
      </c>
      <c r="R1243" s="13">
        <v>851</v>
      </c>
      <c r="S1243" s="13">
        <v>2</v>
      </c>
      <c r="T1243" s="13">
        <v>0</v>
      </c>
      <c r="U1243" s="12" t="str">
        <f t="shared" si="76"/>
        <v>Privado Nacional</v>
      </c>
      <c r="V1243" s="14">
        <f t="shared" si="77"/>
        <v>0</v>
      </c>
      <c r="W1243" s="14">
        <f t="shared" si="78"/>
        <v>0.16898332009531375</v>
      </c>
      <c r="X1243" s="12" t="str">
        <f t="shared" si="79"/>
        <v>Média/Pequena</v>
      </c>
      <c r="Y1243" s="122" t="str" cm="1">
        <f t="array" ref="Y1243">_xlfn.IFS(ISNUMBER(W1243)=FALSE,"Sem dado",W1243&gt;0.075,"Excelente",W1243&gt;0.04,"Bom",W1243&gt;0,"Fraco",TRUE,"Prejuízo")</f>
        <v>Excelente</v>
      </c>
    </row>
    <row r="1244" spans="1:25" ht="15" customHeight="1" x14ac:dyDescent="0.2">
      <c r="A1244" s="15" t="s">
        <v>2638</v>
      </c>
      <c r="B1244" s="60">
        <v>41592532</v>
      </c>
      <c r="C1244" s="15" t="s">
        <v>2570</v>
      </c>
      <c r="D1244" s="15" t="s">
        <v>2571</v>
      </c>
      <c r="E1244" s="15" t="s">
        <v>2571</v>
      </c>
      <c r="F1244" s="15" t="s">
        <v>98</v>
      </c>
      <c r="G1244" s="34">
        <v>2</v>
      </c>
      <c r="H1244" s="34">
        <v>16</v>
      </c>
      <c r="I1244" s="15" t="s">
        <v>38</v>
      </c>
      <c r="J1244" s="15" t="s">
        <v>39</v>
      </c>
      <c r="K1244" s="74" t="s">
        <v>29</v>
      </c>
      <c r="L1244" s="16">
        <v>16681</v>
      </c>
      <c r="M1244" s="16">
        <v>0</v>
      </c>
      <c r="N1244" s="16">
        <v>9452</v>
      </c>
      <c r="O1244" s="16">
        <v>11242</v>
      </c>
      <c r="P1244" s="16">
        <v>6331</v>
      </c>
      <c r="Q1244" s="16">
        <v>5439</v>
      </c>
      <c r="R1244" s="16">
        <v>839</v>
      </c>
      <c r="S1244" s="16">
        <v>2</v>
      </c>
      <c r="T1244" s="16">
        <v>0</v>
      </c>
      <c r="U1244" s="15" t="str">
        <f t="shared" si="76"/>
        <v>Privado Nacional</v>
      </c>
      <c r="V1244" s="17">
        <f t="shared" si="77"/>
        <v>0</v>
      </c>
      <c r="W1244" s="17">
        <f t="shared" si="78"/>
        <v>0.15425629711343997</v>
      </c>
      <c r="X1244" s="15" t="str">
        <f t="shared" si="79"/>
        <v>Média/Pequena</v>
      </c>
      <c r="Y1244" s="121" t="str" cm="1">
        <f t="array" ref="Y1244">_xlfn.IFS(ISNUMBER(W1244)=FALSE,"Sem dado",W1244&gt;0.075,"Excelente",W1244&gt;0.04,"Bom",W1244&gt;0,"Fraco",TRUE,"Prejuízo")</f>
        <v>Excelente</v>
      </c>
    </row>
    <row r="1245" spans="1:25" ht="15" customHeight="1" x14ac:dyDescent="0.2">
      <c r="A1245" s="12" t="s">
        <v>2639</v>
      </c>
      <c r="B1245" s="56">
        <v>92875780</v>
      </c>
      <c r="C1245" s="12" t="s">
        <v>502</v>
      </c>
      <c r="D1245" s="12" t="s">
        <v>503</v>
      </c>
      <c r="E1245" s="12" t="s">
        <v>504</v>
      </c>
      <c r="F1245" s="12" t="s">
        <v>98</v>
      </c>
      <c r="G1245" s="33">
        <v>2</v>
      </c>
      <c r="H1245" s="33">
        <v>15</v>
      </c>
      <c r="I1245" s="12" t="s">
        <v>73</v>
      </c>
      <c r="J1245" s="12" t="s">
        <v>74</v>
      </c>
      <c r="K1245" s="73" t="s">
        <v>29</v>
      </c>
      <c r="L1245" s="13">
        <v>16602</v>
      </c>
      <c r="M1245" s="13">
        <v>0</v>
      </c>
      <c r="N1245" s="13">
        <v>365</v>
      </c>
      <c r="O1245" s="13">
        <v>197</v>
      </c>
      <c r="P1245" s="13">
        <v>0</v>
      </c>
      <c r="Q1245" s="13">
        <v>16404</v>
      </c>
      <c r="R1245" s="13">
        <v>-654</v>
      </c>
      <c r="S1245" s="13">
        <v>2</v>
      </c>
      <c r="T1245" s="13">
        <v>0</v>
      </c>
      <c r="U1245" s="12" t="str">
        <f t="shared" si="76"/>
        <v>Privado Nacional</v>
      </c>
      <c r="V1245" s="14">
        <f t="shared" si="77"/>
        <v>0</v>
      </c>
      <c r="W1245" s="14">
        <f t="shared" si="78"/>
        <v>-3.9868324798829555E-2</v>
      </c>
      <c r="X1245" s="12" t="str">
        <f t="shared" si="79"/>
        <v>Média/Pequena</v>
      </c>
      <c r="Y1245" s="122" t="str" cm="1">
        <f t="array" ref="Y1245">_xlfn.IFS(ISNUMBER(W1245)=FALSE,"Sem dado",W1245&gt;0.075,"Excelente",W1245&gt;0.04,"Bom",W1245&gt;0,"Fraco",TRUE,"Prejuízo")</f>
        <v>Prejuízo</v>
      </c>
    </row>
    <row r="1246" spans="1:25" ht="15" customHeight="1" x14ac:dyDescent="0.2">
      <c r="A1246" s="15" t="s">
        <v>2640</v>
      </c>
      <c r="B1246" s="60">
        <v>2929977</v>
      </c>
      <c r="C1246" s="15" t="s">
        <v>2641</v>
      </c>
      <c r="D1246" s="15"/>
      <c r="E1246" s="15" t="s">
        <v>2642</v>
      </c>
      <c r="F1246" s="15" t="s">
        <v>65</v>
      </c>
      <c r="G1246" s="34">
        <v>1</v>
      </c>
      <c r="H1246" s="34">
        <v>30</v>
      </c>
      <c r="I1246" s="15" t="s">
        <v>2643</v>
      </c>
      <c r="J1246" s="15" t="s">
        <v>2644</v>
      </c>
      <c r="K1246" s="74" t="s">
        <v>29</v>
      </c>
      <c r="L1246" s="16">
        <v>16550</v>
      </c>
      <c r="M1246" s="16">
        <v>11333</v>
      </c>
      <c r="N1246" s="16">
        <v>1172</v>
      </c>
      <c r="O1246" s="16">
        <v>5269</v>
      </c>
      <c r="P1246" s="16">
        <v>3086</v>
      </c>
      <c r="Q1246" s="16">
        <v>11281</v>
      </c>
      <c r="R1246" s="16">
        <v>-596</v>
      </c>
      <c r="S1246" s="16">
        <v>2</v>
      </c>
      <c r="T1246" s="16">
        <v>0</v>
      </c>
      <c r="U1246" s="15" t="str">
        <f t="shared" si="76"/>
        <v>Público</v>
      </c>
      <c r="V1246" s="17">
        <f t="shared" si="77"/>
        <v>0.68477341389728097</v>
      </c>
      <c r="W1246" s="17">
        <f t="shared" si="78"/>
        <v>-5.283219572732914E-2</v>
      </c>
      <c r="X1246" s="15" t="str">
        <f t="shared" si="79"/>
        <v>Média/Pequena</v>
      </c>
      <c r="Y1246" s="121" t="str" cm="1">
        <f t="array" ref="Y1246">_xlfn.IFS(ISNUMBER(W1246)=FALSE,"Sem dado",W1246&gt;0.075,"Excelente",W1246&gt;0.04,"Bom",W1246&gt;0,"Fraco",TRUE,"Prejuízo")</f>
        <v>Prejuízo</v>
      </c>
    </row>
    <row r="1247" spans="1:25" ht="15" customHeight="1" x14ac:dyDescent="0.2">
      <c r="A1247" s="12" t="s">
        <v>2645</v>
      </c>
      <c r="B1247" s="56">
        <v>1288797</v>
      </c>
      <c r="C1247" s="12"/>
      <c r="D1247" s="12"/>
      <c r="E1247" s="12"/>
      <c r="F1247" s="12" t="s">
        <v>265</v>
      </c>
      <c r="G1247" s="33">
        <v>2</v>
      </c>
      <c r="H1247" s="33">
        <v>9</v>
      </c>
      <c r="I1247" s="12" t="s">
        <v>2646</v>
      </c>
      <c r="J1247" s="12" t="s">
        <v>39</v>
      </c>
      <c r="K1247" s="73" t="s">
        <v>29</v>
      </c>
      <c r="L1247" s="13">
        <v>16452</v>
      </c>
      <c r="M1247" s="13">
        <v>10834</v>
      </c>
      <c r="N1247" s="13">
        <v>5617</v>
      </c>
      <c r="O1247" s="13">
        <v>514</v>
      </c>
      <c r="P1247" s="13">
        <v>0</v>
      </c>
      <c r="Q1247" s="13">
        <v>15938</v>
      </c>
      <c r="R1247" s="13">
        <v>660</v>
      </c>
      <c r="S1247" s="13">
        <v>0</v>
      </c>
      <c r="T1247" s="13">
        <v>0</v>
      </c>
      <c r="U1247" s="12" t="str">
        <f t="shared" si="76"/>
        <v>Privado Nacional</v>
      </c>
      <c r="V1247" s="14">
        <f t="shared" si="77"/>
        <v>0.65852176027230735</v>
      </c>
      <c r="W1247" s="14">
        <f t="shared" si="78"/>
        <v>4.1410465554021836E-2</v>
      </c>
      <c r="X1247" s="12" t="str">
        <f t="shared" si="79"/>
        <v>Média/Pequena</v>
      </c>
      <c r="Y1247" s="122" t="str" cm="1">
        <f t="array" ref="Y1247">_xlfn.IFS(ISNUMBER(W1247)=FALSE,"Sem dado",W1247&gt;0.075,"Excelente",W1247&gt;0.04,"Bom",W1247&gt;0,"Fraco",TRUE,"Prejuízo")</f>
        <v>Bom</v>
      </c>
    </row>
    <row r="1248" spans="1:25" ht="15" customHeight="1" x14ac:dyDescent="0.2">
      <c r="A1248" s="15" t="s">
        <v>2647</v>
      </c>
      <c r="B1248" s="60">
        <v>32074986</v>
      </c>
      <c r="C1248" s="15" t="s">
        <v>2648</v>
      </c>
      <c r="D1248" s="15"/>
      <c r="E1248" s="15" t="s">
        <v>2649</v>
      </c>
      <c r="F1248" s="15" t="s">
        <v>84</v>
      </c>
      <c r="G1248" s="34">
        <v>2</v>
      </c>
      <c r="H1248" s="34">
        <v>41</v>
      </c>
      <c r="I1248" s="15" t="s">
        <v>404</v>
      </c>
      <c r="J1248" s="15" t="s">
        <v>401</v>
      </c>
      <c r="K1248" s="74" t="s">
        <v>29</v>
      </c>
      <c r="L1248" s="16">
        <v>16403</v>
      </c>
      <c r="M1248" s="16">
        <v>0</v>
      </c>
      <c r="N1248" s="16">
        <v>4417</v>
      </c>
      <c r="O1248" s="16">
        <v>6164</v>
      </c>
      <c r="P1248" s="16">
        <v>5542</v>
      </c>
      <c r="Q1248" s="16">
        <v>10239</v>
      </c>
      <c r="R1248" s="16">
        <v>2962</v>
      </c>
      <c r="S1248" s="16">
        <v>1</v>
      </c>
      <c r="T1248" s="16">
        <v>0</v>
      </c>
      <c r="U1248" s="15" t="str">
        <f t="shared" si="76"/>
        <v>Privado Nacional</v>
      </c>
      <c r="V1248" s="17">
        <f t="shared" si="77"/>
        <v>0</v>
      </c>
      <c r="W1248" s="17">
        <f t="shared" si="78"/>
        <v>0.28928606309209881</v>
      </c>
      <c r="X1248" s="15" t="str">
        <f t="shared" si="79"/>
        <v>Média/Pequena</v>
      </c>
      <c r="Y1248" s="121" t="str" cm="1">
        <f t="array" ref="Y1248">_xlfn.IFS(ISNUMBER(W1248)=FALSE,"Sem dado",W1248&gt;0.075,"Excelente",W1248&gt;0.04,"Bom",W1248&gt;0,"Fraco",TRUE,"Prejuízo")</f>
        <v>Excelente</v>
      </c>
    </row>
    <row r="1249" spans="1:25" ht="15" customHeight="1" x14ac:dyDescent="0.2">
      <c r="A1249" s="12" t="s">
        <v>2650</v>
      </c>
      <c r="B1249" s="56">
        <v>42066258</v>
      </c>
      <c r="C1249" s="12" t="s">
        <v>2651</v>
      </c>
      <c r="D1249" s="12"/>
      <c r="E1249" s="12" t="s">
        <v>2652</v>
      </c>
      <c r="F1249" s="12" t="s">
        <v>98</v>
      </c>
      <c r="G1249" s="33">
        <v>2</v>
      </c>
      <c r="H1249" s="33">
        <v>15</v>
      </c>
      <c r="I1249" s="12" t="s">
        <v>53</v>
      </c>
      <c r="J1249" s="12" t="s">
        <v>54</v>
      </c>
      <c r="K1249" s="73" t="s">
        <v>29</v>
      </c>
      <c r="L1249" s="13">
        <v>15796</v>
      </c>
      <c r="M1249" s="13">
        <v>0</v>
      </c>
      <c r="N1249" s="13">
        <v>6799</v>
      </c>
      <c r="O1249" s="13">
        <v>3988</v>
      </c>
      <c r="P1249" s="13">
        <v>787</v>
      </c>
      <c r="Q1249" s="13">
        <v>11808</v>
      </c>
      <c r="R1249" s="13">
        <v>371</v>
      </c>
      <c r="S1249" s="13">
        <v>3</v>
      </c>
      <c r="T1249" s="13">
        <v>0</v>
      </c>
      <c r="U1249" s="12" t="str">
        <f t="shared" si="76"/>
        <v>Privado Nacional</v>
      </c>
      <c r="V1249" s="14">
        <f t="shared" si="77"/>
        <v>0</v>
      </c>
      <c r="W1249" s="14">
        <f t="shared" si="78"/>
        <v>3.1419376693766939E-2</v>
      </c>
      <c r="X1249" s="12" t="str">
        <f t="shared" si="79"/>
        <v>Média/Pequena</v>
      </c>
      <c r="Y1249" s="122" t="str" cm="1">
        <f t="array" ref="Y1249">_xlfn.IFS(ISNUMBER(W1249)=FALSE,"Sem dado",W1249&gt;0.075,"Excelente",W1249&gt;0.04,"Bom",W1249&gt;0,"Fraco",TRUE,"Prejuízo")</f>
        <v>Fraco</v>
      </c>
    </row>
    <row r="1250" spans="1:25" ht="15" customHeight="1" x14ac:dyDescent="0.2">
      <c r="A1250" s="15" t="s">
        <v>2653</v>
      </c>
      <c r="B1250" s="60">
        <v>42107706</v>
      </c>
      <c r="C1250" s="15"/>
      <c r="D1250" s="15"/>
      <c r="E1250" s="15"/>
      <c r="F1250" s="15" t="s">
        <v>265</v>
      </c>
      <c r="G1250" s="34">
        <v>2</v>
      </c>
      <c r="H1250" s="34">
        <v>9</v>
      </c>
      <c r="I1250" s="15" t="s">
        <v>53</v>
      </c>
      <c r="J1250" s="15" t="s">
        <v>54</v>
      </c>
      <c r="K1250" s="74" t="s">
        <v>29</v>
      </c>
      <c r="L1250" s="16">
        <v>15745</v>
      </c>
      <c r="M1250" s="16">
        <v>10943</v>
      </c>
      <c r="N1250" s="16">
        <v>1872</v>
      </c>
      <c r="O1250" s="16">
        <v>1013</v>
      </c>
      <c r="P1250" s="16">
        <v>0</v>
      </c>
      <c r="Q1250" s="16">
        <v>14732</v>
      </c>
      <c r="R1250" s="16">
        <v>1010</v>
      </c>
      <c r="S1250" s="16">
        <v>0</v>
      </c>
      <c r="T1250" s="16">
        <v>0</v>
      </c>
      <c r="U1250" s="15" t="str">
        <f t="shared" si="76"/>
        <v>Privado Nacional</v>
      </c>
      <c r="V1250" s="17">
        <f t="shared" si="77"/>
        <v>0.69501429025087325</v>
      </c>
      <c r="W1250" s="17">
        <f t="shared" si="78"/>
        <v>6.8558240564756998E-2</v>
      </c>
      <c r="X1250" s="15" t="str">
        <f t="shared" si="79"/>
        <v>Média/Pequena</v>
      </c>
      <c r="Y1250" s="121" t="str" cm="1">
        <f t="array" ref="Y1250">_xlfn.IFS(ISNUMBER(W1250)=FALSE,"Sem dado",W1250&gt;0.075,"Excelente",W1250&gt;0.04,"Bom",W1250&gt;0,"Fraco",TRUE,"Prejuízo")</f>
        <v>Bom</v>
      </c>
    </row>
    <row r="1251" spans="1:25" ht="15" customHeight="1" x14ac:dyDescent="0.2">
      <c r="A1251" s="12" t="s">
        <v>2654</v>
      </c>
      <c r="B1251" s="56">
        <v>33851064</v>
      </c>
      <c r="C1251" s="12" t="s">
        <v>2655</v>
      </c>
      <c r="D1251" s="12"/>
      <c r="E1251" s="12" t="s">
        <v>2656</v>
      </c>
      <c r="F1251" s="12" t="s">
        <v>98</v>
      </c>
      <c r="G1251" s="33">
        <v>2</v>
      </c>
      <c r="H1251" s="33">
        <v>16</v>
      </c>
      <c r="I1251" s="12" t="s">
        <v>53</v>
      </c>
      <c r="J1251" s="12" t="s">
        <v>54</v>
      </c>
      <c r="K1251" s="73" t="s">
        <v>29</v>
      </c>
      <c r="L1251" s="13">
        <v>15666</v>
      </c>
      <c r="M1251" s="13">
        <v>0</v>
      </c>
      <c r="N1251" s="13">
        <v>6796</v>
      </c>
      <c r="O1251" s="13">
        <v>7317</v>
      </c>
      <c r="P1251" s="13">
        <v>2581</v>
      </c>
      <c r="Q1251" s="13">
        <v>8349</v>
      </c>
      <c r="R1251" s="13">
        <v>-84</v>
      </c>
      <c r="S1251" s="13">
        <v>3</v>
      </c>
      <c r="T1251" s="13">
        <v>0</v>
      </c>
      <c r="U1251" s="12" t="str">
        <f t="shared" si="76"/>
        <v>Privado Nacional</v>
      </c>
      <c r="V1251" s="14">
        <f t="shared" si="77"/>
        <v>0</v>
      </c>
      <c r="W1251" s="14">
        <f t="shared" si="78"/>
        <v>-1.006108515989939E-2</v>
      </c>
      <c r="X1251" s="12" t="str">
        <f t="shared" si="79"/>
        <v>Média/Pequena</v>
      </c>
      <c r="Y1251" s="122" t="str" cm="1">
        <f t="array" ref="Y1251">_xlfn.IFS(ISNUMBER(W1251)=FALSE,"Sem dado",W1251&gt;0.075,"Excelente",W1251&gt;0.04,"Bom",W1251&gt;0,"Fraco",TRUE,"Prejuízo")</f>
        <v>Prejuízo</v>
      </c>
    </row>
    <row r="1252" spans="1:25" ht="15" customHeight="1" x14ac:dyDescent="0.2">
      <c r="A1252" s="15" t="s">
        <v>2657</v>
      </c>
      <c r="B1252" s="60">
        <v>5097757</v>
      </c>
      <c r="C1252" s="15"/>
      <c r="D1252" s="15"/>
      <c r="E1252" s="15"/>
      <c r="F1252" s="15" t="s">
        <v>265</v>
      </c>
      <c r="G1252" s="34">
        <v>2</v>
      </c>
      <c r="H1252" s="34">
        <v>9</v>
      </c>
      <c r="I1252" s="15" t="s">
        <v>228</v>
      </c>
      <c r="J1252" s="15" t="s">
        <v>229</v>
      </c>
      <c r="K1252" s="74" t="s">
        <v>29</v>
      </c>
      <c r="L1252" s="16">
        <v>15577</v>
      </c>
      <c r="M1252" s="16">
        <v>12698</v>
      </c>
      <c r="N1252" s="16">
        <v>236</v>
      </c>
      <c r="O1252" s="16">
        <v>8616</v>
      </c>
      <c r="P1252" s="16">
        <v>8351</v>
      </c>
      <c r="Q1252" s="16">
        <v>6962</v>
      </c>
      <c r="R1252" s="16">
        <v>-646</v>
      </c>
      <c r="S1252" s="16">
        <v>0</v>
      </c>
      <c r="T1252" s="16">
        <v>1</v>
      </c>
      <c r="U1252" s="15" t="str">
        <f t="shared" si="76"/>
        <v>Privado Nacional</v>
      </c>
      <c r="V1252" s="17">
        <f t="shared" si="77"/>
        <v>0.8151762213519933</v>
      </c>
      <c r="W1252" s="17">
        <f t="shared" si="78"/>
        <v>-9.2789428325193907E-2</v>
      </c>
      <c r="X1252" s="15" t="str">
        <f t="shared" si="79"/>
        <v>Média/Pequena</v>
      </c>
      <c r="Y1252" s="121" t="str" cm="1">
        <f t="array" ref="Y1252">_xlfn.IFS(ISNUMBER(W1252)=FALSE,"Sem dado",W1252&gt;0.075,"Excelente",W1252&gt;0.04,"Bom",W1252&gt;0,"Fraco",TRUE,"Prejuízo")</f>
        <v>Prejuízo</v>
      </c>
    </row>
    <row r="1253" spans="1:25" ht="15" customHeight="1" x14ac:dyDescent="0.2">
      <c r="A1253" s="12" t="s">
        <v>2658</v>
      </c>
      <c r="B1253" s="56">
        <v>58330558</v>
      </c>
      <c r="C1253" s="12" t="s">
        <v>67</v>
      </c>
      <c r="D1253" s="12" t="s">
        <v>68</v>
      </c>
      <c r="E1253" s="12" t="s">
        <v>69</v>
      </c>
      <c r="F1253" s="12" t="s">
        <v>65</v>
      </c>
      <c r="G1253" s="33">
        <v>2</v>
      </c>
      <c r="H1253" s="33">
        <v>43</v>
      </c>
      <c r="I1253" s="12" t="s">
        <v>38</v>
      </c>
      <c r="J1253" s="12" t="s">
        <v>39</v>
      </c>
      <c r="K1253" s="73" t="s">
        <v>29</v>
      </c>
      <c r="L1253" s="13">
        <v>15533</v>
      </c>
      <c r="M1253" s="13">
        <v>0</v>
      </c>
      <c r="N1253" s="13">
        <v>15533</v>
      </c>
      <c r="O1253" s="13">
        <v>68</v>
      </c>
      <c r="P1253" s="13">
        <v>0</v>
      </c>
      <c r="Q1253" s="13">
        <v>15465</v>
      </c>
      <c r="R1253" s="13">
        <v>463</v>
      </c>
      <c r="S1253" s="13">
        <v>2</v>
      </c>
      <c r="T1253" s="13">
        <v>0</v>
      </c>
      <c r="U1253" s="12" t="str">
        <f t="shared" si="76"/>
        <v>Privado Nacional</v>
      </c>
      <c r="V1253" s="14">
        <f t="shared" si="77"/>
        <v>0</v>
      </c>
      <c r="W1253" s="14">
        <f t="shared" si="78"/>
        <v>2.9938570966698996E-2</v>
      </c>
      <c r="X1253" s="12" t="str">
        <f t="shared" si="79"/>
        <v>Média/Pequena</v>
      </c>
      <c r="Y1253" s="122" t="str" cm="1">
        <f t="array" ref="Y1253">_xlfn.IFS(ISNUMBER(W1253)=FALSE,"Sem dado",W1253&gt;0.075,"Excelente",W1253&gt;0.04,"Bom",W1253&gt;0,"Fraco",TRUE,"Prejuízo")</f>
        <v>Fraco</v>
      </c>
    </row>
    <row r="1254" spans="1:25" ht="15" customHeight="1" x14ac:dyDescent="0.2">
      <c r="A1254" s="15" t="s">
        <v>2659</v>
      </c>
      <c r="B1254" s="60">
        <v>73631483</v>
      </c>
      <c r="C1254" s="15"/>
      <c r="D1254" s="15"/>
      <c r="E1254" s="15"/>
      <c r="F1254" s="15" t="s">
        <v>265</v>
      </c>
      <c r="G1254" s="34">
        <v>2</v>
      </c>
      <c r="H1254" s="34">
        <v>9</v>
      </c>
      <c r="I1254" s="15" t="s">
        <v>2660</v>
      </c>
      <c r="J1254" s="15" t="s">
        <v>54</v>
      </c>
      <c r="K1254" s="74" t="s">
        <v>29</v>
      </c>
      <c r="L1254" s="16">
        <v>15334</v>
      </c>
      <c r="M1254" s="16">
        <v>6390</v>
      </c>
      <c r="N1254" s="16">
        <v>6519</v>
      </c>
      <c r="O1254" s="16">
        <v>1135</v>
      </c>
      <c r="P1254" s="16">
        <v>0</v>
      </c>
      <c r="Q1254" s="16">
        <v>14199</v>
      </c>
      <c r="R1254" s="16">
        <v>636</v>
      </c>
      <c r="S1254" s="16">
        <v>0</v>
      </c>
      <c r="T1254" s="16">
        <v>0</v>
      </c>
      <c r="U1254" s="15" t="str">
        <f t="shared" si="76"/>
        <v>Privado Nacional</v>
      </c>
      <c r="V1254" s="17">
        <f t="shared" si="77"/>
        <v>0.41672101212990742</v>
      </c>
      <c r="W1254" s="17">
        <f t="shared" si="78"/>
        <v>4.479188675258821E-2</v>
      </c>
      <c r="X1254" s="15" t="str">
        <f t="shared" si="79"/>
        <v>Média/Pequena</v>
      </c>
      <c r="Y1254" s="121" t="str" cm="1">
        <f t="array" ref="Y1254">_xlfn.IFS(ISNUMBER(W1254)=FALSE,"Sem dado",W1254&gt;0.075,"Excelente",W1254&gt;0.04,"Bom",W1254&gt;0,"Fraco",TRUE,"Prejuízo")</f>
        <v>Bom</v>
      </c>
    </row>
    <row r="1255" spans="1:25" ht="15" customHeight="1" x14ac:dyDescent="0.2">
      <c r="A1255" s="12" t="s">
        <v>2661</v>
      </c>
      <c r="B1255" s="56">
        <v>32708748</v>
      </c>
      <c r="C1255" s="12" t="s">
        <v>2662</v>
      </c>
      <c r="D1255" s="12"/>
      <c r="E1255" s="12" t="s">
        <v>2663</v>
      </c>
      <c r="F1255" s="12" t="s">
        <v>84</v>
      </c>
      <c r="G1255" s="33">
        <v>2</v>
      </c>
      <c r="H1255" s="33">
        <v>41</v>
      </c>
      <c r="I1255" s="12" t="s">
        <v>228</v>
      </c>
      <c r="J1255" s="12" t="s">
        <v>229</v>
      </c>
      <c r="K1255" s="73" t="s">
        <v>29</v>
      </c>
      <c r="L1255" s="13">
        <v>15105</v>
      </c>
      <c r="M1255" s="13">
        <v>0</v>
      </c>
      <c r="N1255" s="13">
        <v>7</v>
      </c>
      <c r="O1255" s="13">
        <v>14520</v>
      </c>
      <c r="P1255" s="13">
        <v>9676</v>
      </c>
      <c r="Q1255" s="13">
        <v>585</v>
      </c>
      <c r="R1255" s="13">
        <v>-2213</v>
      </c>
      <c r="S1255" s="13">
        <v>1</v>
      </c>
      <c r="T1255" s="13">
        <v>0</v>
      </c>
      <c r="U1255" s="12" t="str">
        <f t="shared" si="76"/>
        <v>Privado Nacional</v>
      </c>
      <c r="V1255" s="14">
        <f t="shared" si="77"/>
        <v>0</v>
      </c>
      <c r="W1255" s="14">
        <f t="shared" si="78"/>
        <v>-3.7829059829059828</v>
      </c>
      <c r="X1255" s="12" t="str">
        <f t="shared" si="79"/>
        <v>Média/Pequena</v>
      </c>
      <c r="Y1255" s="122" t="str" cm="1">
        <f t="array" ref="Y1255">_xlfn.IFS(ISNUMBER(W1255)=FALSE,"Sem dado",W1255&gt;0.075,"Excelente",W1255&gt;0.04,"Bom",W1255&gt;0,"Fraco",TRUE,"Prejuízo")</f>
        <v>Prejuízo</v>
      </c>
    </row>
    <row r="1256" spans="1:25" ht="15" customHeight="1" x14ac:dyDescent="0.2">
      <c r="A1256" s="15" t="s">
        <v>2664</v>
      </c>
      <c r="B1256" s="60">
        <v>16564240</v>
      </c>
      <c r="C1256" s="15"/>
      <c r="D1256" s="15"/>
      <c r="E1256" s="15"/>
      <c r="F1256" s="15" t="s">
        <v>265</v>
      </c>
      <c r="G1256" s="34">
        <v>2</v>
      </c>
      <c r="H1256" s="34">
        <v>9</v>
      </c>
      <c r="I1256" s="15" t="s">
        <v>38</v>
      </c>
      <c r="J1256" s="15" t="s">
        <v>39</v>
      </c>
      <c r="K1256" s="74" t="s">
        <v>29</v>
      </c>
      <c r="L1256" s="16">
        <v>14973</v>
      </c>
      <c r="M1256" s="16">
        <v>9692</v>
      </c>
      <c r="N1256" s="16">
        <v>4854</v>
      </c>
      <c r="O1256" s="16">
        <v>13456</v>
      </c>
      <c r="P1256" s="16">
        <v>13208</v>
      </c>
      <c r="Q1256" s="16">
        <v>1516</v>
      </c>
      <c r="R1256" s="16">
        <v>-565</v>
      </c>
      <c r="S1256" s="16">
        <v>0</v>
      </c>
      <c r="T1256" s="16">
        <v>15</v>
      </c>
      <c r="U1256" s="15" t="str">
        <f t="shared" si="76"/>
        <v>Privado Nacional</v>
      </c>
      <c r="V1256" s="17">
        <f t="shared" si="77"/>
        <v>0.64729847058037804</v>
      </c>
      <c r="W1256" s="17">
        <f t="shared" si="78"/>
        <v>-0.37269129287598945</v>
      </c>
      <c r="X1256" s="15" t="str">
        <f t="shared" si="79"/>
        <v>Média/Pequena</v>
      </c>
      <c r="Y1256" s="121" t="str" cm="1">
        <f t="array" ref="Y1256">_xlfn.IFS(ISNUMBER(W1256)=FALSE,"Sem dado",W1256&gt;0.075,"Excelente",W1256&gt;0.04,"Bom",W1256&gt;0,"Fraco",TRUE,"Prejuízo")</f>
        <v>Prejuízo</v>
      </c>
    </row>
    <row r="1257" spans="1:25" ht="15" customHeight="1" x14ac:dyDescent="0.2">
      <c r="A1257" s="12" t="s">
        <v>2665</v>
      </c>
      <c r="B1257" s="56">
        <v>57545436</v>
      </c>
      <c r="C1257" s="12"/>
      <c r="D1257" s="12"/>
      <c r="E1257" s="12"/>
      <c r="F1257" s="12" t="s">
        <v>265</v>
      </c>
      <c r="G1257" s="33">
        <v>2</v>
      </c>
      <c r="H1257" s="33">
        <v>9</v>
      </c>
      <c r="I1257" s="12" t="s">
        <v>1846</v>
      </c>
      <c r="J1257" s="12" t="s">
        <v>39</v>
      </c>
      <c r="K1257" s="73" t="s">
        <v>29</v>
      </c>
      <c r="L1257" s="13">
        <v>14929</v>
      </c>
      <c r="M1257" s="13">
        <v>8375</v>
      </c>
      <c r="N1257" s="13">
        <v>5880</v>
      </c>
      <c r="O1257" s="13">
        <v>1266</v>
      </c>
      <c r="P1257" s="13">
        <v>0</v>
      </c>
      <c r="Q1257" s="13">
        <v>13663</v>
      </c>
      <c r="R1257" s="13">
        <v>280</v>
      </c>
      <c r="S1257" s="13">
        <v>0</v>
      </c>
      <c r="T1257" s="13">
        <v>0</v>
      </c>
      <c r="U1257" s="12" t="str">
        <f t="shared" si="76"/>
        <v>Privado Nacional</v>
      </c>
      <c r="V1257" s="14">
        <f t="shared" si="77"/>
        <v>0.56098867975082056</v>
      </c>
      <c r="W1257" s="14">
        <f t="shared" si="78"/>
        <v>2.0493303081314498E-2</v>
      </c>
      <c r="X1257" s="12" t="str">
        <f t="shared" si="79"/>
        <v>Média/Pequena</v>
      </c>
      <c r="Y1257" s="122" t="str" cm="1">
        <f t="array" ref="Y1257">_xlfn.IFS(ISNUMBER(W1257)=FALSE,"Sem dado",W1257&gt;0.075,"Excelente",W1257&gt;0.04,"Bom",W1257&gt;0,"Fraco",TRUE,"Prejuízo")</f>
        <v>Fraco</v>
      </c>
    </row>
    <row r="1258" spans="1:25" ht="15" customHeight="1" x14ac:dyDescent="0.2">
      <c r="A1258" s="15" t="s">
        <v>2666</v>
      </c>
      <c r="B1258" s="60">
        <v>72600026</v>
      </c>
      <c r="C1258" s="15" t="s">
        <v>2667</v>
      </c>
      <c r="D1258" s="15"/>
      <c r="E1258" s="15" t="s">
        <v>2668</v>
      </c>
      <c r="F1258" s="15" t="s">
        <v>98</v>
      </c>
      <c r="G1258" s="34">
        <v>3</v>
      </c>
      <c r="H1258" s="34">
        <v>16</v>
      </c>
      <c r="I1258" s="15" t="s">
        <v>38</v>
      </c>
      <c r="J1258" s="15" t="s">
        <v>39</v>
      </c>
      <c r="K1258" s="74" t="s">
        <v>29</v>
      </c>
      <c r="L1258" s="16">
        <v>14731</v>
      </c>
      <c r="M1258" s="16">
        <v>0</v>
      </c>
      <c r="N1258" s="16">
        <v>6442</v>
      </c>
      <c r="O1258" s="16">
        <v>7420</v>
      </c>
      <c r="P1258" s="16">
        <v>2843</v>
      </c>
      <c r="Q1258" s="16">
        <v>7311</v>
      </c>
      <c r="R1258" s="16">
        <v>-857</v>
      </c>
      <c r="S1258" s="16">
        <v>2</v>
      </c>
      <c r="T1258" s="16">
        <v>0</v>
      </c>
      <c r="U1258" s="15" t="str">
        <f t="shared" si="76"/>
        <v>Privado Estrangeiro</v>
      </c>
      <c r="V1258" s="17">
        <f t="shared" si="77"/>
        <v>0</v>
      </c>
      <c r="W1258" s="17">
        <f t="shared" si="78"/>
        <v>-0.11722062645328957</v>
      </c>
      <c r="X1258" s="15" t="str">
        <f t="shared" si="79"/>
        <v>Média/Pequena</v>
      </c>
      <c r="Y1258" s="121" t="str" cm="1">
        <f t="array" ref="Y1258">_xlfn.IFS(ISNUMBER(W1258)=FALSE,"Sem dado",W1258&gt;0.075,"Excelente",W1258&gt;0.04,"Bom",W1258&gt;0,"Fraco",TRUE,"Prejuízo")</f>
        <v>Prejuízo</v>
      </c>
    </row>
    <row r="1259" spans="1:25" ht="15" customHeight="1" x14ac:dyDescent="0.2">
      <c r="A1259" s="12" t="s">
        <v>2669</v>
      </c>
      <c r="B1259" s="56">
        <v>43215815</v>
      </c>
      <c r="C1259" s="12" t="s">
        <v>2670</v>
      </c>
      <c r="D1259" s="12"/>
      <c r="E1259" s="12" t="s">
        <v>2671</v>
      </c>
      <c r="F1259" s="12" t="s">
        <v>84</v>
      </c>
      <c r="G1259" s="33">
        <v>3</v>
      </c>
      <c r="H1259" s="33">
        <v>41</v>
      </c>
      <c r="I1259" s="12" t="s">
        <v>38</v>
      </c>
      <c r="J1259" s="12" t="s">
        <v>39</v>
      </c>
      <c r="K1259" s="73" t="s">
        <v>29</v>
      </c>
      <c r="L1259" s="13">
        <v>14724</v>
      </c>
      <c r="M1259" s="13">
        <v>0</v>
      </c>
      <c r="N1259" s="13">
        <v>0</v>
      </c>
      <c r="O1259" s="13">
        <v>14274</v>
      </c>
      <c r="P1259" s="13">
        <v>0</v>
      </c>
      <c r="Q1259" s="13">
        <v>450</v>
      </c>
      <c r="R1259" s="13">
        <v>-77</v>
      </c>
      <c r="S1259" s="13">
        <v>1</v>
      </c>
      <c r="T1259" s="13">
        <v>0</v>
      </c>
      <c r="U1259" s="12" t="str">
        <f t="shared" si="76"/>
        <v>Privado Estrangeiro</v>
      </c>
      <c r="V1259" s="14">
        <f t="shared" si="77"/>
        <v>0</v>
      </c>
      <c r="W1259" s="14">
        <f t="shared" si="78"/>
        <v>-0.1711111111111111</v>
      </c>
      <c r="X1259" s="12" t="str">
        <f t="shared" si="79"/>
        <v>Média/Pequena</v>
      </c>
      <c r="Y1259" s="122" t="str" cm="1">
        <f t="array" ref="Y1259">_xlfn.IFS(ISNUMBER(W1259)=FALSE,"Sem dado",W1259&gt;0.075,"Excelente",W1259&gt;0.04,"Bom",W1259&gt;0,"Fraco",TRUE,"Prejuízo")</f>
        <v>Prejuízo</v>
      </c>
    </row>
    <row r="1260" spans="1:25" ht="15" customHeight="1" x14ac:dyDescent="0.2">
      <c r="A1260" s="15" t="s">
        <v>2672</v>
      </c>
      <c r="B1260" s="60">
        <v>18846364</v>
      </c>
      <c r="C1260" s="15" t="s">
        <v>448</v>
      </c>
      <c r="D1260" s="15" t="s">
        <v>449</v>
      </c>
      <c r="E1260" s="15" t="s">
        <v>450</v>
      </c>
      <c r="F1260" s="15" t="s">
        <v>65</v>
      </c>
      <c r="G1260" s="34">
        <v>2</v>
      </c>
      <c r="H1260" s="34">
        <v>19</v>
      </c>
      <c r="I1260" s="15" t="s">
        <v>38</v>
      </c>
      <c r="J1260" s="15" t="s">
        <v>39</v>
      </c>
      <c r="K1260" s="74" t="s">
        <v>29</v>
      </c>
      <c r="L1260" s="16">
        <v>14651</v>
      </c>
      <c r="M1260" s="16">
        <v>0</v>
      </c>
      <c r="N1260" s="16">
        <v>0</v>
      </c>
      <c r="O1260" s="16">
        <v>219</v>
      </c>
      <c r="P1260" s="16">
        <v>0</v>
      </c>
      <c r="Q1260" s="16">
        <v>14432</v>
      </c>
      <c r="R1260" s="16">
        <v>570</v>
      </c>
      <c r="S1260" s="16">
        <v>2</v>
      </c>
      <c r="T1260" s="16">
        <v>0</v>
      </c>
      <c r="U1260" s="15" t="str">
        <f t="shared" si="76"/>
        <v>Privado Nacional</v>
      </c>
      <c r="V1260" s="17">
        <f t="shared" si="77"/>
        <v>0</v>
      </c>
      <c r="W1260" s="17">
        <f t="shared" si="78"/>
        <v>3.9495565410199558E-2</v>
      </c>
      <c r="X1260" s="15" t="str">
        <f t="shared" si="79"/>
        <v>Média/Pequena</v>
      </c>
      <c r="Y1260" s="121" t="str" cm="1">
        <f t="array" ref="Y1260">_xlfn.IFS(ISNUMBER(W1260)=FALSE,"Sem dado",W1260&gt;0.075,"Excelente",W1260&gt;0.04,"Bom",W1260&gt;0,"Fraco",TRUE,"Prejuízo")</f>
        <v>Fraco</v>
      </c>
    </row>
    <row r="1261" spans="1:25" ht="15" customHeight="1" x14ac:dyDescent="0.2">
      <c r="A1261" s="12" t="s">
        <v>2673</v>
      </c>
      <c r="B1261" s="56">
        <v>49947715</v>
      </c>
      <c r="C1261" s="12" t="s">
        <v>2674</v>
      </c>
      <c r="D1261" s="12"/>
      <c r="E1261" s="12" t="s">
        <v>2675</v>
      </c>
      <c r="F1261" s="12" t="s">
        <v>65</v>
      </c>
      <c r="G1261" s="33">
        <v>2</v>
      </c>
      <c r="H1261" s="33">
        <v>43</v>
      </c>
      <c r="I1261" s="12" t="s">
        <v>2676</v>
      </c>
      <c r="J1261" s="12" t="s">
        <v>389</v>
      </c>
      <c r="K1261" s="73" t="s">
        <v>29</v>
      </c>
      <c r="L1261" s="13">
        <v>14241</v>
      </c>
      <c r="M1261" s="13">
        <v>9239</v>
      </c>
      <c r="N1261" s="13">
        <v>4682</v>
      </c>
      <c r="O1261" s="13">
        <v>1116</v>
      </c>
      <c r="P1261" s="13">
        <v>0</v>
      </c>
      <c r="Q1261" s="13">
        <v>13126</v>
      </c>
      <c r="R1261" s="13">
        <v>1331</v>
      </c>
      <c r="S1261" s="13">
        <v>2</v>
      </c>
      <c r="T1261" s="13">
        <v>0</v>
      </c>
      <c r="U1261" s="12" t="str">
        <f t="shared" si="76"/>
        <v>Privado Nacional</v>
      </c>
      <c r="V1261" s="14">
        <f t="shared" si="77"/>
        <v>0.6487606207429254</v>
      </c>
      <c r="W1261" s="14">
        <f t="shared" si="78"/>
        <v>0.1014017979582508</v>
      </c>
      <c r="X1261" s="12" t="str">
        <f t="shared" si="79"/>
        <v>Média/Pequena</v>
      </c>
      <c r="Y1261" s="122" t="str" cm="1">
        <f t="array" ref="Y1261">_xlfn.IFS(ISNUMBER(W1261)=FALSE,"Sem dado",W1261&gt;0.075,"Excelente",W1261&gt;0.04,"Bom",W1261&gt;0,"Fraco",TRUE,"Prejuízo")</f>
        <v>Excelente</v>
      </c>
    </row>
    <row r="1262" spans="1:25" ht="15" customHeight="1" x14ac:dyDescent="0.2">
      <c r="A1262" s="15" t="s">
        <v>2677</v>
      </c>
      <c r="B1262" s="60">
        <v>31531997</v>
      </c>
      <c r="C1262" s="15" t="s">
        <v>2678</v>
      </c>
      <c r="D1262" s="15"/>
      <c r="E1262" s="15" t="s">
        <v>2679</v>
      </c>
      <c r="F1262" s="15" t="s">
        <v>84</v>
      </c>
      <c r="G1262" s="34">
        <v>2</v>
      </c>
      <c r="H1262" s="34">
        <v>41</v>
      </c>
      <c r="I1262" s="15" t="s">
        <v>577</v>
      </c>
      <c r="J1262" s="15" t="s">
        <v>578</v>
      </c>
      <c r="K1262" s="74" t="s">
        <v>29</v>
      </c>
      <c r="L1262" s="16">
        <v>14203</v>
      </c>
      <c r="M1262" s="16">
        <v>0</v>
      </c>
      <c r="N1262" s="16">
        <v>5292</v>
      </c>
      <c r="O1262" s="16">
        <v>7312</v>
      </c>
      <c r="P1262" s="16">
        <v>948</v>
      </c>
      <c r="Q1262" s="16">
        <v>6891</v>
      </c>
      <c r="R1262" s="16">
        <v>-655</v>
      </c>
      <c r="S1262" s="16">
        <v>1</v>
      </c>
      <c r="T1262" s="16">
        <v>0</v>
      </c>
      <c r="U1262" s="15" t="str">
        <f t="shared" si="76"/>
        <v>Privado Nacional</v>
      </c>
      <c r="V1262" s="17">
        <f t="shared" si="77"/>
        <v>0</v>
      </c>
      <c r="W1262" s="17">
        <f t="shared" si="78"/>
        <v>-9.5051516470758962E-2</v>
      </c>
      <c r="X1262" s="15" t="str">
        <f t="shared" si="79"/>
        <v>Média/Pequena</v>
      </c>
      <c r="Y1262" s="121" t="str" cm="1">
        <f t="array" ref="Y1262">_xlfn.IFS(ISNUMBER(W1262)=FALSE,"Sem dado",W1262&gt;0.075,"Excelente",W1262&gt;0.04,"Bom",W1262&gt;0,"Fraco",TRUE,"Prejuízo")</f>
        <v>Prejuízo</v>
      </c>
    </row>
    <row r="1263" spans="1:25" ht="15" customHeight="1" x14ac:dyDescent="0.2">
      <c r="A1263" s="12" t="s">
        <v>2680</v>
      </c>
      <c r="B1263" s="56">
        <v>34978626</v>
      </c>
      <c r="C1263" s="12" t="s">
        <v>2681</v>
      </c>
      <c r="D1263" s="12"/>
      <c r="E1263" s="12" t="s">
        <v>2682</v>
      </c>
      <c r="F1263" s="12" t="s">
        <v>98</v>
      </c>
      <c r="G1263" s="33">
        <v>2</v>
      </c>
      <c r="H1263" s="33">
        <v>16</v>
      </c>
      <c r="I1263" s="12" t="s">
        <v>38</v>
      </c>
      <c r="J1263" s="12" t="s">
        <v>39</v>
      </c>
      <c r="K1263" s="73" t="s">
        <v>29</v>
      </c>
      <c r="L1263" s="13">
        <v>13910</v>
      </c>
      <c r="M1263" s="13">
        <v>0</v>
      </c>
      <c r="N1263" s="13">
        <v>205</v>
      </c>
      <c r="O1263" s="13">
        <v>13166</v>
      </c>
      <c r="P1263" s="13">
        <v>0</v>
      </c>
      <c r="Q1263" s="13">
        <v>744</v>
      </c>
      <c r="R1263" s="13">
        <v>122</v>
      </c>
      <c r="S1263" s="13">
        <v>2</v>
      </c>
      <c r="T1263" s="13">
        <v>0</v>
      </c>
      <c r="U1263" s="12" t="str">
        <f t="shared" si="76"/>
        <v>Privado Nacional</v>
      </c>
      <c r="V1263" s="14">
        <f t="shared" si="77"/>
        <v>0</v>
      </c>
      <c r="W1263" s="14">
        <f t="shared" si="78"/>
        <v>0.16397849462365591</v>
      </c>
      <c r="X1263" s="12" t="str">
        <f t="shared" si="79"/>
        <v>Média/Pequena</v>
      </c>
      <c r="Y1263" s="122" t="str" cm="1">
        <f t="array" ref="Y1263">_xlfn.IFS(ISNUMBER(W1263)=FALSE,"Sem dado",W1263&gt;0.075,"Excelente",W1263&gt;0.04,"Bom",W1263&gt;0,"Fraco",TRUE,"Prejuízo")</f>
        <v>Excelente</v>
      </c>
    </row>
    <row r="1264" spans="1:25" ht="15" customHeight="1" x14ac:dyDescent="0.2">
      <c r="A1264" s="15" t="s">
        <v>2683</v>
      </c>
      <c r="B1264" s="60">
        <v>12651789</v>
      </c>
      <c r="C1264" s="15" t="s">
        <v>2684</v>
      </c>
      <c r="D1264" s="15"/>
      <c r="E1264" s="15" t="s">
        <v>2685</v>
      </c>
      <c r="F1264" s="15" t="s">
        <v>84</v>
      </c>
      <c r="G1264" s="34">
        <v>2</v>
      </c>
      <c r="H1264" s="34">
        <v>41</v>
      </c>
      <c r="I1264" s="15" t="s">
        <v>38</v>
      </c>
      <c r="J1264" s="15" t="s">
        <v>39</v>
      </c>
      <c r="K1264" s="74" t="s">
        <v>29</v>
      </c>
      <c r="L1264" s="16">
        <v>13863</v>
      </c>
      <c r="M1264" s="16">
        <v>0</v>
      </c>
      <c r="N1264" s="16">
        <v>6539</v>
      </c>
      <c r="O1264" s="16">
        <v>10490</v>
      </c>
      <c r="P1264" s="16">
        <v>4306</v>
      </c>
      <c r="Q1264" s="16">
        <v>3373</v>
      </c>
      <c r="R1264" s="16">
        <v>508</v>
      </c>
      <c r="S1264" s="16">
        <v>1</v>
      </c>
      <c r="T1264" s="16">
        <v>0</v>
      </c>
      <c r="U1264" s="15" t="str">
        <f t="shared" si="76"/>
        <v>Privado Nacional</v>
      </c>
      <c r="V1264" s="17">
        <f t="shared" si="77"/>
        <v>0</v>
      </c>
      <c r="W1264" s="17">
        <f t="shared" si="78"/>
        <v>0.15060776756596503</v>
      </c>
      <c r="X1264" s="15" t="str">
        <f t="shared" si="79"/>
        <v>Média/Pequena</v>
      </c>
      <c r="Y1264" s="121" t="str" cm="1">
        <f t="array" ref="Y1264">_xlfn.IFS(ISNUMBER(W1264)=FALSE,"Sem dado",W1264&gt;0.075,"Excelente",W1264&gt;0.04,"Bom",W1264&gt;0,"Fraco",TRUE,"Prejuízo")</f>
        <v>Excelente</v>
      </c>
    </row>
    <row r="1265" spans="1:25" ht="15" customHeight="1" x14ac:dyDescent="0.2">
      <c r="A1265" s="12" t="s">
        <v>2686</v>
      </c>
      <c r="B1265" s="56">
        <v>3639902</v>
      </c>
      <c r="C1265" s="12"/>
      <c r="D1265" s="12"/>
      <c r="E1265" s="12"/>
      <c r="F1265" s="12" t="s">
        <v>265</v>
      </c>
      <c r="G1265" s="33">
        <v>2</v>
      </c>
      <c r="H1265" s="33">
        <v>9</v>
      </c>
      <c r="I1265" s="12" t="s">
        <v>182</v>
      </c>
      <c r="J1265" s="12" t="s">
        <v>183</v>
      </c>
      <c r="K1265" s="73" t="s">
        <v>29</v>
      </c>
      <c r="L1265" s="13">
        <v>13844</v>
      </c>
      <c r="M1265" s="13">
        <v>5729</v>
      </c>
      <c r="N1265" s="13">
        <v>5545</v>
      </c>
      <c r="O1265" s="13">
        <v>1367</v>
      </c>
      <c r="P1265" s="13">
        <v>320</v>
      </c>
      <c r="Q1265" s="13">
        <v>12478</v>
      </c>
      <c r="R1265" s="13">
        <v>4</v>
      </c>
      <c r="S1265" s="13">
        <v>0</v>
      </c>
      <c r="T1265" s="13">
        <v>0</v>
      </c>
      <c r="U1265" s="12" t="str">
        <f t="shared" si="76"/>
        <v>Privado Nacional</v>
      </c>
      <c r="V1265" s="14">
        <f t="shared" si="77"/>
        <v>0.41382548396417218</v>
      </c>
      <c r="W1265" s="14">
        <f t="shared" si="78"/>
        <v>3.2056419297964416E-4</v>
      </c>
      <c r="X1265" s="12" t="str">
        <f t="shared" si="79"/>
        <v>Média/Pequena</v>
      </c>
      <c r="Y1265" s="122" t="str" cm="1">
        <f t="array" ref="Y1265">_xlfn.IFS(ISNUMBER(W1265)=FALSE,"Sem dado",W1265&gt;0.075,"Excelente",W1265&gt;0.04,"Bom",W1265&gt;0,"Fraco",TRUE,"Prejuízo")</f>
        <v>Fraco</v>
      </c>
    </row>
    <row r="1266" spans="1:25" ht="15" customHeight="1" x14ac:dyDescent="0.2">
      <c r="A1266" s="15" t="s">
        <v>2687</v>
      </c>
      <c r="B1266" s="60">
        <v>17508380</v>
      </c>
      <c r="C1266" s="15" t="s">
        <v>2688</v>
      </c>
      <c r="D1266" s="15"/>
      <c r="E1266" s="15" t="s">
        <v>2689</v>
      </c>
      <c r="F1266" s="15" t="s">
        <v>98</v>
      </c>
      <c r="G1266" s="34">
        <v>2</v>
      </c>
      <c r="H1266" s="34">
        <v>21</v>
      </c>
      <c r="I1266" s="15" t="s">
        <v>73</v>
      </c>
      <c r="J1266" s="15" t="s">
        <v>74</v>
      </c>
      <c r="K1266" s="74" t="s">
        <v>29</v>
      </c>
      <c r="L1266" s="16">
        <v>13821</v>
      </c>
      <c r="M1266" s="16">
        <v>0</v>
      </c>
      <c r="N1266" s="16">
        <v>30</v>
      </c>
      <c r="O1266" s="16">
        <v>6914</v>
      </c>
      <c r="P1266" s="16">
        <v>0</v>
      </c>
      <c r="Q1266" s="16">
        <v>6906</v>
      </c>
      <c r="R1266" s="16">
        <v>77</v>
      </c>
      <c r="S1266" s="16">
        <v>3</v>
      </c>
      <c r="T1266" s="16">
        <v>0</v>
      </c>
      <c r="U1266" s="15" t="str">
        <f t="shared" si="76"/>
        <v>Privado Nacional</v>
      </c>
      <c r="V1266" s="17">
        <f t="shared" si="77"/>
        <v>0</v>
      </c>
      <c r="W1266" s="17">
        <f t="shared" si="78"/>
        <v>1.1149724876918621E-2</v>
      </c>
      <c r="X1266" s="15" t="str">
        <f t="shared" si="79"/>
        <v>Média/Pequena</v>
      </c>
      <c r="Y1266" s="121" t="str" cm="1">
        <f t="array" ref="Y1266">_xlfn.IFS(ISNUMBER(W1266)=FALSE,"Sem dado",W1266&gt;0.075,"Excelente",W1266&gt;0.04,"Bom",W1266&gt;0,"Fraco",TRUE,"Prejuízo")</f>
        <v>Fraco</v>
      </c>
    </row>
    <row r="1267" spans="1:25" ht="15" customHeight="1" x14ac:dyDescent="0.2">
      <c r="A1267" s="12" t="s">
        <v>2690</v>
      </c>
      <c r="B1267" s="56">
        <v>42723848</v>
      </c>
      <c r="C1267" s="12" t="s">
        <v>2691</v>
      </c>
      <c r="D1267" s="12" t="s">
        <v>2692</v>
      </c>
      <c r="E1267" s="12" t="s">
        <v>2693</v>
      </c>
      <c r="F1267" s="12" t="s">
        <v>65</v>
      </c>
      <c r="G1267" s="33">
        <v>2</v>
      </c>
      <c r="H1267" s="33">
        <v>14</v>
      </c>
      <c r="I1267" s="12" t="s">
        <v>73</v>
      </c>
      <c r="J1267" s="12" t="s">
        <v>74</v>
      </c>
      <c r="K1267" s="73" t="s">
        <v>29</v>
      </c>
      <c r="L1267" s="13">
        <v>13797</v>
      </c>
      <c r="M1267" s="13">
        <v>10376</v>
      </c>
      <c r="N1267" s="13">
        <v>528</v>
      </c>
      <c r="O1267" s="13">
        <v>3675</v>
      </c>
      <c r="P1267" s="13">
        <v>2209</v>
      </c>
      <c r="Q1267" s="13">
        <v>10122</v>
      </c>
      <c r="R1267" s="13">
        <v>263</v>
      </c>
      <c r="S1267" s="13">
        <v>2</v>
      </c>
      <c r="T1267" s="13">
        <v>0</v>
      </c>
      <c r="U1267" s="12" t="str">
        <f t="shared" si="76"/>
        <v>Privado Nacional</v>
      </c>
      <c r="V1267" s="14">
        <f t="shared" si="77"/>
        <v>0.75204754656809447</v>
      </c>
      <c r="W1267" s="14">
        <f t="shared" si="78"/>
        <v>2.5983007310808142E-2</v>
      </c>
      <c r="X1267" s="12" t="str">
        <f t="shared" si="79"/>
        <v>Média/Pequena</v>
      </c>
      <c r="Y1267" s="122" t="str" cm="1">
        <f t="array" ref="Y1267">_xlfn.IFS(ISNUMBER(W1267)=FALSE,"Sem dado",W1267&gt;0.075,"Excelente",W1267&gt;0.04,"Bom",W1267&gt;0,"Fraco",TRUE,"Prejuízo")</f>
        <v>Fraco</v>
      </c>
    </row>
    <row r="1268" spans="1:25" ht="15" customHeight="1" x14ac:dyDescent="0.2">
      <c r="A1268" s="15" t="s">
        <v>2694</v>
      </c>
      <c r="B1268" s="60">
        <v>4478231</v>
      </c>
      <c r="C1268" s="15"/>
      <c r="D1268" s="15"/>
      <c r="E1268" s="15"/>
      <c r="F1268" s="15" t="s">
        <v>265</v>
      </c>
      <c r="G1268" s="34">
        <v>2</v>
      </c>
      <c r="H1268" s="34">
        <v>9</v>
      </c>
      <c r="I1268" s="15" t="s">
        <v>38</v>
      </c>
      <c r="J1268" s="15" t="s">
        <v>39</v>
      </c>
      <c r="K1268" s="74" t="s">
        <v>29</v>
      </c>
      <c r="L1268" s="16">
        <v>13634</v>
      </c>
      <c r="M1268" s="16">
        <v>5387</v>
      </c>
      <c r="N1268" s="16">
        <v>7601</v>
      </c>
      <c r="O1268" s="16">
        <v>1175</v>
      </c>
      <c r="P1268" s="16">
        <v>0</v>
      </c>
      <c r="Q1268" s="16">
        <v>12460</v>
      </c>
      <c r="R1268" s="16">
        <v>604</v>
      </c>
      <c r="S1268" s="16">
        <v>0</v>
      </c>
      <c r="T1268" s="16">
        <v>0</v>
      </c>
      <c r="U1268" s="15" t="str">
        <f t="shared" si="76"/>
        <v>Privado Nacional</v>
      </c>
      <c r="V1268" s="17">
        <f t="shared" si="77"/>
        <v>0.39511515329323749</v>
      </c>
      <c r="W1268" s="17">
        <f t="shared" si="78"/>
        <v>4.8475120385232745E-2</v>
      </c>
      <c r="X1268" s="15" t="str">
        <f t="shared" si="79"/>
        <v>Média/Pequena</v>
      </c>
      <c r="Y1268" s="121" t="str" cm="1">
        <f t="array" ref="Y1268">_xlfn.IFS(ISNUMBER(W1268)=FALSE,"Sem dado",W1268&gt;0.075,"Excelente",W1268&gt;0.04,"Bom",W1268&gt;0,"Fraco",TRUE,"Prejuízo")</f>
        <v>Bom</v>
      </c>
    </row>
    <row r="1269" spans="1:25" ht="15" customHeight="1" x14ac:dyDescent="0.2">
      <c r="A1269" s="12" t="s">
        <v>2695</v>
      </c>
      <c r="B1269" s="56">
        <v>49555647</v>
      </c>
      <c r="C1269" s="12" t="s">
        <v>2696</v>
      </c>
      <c r="D1269" s="12"/>
      <c r="E1269" s="12" t="s">
        <v>2697</v>
      </c>
      <c r="F1269" s="12" t="s">
        <v>65</v>
      </c>
      <c r="G1269" s="33">
        <v>2</v>
      </c>
      <c r="H1269" s="33">
        <v>43</v>
      </c>
      <c r="I1269" s="12" t="s">
        <v>38</v>
      </c>
      <c r="J1269" s="12" t="s">
        <v>39</v>
      </c>
      <c r="K1269" s="73" t="s">
        <v>29</v>
      </c>
      <c r="L1269" s="13">
        <v>13592</v>
      </c>
      <c r="M1269" s="13">
        <v>0</v>
      </c>
      <c r="N1269" s="13">
        <v>12579</v>
      </c>
      <c r="O1269" s="13">
        <v>8566</v>
      </c>
      <c r="P1269" s="13">
        <v>8492</v>
      </c>
      <c r="Q1269" s="13">
        <v>5026</v>
      </c>
      <c r="R1269" s="13">
        <v>-158</v>
      </c>
      <c r="S1269" s="13">
        <v>2</v>
      </c>
      <c r="T1269" s="13">
        <v>0</v>
      </c>
      <c r="U1269" s="12" t="str">
        <f t="shared" si="76"/>
        <v>Privado Nacional</v>
      </c>
      <c r="V1269" s="14">
        <f t="shared" si="77"/>
        <v>0</v>
      </c>
      <c r="W1269" s="14">
        <f t="shared" si="78"/>
        <v>-3.1436530043772386E-2</v>
      </c>
      <c r="X1269" s="12" t="str">
        <f t="shared" si="79"/>
        <v>Média/Pequena</v>
      </c>
      <c r="Y1269" s="122" t="str" cm="1">
        <f t="array" ref="Y1269">_xlfn.IFS(ISNUMBER(W1269)=FALSE,"Sem dado",W1269&gt;0.075,"Excelente",W1269&gt;0.04,"Bom",W1269&gt;0,"Fraco",TRUE,"Prejuízo")</f>
        <v>Prejuízo</v>
      </c>
    </row>
    <row r="1270" spans="1:25" ht="15" customHeight="1" x14ac:dyDescent="0.2">
      <c r="A1270" s="15" t="s">
        <v>2698</v>
      </c>
      <c r="B1270" s="60">
        <v>15227994</v>
      </c>
      <c r="C1270" s="15" t="s">
        <v>659</v>
      </c>
      <c r="D1270" s="15" t="s">
        <v>660</v>
      </c>
      <c r="E1270" s="15" t="s">
        <v>661</v>
      </c>
      <c r="F1270" s="15" t="s">
        <v>98</v>
      </c>
      <c r="G1270" s="34">
        <v>2</v>
      </c>
      <c r="H1270" s="34">
        <v>16</v>
      </c>
      <c r="I1270" s="15" t="s">
        <v>38</v>
      </c>
      <c r="J1270" s="15" t="s">
        <v>39</v>
      </c>
      <c r="K1270" s="74" t="s">
        <v>29</v>
      </c>
      <c r="L1270" s="16">
        <v>13539</v>
      </c>
      <c r="M1270" s="16">
        <v>0</v>
      </c>
      <c r="N1270" s="16">
        <v>13</v>
      </c>
      <c r="O1270" s="16">
        <v>2717</v>
      </c>
      <c r="P1270" s="16">
        <v>0</v>
      </c>
      <c r="Q1270" s="16">
        <v>10823</v>
      </c>
      <c r="R1270" s="16">
        <v>2385</v>
      </c>
      <c r="S1270" s="16">
        <v>3</v>
      </c>
      <c r="T1270" s="16">
        <v>0</v>
      </c>
      <c r="U1270" s="15" t="str">
        <f t="shared" si="76"/>
        <v>Privado Nacional</v>
      </c>
      <c r="V1270" s="17">
        <f t="shared" si="77"/>
        <v>0</v>
      </c>
      <c r="W1270" s="17">
        <f t="shared" si="78"/>
        <v>0.22036403954541256</v>
      </c>
      <c r="X1270" s="15" t="str">
        <f t="shared" si="79"/>
        <v>Média/Pequena</v>
      </c>
      <c r="Y1270" s="121" t="str" cm="1">
        <f t="array" ref="Y1270">_xlfn.IFS(ISNUMBER(W1270)=FALSE,"Sem dado",W1270&gt;0.075,"Excelente",W1270&gt;0.04,"Bom",W1270&gt;0,"Fraco",TRUE,"Prejuízo")</f>
        <v>Excelente</v>
      </c>
    </row>
    <row r="1271" spans="1:25" ht="15" customHeight="1" x14ac:dyDescent="0.2">
      <c r="A1271" s="12" t="s">
        <v>2699</v>
      </c>
      <c r="B1271" s="56">
        <v>45548763</v>
      </c>
      <c r="C1271" s="12" t="s">
        <v>2700</v>
      </c>
      <c r="D1271" s="12"/>
      <c r="E1271" s="12" t="s">
        <v>2701</v>
      </c>
      <c r="F1271" s="12" t="s">
        <v>84</v>
      </c>
      <c r="G1271" s="33">
        <v>2</v>
      </c>
      <c r="H1271" s="33">
        <v>41</v>
      </c>
      <c r="I1271" s="12" t="s">
        <v>38</v>
      </c>
      <c r="J1271" s="12" t="s">
        <v>39</v>
      </c>
      <c r="K1271" s="73" t="s">
        <v>29</v>
      </c>
      <c r="L1271" s="13">
        <v>13503</v>
      </c>
      <c r="M1271" s="13">
        <v>0</v>
      </c>
      <c r="N1271" s="13">
        <v>0</v>
      </c>
      <c r="O1271" s="13">
        <v>5159</v>
      </c>
      <c r="P1271" s="13">
        <v>392</v>
      </c>
      <c r="Q1271" s="13">
        <v>8344</v>
      </c>
      <c r="R1271" s="13">
        <v>-1354</v>
      </c>
      <c r="S1271" s="13">
        <v>1</v>
      </c>
      <c r="T1271" s="13">
        <v>0</v>
      </c>
      <c r="U1271" s="12" t="str">
        <f t="shared" si="76"/>
        <v>Privado Nacional</v>
      </c>
      <c r="V1271" s="14">
        <f t="shared" si="77"/>
        <v>0</v>
      </c>
      <c r="W1271" s="14">
        <f t="shared" si="78"/>
        <v>-0.16227229146692235</v>
      </c>
      <c r="X1271" s="12" t="str">
        <f t="shared" si="79"/>
        <v>Média/Pequena</v>
      </c>
      <c r="Y1271" s="122" t="str" cm="1">
        <f t="array" ref="Y1271">_xlfn.IFS(ISNUMBER(W1271)=FALSE,"Sem dado",W1271&gt;0.075,"Excelente",W1271&gt;0.04,"Bom",W1271&gt;0,"Fraco",TRUE,"Prejuízo")</f>
        <v>Prejuízo</v>
      </c>
    </row>
    <row r="1272" spans="1:25" ht="15" customHeight="1" x14ac:dyDescent="0.2">
      <c r="A1272" s="15" t="s">
        <v>2702</v>
      </c>
      <c r="B1272" s="60">
        <v>44478623</v>
      </c>
      <c r="C1272" s="15" t="s">
        <v>2703</v>
      </c>
      <c r="D1272" s="15"/>
      <c r="E1272" s="15" t="s">
        <v>2704</v>
      </c>
      <c r="F1272" s="15" t="s">
        <v>65</v>
      </c>
      <c r="G1272" s="34">
        <v>2</v>
      </c>
      <c r="H1272" s="34">
        <v>43</v>
      </c>
      <c r="I1272" s="15" t="s">
        <v>1061</v>
      </c>
      <c r="J1272" s="15" t="s">
        <v>39</v>
      </c>
      <c r="K1272" s="74" t="s">
        <v>29</v>
      </c>
      <c r="L1272" s="16">
        <v>13447</v>
      </c>
      <c r="M1272" s="16">
        <v>4629</v>
      </c>
      <c r="N1272" s="16">
        <v>5236</v>
      </c>
      <c r="O1272" s="16">
        <v>2317</v>
      </c>
      <c r="P1272" s="16">
        <v>2084</v>
      </c>
      <c r="Q1272" s="16">
        <v>11130</v>
      </c>
      <c r="R1272" s="16">
        <v>357</v>
      </c>
      <c r="S1272" s="16">
        <v>2</v>
      </c>
      <c r="T1272" s="16">
        <v>0</v>
      </c>
      <c r="U1272" s="15" t="str">
        <f t="shared" si="76"/>
        <v>Privado Nacional</v>
      </c>
      <c r="V1272" s="17">
        <f t="shared" si="77"/>
        <v>0.34424035100765971</v>
      </c>
      <c r="W1272" s="17">
        <f t="shared" si="78"/>
        <v>3.2075471698113207E-2</v>
      </c>
      <c r="X1272" s="15" t="str">
        <f t="shared" si="79"/>
        <v>Média/Pequena</v>
      </c>
      <c r="Y1272" s="121" t="str" cm="1">
        <f t="array" ref="Y1272">_xlfn.IFS(ISNUMBER(W1272)=FALSE,"Sem dado",W1272&gt;0.075,"Excelente",W1272&gt;0.04,"Bom",W1272&gt;0,"Fraco",TRUE,"Prejuízo")</f>
        <v>Fraco</v>
      </c>
    </row>
    <row r="1273" spans="1:25" ht="15" customHeight="1" x14ac:dyDescent="0.2">
      <c r="A1273" s="12" t="s">
        <v>2705</v>
      </c>
      <c r="B1273" s="56">
        <v>714671</v>
      </c>
      <c r="C1273" s="12" t="s">
        <v>2706</v>
      </c>
      <c r="D1273" s="12"/>
      <c r="E1273" s="12" t="s">
        <v>2707</v>
      </c>
      <c r="F1273" s="12" t="s">
        <v>84</v>
      </c>
      <c r="G1273" s="33">
        <v>2</v>
      </c>
      <c r="H1273" s="33">
        <v>41</v>
      </c>
      <c r="I1273" s="12" t="s">
        <v>38</v>
      </c>
      <c r="J1273" s="12" t="s">
        <v>39</v>
      </c>
      <c r="K1273" s="73" t="s">
        <v>29</v>
      </c>
      <c r="L1273" s="13">
        <v>13378</v>
      </c>
      <c r="M1273" s="13">
        <v>0</v>
      </c>
      <c r="N1273" s="13">
        <v>9</v>
      </c>
      <c r="O1273" s="13">
        <v>7178</v>
      </c>
      <c r="P1273" s="13">
        <v>5149</v>
      </c>
      <c r="Q1273" s="13">
        <v>6200</v>
      </c>
      <c r="R1273" s="13">
        <v>-4561</v>
      </c>
      <c r="S1273" s="13">
        <v>1</v>
      </c>
      <c r="T1273" s="13">
        <v>0</v>
      </c>
      <c r="U1273" s="12" t="str">
        <f t="shared" si="76"/>
        <v>Privado Nacional</v>
      </c>
      <c r="V1273" s="14">
        <f t="shared" si="77"/>
        <v>0</v>
      </c>
      <c r="W1273" s="14">
        <f t="shared" si="78"/>
        <v>-0.73564516129032254</v>
      </c>
      <c r="X1273" s="12" t="str">
        <f t="shared" si="79"/>
        <v>Média/Pequena</v>
      </c>
      <c r="Y1273" s="122" t="str" cm="1">
        <f t="array" ref="Y1273">_xlfn.IFS(ISNUMBER(W1273)=FALSE,"Sem dado",W1273&gt;0.075,"Excelente",W1273&gt;0.04,"Bom",W1273&gt;0,"Fraco",TRUE,"Prejuízo")</f>
        <v>Prejuízo</v>
      </c>
    </row>
    <row r="1274" spans="1:25" ht="15" customHeight="1" x14ac:dyDescent="0.2">
      <c r="A1274" s="15" t="s">
        <v>2708</v>
      </c>
      <c r="B1274" s="60">
        <v>991739</v>
      </c>
      <c r="C1274" s="15"/>
      <c r="D1274" s="15"/>
      <c r="E1274" s="15"/>
      <c r="F1274" s="15" t="s">
        <v>265</v>
      </c>
      <c r="G1274" s="34">
        <v>2</v>
      </c>
      <c r="H1274" s="34">
        <v>9</v>
      </c>
      <c r="I1274" s="15" t="s">
        <v>143</v>
      </c>
      <c r="J1274" s="15" t="s">
        <v>144</v>
      </c>
      <c r="K1274" s="74" t="s">
        <v>29</v>
      </c>
      <c r="L1274" s="16">
        <v>13366</v>
      </c>
      <c r="M1274" s="16">
        <v>9007</v>
      </c>
      <c r="N1274" s="16">
        <v>1699</v>
      </c>
      <c r="O1274" s="16">
        <v>1579</v>
      </c>
      <c r="P1274" s="16">
        <v>0</v>
      </c>
      <c r="Q1274" s="16">
        <v>11787</v>
      </c>
      <c r="R1274" s="16">
        <v>312</v>
      </c>
      <c r="S1274" s="16">
        <v>0</v>
      </c>
      <c r="T1274" s="16">
        <v>0</v>
      </c>
      <c r="U1274" s="15" t="str">
        <f t="shared" si="76"/>
        <v>Privado Nacional</v>
      </c>
      <c r="V1274" s="17">
        <f t="shared" si="77"/>
        <v>0.67387400867873715</v>
      </c>
      <c r="W1274" s="17">
        <f t="shared" si="78"/>
        <v>2.6469839653855944E-2</v>
      </c>
      <c r="X1274" s="15" t="str">
        <f t="shared" si="79"/>
        <v>Média/Pequena</v>
      </c>
      <c r="Y1274" s="121" t="str" cm="1">
        <f t="array" ref="Y1274">_xlfn.IFS(ISNUMBER(W1274)=FALSE,"Sem dado",W1274&gt;0.075,"Excelente",W1274&gt;0.04,"Bom",W1274&gt;0,"Fraco",TRUE,"Prejuízo")</f>
        <v>Fraco</v>
      </c>
    </row>
    <row r="1275" spans="1:25" ht="15" customHeight="1" x14ac:dyDescent="0.2">
      <c r="A1275" s="12" t="s">
        <v>2709</v>
      </c>
      <c r="B1275" s="56">
        <v>37414009</v>
      </c>
      <c r="C1275" s="12" t="s">
        <v>2710</v>
      </c>
      <c r="D1275" s="12"/>
      <c r="E1275" s="12" t="s">
        <v>2711</v>
      </c>
      <c r="F1275" s="12" t="s">
        <v>65</v>
      </c>
      <c r="G1275" s="33">
        <v>2</v>
      </c>
      <c r="H1275" s="33">
        <v>43</v>
      </c>
      <c r="I1275" s="12" t="s">
        <v>38</v>
      </c>
      <c r="J1275" s="12" t="s">
        <v>39</v>
      </c>
      <c r="K1275" s="73" t="s">
        <v>29</v>
      </c>
      <c r="L1275" s="13">
        <v>13358</v>
      </c>
      <c r="M1275" s="13">
        <v>527</v>
      </c>
      <c r="N1275" s="13">
        <v>0</v>
      </c>
      <c r="O1275" s="13">
        <v>7257</v>
      </c>
      <c r="P1275" s="13">
        <v>0</v>
      </c>
      <c r="Q1275" s="13">
        <v>6101</v>
      </c>
      <c r="R1275" s="13">
        <v>126</v>
      </c>
      <c r="S1275" s="13">
        <v>2</v>
      </c>
      <c r="T1275" s="13">
        <v>0</v>
      </c>
      <c r="U1275" s="12" t="str">
        <f t="shared" si="76"/>
        <v>Privado Nacional</v>
      </c>
      <c r="V1275" s="14">
        <f t="shared" si="77"/>
        <v>3.9452013774517146E-2</v>
      </c>
      <c r="W1275" s="14">
        <f t="shared" si="78"/>
        <v>2.0652352073430587E-2</v>
      </c>
      <c r="X1275" s="12" t="str">
        <f t="shared" si="79"/>
        <v>Média/Pequena</v>
      </c>
      <c r="Y1275" s="122" t="str" cm="1">
        <f t="array" ref="Y1275">_xlfn.IFS(ISNUMBER(W1275)=FALSE,"Sem dado",W1275&gt;0.075,"Excelente",W1275&gt;0.04,"Bom",W1275&gt;0,"Fraco",TRUE,"Prejuízo")</f>
        <v>Fraco</v>
      </c>
    </row>
    <row r="1276" spans="1:25" ht="15" customHeight="1" x14ac:dyDescent="0.2">
      <c r="A1276" s="15" t="s">
        <v>2712</v>
      </c>
      <c r="B1276" s="60">
        <v>3317692</v>
      </c>
      <c r="C1276" s="15" t="s">
        <v>2215</v>
      </c>
      <c r="D1276" s="15" t="s">
        <v>2216</v>
      </c>
      <c r="E1276" s="15" t="s">
        <v>2217</v>
      </c>
      <c r="F1276" s="15" t="s">
        <v>98</v>
      </c>
      <c r="G1276" s="34">
        <v>2</v>
      </c>
      <c r="H1276" s="34">
        <v>15</v>
      </c>
      <c r="I1276" s="15" t="s">
        <v>228</v>
      </c>
      <c r="J1276" s="15" t="s">
        <v>229</v>
      </c>
      <c r="K1276" s="74" t="s">
        <v>29</v>
      </c>
      <c r="L1276" s="16">
        <v>13354</v>
      </c>
      <c r="M1276" s="16">
        <v>0</v>
      </c>
      <c r="N1276" s="16">
        <v>0</v>
      </c>
      <c r="O1276" s="16">
        <v>5403</v>
      </c>
      <c r="P1276" s="16">
        <v>1351</v>
      </c>
      <c r="Q1276" s="16">
        <v>7950</v>
      </c>
      <c r="R1276" s="16">
        <v>2639</v>
      </c>
      <c r="S1276" s="16">
        <v>2</v>
      </c>
      <c r="T1276" s="16">
        <v>0</v>
      </c>
      <c r="U1276" s="15" t="str">
        <f t="shared" si="76"/>
        <v>Privado Nacional</v>
      </c>
      <c r="V1276" s="17">
        <f t="shared" si="77"/>
        <v>0</v>
      </c>
      <c r="W1276" s="17">
        <f t="shared" si="78"/>
        <v>0.3319496855345912</v>
      </c>
      <c r="X1276" s="15" t="str">
        <f t="shared" si="79"/>
        <v>Média/Pequena</v>
      </c>
      <c r="Y1276" s="121" t="str" cm="1">
        <f t="array" ref="Y1276">_xlfn.IFS(ISNUMBER(W1276)=FALSE,"Sem dado",W1276&gt;0.075,"Excelente",W1276&gt;0.04,"Bom",W1276&gt;0,"Fraco",TRUE,"Prejuízo")</f>
        <v>Excelente</v>
      </c>
    </row>
    <row r="1277" spans="1:25" ht="15" customHeight="1" x14ac:dyDescent="0.2">
      <c r="A1277" s="12" t="s">
        <v>2713</v>
      </c>
      <c r="B1277" s="56">
        <v>51414521</v>
      </c>
      <c r="C1277" s="12" t="s">
        <v>2714</v>
      </c>
      <c r="D1277" s="12"/>
      <c r="E1277" s="12" t="s">
        <v>2715</v>
      </c>
      <c r="F1277" s="12" t="s">
        <v>65</v>
      </c>
      <c r="G1277" s="33">
        <v>2</v>
      </c>
      <c r="H1277" s="33">
        <v>43</v>
      </c>
      <c r="I1277" s="12" t="s">
        <v>38</v>
      </c>
      <c r="J1277" s="12" t="s">
        <v>39</v>
      </c>
      <c r="K1277" s="73" t="s">
        <v>29</v>
      </c>
      <c r="L1277" s="13">
        <v>13349</v>
      </c>
      <c r="M1277" s="13">
        <v>677</v>
      </c>
      <c r="N1277" s="13">
        <v>93</v>
      </c>
      <c r="O1277" s="13">
        <v>4965</v>
      </c>
      <c r="P1277" s="13">
        <v>45</v>
      </c>
      <c r="Q1277" s="13">
        <v>8385</v>
      </c>
      <c r="R1277" s="13">
        <v>4274</v>
      </c>
      <c r="S1277" s="13">
        <v>2</v>
      </c>
      <c r="T1277" s="13">
        <v>0</v>
      </c>
      <c r="U1277" s="12" t="str">
        <f t="shared" si="76"/>
        <v>Privado Nacional</v>
      </c>
      <c r="V1277" s="14">
        <f t="shared" si="77"/>
        <v>5.0715409393962095E-2</v>
      </c>
      <c r="W1277" s="14">
        <f t="shared" si="78"/>
        <v>0.50971973762671441</v>
      </c>
      <c r="X1277" s="12" t="str">
        <f t="shared" si="79"/>
        <v>Média/Pequena</v>
      </c>
      <c r="Y1277" s="122" t="str" cm="1">
        <f t="array" ref="Y1277">_xlfn.IFS(ISNUMBER(W1277)=FALSE,"Sem dado",W1277&gt;0.075,"Excelente",W1277&gt;0.04,"Bom",W1277&gt;0,"Fraco",TRUE,"Prejuízo")</f>
        <v>Excelente</v>
      </c>
    </row>
    <row r="1278" spans="1:25" ht="15" customHeight="1" x14ac:dyDescent="0.2">
      <c r="A1278" s="15" t="s">
        <v>2716</v>
      </c>
      <c r="B1278" s="60">
        <v>37168145</v>
      </c>
      <c r="C1278" s="15" t="s">
        <v>2717</v>
      </c>
      <c r="D1278" s="15"/>
      <c r="E1278" s="15" t="s">
        <v>2718</v>
      </c>
      <c r="F1278" s="15" t="s">
        <v>84</v>
      </c>
      <c r="G1278" s="34">
        <v>2</v>
      </c>
      <c r="H1278" s="34">
        <v>41</v>
      </c>
      <c r="I1278" s="15" t="s">
        <v>400</v>
      </c>
      <c r="J1278" s="15" t="s">
        <v>401</v>
      </c>
      <c r="K1278" s="74" t="s">
        <v>29</v>
      </c>
      <c r="L1278" s="16">
        <v>13338</v>
      </c>
      <c r="M1278" s="16">
        <v>3871</v>
      </c>
      <c r="N1278" s="16">
        <v>5253</v>
      </c>
      <c r="O1278" s="16">
        <v>6561</v>
      </c>
      <c r="P1278" s="16">
        <v>0</v>
      </c>
      <c r="Q1278" s="16">
        <v>6777</v>
      </c>
      <c r="R1278" s="16">
        <v>-21</v>
      </c>
      <c r="S1278" s="16">
        <v>1</v>
      </c>
      <c r="T1278" s="16">
        <v>0</v>
      </c>
      <c r="U1278" s="15" t="str">
        <f t="shared" si="76"/>
        <v>Privado Nacional</v>
      </c>
      <c r="V1278" s="17">
        <f t="shared" si="77"/>
        <v>0.29022342180236915</v>
      </c>
      <c r="W1278" s="17">
        <f t="shared" si="78"/>
        <v>-3.0987162461266048E-3</v>
      </c>
      <c r="X1278" s="15" t="str">
        <f t="shared" si="79"/>
        <v>Média/Pequena</v>
      </c>
      <c r="Y1278" s="121" t="str" cm="1">
        <f t="array" ref="Y1278">_xlfn.IFS(ISNUMBER(W1278)=FALSE,"Sem dado",W1278&gt;0.075,"Excelente",W1278&gt;0.04,"Bom",W1278&gt;0,"Fraco",TRUE,"Prejuízo")</f>
        <v>Prejuízo</v>
      </c>
    </row>
    <row r="1279" spans="1:25" ht="15" customHeight="1" x14ac:dyDescent="0.2">
      <c r="A1279" s="12" t="s">
        <v>2719</v>
      </c>
      <c r="B1279" s="56">
        <v>40654622</v>
      </c>
      <c r="C1279" s="12" t="s">
        <v>2720</v>
      </c>
      <c r="D1279" s="12" t="s">
        <v>2721</v>
      </c>
      <c r="E1279" s="12" t="s">
        <v>2722</v>
      </c>
      <c r="F1279" s="12" t="s">
        <v>65</v>
      </c>
      <c r="G1279" s="33">
        <v>2</v>
      </c>
      <c r="H1279" s="33">
        <v>43</v>
      </c>
      <c r="I1279" s="12" t="s">
        <v>388</v>
      </c>
      <c r="J1279" s="12" t="s">
        <v>389</v>
      </c>
      <c r="K1279" s="73" t="s">
        <v>29</v>
      </c>
      <c r="L1279" s="13">
        <v>13321</v>
      </c>
      <c r="M1279" s="13">
        <v>1563</v>
      </c>
      <c r="N1279" s="13">
        <v>0</v>
      </c>
      <c r="O1279" s="13">
        <v>7705</v>
      </c>
      <c r="P1279" s="13">
        <v>3381</v>
      </c>
      <c r="Q1279" s="13">
        <v>5615</v>
      </c>
      <c r="R1279" s="13">
        <v>598</v>
      </c>
      <c r="S1279" s="13">
        <v>2</v>
      </c>
      <c r="T1279" s="13">
        <v>0</v>
      </c>
      <c r="U1279" s="12" t="str">
        <f t="shared" si="76"/>
        <v>Privado Nacional</v>
      </c>
      <c r="V1279" s="14">
        <f t="shared" si="77"/>
        <v>0.11733353351850462</v>
      </c>
      <c r="W1279" s="14">
        <f t="shared" si="78"/>
        <v>0.10650044523597507</v>
      </c>
      <c r="X1279" s="12" t="str">
        <f t="shared" si="79"/>
        <v>Média/Pequena</v>
      </c>
      <c r="Y1279" s="122" t="str" cm="1">
        <f t="array" ref="Y1279">_xlfn.IFS(ISNUMBER(W1279)=FALSE,"Sem dado",W1279&gt;0.075,"Excelente",W1279&gt;0.04,"Bom",W1279&gt;0,"Fraco",TRUE,"Prejuízo")</f>
        <v>Excelente</v>
      </c>
    </row>
    <row r="1280" spans="1:25" ht="15" customHeight="1" x14ac:dyDescent="0.2">
      <c r="A1280" s="15" t="s">
        <v>2723</v>
      </c>
      <c r="B1280" s="60">
        <v>4249235</v>
      </c>
      <c r="C1280" s="15"/>
      <c r="D1280" s="15"/>
      <c r="E1280" s="15"/>
      <c r="F1280" s="15" t="s">
        <v>265</v>
      </c>
      <c r="G1280" s="34">
        <v>2</v>
      </c>
      <c r="H1280" s="34">
        <v>9</v>
      </c>
      <c r="I1280" s="15" t="s">
        <v>2724</v>
      </c>
      <c r="J1280" s="15" t="s">
        <v>120</v>
      </c>
      <c r="K1280" s="74" t="s">
        <v>29</v>
      </c>
      <c r="L1280" s="16">
        <v>13282</v>
      </c>
      <c r="M1280" s="16">
        <v>4429</v>
      </c>
      <c r="N1280" s="16">
        <v>8844</v>
      </c>
      <c r="O1280" s="16">
        <v>828</v>
      </c>
      <c r="P1280" s="16">
        <v>0</v>
      </c>
      <c r="Q1280" s="16">
        <v>12455</v>
      </c>
      <c r="R1280" s="16">
        <v>610</v>
      </c>
      <c r="S1280" s="16">
        <v>0</v>
      </c>
      <c r="T1280" s="16">
        <v>0</v>
      </c>
      <c r="U1280" s="15" t="str">
        <f t="shared" si="76"/>
        <v>Privado Nacional</v>
      </c>
      <c r="V1280" s="17">
        <f t="shared" si="77"/>
        <v>0.33345881644330672</v>
      </c>
      <c r="W1280" s="17">
        <f t="shared" si="78"/>
        <v>4.8976314733038942E-2</v>
      </c>
      <c r="X1280" s="15" t="str">
        <f t="shared" si="79"/>
        <v>Média/Pequena</v>
      </c>
      <c r="Y1280" s="121" t="str" cm="1">
        <f t="array" ref="Y1280">_xlfn.IFS(ISNUMBER(W1280)=FALSE,"Sem dado",W1280&gt;0.075,"Excelente",W1280&gt;0.04,"Bom",W1280&gt;0,"Fraco",TRUE,"Prejuízo")</f>
        <v>Bom</v>
      </c>
    </row>
    <row r="1281" spans="1:25" ht="15" customHeight="1" x14ac:dyDescent="0.2">
      <c r="A1281" s="12" t="s">
        <v>2725</v>
      </c>
      <c r="B1281" s="56">
        <v>50032584</v>
      </c>
      <c r="C1281" s="12" t="s">
        <v>2020</v>
      </c>
      <c r="D1281" s="12"/>
      <c r="E1281" s="12" t="s">
        <v>2021</v>
      </c>
      <c r="F1281" s="12" t="s">
        <v>65</v>
      </c>
      <c r="G1281" s="33">
        <v>2</v>
      </c>
      <c r="H1281" s="33">
        <v>43</v>
      </c>
      <c r="I1281" s="12" t="s">
        <v>1585</v>
      </c>
      <c r="J1281" s="12" t="s">
        <v>1586</v>
      </c>
      <c r="K1281" s="73" t="s">
        <v>29</v>
      </c>
      <c r="L1281" s="13">
        <v>13123</v>
      </c>
      <c r="M1281" s="13">
        <v>0</v>
      </c>
      <c r="N1281" s="13">
        <v>3505</v>
      </c>
      <c r="O1281" s="13">
        <v>2127</v>
      </c>
      <c r="P1281" s="13">
        <v>0</v>
      </c>
      <c r="Q1281" s="13">
        <v>10996</v>
      </c>
      <c r="R1281" s="13">
        <v>1224</v>
      </c>
      <c r="S1281" s="13">
        <v>2</v>
      </c>
      <c r="T1281" s="13">
        <v>0</v>
      </c>
      <c r="U1281" s="12" t="str">
        <f t="shared" si="76"/>
        <v>Privado Nacional</v>
      </c>
      <c r="V1281" s="14">
        <f t="shared" si="77"/>
        <v>0</v>
      </c>
      <c r="W1281" s="14">
        <f t="shared" si="78"/>
        <v>0.11131320480174609</v>
      </c>
      <c r="X1281" s="12" t="str">
        <f t="shared" si="79"/>
        <v>Média/Pequena</v>
      </c>
      <c r="Y1281" s="122" t="str" cm="1">
        <f t="array" ref="Y1281">_xlfn.IFS(ISNUMBER(W1281)=FALSE,"Sem dado",W1281&gt;0.075,"Excelente",W1281&gt;0.04,"Bom",W1281&gt;0,"Fraco",TRUE,"Prejuízo")</f>
        <v>Excelente</v>
      </c>
    </row>
    <row r="1282" spans="1:25" ht="15" customHeight="1" x14ac:dyDescent="0.2">
      <c r="A1282" s="15" t="s">
        <v>2726</v>
      </c>
      <c r="B1282" s="60">
        <v>34265629</v>
      </c>
      <c r="C1282" s="15" t="s">
        <v>2727</v>
      </c>
      <c r="D1282" s="15"/>
      <c r="E1282" s="15" t="s">
        <v>2728</v>
      </c>
      <c r="F1282" s="15" t="s">
        <v>98</v>
      </c>
      <c r="G1282" s="34">
        <v>2</v>
      </c>
      <c r="H1282" s="34">
        <v>21</v>
      </c>
      <c r="I1282" s="15" t="s">
        <v>38</v>
      </c>
      <c r="J1282" s="15" t="s">
        <v>39</v>
      </c>
      <c r="K1282" s="74" t="s">
        <v>29</v>
      </c>
      <c r="L1282" s="16">
        <v>13070</v>
      </c>
      <c r="M1282" s="16">
        <v>0</v>
      </c>
      <c r="N1282" s="16">
        <v>6953</v>
      </c>
      <c r="O1282" s="16">
        <v>8056</v>
      </c>
      <c r="P1282" s="16">
        <v>0</v>
      </c>
      <c r="Q1282" s="16">
        <v>5014</v>
      </c>
      <c r="R1282" s="16">
        <v>-686</v>
      </c>
      <c r="S1282" s="16">
        <v>2</v>
      </c>
      <c r="T1282" s="16">
        <v>0</v>
      </c>
      <c r="U1282" s="15" t="str">
        <f t="shared" si="76"/>
        <v>Privado Nacional</v>
      </c>
      <c r="V1282" s="17">
        <f t="shared" si="77"/>
        <v>0</v>
      </c>
      <c r="W1282" s="17">
        <f t="shared" si="78"/>
        <v>-0.13681691264459514</v>
      </c>
      <c r="X1282" s="15" t="str">
        <f t="shared" si="79"/>
        <v>Média/Pequena</v>
      </c>
      <c r="Y1282" s="121" t="str" cm="1">
        <f t="array" ref="Y1282">_xlfn.IFS(ISNUMBER(W1282)=FALSE,"Sem dado",W1282&gt;0.075,"Excelente",W1282&gt;0.04,"Bom",W1282&gt;0,"Fraco",TRUE,"Prejuízo")</f>
        <v>Prejuízo</v>
      </c>
    </row>
    <row r="1283" spans="1:25" ht="15" customHeight="1" x14ac:dyDescent="0.2">
      <c r="A1283" s="12" t="s">
        <v>2729</v>
      </c>
      <c r="B1283" s="56">
        <v>53575491</v>
      </c>
      <c r="C1283" s="12"/>
      <c r="D1283" s="12"/>
      <c r="E1283" s="12"/>
      <c r="F1283" s="12" t="s">
        <v>265</v>
      </c>
      <c r="G1283" s="33">
        <v>2</v>
      </c>
      <c r="H1283" s="33">
        <v>9</v>
      </c>
      <c r="I1283" s="12" t="s">
        <v>670</v>
      </c>
      <c r="J1283" s="12" t="s">
        <v>229</v>
      </c>
      <c r="K1283" s="73" t="s">
        <v>29</v>
      </c>
      <c r="L1283" s="13">
        <v>13009</v>
      </c>
      <c r="M1283" s="13">
        <v>1068</v>
      </c>
      <c r="N1283" s="13">
        <v>1</v>
      </c>
      <c r="O1283" s="13">
        <v>11296</v>
      </c>
      <c r="P1283" s="13">
        <v>10785</v>
      </c>
      <c r="Q1283" s="13">
        <v>1713</v>
      </c>
      <c r="R1283" s="13">
        <v>8</v>
      </c>
      <c r="S1283" s="13">
        <v>0</v>
      </c>
      <c r="T1283" s="13">
        <v>2</v>
      </c>
      <c r="U1283" s="12" t="str">
        <f t="shared" si="76"/>
        <v>Privado Nacional</v>
      </c>
      <c r="V1283" s="14">
        <f t="shared" si="77"/>
        <v>8.209700976247214E-2</v>
      </c>
      <c r="W1283" s="14">
        <f t="shared" si="78"/>
        <v>4.6701692936368944E-3</v>
      </c>
      <c r="X1283" s="12" t="str">
        <f t="shared" si="79"/>
        <v>Média/Pequena</v>
      </c>
      <c r="Y1283" s="122" t="str" cm="1">
        <f t="array" ref="Y1283">_xlfn.IFS(ISNUMBER(W1283)=FALSE,"Sem dado",W1283&gt;0.075,"Excelente",W1283&gt;0.04,"Bom",W1283&gt;0,"Fraco",TRUE,"Prejuízo")</f>
        <v>Fraco</v>
      </c>
    </row>
    <row r="1284" spans="1:25" ht="15" customHeight="1" x14ac:dyDescent="0.2">
      <c r="A1284" s="15" t="s">
        <v>2730</v>
      </c>
      <c r="B1284" s="60">
        <v>51212088</v>
      </c>
      <c r="C1284" s="15" t="s">
        <v>2731</v>
      </c>
      <c r="D1284" s="15"/>
      <c r="E1284" s="15" t="s">
        <v>2732</v>
      </c>
      <c r="F1284" s="15" t="s">
        <v>65</v>
      </c>
      <c r="G1284" s="34">
        <v>2</v>
      </c>
      <c r="H1284" s="34">
        <v>43</v>
      </c>
      <c r="I1284" s="15" t="s">
        <v>1172</v>
      </c>
      <c r="J1284" s="15" t="s">
        <v>217</v>
      </c>
      <c r="K1284" s="74" t="s">
        <v>29</v>
      </c>
      <c r="L1284" s="16">
        <v>12970</v>
      </c>
      <c r="M1284" s="16">
        <v>3996</v>
      </c>
      <c r="N1284" s="16">
        <v>4001</v>
      </c>
      <c r="O1284" s="16">
        <v>249</v>
      </c>
      <c r="P1284" s="16">
        <v>235</v>
      </c>
      <c r="Q1284" s="16">
        <v>12721</v>
      </c>
      <c r="R1284" s="16">
        <v>-32</v>
      </c>
      <c r="S1284" s="16">
        <v>2</v>
      </c>
      <c r="T1284" s="16">
        <v>0</v>
      </c>
      <c r="U1284" s="15" t="str">
        <f t="shared" si="76"/>
        <v>Privado Nacional</v>
      </c>
      <c r="V1284" s="17">
        <f t="shared" si="77"/>
        <v>0.30809560524286816</v>
      </c>
      <c r="W1284" s="17">
        <f t="shared" si="78"/>
        <v>-2.5155255090008647E-3</v>
      </c>
      <c r="X1284" s="15" t="str">
        <f t="shared" si="79"/>
        <v>Média/Pequena</v>
      </c>
      <c r="Y1284" s="121" t="str" cm="1">
        <f t="array" ref="Y1284">_xlfn.IFS(ISNUMBER(W1284)=FALSE,"Sem dado",W1284&gt;0.075,"Excelente",W1284&gt;0.04,"Bom",W1284&gt;0,"Fraco",TRUE,"Prejuízo")</f>
        <v>Prejuízo</v>
      </c>
    </row>
    <row r="1285" spans="1:25" ht="15" customHeight="1" x14ac:dyDescent="0.2">
      <c r="A1285" s="12" t="s">
        <v>2733</v>
      </c>
      <c r="B1285" s="56">
        <v>59305565</v>
      </c>
      <c r="C1285" s="12"/>
      <c r="D1285" s="12"/>
      <c r="E1285" s="12"/>
      <c r="F1285" s="12" t="s">
        <v>265</v>
      </c>
      <c r="G1285" s="33">
        <v>2</v>
      </c>
      <c r="H1285" s="33">
        <v>9</v>
      </c>
      <c r="I1285" s="12" t="s">
        <v>2734</v>
      </c>
      <c r="J1285" s="12" t="s">
        <v>39</v>
      </c>
      <c r="K1285" s="73" t="s">
        <v>29</v>
      </c>
      <c r="L1285" s="13">
        <v>12959</v>
      </c>
      <c r="M1285" s="13">
        <v>8855</v>
      </c>
      <c r="N1285" s="13">
        <v>4016</v>
      </c>
      <c r="O1285" s="13">
        <v>241</v>
      </c>
      <c r="P1285" s="13">
        <v>0</v>
      </c>
      <c r="Q1285" s="13">
        <v>12719</v>
      </c>
      <c r="R1285" s="13">
        <v>767</v>
      </c>
      <c r="S1285" s="13">
        <v>0</v>
      </c>
      <c r="T1285" s="13">
        <v>0</v>
      </c>
      <c r="U1285" s="12" t="str">
        <f t="shared" ref="U1285:U1348" si="80">IFERROR(CHOOSE(G1285,"Público","Privado Nacional","Privado Estrangeiro"),"n.d.")</f>
        <v>Privado Nacional</v>
      </c>
      <c r="V1285" s="14">
        <f t="shared" ref="V1285:V1348" si="81">IF(AND(ISNUMBER(M1285),ISNUMBER(L1285)),IF(L1285&gt;0,M1285/L1285,"n.d."),"NI")</f>
        <v>0.68330889729145772</v>
      </c>
      <c r="W1285" s="14">
        <f t="shared" ref="W1285:W1348" si="82">IF(AND(ISNUMBER(R1285),ISNUMBER(Q1285)),IF(Q1285&gt;0,R1285/Q1285,"n.d."),"NI")</f>
        <v>6.0303482978221558E-2</v>
      </c>
      <c r="X1285" s="12" t="str">
        <f t="shared" ref="X1285:X1348" si="83">IF(ISNUMBER(L1285),IF(L1285&gt;100000000,"Grande","Média/Pequena"),"Sem dado")</f>
        <v>Média/Pequena</v>
      </c>
      <c r="Y1285" s="122" t="str" cm="1">
        <f t="array" ref="Y1285">_xlfn.IFS(ISNUMBER(W1285)=FALSE,"Sem dado",W1285&gt;0.075,"Excelente",W1285&gt;0.04,"Bom",W1285&gt;0,"Fraco",TRUE,"Prejuízo")</f>
        <v>Bom</v>
      </c>
    </row>
    <row r="1286" spans="1:25" ht="15" customHeight="1" x14ac:dyDescent="0.2">
      <c r="A1286" s="15" t="s">
        <v>2735</v>
      </c>
      <c r="B1286" s="60">
        <v>11165756</v>
      </c>
      <c r="C1286" s="15" t="s">
        <v>2736</v>
      </c>
      <c r="D1286" s="15"/>
      <c r="E1286" s="15" t="s">
        <v>2737</v>
      </c>
      <c r="F1286" s="15" t="s">
        <v>65</v>
      </c>
      <c r="G1286" s="34">
        <v>2</v>
      </c>
      <c r="H1286" s="34">
        <v>10</v>
      </c>
      <c r="I1286" s="15" t="s">
        <v>2095</v>
      </c>
      <c r="J1286" s="15" t="s">
        <v>39</v>
      </c>
      <c r="K1286" s="74" t="s">
        <v>29</v>
      </c>
      <c r="L1286" s="16">
        <v>12548</v>
      </c>
      <c r="M1286" s="16">
        <v>89</v>
      </c>
      <c r="N1286" s="16">
        <v>3586</v>
      </c>
      <c r="O1286" s="16">
        <v>7503</v>
      </c>
      <c r="P1286" s="16">
        <v>7393</v>
      </c>
      <c r="Q1286" s="16">
        <v>5045</v>
      </c>
      <c r="R1286" s="16">
        <v>-332</v>
      </c>
      <c r="S1286" s="16">
        <v>2</v>
      </c>
      <c r="T1286" s="16">
        <v>0</v>
      </c>
      <c r="U1286" s="15" t="str">
        <f t="shared" si="80"/>
        <v>Privado Nacional</v>
      </c>
      <c r="V1286" s="17">
        <f t="shared" si="81"/>
        <v>7.0927637870576987E-3</v>
      </c>
      <c r="W1286" s="17">
        <f t="shared" si="82"/>
        <v>-6.5807730426164515E-2</v>
      </c>
      <c r="X1286" s="15" t="str">
        <f t="shared" si="83"/>
        <v>Média/Pequena</v>
      </c>
      <c r="Y1286" s="121" t="str" cm="1">
        <f t="array" ref="Y1286">_xlfn.IFS(ISNUMBER(W1286)=FALSE,"Sem dado",W1286&gt;0.075,"Excelente",W1286&gt;0.04,"Bom",W1286&gt;0,"Fraco",TRUE,"Prejuízo")</f>
        <v>Prejuízo</v>
      </c>
    </row>
    <row r="1287" spans="1:25" ht="15" customHeight="1" x14ac:dyDescent="0.2">
      <c r="A1287" s="12" t="s">
        <v>2738</v>
      </c>
      <c r="B1287" s="56">
        <v>49091119</v>
      </c>
      <c r="C1287" s="12"/>
      <c r="D1287" s="12"/>
      <c r="E1287" s="12"/>
      <c r="F1287" s="12" t="s">
        <v>265</v>
      </c>
      <c r="G1287" s="33">
        <v>2</v>
      </c>
      <c r="H1287" s="33">
        <v>9</v>
      </c>
      <c r="I1287" s="12" t="s">
        <v>2739</v>
      </c>
      <c r="J1287" s="12" t="s">
        <v>39</v>
      </c>
      <c r="K1287" s="73" t="s">
        <v>29</v>
      </c>
      <c r="L1287" s="13">
        <v>12522</v>
      </c>
      <c r="M1287" s="13">
        <v>7628</v>
      </c>
      <c r="N1287" s="13">
        <v>4886</v>
      </c>
      <c r="O1287" s="13">
        <v>115</v>
      </c>
      <c r="P1287" s="13">
        <v>0</v>
      </c>
      <c r="Q1287" s="13">
        <v>12406</v>
      </c>
      <c r="R1287" s="13">
        <v>921</v>
      </c>
      <c r="S1287" s="13">
        <v>0</v>
      </c>
      <c r="T1287" s="13">
        <v>0</v>
      </c>
      <c r="U1287" s="12" t="str">
        <f t="shared" si="80"/>
        <v>Privado Nacional</v>
      </c>
      <c r="V1287" s="14">
        <f t="shared" si="81"/>
        <v>0.60916786455837724</v>
      </c>
      <c r="W1287" s="14">
        <f t="shared" si="82"/>
        <v>7.4238271803965819E-2</v>
      </c>
      <c r="X1287" s="12" t="str">
        <f t="shared" si="83"/>
        <v>Média/Pequena</v>
      </c>
      <c r="Y1287" s="122" t="str" cm="1">
        <f t="array" ref="Y1287">_xlfn.IFS(ISNUMBER(W1287)=FALSE,"Sem dado",W1287&gt;0.075,"Excelente",W1287&gt;0.04,"Bom",W1287&gt;0,"Fraco",TRUE,"Prejuízo")</f>
        <v>Bom</v>
      </c>
    </row>
    <row r="1288" spans="1:25" ht="15" customHeight="1" x14ac:dyDescent="0.2">
      <c r="A1288" s="15" t="s">
        <v>2740</v>
      </c>
      <c r="B1288" s="60">
        <v>4849745</v>
      </c>
      <c r="C1288" s="15" t="s">
        <v>2741</v>
      </c>
      <c r="D1288" s="15"/>
      <c r="E1288" s="15" t="s">
        <v>2742</v>
      </c>
      <c r="F1288" s="15" t="s">
        <v>65</v>
      </c>
      <c r="G1288" s="34">
        <v>2</v>
      </c>
      <c r="H1288" s="34">
        <v>43</v>
      </c>
      <c r="I1288" s="15" t="s">
        <v>2743</v>
      </c>
      <c r="J1288" s="15" t="s">
        <v>120</v>
      </c>
      <c r="K1288" s="74" t="s">
        <v>29</v>
      </c>
      <c r="L1288" s="16">
        <v>12371</v>
      </c>
      <c r="M1288" s="16">
        <v>558</v>
      </c>
      <c r="N1288" s="16">
        <v>0</v>
      </c>
      <c r="O1288" s="16">
        <v>4310</v>
      </c>
      <c r="P1288" s="16">
        <v>0</v>
      </c>
      <c r="Q1288" s="16">
        <v>8062</v>
      </c>
      <c r="R1288" s="16">
        <v>2935</v>
      </c>
      <c r="S1288" s="16">
        <v>2</v>
      </c>
      <c r="T1288" s="16">
        <v>0</v>
      </c>
      <c r="U1288" s="15" t="str">
        <f t="shared" si="80"/>
        <v>Privado Nacional</v>
      </c>
      <c r="V1288" s="17">
        <f t="shared" si="81"/>
        <v>4.510548864279363E-2</v>
      </c>
      <c r="W1288" s="17">
        <f t="shared" si="82"/>
        <v>0.36405358471843213</v>
      </c>
      <c r="X1288" s="15" t="str">
        <f t="shared" si="83"/>
        <v>Média/Pequena</v>
      </c>
      <c r="Y1288" s="121" t="str" cm="1">
        <f t="array" ref="Y1288">_xlfn.IFS(ISNUMBER(W1288)=FALSE,"Sem dado",W1288&gt;0.075,"Excelente",W1288&gt;0.04,"Bom",W1288&gt;0,"Fraco",TRUE,"Prejuízo")</f>
        <v>Excelente</v>
      </c>
    </row>
    <row r="1289" spans="1:25" ht="15" customHeight="1" x14ac:dyDescent="0.2">
      <c r="A1289" s="12" t="s">
        <v>2744</v>
      </c>
      <c r="B1289" s="56">
        <v>43050917</v>
      </c>
      <c r="C1289" s="12" t="s">
        <v>2745</v>
      </c>
      <c r="D1289" s="12"/>
      <c r="E1289" s="12" t="s">
        <v>2746</v>
      </c>
      <c r="F1289" s="12" t="s">
        <v>98</v>
      </c>
      <c r="G1289" s="33">
        <v>3</v>
      </c>
      <c r="H1289" s="33">
        <v>15</v>
      </c>
      <c r="I1289" s="12" t="s">
        <v>216</v>
      </c>
      <c r="J1289" s="12" t="s">
        <v>217</v>
      </c>
      <c r="K1289" s="73" t="s">
        <v>29</v>
      </c>
      <c r="L1289" s="13">
        <v>12342</v>
      </c>
      <c r="M1289" s="13">
        <v>0</v>
      </c>
      <c r="N1289" s="13">
        <v>0</v>
      </c>
      <c r="O1289" s="13">
        <v>1839</v>
      </c>
      <c r="P1289" s="13">
        <v>241</v>
      </c>
      <c r="Q1289" s="13">
        <v>10503</v>
      </c>
      <c r="R1289" s="13">
        <v>-386</v>
      </c>
      <c r="S1289" s="13">
        <v>2</v>
      </c>
      <c r="T1289" s="13">
        <v>0</v>
      </c>
      <c r="U1289" s="12" t="str">
        <f t="shared" si="80"/>
        <v>Privado Estrangeiro</v>
      </c>
      <c r="V1289" s="14">
        <f t="shared" si="81"/>
        <v>0</v>
      </c>
      <c r="W1289" s="14">
        <f t="shared" si="82"/>
        <v>-3.6751404360658858E-2</v>
      </c>
      <c r="X1289" s="12" t="str">
        <f t="shared" si="83"/>
        <v>Média/Pequena</v>
      </c>
      <c r="Y1289" s="122" t="str" cm="1">
        <f t="array" ref="Y1289">_xlfn.IFS(ISNUMBER(W1289)=FALSE,"Sem dado",W1289&gt;0.075,"Excelente",W1289&gt;0.04,"Bom",W1289&gt;0,"Fraco",TRUE,"Prejuízo")</f>
        <v>Prejuízo</v>
      </c>
    </row>
    <row r="1290" spans="1:25" ht="15" customHeight="1" x14ac:dyDescent="0.2">
      <c r="A1290" s="15" t="s">
        <v>2747</v>
      </c>
      <c r="B1290" s="60">
        <v>45457891</v>
      </c>
      <c r="C1290" s="15" t="s">
        <v>2748</v>
      </c>
      <c r="D1290" s="15"/>
      <c r="E1290" s="15" t="s">
        <v>2749</v>
      </c>
      <c r="F1290" s="15" t="s">
        <v>98</v>
      </c>
      <c r="G1290" s="34">
        <v>2</v>
      </c>
      <c r="H1290" s="34">
        <v>16</v>
      </c>
      <c r="I1290" s="15" t="s">
        <v>38</v>
      </c>
      <c r="J1290" s="15" t="s">
        <v>39</v>
      </c>
      <c r="K1290" s="74" t="s">
        <v>29</v>
      </c>
      <c r="L1290" s="16">
        <v>12087</v>
      </c>
      <c r="M1290" s="16">
        <v>0</v>
      </c>
      <c r="N1290" s="16">
        <v>8791</v>
      </c>
      <c r="O1290" s="16">
        <v>3850</v>
      </c>
      <c r="P1290" s="16">
        <v>923</v>
      </c>
      <c r="Q1290" s="16">
        <v>8237</v>
      </c>
      <c r="R1290" s="16">
        <v>-1812</v>
      </c>
      <c r="S1290" s="16">
        <v>2</v>
      </c>
      <c r="T1290" s="16">
        <v>0</v>
      </c>
      <c r="U1290" s="15" t="str">
        <f t="shared" si="80"/>
        <v>Privado Nacional</v>
      </c>
      <c r="V1290" s="17">
        <f t="shared" si="81"/>
        <v>0</v>
      </c>
      <c r="W1290" s="17">
        <f t="shared" si="82"/>
        <v>-0.21998300352069927</v>
      </c>
      <c r="X1290" s="15" t="str">
        <f t="shared" si="83"/>
        <v>Média/Pequena</v>
      </c>
      <c r="Y1290" s="121" t="str" cm="1">
        <f t="array" ref="Y1290">_xlfn.IFS(ISNUMBER(W1290)=FALSE,"Sem dado",W1290&gt;0.075,"Excelente",W1290&gt;0.04,"Bom",W1290&gt;0,"Fraco",TRUE,"Prejuízo")</f>
        <v>Prejuízo</v>
      </c>
    </row>
    <row r="1291" spans="1:25" ht="15" customHeight="1" x14ac:dyDescent="0.2">
      <c r="A1291" s="12" t="s">
        <v>2750</v>
      </c>
      <c r="B1291" s="56">
        <v>44650156</v>
      </c>
      <c r="C1291" s="12" t="s">
        <v>2751</v>
      </c>
      <c r="D1291" s="12"/>
      <c r="E1291" s="12" t="s">
        <v>2752</v>
      </c>
      <c r="F1291" s="12" t="s">
        <v>65</v>
      </c>
      <c r="G1291" s="33">
        <v>2</v>
      </c>
      <c r="H1291" s="33">
        <v>43</v>
      </c>
      <c r="I1291" s="12" t="s">
        <v>2174</v>
      </c>
      <c r="J1291" s="12" t="s">
        <v>39</v>
      </c>
      <c r="K1291" s="73" t="s">
        <v>29</v>
      </c>
      <c r="L1291" s="13">
        <v>12085</v>
      </c>
      <c r="M1291" s="13">
        <v>1117</v>
      </c>
      <c r="N1291" s="13">
        <v>8970</v>
      </c>
      <c r="O1291" s="13">
        <v>2397</v>
      </c>
      <c r="P1291" s="13">
        <v>0</v>
      </c>
      <c r="Q1291" s="13">
        <v>9688</v>
      </c>
      <c r="R1291" s="13">
        <v>-635</v>
      </c>
      <c r="S1291" s="13">
        <v>2</v>
      </c>
      <c r="T1291" s="13">
        <v>0</v>
      </c>
      <c r="U1291" s="12" t="str">
        <f t="shared" si="80"/>
        <v>Privado Nacional</v>
      </c>
      <c r="V1291" s="14">
        <f t="shared" si="81"/>
        <v>9.2428630533719483E-2</v>
      </c>
      <c r="W1291" s="14">
        <f t="shared" si="82"/>
        <v>-6.5545004128819154E-2</v>
      </c>
      <c r="X1291" s="12" t="str">
        <f t="shared" si="83"/>
        <v>Média/Pequena</v>
      </c>
      <c r="Y1291" s="122" t="str" cm="1">
        <f t="array" ref="Y1291">_xlfn.IFS(ISNUMBER(W1291)=FALSE,"Sem dado",W1291&gt;0.075,"Excelente",W1291&gt;0.04,"Bom",W1291&gt;0,"Fraco",TRUE,"Prejuízo")</f>
        <v>Prejuízo</v>
      </c>
    </row>
    <row r="1292" spans="1:25" ht="15" customHeight="1" x14ac:dyDescent="0.2">
      <c r="A1292" s="15" t="s">
        <v>2753</v>
      </c>
      <c r="B1292" s="60">
        <v>71965313</v>
      </c>
      <c r="C1292" s="15"/>
      <c r="D1292" s="15"/>
      <c r="E1292" s="15"/>
      <c r="F1292" s="15" t="s">
        <v>265</v>
      </c>
      <c r="G1292" s="34">
        <v>2</v>
      </c>
      <c r="H1292" s="34">
        <v>9</v>
      </c>
      <c r="I1292" s="15" t="s">
        <v>38</v>
      </c>
      <c r="J1292" s="15" t="s">
        <v>39</v>
      </c>
      <c r="K1292" s="74" t="s">
        <v>29</v>
      </c>
      <c r="L1292" s="16">
        <v>12062</v>
      </c>
      <c r="M1292" s="16">
        <v>6234</v>
      </c>
      <c r="N1292" s="16">
        <v>5308</v>
      </c>
      <c r="O1292" s="16">
        <v>118</v>
      </c>
      <c r="P1292" s="16">
        <v>0</v>
      </c>
      <c r="Q1292" s="16">
        <v>11944</v>
      </c>
      <c r="R1292" s="16">
        <v>561</v>
      </c>
      <c r="S1292" s="16">
        <v>0</v>
      </c>
      <c r="T1292" s="16">
        <v>0</v>
      </c>
      <c r="U1292" s="15" t="str">
        <f t="shared" si="80"/>
        <v>Privado Nacional</v>
      </c>
      <c r="V1292" s="17">
        <f t="shared" si="81"/>
        <v>0.51682971314873161</v>
      </c>
      <c r="W1292" s="17">
        <f t="shared" si="82"/>
        <v>4.6969189551239118E-2</v>
      </c>
      <c r="X1292" s="15" t="str">
        <f t="shared" si="83"/>
        <v>Média/Pequena</v>
      </c>
      <c r="Y1292" s="121" t="str" cm="1">
        <f t="array" ref="Y1292">_xlfn.IFS(ISNUMBER(W1292)=FALSE,"Sem dado",W1292&gt;0.075,"Excelente",W1292&gt;0.04,"Bom",W1292&gt;0,"Fraco",TRUE,"Prejuízo")</f>
        <v>Bom</v>
      </c>
    </row>
    <row r="1293" spans="1:25" ht="15" customHeight="1" x14ac:dyDescent="0.2">
      <c r="A1293" s="12" t="s">
        <v>2754</v>
      </c>
      <c r="B1293" s="56">
        <v>47196084</v>
      </c>
      <c r="C1293" s="12"/>
      <c r="D1293" s="12"/>
      <c r="E1293" s="12"/>
      <c r="F1293" s="12" t="s">
        <v>265</v>
      </c>
      <c r="G1293" s="33">
        <v>2</v>
      </c>
      <c r="H1293" s="33">
        <v>9</v>
      </c>
      <c r="I1293" s="12" t="s">
        <v>38</v>
      </c>
      <c r="J1293" s="12" t="s">
        <v>39</v>
      </c>
      <c r="K1293" s="73" t="s">
        <v>29</v>
      </c>
      <c r="L1293" s="13">
        <v>11988</v>
      </c>
      <c r="M1293" s="13">
        <v>6249</v>
      </c>
      <c r="N1293" s="13">
        <v>5676</v>
      </c>
      <c r="O1293" s="13">
        <v>823</v>
      </c>
      <c r="P1293" s="13">
        <v>0</v>
      </c>
      <c r="Q1293" s="13">
        <v>11166</v>
      </c>
      <c r="R1293" s="13">
        <v>617</v>
      </c>
      <c r="S1293" s="13">
        <v>0</v>
      </c>
      <c r="T1293" s="13">
        <v>0</v>
      </c>
      <c r="U1293" s="12" t="str">
        <f t="shared" si="80"/>
        <v>Privado Nacional</v>
      </c>
      <c r="V1293" s="14">
        <f t="shared" si="81"/>
        <v>0.52127127127127126</v>
      </c>
      <c r="W1293" s="14">
        <f t="shared" si="82"/>
        <v>5.5257030270463907E-2</v>
      </c>
      <c r="X1293" s="12" t="str">
        <f t="shared" si="83"/>
        <v>Média/Pequena</v>
      </c>
      <c r="Y1293" s="122" t="str" cm="1">
        <f t="array" ref="Y1293">_xlfn.IFS(ISNUMBER(W1293)=FALSE,"Sem dado",W1293&gt;0.075,"Excelente",W1293&gt;0.04,"Bom",W1293&gt;0,"Fraco",TRUE,"Prejuízo")</f>
        <v>Bom</v>
      </c>
    </row>
    <row r="1294" spans="1:25" ht="15" customHeight="1" x14ac:dyDescent="0.2">
      <c r="A1294" s="15" t="s">
        <v>2755</v>
      </c>
      <c r="B1294" s="60">
        <v>34846868</v>
      </c>
      <c r="C1294" s="15" t="s">
        <v>2756</v>
      </c>
      <c r="D1294" s="15"/>
      <c r="E1294" s="15" t="s">
        <v>2757</v>
      </c>
      <c r="F1294" s="15" t="s">
        <v>65</v>
      </c>
      <c r="G1294" s="34">
        <v>2</v>
      </c>
      <c r="H1294" s="34">
        <v>43</v>
      </c>
      <c r="I1294" s="15" t="s">
        <v>2758</v>
      </c>
      <c r="J1294" s="15" t="s">
        <v>39</v>
      </c>
      <c r="K1294" s="74" t="s">
        <v>29</v>
      </c>
      <c r="L1294" s="16">
        <v>11985</v>
      </c>
      <c r="M1294" s="16">
        <v>7686</v>
      </c>
      <c r="N1294" s="16">
        <v>4178</v>
      </c>
      <c r="O1294" s="16">
        <v>1055</v>
      </c>
      <c r="P1294" s="16">
        <v>0</v>
      </c>
      <c r="Q1294" s="16">
        <v>10931</v>
      </c>
      <c r="R1294" s="16">
        <v>849</v>
      </c>
      <c r="S1294" s="16">
        <v>2</v>
      </c>
      <c r="T1294" s="16">
        <v>0</v>
      </c>
      <c r="U1294" s="15" t="str">
        <f t="shared" si="80"/>
        <v>Privado Nacional</v>
      </c>
      <c r="V1294" s="17">
        <f t="shared" si="81"/>
        <v>0.64130162703379223</v>
      </c>
      <c r="W1294" s="17">
        <f t="shared" si="82"/>
        <v>7.7669014728753094E-2</v>
      </c>
      <c r="X1294" s="15" t="str">
        <f t="shared" si="83"/>
        <v>Média/Pequena</v>
      </c>
      <c r="Y1294" s="121" t="str" cm="1">
        <f t="array" ref="Y1294">_xlfn.IFS(ISNUMBER(W1294)=FALSE,"Sem dado",W1294&gt;0.075,"Excelente",W1294&gt;0.04,"Bom",W1294&gt;0,"Fraco",TRUE,"Prejuízo")</f>
        <v>Excelente</v>
      </c>
    </row>
    <row r="1295" spans="1:25" ht="15" customHeight="1" x14ac:dyDescent="0.2">
      <c r="A1295" s="12" t="s">
        <v>2759</v>
      </c>
      <c r="B1295" s="56">
        <v>6132348</v>
      </c>
      <c r="C1295" s="12" t="s">
        <v>2760</v>
      </c>
      <c r="D1295" s="12"/>
      <c r="E1295" s="12" t="s">
        <v>2761</v>
      </c>
      <c r="F1295" s="12" t="s">
        <v>98</v>
      </c>
      <c r="G1295" s="33">
        <v>2</v>
      </c>
      <c r="H1295" s="33">
        <v>21</v>
      </c>
      <c r="I1295" s="12" t="s">
        <v>1133</v>
      </c>
      <c r="J1295" s="12" t="s">
        <v>1078</v>
      </c>
      <c r="K1295" s="73" t="s">
        <v>29</v>
      </c>
      <c r="L1295" s="13">
        <v>11970</v>
      </c>
      <c r="M1295" s="13">
        <v>0</v>
      </c>
      <c r="N1295" s="13">
        <v>1525</v>
      </c>
      <c r="O1295" s="13">
        <v>4863</v>
      </c>
      <c r="P1295" s="13">
        <v>0</v>
      </c>
      <c r="Q1295" s="13">
        <v>7107</v>
      </c>
      <c r="R1295" s="13">
        <v>-530</v>
      </c>
      <c r="S1295" s="13">
        <v>13</v>
      </c>
      <c r="T1295" s="13">
        <v>0</v>
      </c>
      <c r="U1295" s="12" t="str">
        <f t="shared" si="80"/>
        <v>Privado Nacional</v>
      </c>
      <c r="V1295" s="14">
        <f t="shared" si="81"/>
        <v>0</v>
      </c>
      <c r="W1295" s="14">
        <f t="shared" si="82"/>
        <v>-7.4574363303785002E-2</v>
      </c>
      <c r="X1295" s="12" t="str">
        <f t="shared" si="83"/>
        <v>Média/Pequena</v>
      </c>
      <c r="Y1295" s="122" t="str" cm="1">
        <f t="array" ref="Y1295">_xlfn.IFS(ISNUMBER(W1295)=FALSE,"Sem dado",W1295&gt;0.075,"Excelente",W1295&gt;0.04,"Bom",W1295&gt;0,"Fraco",TRUE,"Prejuízo")</f>
        <v>Prejuízo</v>
      </c>
    </row>
    <row r="1296" spans="1:25" ht="15" customHeight="1" x14ac:dyDescent="0.2">
      <c r="A1296" s="15" t="s">
        <v>2762</v>
      </c>
      <c r="B1296" s="60">
        <v>57038408</v>
      </c>
      <c r="C1296" s="15"/>
      <c r="D1296" s="15"/>
      <c r="E1296" s="15"/>
      <c r="F1296" s="15" t="s">
        <v>265</v>
      </c>
      <c r="G1296" s="34">
        <v>2</v>
      </c>
      <c r="H1296" s="34">
        <v>9</v>
      </c>
      <c r="I1296" s="15" t="s">
        <v>255</v>
      </c>
      <c r="J1296" s="15" t="s">
        <v>39</v>
      </c>
      <c r="K1296" s="74" t="s">
        <v>29</v>
      </c>
      <c r="L1296" s="16">
        <v>11948</v>
      </c>
      <c r="M1296" s="16">
        <v>10617</v>
      </c>
      <c r="N1296" s="16">
        <v>1300</v>
      </c>
      <c r="O1296" s="16">
        <v>885</v>
      </c>
      <c r="P1296" s="16">
        <v>0</v>
      </c>
      <c r="Q1296" s="16">
        <v>11063</v>
      </c>
      <c r="R1296" s="16">
        <v>524</v>
      </c>
      <c r="S1296" s="16">
        <v>0</v>
      </c>
      <c r="T1296" s="16">
        <v>0</v>
      </c>
      <c r="U1296" s="15" t="str">
        <f t="shared" si="80"/>
        <v>Privado Nacional</v>
      </c>
      <c r="V1296" s="17">
        <f t="shared" si="81"/>
        <v>0.88860060261131568</v>
      </c>
      <c r="W1296" s="17">
        <f t="shared" si="82"/>
        <v>4.7365090843351713E-2</v>
      </c>
      <c r="X1296" s="15" t="str">
        <f t="shared" si="83"/>
        <v>Média/Pequena</v>
      </c>
      <c r="Y1296" s="121" t="str" cm="1">
        <f t="array" ref="Y1296">_xlfn.IFS(ISNUMBER(W1296)=FALSE,"Sem dado",W1296&gt;0.075,"Excelente",W1296&gt;0.04,"Bom",W1296&gt;0,"Fraco",TRUE,"Prejuízo")</f>
        <v>Bom</v>
      </c>
    </row>
    <row r="1297" spans="1:25" ht="15" customHeight="1" x14ac:dyDescent="0.2">
      <c r="A1297" s="12" t="s">
        <v>2763</v>
      </c>
      <c r="B1297" s="56">
        <v>59396084</v>
      </c>
      <c r="C1297" s="12" t="s">
        <v>2764</v>
      </c>
      <c r="D1297" s="12"/>
      <c r="E1297" s="12" t="s">
        <v>2765</v>
      </c>
      <c r="F1297" s="12" t="s">
        <v>65</v>
      </c>
      <c r="G1297" s="33">
        <v>2</v>
      </c>
      <c r="H1297" s="33">
        <v>43</v>
      </c>
      <c r="I1297" s="12" t="s">
        <v>1133</v>
      </c>
      <c r="J1297" s="12" t="s">
        <v>1078</v>
      </c>
      <c r="K1297" s="73" t="s">
        <v>29</v>
      </c>
      <c r="L1297" s="13">
        <v>11851</v>
      </c>
      <c r="M1297" s="13">
        <v>0</v>
      </c>
      <c r="N1297" s="13">
        <v>9304</v>
      </c>
      <c r="O1297" s="13">
        <v>1566</v>
      </c>
      <c r="P1297" s="13">
        <v>1395</v>
      </c>
      <c r="Q1297" s="13">
        <v>10285</v>
      </c>
      <c r="R1297" s="13">
        <v>136</v>
      </c>
      <c r="S1297" s="13">
        <v>2</v>
      </c>
      <c r="T1297" s="13">
        <v>0</v>
      </c>
      <c r="U1297" s="12" t="str">
        <f t="shared" si="80"/>
        <v>Privado Nacional</v>
      </c>
      <c r="V1297" s="14">
        <f t="shared" si="81"/>
        <v>0</v>
      </c>
      <c r="W1297" s="14">
        <f t="shared" si="82"/>
        <v>1.3223140495867768E-2</v>
      </c>
      <c r="X1297" s="12" t="str">
        <f t="shared" si="83"/>
        <v>Média/Pequena</v>
      </c>
      <c r="Y1297" s="122" t="str" cm="1">
        <f t="array" ref="Y1297">_xlfn.IFS(ISNUMBER(W1297)=FALSE,"Sem dado",W1297&gt;0.075,"Excelente",W1297&gt;0.04,"Bom",W1297&gt;0,"Fraco",TRUE,"Prejuízo")</f>
        <v>Fraco</v>
      </c>
    </row>
    <row r="1298" spans="1:25" ht="15" customHeight="1" x14ac:dyDescent="0.2">
      <c r="A1298" s="15" t="s">
        <v>2766</v>
      </c>
      <c r="B1298" s="60">
        <v>26758433</v>
      </c>
      <c r="C1298" s="15"/>
      <c r="D1298" s="15"/>
      <c r="E1298" s="15"/>
      <c r="F1298" s="15" t="s">
        <v>265</v>
      </c>
      <c r="G1298" s="34">
        <v>2</v>
      </c>
      <c r="H1298" s="34">
        <v>9</v>
      </c>
      <c r="I1298" s="15" t="s">
        <v>119</v>
      </c>
      <c r="J1298" s="15" t="s">
        <v>120</v>
      </c>
      <c r="K1298" s="74" t="s">
        <v>29</v>
      </c>
      <c r="L1298" s="16">
        <v>11788</v>
      </c>
      <c r="M1298" s="16">
        <v>10356</v>
      </c>
      <c r="N1298" s="16">
        <v>269</v>
      </c>
      <c r="O1298" s="16">
        <v>1507</v>
      </c>
      <c r="P1298" s="16">
        <v>0</v>
      </c>
      <c r="Q1298" s="16">
        <v>10281</v>
      </c>
      <c r="R1298" s="16">
        <v>-1302</v>
      </c>
      <c r="S1298" s="16">
        <v>0</v>
      </c>
      <c r="T1298" s="16">
        <v>0</v>
      </c>
      <c r="U1298" s="15" t="str">
        <f t="shared" si="80"/>
        <v>Privado Nacional</v>
      </c>
      <c r="V1298" s="17">
        <f t="shared" si="81"/>
        <v>0.87852052935188329</v>
      </c>
      <c r="W1298" s="17">
        <f t="shared" si="82"/>
        <v>-0.12664137729792821</v>
      </c>
      <c r="X1298" s="15" t="str">
        <f t="shared" si="83"/>
        <v>Média/Pequena</v>
      </c>
      <c r="Y1298" s="121" t="str" cm="1">
        <f t="array" ref="Y1298">_xlfn.IFS(ISNUMBER(W1298)=FALSE,"Sem dado",W1298&gt;0.075,"Excelente",W1298&gt;0.04,"Bom",W1298&gt;0,"Fraco",TRUE,"Prejuízo")</f>
        <v>Prejuízo</v>
      </c>
    </row>
    <row r="1299" spans="1:25" ht="15" customHeight="1" x14ac:dyDescent="0.2">
      <c r="A1299" s="12" t="s">
        <v>2767</v>
      </c>
      <c r="B1299" s="56">
        <v>2475222</v>
      </c>
      <c r="C1299" s="12"/>
      <c r="D1299" s="12"/>
      <c r="E1299" s="12"/>
      <c r="F1299" s="12" t="s">
        <v>265</v>
      </c>
      <c r="G1299" s="33">
        <v>2</v>
      </c>
      <c r="H1299" s="33">
        <v>9</v>
      </c>
      <c r="I1299" s="12" t="s">
        <v>182</v>
      </c>
      <c r="J1299" s="12" t="s">
        <v>183</v>
      </c>
      <c r="K1299" s="73" t="s">
        <v>29</v>
      </c>
      <c r="L1299" s="13">
        <v>11776</v>
      </c>
      <c r="M1299" s="13">
        <v>8649</v>
      </c>
      <c r="N1299" s="13">
        <v>1216</v>
      </c>
      <c r="O1299" s="13">
        <v>4862</v>
      </c>
      <c r="P1299" s="13">
        <v>3335</v>
      </c>
      <c r="Q1299" s="13">
        <v>6914</v>
      </c>
      <c r="R1299" s="13">
        <v>67</v>
      </c>
      <c r="S1299" s="13">
        <v>0</v>
      </c>
      <c r="T1299" s="13">
        <v>0</v>
      </c>
      <c r="U1299" s="12" t="str">
        <f t="shared" si="80"/>
        <v>Privado Nacional</v>
      </c>
      <c r="V1299" s="14">
        <f t="shared" si="81"/>
        <v>0.73445991847826086</v>
      </c>
      <c r="W1299" s="14">
        <f t="shared" si="82"/>
        <v>9.6904830778131324E-3</v>
      </c>
      <c r="X1299" s="12" t="str">
        <f t="shared" si="83"/>
        <v>Média/Pequena</v>
      </c>
      <c r="Y1299" s="122" t="str" cm="1">
        <f t="array" ref="Y1299">_xlfn.IFS(ISNUMBER(W1299)=FALSE,"Sem dado",W1299&gt;0.075,"Excelente",W1299&gt;0.04,"Bom",W1299&gt;0,"Fraco",TRUE,"Prejuízo")</f>
        <v>Fraco</v>
      </c>
    </row>
    <row r="1300" spans="1:25" ht="15" customHeight="1" x14ac:dyDescent="0.2">
      <c r="A1300" s="15" t="s">
        <v>2768</v>
      </c>
      <c r="B1300" s="60">
        <v>33735192</v>
      </c>
      <c r="C1300" s="15"/>
      <c r="D1300" s="15"/>
      <c r="E1300" s="15"/>
      <c r="F1300" s="15" t="s">
        <v>265</v>
      </c>
      <c r="G1300" s="34">
        <v>2</v>
      </c>
      <c r="H1300" s="34">
        <v>9</v>
      </c>
      <c r="I1300" s="15" t="s">
        <v>53</v>
      </c>
      <c r="J1300" s="15" t="s">
        <v>54</v>
      </c>
      <c r="K1300" s="74" t="s">
        <v>29</v>
      </c>
      <c r="L1300" s="16">
        <v>11718</v>
      </c>
      <c r="M1300" s="16">
        <v>7200</v>
      </c>
      <c r="N1300" s="16">
        <v>2683</v>
      </c>
      <c r="O1300" s="16">
        <v>4302</v>
      </c>
      <c r="P1300" s="16">
        <v>2683</v>
      </c>
      <c r="Q1300" s="16">
        <v>7416</v>
      </c>
      <c r="R1300" s="16">
        <v>-56</v>
      </c>
      <c r="S1300" s="16">
        <v>0</v>
      </c>
      <c r="T1300" s="16">
        <v>2</v>
      </c>
      <c r="U1300" s="15" t="str">
        <f t="shared" si="80"/>
        <v>Privado Nacional</v>
      </c>
      <c r="V1300" s="17">
        <f t="shared" si="81"/>
        <v>0.61443932411674351</v>
      </c>
      <c r="W1300" s="17">
        <f t="shared" si="82"/>
        <v>-7.551240560949299E-3</v>
      </c>
      <c r="X1300" s="15" t="str">
        <f t="shared" si="83"/>
        <v>Média/Pequena</v>
      </c>
      <c r="Y1300" s="121" t="str" cm="1">
        <f t="array" ref="Y1300">_xlfn.IFS(ISNUMBER(W1300)=FALSE,"Sem dado",W1300&gt;0.075,"Excelente",W1300&gt;0.04,"Bom",W1300&gt;0,"Fraco",TRUE,"Prejuízo")</f>
        <v>Prejuízo</v>
      </c>
    </row>
    <row r="1301" spans="1:25" ht="15" customHeight="1" x14ac:dyDescent="0.2">
      <c r="A1301" s="12" t="s">
        <v>2769</v>
      </c>
      <c r="B1301" s="56">
        <v>40820176</v>
      </c>
      <c r="C1301" s="12" t="s">
        <v>2770</v>
      </c>
      <c r="D1301" s="12"/>
      <c r="E1301" s="12" t="s">
        <v>2771</v>
      </c>
      <c r="F1301" s="12" t="s">
        <v>84</v>
      </c>
      <c r="G1301" s="33">
        <v>2</v>
      </c>
      <c r="H1301" s="33">
        <v>41</v>
      </c>
      <c r="I1301" s="12" t="s">
        <v>228</v>
      </c>
      <c r="J1301" s="12" t="s">
        <v>229</v>
      </c>
      <c r="K1301" s="73" t="s">
        <v>29</v>
      </c>
      <c r="L1301" s="13">
        <v>11642</v>
      </c>
      <c r="M1301" s="13">
        <v>0</v>
      </c>
      <c r="N1301" s="13">
        <v>1472</v>
      </c>
      <c r="O1301" s="13">
        <v>3756</v>
      </c>
      <c r="P1301" s="13">
        <v>1351</v>
      </c>
      <c r="Q1301" s="13">
        <v>7886</v>
      </c>
      <c r="R1301" s="13">
        <v>2399</v>
      </c>
      <c r="S1301" s="13">
        <v>1</v>
      </c>
      <c r="T1301" s="13">
        <v>0</v>
      </c>
      <c r="U1301" s="12" t="str">
        <f t="shared" si="80"/>
        <v>Privado Nacional</v>
      </c>
      <c r="V1301" s="14">
        <f t="shared" si="81"/>
        <v>0</v>
      </c>
      <c r="W1301" s="14">
        <f t="shared" si="82"/>
        <v>0.30420999239158003</v>
      </c>
      <c r="X1301" s="12" t="str">
        <f t="shared" si="83"/>
        <v>Média/Pequena</v>
      </c>
      <c r="Y1301" s="122" t="str" cm="1">
        <f t="array" ref="Y1301">_xlfn.IFS(ISNUMBER(W1301)=FALSE,"Sem dado",W1301&gt;0.075,"Excelente",W1301&gt;0.04,"Bom",W1301&gt;0,"Fraco",TRUE,"Prejuízo")</f>
        <v>Excelente</v>
      </c>
    </row>
    <row r="1302" spans="1:25" ht="15" customHeight="1" x14ac:dyDescent="0.2">
      <c r="A1302" s="15" t="s">
        <v>2772</v>
      </c>
      <c r="B1302" s="60">
        <v>38146949</v>
      </c>
      <c r="C1302" s="15" t="s">
        <v>171</v>
      </c>
      <c r="D1302" s="15" t="s">
        <v>172</v>
      </c>
      <c r="E1302" s="15" t="s">
        <v>173</v>
      </c>
      <c r="F1302" s="15" t="s">
        <v>65</v>
      </c>
      <c r="G1302" s="34">
        <v>2</v>
      </c>
      <c r="H1302" s="34">
        <v>44</v>
      </c>
      <c r="I1302" s="15" t="s">
        <v>38</v>
      </c>
      <c r="J1302" s="15" t="s">
        <v>39</v>
      </c>
      <c r="K1302" s="74" t="s">
        <v>29</v>
      </c>
      <c r="L1302" s="16">
        <v>11599</v>
      </c>
      <c r="M1302" s="16">
        <v>0</v>
      </c>
      <c r="N1302" s="16">
        <v>9934</v>
      </c>
      <c r="O1302" s="16">
        <v>2159</v>
      </c>
      <c r="P1302" s="16">
        <v>0</v>
      </c>
      <c r="Q1302" s="16">
        <v>9440</v>
      </c>
      <c r="R1302" s="16">
        <v>-588</v>
      </c>
      <c r="S1302" s="16">
        <v>2</v>
      </c>
      <c r="T1302" s="16">
        <v>0</v>
      </c>
      <c r="U1302" s="15" t="str">
        <f t="shared" si="80"/>
        <v>Privado Nacional</v>
      </c>
      <c r="V1302" s="17">
        <f t="shared" si="81"/>
        <v>0</v>
      </c>
      <c r="W1302" s="17">
        <f t="shared" si="82"/>
        <v>-6.2288135593220342E-2</v>
      </c>
      <c r="X1302" s="15" t="str">
        <f t="shared" si="83"/>
        <v>Média/Pequena</v>
      </c>
      <c r="Y1302" s="121" t="str" cm="1">
        <f t="array" ref="Y1302">_xlfn.IFS(ISNUMBER(W1302)=FALSE,"Sem dado",W1302&gt;0.075,"Excelente",W1302&gt;0.04,"Bom",W1302&gt;0,"Fraco",TRUE,"Prejuízo")</f>
        <v>Prejuízo</v>
      </c>
    </row>
    <row r="1303" spans="1:25" ht="15" customHeight="1" x14ac:dyDescent="0.2">
      <c r="A1303" s="12" t="s">
        <v>2773</v>
      </c>
      <c r="B1303" s="56">
        <v>37763847</v>
      </c>
      <c r="C1303" s="12" t="s">
        <v>2774</v>
      </c>
      <c r="D1303" s="12"/>
      <c r="E1303" s="12" t="s">
        <v>2775</v>
      </c>
      <c r="F1303" s="12" t="s">
        <v>65</v>
      </c>
      <c r="G1303" s="33">
        <v>3</v>
      </c>
      <c r="H1303" s="33">
        <v>43</v>
      </c>
      <c r="I1303" s="12" t="s">
        <v>53</v>
      </c>
      <c r="J1303" s="12" t="s">
        <v>54</v>
      </c>
      <c r="K1303" s="73" t="s">
        <v>29</v>
      </c>
      <c r="L1303" s="13">
        <v>11539</v>
      </c>
      <c r="M1303" s="13">
        <v>2495</v>
      </c>
      <c r="N1303" s="13">
        <v>483</v>
      </c>
      <c r="O1303" s="13">
        <v>2794</v>
      </c>
      <c r="P1303" s="13">
        <v>572</v>
      </c>
      <c r="Q1303" s="13">
        <v>8745</v>
      </c>
      <c r="R1303" s="13">
        <v>1090</v>
      </c>
      <c r="S1303" s="13">
        <v>2</v>
      </c>
      <c r="T1303" s="13">
        <v>0</v>
      </c>
      <c r="U1303" s="12" t="str">
        <f t="shared" si="80"/>
        <v>Privado Estrangeiro</v>
      </c>
      <c r="V1303" s="14">
        <f t="shared" si="81"/>
        <v>0.21622324291533063</v>
      </c>
      <c r="W1303" s="14">
        <f t="shared" si="82"/>
        <v>0.12464265294453973</v>
      </c>
      <c r="X1303" s="12" t="str">
        <f t="shared" si="83"/>
        <v>Média/Pequena</v>
      </c>
      <c r="Y1303" s="122" t="str" cm="1">
        <f t="array" ref="Y1303">_xlfn.IFS(ISNUMBER(W1303)=FALSE,"Sem dado",W1303&gt;0.075,"Excelente",W1303&gt;0.04,"Bom",W1303&gt;0,"Fraco",TRUE,"Prejuízo")</f>
        <v>Excelente</v>
      </c>
    </row>
    <row r="1304" spans="1:25" ht="15" customHeight="1" x14ac:dyDescent="0.2">
      <c r="A1304" s="15" t="s">
        <v>2776</v>
      </c>
      <c r="B1304" s="60">
        <v>4608925</v>
      </c>
      <c r="C1304" s="15"/>
      <c r="D1304" s="15"/>
      <c r="E1304" s="15"/>
      <c r="F1304" s="15" t="s">
        <v>265</v>
      </c>
      <c r="G1304" s="34">
        <v>2</v>
      </c>
      <c r="H1304" s="34">
        <v>9</v>
      </c>
      <c r="I1304" s="15" t="s">
        <v>577</v>
      </c>
      <c r="J1304" s="15" t="s">
        <v>578</v>
      </c>
      <c r="K1304" s="74" t="s">
        <v>29</v>
      </c>
      <c r="L1304" s="16">
        <v>11501</v>
      </c>
      <c r="M1304" s="16">
        <v>9574</v>
      </c>
      <c r="N1304" s="16">
        <v>1187</v>
      </c>
      <c r="O1304" s="16">
        <v>4397</v>
      </c>
      <c r="P1304" s="16">
        <v>4098</v>
      </c>
      <c r="Q1304" s="16">
        <v>7103</v>
      </c>
      <c r="R1304" s="16">
        <v>81</v>
      </c>
      <c r="S1304" s="16">
        <v>0</v>
      </c>
      <c r="T1304" s="16">
        <v>1</v>
      </c>
      <c r="U1304" s="15" t="str">
        <f t="shared" si="80"/>
        <v>Privado Nacional</v>
      </c>
      <c r="V1304" s="17">
        <f t="shared" si="81"/>
        <v>0.83244935223024086</v>
      </c>
      <c r="W1304" s="17">
        <f t="shared" si="82"/>
        <v>1.1403632268055752E-2</v>
      </c>
      <c r="X1304" s="15" t="str">
        <f t="shared" si="83"/>
        <v>Média/Pequena</v>
      </c>
      <c r="Y1304" s="121" t="str" cm="1">
        <f t="array" ref="Y1304">_xlfn.IFS(ISNUMBER(W1304)=FALSE,"Sem dado",W1304&gt;0.075,"Excelente",W1304&gt;0.04,"Bom",W1304&gt;0,"Fraco",TRUE,"Prejuízo")</f>
        <v>Fraco</v>
      </c>
    </row>
    <row r="1305" spans="1:25" ht="15" customHeight="1" x14ac:dyDescent="0.2">
      <c r="A1305" s="12" t="s">
        <v>2777</v>
      </c>
      <c r="B1305" s="56">
        <v>17312661</v>
      </c>
      <c r="C1305" s="12" t="s">
        <v>2778</v>
      </c>
      <c r="D1305" s="12"/>
      <c r="E1305" s="12" t="s">
        <v>2779</v>
      </c>
      <c r="F1305" s="12" t="s">
        <v>98</v>
      </c>
      <c r="G1305" s="33">
        <v>2</v>
      </c>
      <c r="H1305" s="33">
        <v>15</v>
      </c>
      <c r="I1305" s="12" t="s">
        <v>119</v>
      </c>
      <c r="J1305" s="12" t="s">
        <v>120</v>
      </c>
      <c r="K1305" s="73" t="s">
        <v>29</v>
      </c>
      <c r="L1305" s="13">
        <v>11443</v>
      </c>
      <c r="M1305" s="13">
        <v>0</v>
      </c>
      <c r="N1305" s="13">
        <v>1466</v>
      </c>
      <c r="O1305" s="13">
        <v>2480</v>
      </c>
      <c r="P1305" s="13">
        <v>939</v>
      </c>
      <c r="Q1305" s="13">
        <v>8963</v>
      </c>
      <c r="R1305" s="13">
        <v>-273</v>
      </c>
      <c r="S1305" s="13">
        <v>2</v>
      </c>
      <c r="T1305" s="13">
        <v>0</v>
      </c>
      <c r="U1305" s="12" t="str">
        <f t="shared" si="80"/>
        <v>Privado Nacional</v>
      </c>
      <c r="V1305" s="14">
        <f t="shared" si="81"/>
        <v>0</v>
      </c>
      <c r="W1305" s="14">
        <f t="shared" si="82"/>
        <v>-3.0458551824166017E-2</v>
      </c>
      <c r="X1305" s="12" t="str">
        <f t="shared" si="83"/>
        <v>Média/Pequena</v>
      </c>
      <c r="Y1305" s="122" t="str" cm="1">
        <f t="array" ref="Y1305">_xlfn.IFS(ISNUMBER(W1305)=FALSE,"Sem dado",W1305&gt;0.075,"Excelente",W1305&gt;0.04,"Bom",W1305&gt;0,"Fraco",TRUE,"Prejuízo")</f>
        <v>Prejuízo</v>
      </c>
    </row>
    <row r="1306" spans="1:25" ht="15" customHeight="1" x14ac:dyDescent="0.2">
      <c r="A1306" s="15" t="s">
        <v>2780</v>
      </c>
      <c r="B1306" s="60">
        <v>48584954</v>
      </c>
      <c r="C1306" s="15" t="s">
        <v>2781</v>
      </c>
      <c r="D1306" s="15"/>
      <c r="E1306" s="15" t="s">
        <v>2782</v>
      </c>
      <c r="F1306" s="15" t="s">
        <v>65</v>
      </c>
      <c r="G1306" s="34">
        <v>2</v>
      </c>
      <c r="H1306" s="34">
        <v>43</v>
      </c>
      <c r="I1306" s="15" t="s">
        <v>210</v>
      </c>
      <c r="J1306" s="15" t="s">
        <v>211</v>
      </c>
      <c r="K1306" s="74" t="s">
        <v>29</v>
      </c>
      <c r="L1306" s="16">
        <v>11427</v>
      </c>
      <c r="M1306" s="16">
        <v>5439</v>
      </c>
      <c r="N1306" s="16">
        <v>5322</v>
      </c>
      <c r="O1306" s="16">
        <v>434</v>
      </c>
      <c r="P1306" s="16">
        <v>345</v>
      </c>
      <c r="Q1306" s="16">
        <v>10993</v>
      </c>
      <c r="R1306" s="16">
        <v>32</v>
      </c>
      <c r="S1306" s="16">
        <v>2</v>
      </c>
      <c r="T1306" s="16">
        <v>0</v>
      </c>
      <c r="U1306" s="15" t="str">
        <f t="shared" si="80"/>
        <v>Privado Nacional</v>
      </c>
      <c r="V1306" s="17">
        <f t="shared" si="81"/>
        <v>0.47597794696770807</v>
      </c>
      <c r="W1306" s="17">
        <f t="shared" si="82"/>
        <v>2.9109433275720915E-3</v>
      </c>
      <c r="X1306" s="15" t="str">
        <f t="shared" si="83"/>
        <v>Média/Pequena</v>
      </c>
      <c r="Y1306" s="121" t="str" cm="1">
        <f t="array" ref="Y1306">_xlfn.IFS(ISNUMBER(W1306)=FALSE,"Sem dado",W1306&gt;0.075,"Excelente",W1306&gt;0.04,"Bom",W1306&gt;0,"Fraco",TRUE,"Prejuízo")</f>
        <v>Fraco</v>
      </c>
    </row>
    <row r="1307" spans="1:25" ht="15" customHeight="1" x14ac:dyDescent="0.2">
      <c r="A1307" s="12" t="s">
        <v>2783</v>
      </c>
      <c r="B1307" s="56">
        <v>32192325</v>
      </c>
      <c r="C1307" s="12" t="s">
        <v>2784</v>
      </c>
      <c r="D1307" s="12"/>
      <c r="E1307" s="12" t="s">
        <v>2785</v>
      </c>
      <c r="F1307" s="12" t="s">
        <v>84</v>
      </c>
      <c r="G1307" s="33">
        <v>2</v>
      </c>
      <c r="H1307" s="33">
        <v>41</v>
      </c>
      <c r="I1307" s="12" t="s">
        <v>457</v>
      </c>
      <c r="J1307" s="12" t="s">
        <v>432</v>
      </c>
      <c r="K1307" s="73" t="s">
        <v>29</v>
      </c>
      <c r="L1307" s="13">
        <v>11331</v>
      </c>
      <c r="M1307" s="13">
        <v>0</v>
      </c>
      <c r="N1307" s="13">
        <v>0</v>
      </c>
      <c r="O1307" s="13">
        <v>4708</v>
      </c>
      <c r="P1307" s="13">
        <v>4067</v>
      </c>
      <c r="Q1307" s="13">
        <v>6622</v>
      </c>
      <c r="R1307" s="13">
        <v>-1562</v>
      </c>
      <c r="S1307" s="13">
        <v>1</v>
      </c>
      <c r="T1307" s="13">
        <v>0</v>
      </c>
      <c r="U1307" s="12" t="str">
        <f t="shared" si="80"/>
        <v>Privado Nacional</v>
      </c>
      <c r="V1307" s="14">
        <f t="shared" si="81"/>
        <v>0</v>
      </c>
      <c r="W1307" s="14">
        <f t="shared" si="82"/>
        <v>-0.23588039867109634</v>
      </c>
      <c r="X1307" s="12" t="str">
        <f t="shared" si="83"/>
        <v>Média/Pequena</v>
      </c>
      <c r="Y1307" s="122" t="str" cm="1">
        <f t="array" ref="Y1307">_xlfn.IFS(ISNUMBER(W1307)=FALSE,"Sem dado",W1307&gt;0.075,"Excelente",W1307&gt;0.04,"Bom",W1307&gt;0,"Fraco",TRUE,"Prejuízo")</f>
        <v>Prejuízo</v>
      </c>
    </row>
    <row r="1308" spans="1:25" ht="15" customHeight="1" x14ac:dyDescent="0.2">
      <c r="A1308" s="15" t="s">
        <v>2786</v>
      </c>
      <c r="B1308" s="60">
        <v>35479592</v>
      </c>
      <c r="C1308" s="15" t="s">
        <v>2787</v>
      </c>
      <c r="D1308" s="15"/>
      <c r="E1308" s="15" t="s">
        <v>2788</v>
      </c>
      <c r="F1308" s="15" t="s">
        <v>65</v>
      </c>
      <c r="G1308" s="34">
        <v>2</v>
      </c>
      <c r="H1308" s="34">
        <v>14</v>
      </c>
      <c r="I1308" s="15" t="s">
        <v>73</v>
      </c>
      <c r="J1308" s="15" t="s">
        <v>74</v>
      </c>
      <c r="K1308" s="74" t="s">
        <v>29</v>
      </c>
      <c r="L1308" s="16">
        <v>11329</v>
      </c>
      <c r="M1308" s="16">
        <v>1216</v>
      </c>
      <c r="N1308" s="16">
        <v>4669</v>
      </c>
      <c r="O1308" s="16">
        <v>186</v>
      </c>
      <c r="P1308" s="16">
        <v>0</v>
      </c>
      <c r="Q1308" s="16">
        <v>11143</v>
      </c>
      <c r="R1308" s="16">
        <v>-621</v>
      </c>
      <c r="S1308" s="16">
        <v>2</v>
      </c>
      <c r="T1308" s="16">
        <v>0</v>
      </c>
      <c r="U1308" s="15" t="str">
        <f t="shared" si="80"/>
        <v>Privado Nacional</v>
      </c>
      <c r="V1308" s="17">
        <f t="shared" si="81"/>
        <v>0.10733515756024362</v>
      </c>
      <c r="W1308" s="17">
        <f t="shared" si="82"/>
        <v>-5.5730054742887912E-2</v>
      </c>
      <c r="X1308" s="15" t="str">
        <f t="shared" si="83"/>
        <v>Média/Pequena</v>
      </c>
      <c r="Y1308" s="121" t="str" cm="1">
        <f t="array" ref="Y1308">_xlfn.IFS(ISNUMBER(W1308)=FALSE,"Sem dado",W1308&gt;0.075,"Excelente",W1308&gt;0.04,"Bom",W1308&gt;0,"Fraco",TRUE,"Prejuízo")</f>
        <v>Prejuízo</v>
      </c>
    </row>
    <row r="1309" spans="1:25" ht="15" customHeight="1" x14ac:dyDescent="0.2">
      <c r="A1309" s="12" t="s">
        <v>2789</v>
      </c>
      <c r="B1309" s="56">
        <v>38593706</v>
      </c>
      <c r="C1309" s="12" t="s">
        <v>2790</v>
      </c>
      <c r="D1309" s="12"/>
      <c r="E1309" s="12" t="s">
        <v>2791</v>
      </c>
      <c r="F1309" s="12" t="s">
        <v>65</v>
      </c>
      <c r="G1309" s="33">
        <v>2</v>
      </c>
      <c r="H1309" s="33">
        <v>43</v>
      </c>
      <c r="I1309" s="12" t="s">
        <v>210</v>
      </c>
      <c r="J1309" s="12" t="s">
        <v>211</v>
      </c>
      <c r="K1309" s="73" t="s">
        <v>29</v>
      </c>
      <c r="L1309" s="13">
        <v>11215</v>
      </c>
      <c r="M1309" s="13">
        <v>6230</v>
      </c>
      <c r="N1309" s="13">
        <v>4116</v>
      </c>
      <c r="O1309" s="13">
        <v>717</v>
      </c>
      <c r="P1309" s="13">
        <v>0</v>
      </c>
      <c r="Q1309" s="13">
        <v>10498</v>
      </c>
      <c r="R1309" s="13">
        <v>1004</v>
      </c>
      <c r="S1309" s="13">
        <v>2</v>
      </c>
      <c r="T1309" s="13">
        <v>0</v>
      </c>
      <c r="U1309" s="12" t="str">
        <f t="shared" si="80"/>
        <v>Privado Nacional</v>
      </c>
      <c r="V1309" s="14">
        <f t="shared" si="81"/>
        <v>0.555506018724922</v>
      </c>
      <c r="W1309" s="14">
        <f t="shared" si="82"/>
        <v>9.5637264240807776E-2</v>
      </c>
      <c r="X1309" s="12" t="str">
        <f t="shared" si="83"/>
        <v>Média/Pequena</v>
      </c>
      <c r="Y1309" s="122" t="str" cm="1">
        <f t="array" ref="Y1309">_xlfn.IFS(ISNUMBER(W1309)=FALSE,"Sem dado",W1309&gt;0.075,"Excelente",W1309&gt;0.04,"Bom",W1309&gt;0,"Fraco",TRUE,"Prejuízo")</f>
        <v>Excelente</v>
      </c>
    </row>
    <row r="1310" spans="1:25" ht="15" customHeight="1" x14ac:dyDescent="0.2">
      <c r="A1310" s="15" t="s">
        <v>2792</v>
      </c>
      <c r="B1310" s="60">
        <v>44077014</v>
      </c>
      <c r="C1310" s="15" t="s">
        <v>2793</v>
      </c>
      <c r="D1310" s="15"/>
      <c r="E1310" s="15" t="s">
        <v>2794</v>
      </c>
      <c r="F1310" s="15" t="s">
        <v>98</v>
      </c>
      <c r="G1310" s="34">
        <v>2</v>
      </c>
      <c r="H1310" s="34">
        <v>16</v>
      </c>
      <c r="I1310" s="15" t="s">
        <v>38</v>
      </c>
      <c r="J1310" s="15" t="s">
        <v>39</v>
      </c>
      <c r="K1310" s="74" t="s">
        <v>29</v>
      </c>
      <c r="L1310" s="16">
        <v>11175</v>
      </c>
      <c r="M1310" s="16">
        <v>0</v>
      </c>
      <c r="N1310" s="16">
        <v>5875</v>
      </c>
      <c r="O1310" s="16">
        <v>1130</v>
      </c>
      <c r="P1310" s="16">
        <v>0</v>
      </c>
      <c r="Q1310" s="16">
        <v>10045</v>
      </c>
      <c r="R1310" s="16">
        <v>1082</v>
      </c>
      <c r="S1310" s="16">
        <v>2</v>
      </c>
      <c r="T1310" s="16">
        <v>0</v>
      </c>
      <c r="U1310" s="15" t="str">
        <f t="shared" si="80"/>
        <v>Privado Nacional</v>
      </c>
      <c r="V1310" s="17">
        <f t="shared" si="81"/>
        <v>0</v>
      </c>
      <c r="W1310" s="17">
        <f t="shared" si="82"/>
        <v>0.107715281234445</v>
      </c>
      <c r="X1310" s="15" t="str">
        <f t="shared" si="83"/>
        <v>Média/Pequena</v>
      </c>
      <c r="Y1310" s="121" t="str" cm="1">
        <f t="array" ref="Y1310">_xlfn.IFS(ISNUMBER(W1310)=FALSE,"Sem dado",W1310&gt;0.075,"Excelente",W1310&gt;0.04,"Bom",W1310&gt;0,"Fraco",TRUE,"Prejuízo")</f>
        <v>Excelente</v>
      </c>
    </row>
    <row r="1311" spans="1:25" ht="15" customHeight="1" x14ac:dyDescent="0.2">
      <c r="A1311" s="12" t="s">
        <v>2795</v>
      </c>
      <c r="B1311" s="56">
        <v>2104058</v>
      </c>
      <c r="C1311" s="12"/>
      <c r="D1311" s="12"/>
      <c r="E1311" s="12"/>
      <c r="F1311" s="12" t="s">
        <v>265</v>
      </c>
      <c r="G1311" s="33">
        <v>2</v>
      </c>
      <c r="H1311" s="33">
        <v>9</v>
      </c>
      <c r="I1311" s="12" t="s">
        <v>2796</v>
      </c>
      <c r="J1311" s="12" t="s">
        <v>39</v>
      </c>
      <c r="K1311" s="73" t="s">
        <v>29</v>
      </c>
      <c r="L1311" s="13">
        <v>11075</v>
      </c>
      <c r="M1311" s="13">
        <v>6828</v>
      </c>
      <c r="N1311" s="13">
        <v>3774</v>
      </c>
      <c r="O1311" s="13">
        <v>274</v>
      </c>
      <c r="P1311" s="13">
        <v>0</v>
      </c>
      <c r="Q1311" s="13">
        <v>10801</v>
      </c>
      <c r="R1311" s="13">
        <v>664</v>
      </c>
      <c r="S1311" s="13">
        <v>0</v>
      </c>
      <c r="T1311" s="13">
        <v>0</v>
      </c>
      <c r="U1311" s="12" t="str">
        <f t="shared" si="80"/>
        <v>Privado Nacional</v>
      </c>
      <c r="V1311" s="14">
        <f t="shared" si="81"/>
        <v>0.61652370203160267</v>
      </c>
      <c r="W1311" s="14">
        <f t="shared" si="82"/>
        <v>6.1475789278770482E-2</v>
      </c>
      <c r="X1311" s="12" t="str">
        <f t="shared" si="83"/>
        <v>Média/Pequena</v>
      </c>
      <c r="Y1311" s="122" t="str" cm="1">
        <f t="array" ref="Y1311">_xlfn.IFS(ISNUMBER(W1311)=FALSE,"Sem dado",W1311&gt;0.075,"Excelente",W1311&gt;0.04,"Bom",W1311&gt;0,"Fraco",TRUE,"Prejuízo")</f>
        <v>Bom</v>
      </c>
    </row>
    <row r="1312" spans="1:25" ht="15" customHeight="1" x14ac:dyDescent="0.2">
      <c r="A1312" s="15" t="s">
        <v>2797</v>
      </c>
      <c r="B1312" s="60">
        <v>47944277</v>
      </c>
      <c r="C1312" s="15"/>
      <c r="D1312" s="15"/>
      <c r="E1312" s="15"/>
      <c r="F1312" s="15" t="s">
        <v>265</v>
      </c>
      <c r="G1312" s="34">
        <v>2</v>
      </c>
      <c r="H1312" s="34">
        <v>9</v>
      </c>
      <c r="I1312" s="15" t="s">
        <v>1749</v>
      </c>
      <c r="J1312" s="15" t="s">
        <v>39</v>
      </c>
      <c r="K1312" s="74" t="s">
        <v>29</v>
      </c>
      <c r="L1312" s="16">
        <v>11046</v>
      </c>
      <c r="M1312" s="16">
        <v>44</v>
      </c>
      <c r="N1312" s="16">
        <v>16</v>
      </c>
      <c r="O1312" s="16">
        <v>2315</v>
      </c>
      <c r="P1312" s="16">
        <v>0</v>
      </c>
      <c r="Q1312" s="16">
        <v>8731</v>
      </c>
      <c r="R1312" s="16">
        <v>-310</v>
      </c>
      <c r="S1312" s="16">
        <v>0</v>
      </c>
      <c r="T1312" s="16">
        <v>0</v>
      </c>
      <c r="U1312" s="15" t="str">
        <f t="shared" si="80"/>
        <v>Privado Nacional</v>
      </c>
      <c r="V1312" s="17">
        <f t="shared" si="81"/>
        <v>3.9833423863842119E-3</v>
      </c>
      <c r="W1312" s="17">
        <f t="shared" si="82"/>
        <v>-3.5505669453670827E-2</v>
      </c>
      <c r="X1312" s="15" t="str">
        <f t="shared" si="83"/>
        <v>Média/Pequena</v>
      </c>
      <c r="Y1312" s="121" t="str" cm="1">
        <f t="array" ref="Y1312">_xlfn.IFS(ISNUMBER(W1312)=FALSE,"Sem dado",W1312&gt;0.075,"Excelente",W1312&gt;0.04,"Bom",W1312&gt;0,"Fraco",TRUE,"Prejuízo")</f>
        <v>Prejuízo</v>
      </c>
    </row>
    <row r="1313" spans="1:25" ht="15" customHeight="1" x14ac:dyDescent="0.2">
      <c r="A1313" s="12" t="s">
        <v>2798</v>
      </c>
      <c r="B1313" s="56">
        <v>8430732</v>
      </c>
      <c r="C1313" s="12" t="s">
        <v>2799</v>
      </c>
      <c r="D1313" s="12"/>
      <c r="E1313" s="12" t="s">
        <v>2800</v>
      </c>
      <c r="F1313" s="12" t="s">
        <v>65</v>
      </c>
      <c r="G1313" s="33">
        <v>2</v>
      </c>
      <c r="H1313" s="33">
        <v>10</v>
      </c>
      <c r="I1313" s="12" t="s">
        <v>132</v>
      </c>
      <c r="J1313" s="12" t="s">
        <v>133</v>
      </c>
      <c r="K1313" s="73" t="s">
        <v>29</v>
      </c>
      <c r="L1313" s="13">
        <v>10985</v>
      </c>
      <c r="M1313" s="13">
        <v>9076</v>
      </c>
      <c r="N1313" s="13">
        <v>0</v>
      </c>
      <c r="O1313" s="13">
        <v>6826</v>
      </c>
      <c r="P1313" s="13">
        <v>0</v>
      </c>
      <c r="Q1313" s="13">
        <v>4158</v>
      </c>
      <c r="R1313" s="13">
        <v>836</v>
      </c>
      <c r="S1313" s="13">
        <v>2</v>
      </c>
      <c r="T1313" s="13">
        <v>0</v>
      </c>
      <c r="U1313" s="12" t="str">
        <f t="shared" si="80"/>
        <v>Privado Nacional</v>
      </c>
      <c r="V1313" s="14">
        <f t="shared" si="81"/>
        <v>0.82621756941283564</v>
      </c>
      <c r="W1313" s="14">
        <f t="shared" si="82"/>
        <v>0.20105820105820105</v>
      </c>
      <c r="X1313" s="12" t="str">
        <f t="shared" si="83"/>
        <v>Média/Pequena</v>
      </c>
      <c r="Y1313" s="122" t="str" cm="1">
        <f t="array" ref="Y1313">_xlfn.IFS(ISNUMBER(W1313)=FALSE,"Sem dado",W1313&gt;0.075,"Excelente",W1313&gt;0.04,"Bom",W1313&gt;0,"Fraco",TRUE,"Prejuízo")</f>
        <v>Excelente</v>
      </c>
    </row>
    <row r="1314" spans="1:25" ht="15" customHeight="1" x14ac:dyDescent="0.2">
      <c r="A1314" s="15" t="s">
        <v>2801</v>
      </c>
      <c r="B1314" s="60">
        <v>33890605</v>
      </c>
      <c r="C1314" s="15" t="s">
        <v>2802</v>
      </c>
      <c r="D1314" s="15"/>
      <c r="E1314" s="15" t="s">
        <v>2803</v>
      </c>
      <c r="F1314" s="15" t="s">
        <v>65</v>
      </c>
      <c r="G1314" s="34">
        <v>2</v>
      </c>
      <c r="H1314" s="34">
        <v>43</v>
      </c>
      <c r="I1314" s="15" t="s">
        <v>1144</v>
      </c>
      <c r="J1314" s="15" t="s">
        <v>120</v>
      </c>
      <c r="K1314" s="74" t="s">
        <v>29</v>
      </c>
      <c r="L1314" s="16">
        <v>10941</v>
      </c>
      <c r="M1314" s="16">
        <v>3527</v>
      </c>
      <c r="N1314" s="16">
        <v>3981</v>
      </c>
      <c r="O1314" s="16">
        <v>4837</v>
      </c>
      <c r="P1314" s="16">
        <v>1058</v>
      </c>
      <c r="Q1314" s="16">
        <v>6104</v>
      </c>
      <c r="R1314" s="16">
        <v>21</v>
      </c>
      <c r="S1314" s="16">
        <v>2</v>
      </c>
      <c r="T1314" s="16">
        <v>0</v>
      </c>
      <c r="U1314" s="15" t="str">
        <f t="shared" si="80"/>
        <v>Privado Nacional</v>
      </c>
      <c r="V1314" s="17">
        <f t="shared" si="81"/>
        <v>0.32236541449593276</v>
      </c>
      <c r="W1314" s="17">
        <f t="shared" si="82"/>
        <v>3.4403669724770644E-3</v>
      </c>
      <c r="X1314" s="15" t="str">
        <f t="shared" si="83"/>
        <v>Média/Pequena</v>
      </c>
      <c r="Y1314" s="121" t="str" cm="1">
        <f t="array" ref="Y1314">_xlfn.IFS(ISNUMBER(W1314)=FALSE,"Sem dado",W1314&gt;0.075,"Excelente",W1314&gt;0.04,"Bom",W1314&gt;0,"Fraco",TRUE,"Prejuízo")</f>
        <v>Fraco</v>
      </c>
    </row>
    <row r="1315" spans="1:25" ht="15" customHeight="1" x14ac:dyDescent="0.2">
      <c r="A1315" s="12" t="s">
        <v>2804</v>
      </c>
      <c r="B1315" s="56">
        <v>52623311</v>
      </c>
      <c r="C1315" s="12"/>
      <c r="D1315" s="12"/>
      <c r="E1315" s="12"/>
      <c r="F1315" s="12" t="s">
        <v>265</v>
      </c>
      <c r="G1315" s="33">
        <v>2</v>
      </c>
      <c r="H1315" s="33">
        <v>9</v>
      </c>
      <c r="I1315" s="12" t="s">
        <v>2805</v>
      </c>
      <c r="J1315" s="12" t="s">
        <v>39</v>
      </c>
      <c r="K1315" s="73" t="s">
        <v>29</v>
      </c>
      <c r="L1315" s="13">
        <v>10893</v>
      </c>
      <c r="M1315" s="13">
        <v>6681</v>
      </c>
      <c r="N1315" s="13">
        <v>0</v>
      </c>
      <c r="O1315" s="13">
        <v>1603</v>
      </c>
      <c r="P1315" s="13">
        <v>0</v>
      </c>
      <c r="Q1315" s="13">
        <v>9290</v>
      </c>
      <c r="R1315" s="13">
        <v>199</v>
      </c>
      <c r="S1315" s="13">
        <v>0</v>
      </c>
      <c r="T1315" s="13">
        <v>0</v>
      </c>
      <c r="U1315" s="12" t="str">
        <f t="shared" si="80"/>
        <v>Privado Nacional</v>
      </c>
      <c r="V1315" s="14">
        <f t="shared" si="81"/>
        <v>0.61332966125034427</v>
      </c>
      <c r="W1315" s="14">
        <f t="shared" si="82"/>
        <v>2.1420882669537136E-2</v>
      </c>
      <c r="X1315" s="12" t="str">
        <f t="shared" si="83"/>
        <v>Média/Pequena</v>
      </c>
      <c r="Y1315" s="122" t="str" cm="1">
        <f t="array" ref="Y1315">_xlfn.IFS(ISNUMBER(W1315)=FALSE,"Sem dado",W1315&gt;0.075,"Excelente",W1315&gt;0.04,"Bom",W1315&gt;0,"Fraco",TRUE,"Prejuízo")</f>
        <v>Fraco</v>
      </c>
    </row>
    <row r="1316" spans="1:25" ht="15" customHeight="1" x14ac:dyDescent="0.2">
      <c r="A1316" s="15" t="s">
        <v>2806</v>
      </c>
      <c r="B1316" s="60">
        <v>1788147</v>
      </c>
      <c r="C1316" s="15" t="s">
        <v>2807</v>
      </c>
      <c r="D1316" s="15"/>
      <c r="E1316" s="15" t="s">
        <v>2808</v>
      </c>
      <c r="F1316" s="15" t="s">
        <v>98</v>
      </c>
      <c r="G1316" s="34">
        <v>2</v>
      </c>
      <c r="H1316" s="34">
        <v>16</v>
      </c>
      <c r="I1316" s="15" t="s">
        <v>38</v>
      </c>
      <c r="J1316" s="15" t="s">
        <v>39</v>
      </c>
      <c r="K1316" s="74" t="s">
        <v>29</v>
      </c>
      <c r="L1316" s="16">
        <v>10748</v>
      </c>
      <c r="M1316" s="16">
        <v>0</v>
      </c>
      <c r="N1316" s="16">
        <v>6686</v>
      </c>
      <c r="O1316" s="16">
        <v>1216</v>
      </c>
      <c r="P1316" s="16">
        <v>0</v>
      </c>
      <c r="Q1316" s="16">
        <v>9532</v>
      </c>
      <c r="R1316" s="16">
        <v>-1049</v>
      </c>
      <c r="S1316" s="16">
        <v>2</v>
      </c>
      <c r="T1316" s="16">
        <v>0</v>
      </c>
      <c r="U1316" s="15" t="str">
        <f t="shared" si="80"/>
        <v>Privado Nacional</v>
      </c>
      <c r="V1316" s="17">
        <f t="shared" si="81"/>
        <v>0</v>
      </c>
      <c r="W1316" s="17">
        <f t="shared" si="82"/>
        <v>-0.11005035669324381</v>
      </c>
      <c r="X1316" s="15" t="str">
        <f t="shared" si="83"/>
        <v>Média/Pequena</v>
      </c>
      <c r="Y1316" s="121" t="str" cm="1">
        <f t="array" ref="Y1316">_xlfn.IFS(ISNUMBER(W1316)=FALSE,"Sem dado",W1316&gt;0.075,"Excelente",W1316&gt;0.04,"Bom",W1316&gt;0,"Fraco",TRUE,"Prejuízo")</f>
        <v>Prejuízo</v>
      </c>
    </row>
    <row r="1317" spans="1:25" ht="15" customHeight="1" x14ac:dyDescent="0.2">
      <c r="A1317" s="12" t="s">
        <v>2809</v>
      </c>
      <c r="B1317" s="56">
        <v>54733010</v>
      </c>
      <c r="C1317" s="12" t="s">
        <v>1355</v>
      </c>
      <c r="D1317" s="12"/>
      <c r="E1317" s="12" t="s">
        <v>1356</v>
      </c>
      <c r="F1317" s="12" t="s">
        <v>65</v>
      </c>
      <c r="G1317" s="33">
        <v>2</v>
      </c>
      <c r="H1317" s="33">
        <v>43</v>
      </c>
      <c r="I1317" s="12" t="s">
        <v>1357</v>
      </c>
      <c r="J1317" s="12" t="s">
        <v>1358</v>
      </c>
      <c r="K1317" s="73" t="s">
        <v>29</v>
      </c>
      <c r="L1317" s="13">
        <v>10684</v>
      </c>
      <c r="M1317" s="13">
        <v>841</v>
      </c>
      <c r="N1317" s="13">
        <v>9597</v>
      </c>
      <c r="O1317" s="13">
        <v>182</v>
      </c>
      <c r="P1317" s="13">
        <v>0</v>
      </c>
      <c r="Q1317" s="13">
        <v>10501</v>
      </c>
      <c r="R1317" s="13">
        <v>219</v>
      </c>
      <c r="S1317" s="13">
        <v>2</v>
      </c>
      <c r="T1317" s="13">
        <v>0</v>
      </c>
      <c r="U1317" s="12" t="str">
        <f t="shared" si="80"/>
        <v>Privado Nacional</v>
      </c>
      <c r="V1317" s="14">
        <f t="shared" si="81"/>
        <v>7.8715836765256453E-2</v>
      </c>
      <c r="W1317" s="14">
        <f t="shared" si="82"/>
        <v>2.0855156651747454E-2</v>
      </c>
      <c r="X1317" s="12" t="str">
        <f t="shared" si="83"/>
        <v>Média/Pequena</v>
      </c>
      <c r="Y1317" s="122" t="str" cm="1">
        <f t="array" ref="Y1317">_xlfn.IFS(ISNUMBER(W1317)=FALSE,"Sem dado",W1317&gt;0.075,"Excelente",W1317&gt;0.04,"Bom",W1317&gt;0,"Fraco",TRUE,"Prejuízo")</f>
        <v>Fraco</v>
      </c>
    </row>
    <row r="1318" spans="1:25" ht="15" customHeight="1" x14ac:dyDescent="0.2">
      <c r="A1318" s="15" t="s">
        <v>2810</v>
      </c>
      <c r="B1318" s="60">
        <v>63019146</v>
      </c>
      <c r="C1318" s="15" t="s">
        <v>2351</v>
      </c>
      <c r="D1318" s="15" t="s">
        <v>2352</v>
      </c>
      <c r="E1318" s="15" t="s">
        <v>2352</v>
      </c>
      <c r="F1318" s="15" t="s">
        <v>65</v>
      </c>
      <c r="G1318" s="34">
        <v>2</v>
      </c>
      <c r="H1318" s="34">
        <v>14</v>
      </c>
      <c r="I1318" s="15" t="s">
        <v>372</v>
      </c>
      <c r="J1318" s="15" t="s">
        <v>229</v>
      </c>
      <c r="K1318" s="74" t="s">
        <v>29</v>
      </c>
      <c r="L1318" s="16">
        <v>10601</v>
      </c>
      <c r="M1318" s="16">
        <v>101</v>
      </c>
      <c r="N1318" s="16">
        <v>10300</v>
      </c>
      <c r="O1318" s="16">
        <v>45</v>
      </c>
      <c r="P1318" s="16">
        <v>0</v>
      </c>
      <c r="Q1318" s="16">
        <v>10556</v>
      </c>
      <c r="R1318" s="16">
        <v>-251</v>
      </c>
      <c r="S1318" s="16">
        <v>1</v>
      </c>
      <c r="T1318" s="16">
        <v>0</v>
      </c>
      <c r="U1318" s="15" t="str">
        <f t="shared" si="80"/>
        <v>Privado Nacional</v>
      </c>
      <c r="V1318" s="17">
        <f t="shared" si="81"/>
        <v>9.5274030751815869E-3</v>
      </c>
      <c r="W1318" s="17">
        <f t="shared" si="82"/>
        <v>-2.3777946191739296E-2</v>
      </c>
      <c r="X1318" s="15" t="str">
        <f t="shared" si="83"/>
        <v>Média/Pequena</v>
      </c>
      <c r="Y1318" s="121" t="str" cm="1">
        <f t="array" ref="Y1318">_xlfn.IFS(ISNUMBER(W1318)=FALSE,"Sem dado",W1318&gt;0.075,"Excelente",W1318&gt;0.04,"Bom",W1318&gt;0,"Fraco",TRUE,"Prejuízo")</f>
        <v>Prejuízo</v>
      </c>
    </row>
    <row r="1319" spans="1:25" ht="15" customHeight="1" x14ac:dyDescent="0.2">
      <c r="A1319" s="12" t="s">
        <v>2811</v>
      </c>
      <c r="B1319" s="56">
        <v>12063256</v>
      </c>
      <c r="C1319" s="12" t="s">
        <v>1055</v>
      </c>
      <c r="D1319" s="12" t="s">
        <v>1056</v>
      </c>
      <c r="E1319" s="12" t="s">
        <v>1056</v>
      </c>
      <c r="F1319" s="12" t="s">
        <v>98</v>
      </c>
      <c r="G1319" s="33">
        <v>2</v>
      </c>
      <c r="H1319" s="33">
        <v>16</v>
      </c>
      <c r="I1319" s="12" t="s">
        <v>38</v>
      </c>
      <c r="J1319" s="12" t="s">
        <v>39</v>
      </c>
      <c r="K1319" s="73" t="s">
        <v>29</v>
      </c>
      <c r="L1319" s="13">
        <v>10601</v>
      </c>
      <c r="M1319" s="13">
        <v>0</v>
      </c>
      <c r="N1319" s="13">
        <v>0</v>
      </c>
      <c r="O1319" s="13">
        <v>1629</v>
      </c>
      <c r="P1319" s="13">
        <v>0</v>
      </c>
      <c r="Q1319" s="13">
        <v>8972</v>
      </c>
      <c r="R1319" s="13">
        <v>2460</v>
      </c>
      <c r="S1319" s="13">
        <v>2</v>
      </c>
      <c r="T1319" s="13">
        <v>0</v>
      </c>
      <c r="U1319" s="12" t="str">
        <f t="shared" si="80"/>
        <v>Privado Nacional</v>
      </c>
      <c r="V1319" s="14">
        <f t="shared" si="81"/>
        <v>0</v>
      </c>
      <c r="W1319" s="14">
        <f t="shared" si="82"/>
        <v>0.27418635755684351</v>
      </c>
      <c r="X1319" s="12" t="str">
        <f t="shared" si="83"/>
        <v>Média/Pequena</v>
      </c>
      <c r="Y1319" s="122" t="str" cm="1">
        <f t="array" ref="Y1319">_xlfn.IFS(ISNUMBER(W1319)=FALSE,"Sem dado",W1319&gt;0.075,"Excelente",W1319&gt;0.04,"Bom",W1319&gt;0,"Fraco",TRUE,"Prejuízo")</f>
        <v>Excelente</v>
      </c>
    </row>
    <row r="1320" spans="1:25" ht="15" customHeight="1" x14ac:dyDescent="0.2">
      <c r="A1320" s="15" t="s">
        <v>2812</v>
      </c>
      <c r="B1320" s="60">
        <v>7693858</v>
      </c>
      <c r="C1320" s="15" t="s">
        <v>2813</v>
      </c>
      <c r="D1320" s="15"/>
      <c r="E1320" s="15" t="s">
        <v>2814</v>
      </c>
      <c r="F1320" s="15" t="s">
        <v>65</v>
      </c>
      <c r="G1320" s="34">
        <v>2</v>
      </c>
      <c r="H1320" s="34">
        <v>10</v>
      </c>
      <c r="I1320" s="15" t="s">
        <v>2815</v>
      </c>
      <c r="J1320" s="15" t="s">
        <v>120</v>
      </c>
      <c r="K1320" s="74" t="s">
        <v>29</v>
      </c>
      <c r="L1320" s="16">
        <v>10488</v>
      </c>
      <c r="M1320" s="16">
        <v>6763</v>
      </c>
      <c r="N1320" s="16">
        <v>2931</v>
      </c>
      <c r="O1320" s="16">
        <v>2326</v>
      </c>
      <c r="P1320" s="16">
        <v>0</v>
      </c>
      <c r="Q1320" s="16">
        <v>8162</v>
      </c>
      <c r="R1320" s="16">
        <v>550</v>
      </c>
      <c r="S1320" s="16">
        <v>2</v>
      </c>
      <c r="T1320" s="16">
        <v>0</v>
      </c>
      <c r="U1320" s="15" t="str">
        <f t="shared" si="80"/>
        <v>Privado Nacional</v>
      </c>
      <c r="V1320" s="17">
        <f t="shared" si="81"/>
        <v>0.64483218916857366</v>
      </c>
      <c r="W1320" s="17">
        <f t="shared" si="82"/>
        <v>6.7385444743935305E-2</v>
      </c>
      <c r="X1320" s="15" t="str">
        <f t="shared" si="83"/>
        <v>Média/Pequena</v>
      </c>
      <c r="Y1320" s="121" t="str" cm="1">
        <f t="array" ref="Y1320">_xlfn.IFS(ISNUMBER(W1320)=FALSE,"Sem dado",W1320&gt;0.075,"Excelente",W1320&gt;0.04,"Bom",W1320&gt;0,"Fraco",TRUE,"Prejuízo")</f>
        <v>Bom</v>
      </c>
    </row>
    <row r="1321" spans="1:25" ht="15" customHeight="1" x14ac:dyDescent="0.2">
      <c r="A1321" s="12" t="s">
        <v>2816</v>
      </c>
      <c r="B1321" s="56">
        <v>4316357</v>
      </c>
      <c r="C1321" s="12" t="s">
        <v>2817</v>
      </c>
      <c r="D1321" s="12"/>
      <c r="E1321" s="12" t="s">
        <v>2818</v>
      </c>
      <c r="F1321" s="12" t="s">
        <v>65</v>
      </c>
      <c r="G1321" s="33">
        <v>2</v>
      </c>
      <c r="H1321" s="33">
        <v>10</v>
      </c>
      <c r="I1321" s="12" t="s">
        <v>53</v>
      </c>
      <c r="J1321" s="12" t="s">
        <v>54</v>
      </c>
      <c r="K1321" s="73" t="s">
        <v>29</v>
      </c>
      <c r="L1321" s="13">
        <v>10404</v>
      </c>
      <c r="M1321" s="13">
        <v>9160</v>
      </c>
      <c r="N1321" s="13">
        <v>210</v>
      </c>
      <c r="O1321" s="13">
        <v>170</v>
      </c>
      <c r="P1321" s="13">
        <v>0</v>
      </c>
      <c r="Q1321" s="13">
        <v>10234</v>
      </c>
      <c r="R1321" s="13">
        <v>20</v>
      </c>
      <c r="S1321" s="13">
        <v>2</v>
      </c>
      <c r="T1321" s="13">
        <v>0</v>
      </c>
      <c r="U1321" s="12" t="str">
        <f t="shared" si="80"/>
        <v>Privado Nacional</v>
      </c>
      <c r="V1321" s="14">
        <f t="shared" si="81"/>
        <v>0.88043060361399461</v>
      </c>
      <c r="W1321" s="14">
        <f t="shared" si="82"/>
        <v>1.9542700801250734E-3</v>
      </c>
      <c r="X1321" s="12" t="str">
        <f t="shared" si="83"/>
        <v>Média/Pequena</v>
      </c>
      <c r="Y1321" s="122" t="str" cm="1">
        <f t="array" ref="Y1321">_xlfn.IFS(ISNUMBER(W1321)=FALSE,"Sem dado",W1321&gt;0.075,"Excelente",W1321&gt;0.04,"Bom",W1321&gt;0,"Fraco",TRUE,"Prejuízo")</f>
        <v>Fraco</v>
      </c>
    </row>
    <row r="1322" spans="1:25" ht="15" customHeight="1" x14ac:dyDescent="0.2">
      <c r="A1322" s="15" t="s">
        <v>2819</v>
      </c>
      <c r="B1322" s="60">
        <v>5841967</v>
      </c>
      <c r="C1322" s="15"/>
      <c r="D1322" s="15"/>
      <c r="E1322" s="15"/>
      <c r="F1322" s="15" t="s">
        <v>265</v>
      </c>
      <c r="G1322" s="34">
        <v>2</v>
      </c>
      <c r="H1322" s="34">
        <v>9</v>
      </c>
      <c r="I1322" s="15" t="s">
        <v>2820</v>
      </c>
      <c r="J1322" s="15" t="s">
        <v>74</v>
      </c>
      <c r="K1322" s="74" t="s">
        <v>29</v>
      </c>
      <c r="L1322" s="16">
        <v>10324</v>
      </c>
      <c r="M1322" s="16">
        <v>6603</v>
      </c>
      <c r="N1322" s="16">
        <v>110</v>
      </c>
      <c r="O1322" s="16">
        <v>4288</v>
      </c>
      <c r="P1322" s="16">
        <v>3278</v>
      </c>
      <c r="Q1322" s="16">
        <v>6036</v>
      </c>
      <c r="R1322" s="16">
        <v>100</v>
      </c>
      <c r="S1322" s="16">
        <v>0</v>
      </c>
      <c r="T1322" s="16">
        <v>0</v>
      </c>
      <c r="U1322" s="15" t="str">
        <f t="shared" si="80"/>
        <v>Privado Nacional</v>
      </c>
      <c r="V1322" s="17">
        <f t="shared" si="81"/>
        <v>0.6395776830685781</v>
      </c>
      <c r="W1322" s="17">
        <f t="shared" si="82"/>
        <v>1.656726308813784E-2</v>
      </c>
      <c r="X1322" s="15" t="str">
        <f t="shared" si="83"/>
        <v>Média/Pequena</v>
      </c>
      <c r="Y1322" s="121" t="str" cm="1">
        <f t="array" ref="Y1322">_xlfn.IFS(ISNUMBER(W1322)=FALSE,"Sem dado",W1322&gt;0.075,"Excelente",W1322&gt;0.04,"Bom",W1322&gt;0,"Fraco",TRUE,"Prejuízo")</f>
        <v>Fraco</v>
      </c>
    </row>
    <row r="1323" spans="1:25" ht="15" customHeight="1" x14ac:dyDescent="0.2">
      <c r="A1323" s="12" t="s">
        <v>2821</v>
      </c>
      <c r="B1323" s="56">
        <v>57671443</v>
      </c>
      <c r="C1323" s="12" t="s">
        <v>113</v>
      </c>
      <c r="D1323" s="12" t="s">
        <v>114</v>
      </c>
      <c r="E1323" s="12" t="s">
        <v>114</v>
      </c>
      <c r="F1323" s="12" t="s">
        <v>98</v>
      </c>
      <c r="G1323" s="33">
        <v>3</v>
      </c>
      <c r="H1323" s="33">
        <v>16</v>
      </c>
      <c r="I1323" s="12" t="s">
        <v>44</v>
      </c>
      <c r="J1323" s="12" t="s">
        <v>39</v>
      </c>
      <c r="K1323" s="73" t="s">
        <v>29</v>
      </c>
      <c r="L1323" s="13">
        <v>10035</v>
      </c>
      <c r="M1323" s="13">
        <v>0</v>
      </c>
      <c r="N1323" s="13">
        <v>9730</v>
      </c>
      <c r="O1323" s="13">
        <v>206</v>
      </c>
      <c r="P1323" s="13">
        <v>0</v>
      </c>
      <c r="Q1323" s="13">
        <v>9829</v>
      </c>
      <c r="R1323" s="13">
        <v>222</v>
      </c>
      <c r="S1323" s="13">
        <v>2</v>
      </c>
      <c r="T1323" s="13">
        <v>0</v>
      </c>
      <c r="U1323" s="12" t="str">
        <f t="shared" si="80"/>
        <v>Privado Estrangeiro</v>
      </c>
      <c r="V1323" s="14">
        <f t="shared" si="81"/>
        <v>0</v>
      </c>
      <c r="W1323" s="14">
        <f t="shared" si="82"/>
        <v>2.2586224437887884E-2</v>
      </c>
      <c r="X1323" s="12" t="str">
        <f t="shared" si="83"/>
        <v>Média/Pequena</v>
      </c>
      <c r="Y1323" s="122" t="str" cm="1">
        <f t="array" ref="Y1323">_xlfn.IFS(ISNUMBER(W1323)=FALSE,"Sem dado",W1323&gt;0.075,"Excelente",W1323&gt;0.04,"Bom",W1323&gt;0,"Fraco",TRUE,"Prejuízo")</f>
        <v>Fraco</v>
      </c>
    </row>
    <row r="1324" spans="1:25" ht="15" customHeight="1" x14ac:dyDescent="0.2">
      <c r="A1324" s="15" t="s">
        <v>2822</v>
      </c>
      <c r="B1324" s="60">
        <v>45045671</v>
      </c>
      <c r="C1324" s="15"/>
      <c r="D1324" s="15"/>
      <c r="E1324" s="15"/>
      <c r="F1324" s="15" t="s">
        <v>265</v>
      </c>
      <c r="G1324" s="34">
        <v>2</v>
      </c>
      <c r="H1324" s="34">
        <v>9</v>
      </c>
      <c r="I1324" s="15" t="s">
        <v>2823</v>
      </c>
      <c r="J1324" s="15" t="s">
        <v>39</v>
      </c>
      <c r="K1324" s="74" t="s">
        <v>29</v>
      </c>
      <c r="L1324" s="16">
        <v>10035</v>
      </c>
      <c r="M1324" s="16">
        <v>6012</v>
      </c>
      <c r="N1324" s="16">
        <v>3780</v>
      </c>
      <c r="O1324" s="16">
        <v>652</v>
      </c>
      <c r="P1324" s="16">
        <v>0</v>
      </c>
      <c r="Q1324" s="16">
        <v>9383</v>
      </c>
      <c r="R1324" s="16">
        <v>433</v>
      </c>
      <c r="S1324" s="16">
        <v>0</v>
      </c>
      <c r="T1324" s="16">
        <v>0</v>
      </c>
      <c r="U1324" s="15" t="str">
        <f t="shared" si="80"/>
        <v>Privado Nacional</v>
      </c>
      <c r="V1324" s="17">
        <f t="shared" si="81"/>
        <v>0.59910313901345291</v>
      </c>
      <c r="W1324" s="17">
        <f t="shared" si="82"/>
        <v>4.6147287647873812E-2</v>
      </c>
      <c r="X1324" s="15" t="str">
        <f t="shared" si="83"/>
        <v>Média/Pequena</v>
      </c>
      <c r="Y1324" s="121" t="str" cm="1">
        <f t="array" ref="Y1324">_xlfn.IFS(ISNUMBER(W1324)=FALSE,"Sem dado",W1324&gt;0.075,"Excelente",W1324&gt;0.04,"Bom",W1324&gt;0,"Fraco",TRUE,"Prejuízo")</f>
        <v>Bom</v>
      </c>
    </row>
    <row r="1325" spans="1:25" ht="15" customHeight="1" x14ac:dyDescent="0.2">
      <c r="A1325" s="12" t="s">
        <v>2824</v>
      </c>
      <c r="B1325" s="56">
        <v>5746715</v>
      </c>
      <c r="C1325" s="12"/>
      <c r="D1325" s="12"/>
      <c r="E1325" s="12"/>
      <c r="F1325" s="12" t="s">
        <v>265</v>
      </c>
      <c r="G1325" s="33">
        <v>2</v>
      </c>
      <c r="H1325" s="33">
        <v>9</v>
      </c>
      <c r="I1325" s="12" t="s">
        <v>119</v>
      </c>
      <c r="J1325" s="12" t="s">
        <v>120</v>
      </c>
      <c r="K1325" s="73" t="s">
        <v>29</v>
      </c>
      <c r="L1325" s="13">
        <v>9956</v>
      </c>
      <c r="M1325" s="13">
        <v>3761</v>
      </c>
      <c r="N1325" s="13">
        <v>5844</v>
      </c>
      <c r="O1325" s="13">
        <v>660</v>
      </c>
      <c r="P1325" s="13">
        <v>0</v>
      </c>
      <c r="Q1325" s="13">
        <v>9296</v>
      </c>
      <c r="R1325" s="13">
        <v>71</v>
      </c>
      <c r="S1325" s="13">
        <v>0</v>
      </c>
      <c r="T1325" s="13">
        <v>0</v>
      </c>
      <c r="U1325" s="12" t="str">
        <f t="shared" si="80"/>
        <v>Privado Nacional</v>
      </c>
      <c r="V1325" s="14">
        <f t="shared" si="81"/>
        <v>0.3777621534752913</v>
      </c>
      <c r="W1325" s="14">
        <f t="shared" si="82"/>
        <v>7.6376936316695353E-3</v>
      </c>
      <c r="X1325" s="12" t="str">
        <f t="shared" si="83"/>
        <v>Média/Pequena</v>
      </c>
      <c r="Y1325" s="122" t="str" cm="1">
        <f t="array" ref="Y1325">_xlfn.IFS(ISNUMBER(W1325)=FALSE,"Sem dado",W1325&gt;0.075,"Excelente",W1325&gt;0.04,"Bom",W1325&gt;0,"Fraco",TRUE,"Prejuízo")</f>
        <v>Fraco</v>
      </c>
    </row>
    <row r="1326" spans="1:25" ht="15" customHeight="1" x14ac:dyDescent="0.2">
      <c r="A1326" s="15" t="s">
        <v>2825</v>
      </c>
      <c r="B1326" s="60">
        <v>44683140</v>
      </c>
      <c r="C1326" s="15" t="s">
        <v>2826</v>
      </c>
      <c r="D1326" s="15"/>
      <c r="E1326" s="15" t="s">
        <v>2827</v>
      </c>
      <c r="F1326" s="15" t="s">
        <v>65</v>
      </c>
      <c r="G1326" s="34">
        <v>2</v>
      </c>
      <c r="H1326" s="34">
        <v>43</v>
      </c>
      <c r="I1326" s="15" t="s">
        <v>38</v>
      </c>
      <c r="J1326" s="15" t="s">
        <v>39</v>
      </c>
      <c r="K1326" s="74" t="s">
        <v>29</v>
      </c>
      <c r="L1326" s="16">
        <v>9918</v>
      </c>
      <c r="M1326" s="16">
        <v>25</v>
      </c>
      <c r="N1326" s="16">
        <v>6487</v>
      </c>
      <c r="O1326" s="16">
        <v>4559</v>
      </c>
      <c r="P1326" s="16">
        <v>879</v>
      </c>
      <c r="Q1326" s="16">
        <v>5359</v>
      </c>
      <c r="R1326" s="16">
        <v>-714</v>
      </c>
      <c r="S1326" s="16">
        <v>2</v>
      </c>
      <c r="T1326" s="16">
        <v>0</v>
      </c>
      <c r="U1326" s="15" t="str">
        <f t="shared" si="80"/>
        <v>Privado Nacional</v>
      </c>
      <c r="V1326" s="17">
        <f t="shared" si="81"/>
        <v>2.5206694898164952E-3</v>
      </c>
      <c r="W1326" s="17">
        <f t="shared" si="82"/>
        <v>-0.13323381227841016</v>
      </c>
      <c r="X1326" s="15" t="str">
        <f t="shared" si="83"/>
        <v>Média/Pequena</v>
      </c>
      <c r="Y1326" s="121" t="str" cm="1">
        <f t="array" ref="Y1326">_xlfn.IFS(ISNUMBER(W1326)=FALSE,"Sem dado",W1326&gt;0.075,"Excelente",W1326&gt;0.04,"Bom",W1326&gt;0,"Fraco",TRUE,"Prejuízo")</f>
        <v>Prejuízo</v>
      </c>
    </row>
    <row r="1327" spans="1:25" ht="15" customHeight="1" x14ac:dyDescent="0.2">
      <c r="A1327" s="12" t="s">
        <v>2828</v>
      </c>
      <c r="B1327" s="56">
        <v>60236532</v>
      </c>
      <c r="C1327" s="12" t="s">
        <v>2829</v>
      </c>
      <c r="D1327" s="12"/>
      <c r="E1327" s="12" t="s">
        <v>2830</v>
      </c>
      <c r="F1327" s="12" t="s">
        <v>65</v>
      </c>
      <c r="G1327" s="33">
        <v>2</v>
      </c>
      <c r="H1327" s="33">
        <v>43</v>
      </c>
      <c r="I1327" s="12" t="s">
        <v>53</v>
      </c>
      <c r="J1327" s="12" t="s">
        <v>54</v>
      </c>
      <c r="K1327" s="73" t="s">
        <v>29</v>
      </c>
      <c r="L1327" s="13">
        <v>9701</v>
      </c>
      <c r="M1327" s="13">
        <v>707</v>
      </c>
      <c r="N1327" s="13">
        <v>7925</v>
      </c>
      <c r="O1327" s="13">
        <v>78</v>
      </c>
      <c r="P1327" s="13">
        <v>0</v>
      </c>
      <c r="Q1327" s="13">
        <v>9623</v>
      </c>
      <c r="R1327" s="13">
        <v>-1163</v>
      </c>
      <c r="S1327" s="13">
        <v>2</v>
      </c>
      <c r="T1327" s="13">
        <v>0</v>
      </c>
      <c r="U1327" s="12" t="str">
        <f t="shared" si="80"/>
        <v>Privado Nacional</v>
      </c>
      <c r="V1327" s="14">
        <f t="shared" si="81"/>
        <v>7.2879084630450466E-2</v>
      </c>
      <c r="W1327" s="14">
        <f t="shared" si="82"/>
        <v>-0.12085628182479476</v>
      </c>
      <c r="X1327" s="12" t="str">
        <f t="shared" si="83"/>
        <v>Média/Pequena</v>
      </c>
      <c r="Y1327" s="122" t="str" cm="1">
        <f t="array" ref="Y1327">_xlfn.IFS(ISNUMBER(W1327)=FALSE,"Sem dado",W1327&gt;0.075,"Excelente",W1327&gt;0.04,"Bom",W1327&gt;0,"Fraco",TRUE,"Prejuízo")</f>
        <v>Prejuízo</v>
      </c>
    </row>
    <row r="1328" spans="1:25" ht="15" customHeight="1" x14ac:dyDescent="0.2">
      <c r="A1328" s="15" t="s">
        <v>2831</v>
      </c>
      <c r="B1328" s="60">
        <v>57259525</v>
      </c>
      <c r="C1328" s="15"/>
      <c r="D1328" s="15"/>
      <c r="E1328" s="15"/>
      <c r="F1328" s="15" t="s">
        <v>265</v>
      </c>
      <c r="G1328" s="34">
        <v>2</v>
      </c>
      <c r="H1328" s="34">
        <v>9</v>
      </c>
      <c r="I1328" s="15" t="s">
        <v>2485</v>
      </c>
      <c r="J1328" s="15" t="s">
        <v>39</v>
      </c>
      <c r="K1328" s="74" t="s">
        <v>29</v>
      </c>
      <c r="L1328" s="16">
        <v>9685</v>
      </c>
      <c r="M1328" s="16">
        <v>9281</v>
      </c>
      <c r="N1328" s="16">
        <v>78</v>
      </c>
      <c r="O1328" s="16">
        <v>606</v>
      </c>
      <c r="P1328" s="16">
        <v>0</v>
      </c>
      <c r="Q1328" s="16">
        <v>9079</v>
      </c>
      <c r="R1328" s="16">
        <v>210</v>
      </c>
      <c r="S1328" s="16">
        <v>0</v>
      </c>
      <c r="T1328" s="16">
        <v>0</v>
      </c>
      <c r="U1328" s="15" t="str">
        <f t="shared" si="80"/>
        <v>Privado Nacional</v>
      </c>
      <c r="V1328" s="17">
        <f t="shared" si="81"/>
        <v>0.95828600929272068</v>
      </c>
      <c r="W1328" s="17">
        <f t="shared" si="82"/>
        <v>2.313030069390902E-2</v>
      </c>
      <c r="X1328" s="15" t="str">
        <f t="shared" si="83"/>
        <v>Média/Pequena</v>
      </c>
      <c r="Y1328" s="121" t="str" cm="1">
        <f t="array" ref="Y1328">_xlfn.IFS(ISNUMBER(W1328)=FALSE,"Sem dado",W1328&gt;0.075,"Excelente",W1328&gt;0.04,"Bom",W1328&gt;0,"Fraco",TRUE,"Prejuízo")</f>
        <v>Fraco</v>
      </c>
    </row>
    <row r="1329" spans="1:25" ht="15" customHeight="1" x14ac:dyDescent="0.2">
      <c r="A1329" s="12" t="s">
        <v>2832</v>
      </c>
      <c r="B1329" s="56">
        <v>778858</v>
      </c>
      <c r="C1329" s="12"/>
      <c r="D1329" s="12"/>
      <c r="E1329" s="12"/>
      <c r="F1329" s="12" t="s">
        <v>265</v>
      </c>
      <c r="G1329" s="33">
        <v>2</v>
      </c>
      <c r="H1329" s="33">
        <v>9</v>
      </c>
      <c r="I1329" s="12" t="s">
        <v>27</v>
      </c>
      <c r="J1329" s="12" t="s">
        <v>28</v>
      </c>
      <c r="K1329" s="73" t="s">
        <v>29</v>
      </c>
      <c r="L1329" s="13">
        <v>9521</v>
      </c>
      <c r="M1329" s="13">
        <v>7948</v>
      </c>
      <c r="N1329" s="13">
        <v>112</v>
      </c>
      <c r="O1329" s="13">
        <v>4008</v>
      </c>
      <c r="P1329" s="13">
        <v>3576</v>
      </c>
      <c r="Q1329" s="13">
        <v>5513</v>
      </c>
      <c r="R1329" s="13">
        <v>17</v>
      </c>
      <c r="S1329" s="13">
        <v>0</v>
      </c>
      <c r="T1329" s="13">
        <v>0</v>
      </c>
      <c r="U1329" s="12" t="str">
        <f t="shared" si="80"/>
        <v>Privado Nacional</v>
      </c>
      <c r="V1329" s="14">
        <f t="shared" si="81"/>
        <v>0.83478626194727445</v>
      </c>
      <c r="W1329" s="14">
        <f t="shared" si="82"/>
        <v>3.0836205332849627E-3</v>
      </c>
      <c r="X1329" s="12" t="str">
        <f t="shared" si="83"/>
        <v>Média/Pequena</v>
      </c>
      <c r="Y1329" s="122" t="str" cm="1">
        <f t="array" ref="Y1329">_xlfn.IFS(ISNUMBER(W1329)=FALSE,"Sem dado",W1329&gt;0.075,"Excelente",W1329&gt;0.04,"Bom",W1329&gt;0,"Fraco",TRUE,"Prejuízo")</f>
        <v>Fraco</v>
      </c>
    </row>
    <row r="1330" spans="1:25" ht="15" customHeight="1" x14ac:dyDescent="0.2">
      <c r="A1330" s="15" t="s">
        <v>2833</v>
      </c>
      <c r="B1330" s="60">
        <v>9210106</v>
      </c>
      <c r="C1330" s="15" t="s">
        <v>2834</v>
      </c>
      <c r="D1330" s="15"/>
      <c r="E1330" s="15" t="s">
        <v>2835</v>
      </c>
      <c r="F1330" s="15" t="s">
        <v>65</v>
      </c>
      <c r="G1330" s="34">
        <v>2</v>
      </c>
      <c r="H1330" s="34">
        <v>10</v>
      </c>
      <c r="I1330" s="15" t="s">
        <v>143</v>
      </c>
      <c r="J1330" s="15" t="s">
        <v>144</v>
      </c>
      <c r="K1330" s="74" t="s">
        <v>29</v>
      </c>
      <c r="L1330" s="16">
        <v>9491</v>
      </c>
      <c r="M1330" s="16">
        <v>3307</v>
      </c>
      <c r="N1330" s="16">
        <v>0</v>
      </c>
      <c r="O1330" s="16">
        <v>97</v>
      </c>
      <c r="P1330" s="16">
        <v>9</v>
      </c>
      <c r="Q1330" s="16">
        <v>9394</v>
      </c>
      <c r="R1330" s="16">
        <v>-87</v>
      </c>
      <c r="S1330" s="16">
        <v>2</v>
      </c>
      <c r="T1330" s="16">
        <v>0</v>
      </c>
      <c r="U1330" s="15" t="str">
        <f t="shared" si="80"/>
        <v>Privado Nacional</v>
      </c>
      <c r="V1330" s="17">
        <f t="shared" si="81"/>
        <v>0.34843535981456114</v>
      </c>
      <c r="W1330" s="17">
        <f t="shared" si="82"/>
        <v>-9.2612305727059821E-3</v>
      </c>
      <c r="X1330" s="15" t="str">
        <f t="shared" si="83"/>
        <v>Média/Pequena</v>
      </c>
      <c r="Y1330" s="121" t="str" cm="1">
        <f t="array" ref="Y1330">_xlfn.IFS(ISNUMBER(W1330)=FALSE,"Sem dado",W1330&gt;0.075,"Excelente",W1330&gt;0.04,"Bom",W1330&gt;0,"Fraco",TRUE,"Prejuízo")</f>
        <v>Prejuízo</v>
      </c>
    </row>
    <row r="1331" spans="1:25" ht="15" customHeight="1" x14ac:dyDescent="0.2">
      <c r="A1331" s="12" t="s">
        <v>2836</v>
      </c>
      <c r="B1331" s="56">
        <v>92236777</v>
      </c>
      <c r="C1331" s="12" t="s">
        <v>192</v>
      </c>
      <c r="D1331" s="12" t="s">
        <v>193</v>
      </c>
      <c r="E1331" s="12" t="s">
        <v>194</v>
      </c>
      <c r="F1331" s="12" t="s">
        <v>98</v>
      </c>
      <c r="G1331" s="33">
        <v>2</v>
      </c>
      <c r="H1331" s="33">
        <v>16</v>
      </c>
      <c r="I1331" s="12" t="s">
        <v>38</v>
      </c>
      <c r="J1331" s="12" t="s">
        <v>39</v>
      </c>
      <c r="K1331" s="73" t="s">
        <v>29</v>
      </c>
      <c r="L1331" s="13">
        <v>9451</v>
      </c>
      <c r="M1331" s="13">
        <v>0</v>
      </c>
      <c r="N1331" s="13">
        <v>4580</v>
      </c>
      <c r="O1331" s="13">
        <v>876</v>
      </c>
      <c r="P1331" s="13">
        <v>0</v>
      </c>
      <c r="Q1331" s="13">
        <v>8575</v>
      </c>
      <c r="R1331" s="13">
        <v>171</v>
      </c>
      <c r="S1331" s="13">
        <v>2</v>
      </c>
      <c r="T1331" s="13">
        <v>0</v>
      </c>
      <c r="U1331" s="12" t="str">
        <f t="shared" si="80"/>
        <v>Privado Nacional</v>
      </c>
      <c r="V1331" s="14">
        <f t="shared" si="81"/>
        <v>0</v>
      </c>
      <c r="W1331" s="14">
        <f t="shared" si="82"/>
        <v>1.9941690962099124E-2</v>
      </c>
      <c r="X1331" s="12" t="str">
        <f t="shared" si="83"/>
        <v>Média/Pequena</v>
      </c>
      <c r="Y1331" s="122" t="str" cm="1">
        <f t="array" ref="Y1331">_xlfn.IFS(ISNUMBER(W1331)=FALSE,"Sem dado",W1331&gt;0.075,"Excelente",W1331&gt;0.04,"Bom",W1331&gt;0,"Fraco",TRUE,"Prejuízo")</f>
        <v>Fraco</v>
      </c>
    </row>
    <row r="1332" spans="1:25" ht="15" customHeight="1" x14ac:dyDescent="0.2">
      <c r="A1332" s="15" t="s">
        <v>2837</v>
      </c>
      <c r="B1332" s="60">
        <v>32982245</v>
      </c>
      <c r="C1332" s="15" t="s">
        <v>2838</v>
      </c>
      <c r="D1332" s="15"/>
      <c r="E1332" s="15" t="s">
        <v>2839</v>
      </c>
      <c r="F1332" s="15" t="s">
        <v>84</v>
      </c>
      <c r="G1332" s="34">
        <v>2</v>
      </c>
      <c r="H1332" s="34">
        <v>41</v>
      </c>
      <c r="I1332" s="15" t="s">
        <v>216</v>
      </c>
      <c r="J1332" s="15" t="s">
        <v>217</v>
      </c>
      <c r="K1332" s="74" t="s">
        <v>29</v>
      </c>
      <c r="L1332" s="16">
        <v>9444</v>
      </c>
      <c r="M1332" s="16">
        <v>0</v>
      </c>
      <c r="N1332" s="16">
        <v>6077</v>
      </c>
      <c r="O1332" s="16">
        <v>2925</v>
      </c>
      <c r="P1332" s="16">
        <v>0</v>
      </c>
      <c r="Q1332" s="16">
        <v>6518</v>
      </c>
      <c r="R1332" s="16">
        <v>-4894</v>
      </c>
      <c r="S1332" s="16">
        <v>1</v>
      </c>
      <c r="T1332" s="16">
        <v>0</v>
      </c>
      <c r="U1332" s="15" t="str">
        <f t="shared" si="80"/>
        <v>Privado Nacional</v>
      </c>
      <c r="V1332" s="17">
        <f t="shared" si="81"/>
        <v>0</v>
      </c>
      <c r="W1332" s="17">
        <f t="shared" si="82"/>
        <v>-0.75084381712181647</v>
      </c>
      <c r="X1332" s="15" t="str">
        <f t="shared" si="83"/>
        <v>Média/Pequena</v>
      </c>
      <c r="Y1332" s="121" t="str" cm="1">
        <f t="array" ref="Y1332">_xlfn.IFS(ISNUMBER(W1332)=FALSE,"Sem dado",W1332&gt;0.075,"Excelente",W1332&gt;0.04,"Bom",W1332&gt;0,"Fraco",TRUE,"Prejuízo")</f>
        <v>Prejuízo</v>
      </c>
    </row>
    <row r="1333" spans="1:25" ht="15" customHeight="1" x14ac:dyDescent="0.2">
      <c r="A1333" s="12" t="s">
        <v>2840</v>
      </c>
      <c r="B1333" s="56">
        <v>54264235</v>
      </c>
      <c r="C1333" s="12" t="s">
        <v>2841</v>
      </c>
      <c r="D1333" s="12"/>
      <c r="E1333" s="12" t="s">
        <v>2842</v>
      </c>
      <c r="F1333" s="12" t="s">
        <v>65</v>
      </c>
      <c r="G1333" s="33">
        <v>3</v>
      </c>
      <c r="H1333" s="33">
        <v>43</v>
      </c>
      <c r="I1333" s="12" t="s">
        <v>38</v>
      </c>
      <c r="J1333" s="12" t="s">
        <v>39</v>
      </c>
      <c r="K1333" s="73" t="s">
        <v>29</v>
      </c>
      <c r="L1333" s="13">
        <v>9418</v>
      </c>
      <c r="M1333" s="13">
        <v>2</v>
      </c>
      <c r="N1333" s="13">
        <v>9178</v>
      </c>
      <c r="O1333" s="13">
        <v>353</v>
      </c>
      <c r="P1333" s="13">
        <v>201</v>
      </c>
      <c r="Q1333" s="13">
        <v>9065</v>
      </c>
      <c r="R1333" s="13">
        <v>239</v>
      </c>
      <c r="S1333" s="13">
        <v>2</v>
      </c>
      <c r="T1333" s="13">
        <v>0</v>
      </c>
      <c r="U1333" s="12" t="str">
        <f t="shared" si="80"/>
        <v>Privado Estrangeiro</v>
      </c>
      <c r="V1333" s="14">
        <f t="shared" si="81"/>
        <v>2.1235931195582927E-4</v>
      </c>
      <c r="W1333" s="14">
        <f t="shared" si="82"/>
        <v>2.6365140650854938E-2</v>
      </c>
      <c r="X1333" s="12" t="str">
        <f t="shared" si="83"/>
        <v>Média/Pequena</v>
      </c>
      <c r="Y1333" s="122" t="str" cm="1">
        <f t="array" ref="Y1333">_xlfn.IFS(ISNUMBER(W1333)=FALSE,"Sem dado",W1333&gt;0.075,"Excelente",W1333&gt;0.04,"Bom",W1333&gt;0,"Fraco",TRUE,"Prejuízo")</f>
        <v>Fraco</v>
      </c>
    </row>
    <row r="1334" spans="1:25" ht="15" customHeight="1" x14ac:dyDescent="0.2">
      <c r="A1334" s="15" t="s">
        <v>2843</v>
      </c>
      <c r="B1334" s="60">
        <v>57173208</v>
      </c>
      <c r="C1334" s="15" t="s">
        <v>441</v>
      </c>
      <c r="D1334" s="15" t="s">
        <v>442</v>
      </c>
      <c r="E1334" s="15" t="s">
        <v>443</v>
      </c>
      <c r="F1334" s="15" t="s">
        <v>65</v>
      </c>
      <c r="G1334" s="34">
        <v>2</v>
      </c>
      <c r="H1334" s="34">
        <v>43</v>
      </c>
      <c r="I1334" s="15" t="s">
        <v>38</v>
      </c>
      <c r="J1334" s="15" t="s">
        <v>39</v>
      </c>
      <c r="K1334" s="74" t="s">
        <v>29</v>
      </c>
      <c r="L1334" s="16">
        <v>9338</v>
      </c>
      <c r="M1334" s="16">
        <v>3</v>
      </c>
      <c r="N1334" s="16">
        <v>6929</v>
      </c>
      <c r="O1334" s="16">
        <v>96</v>
      </c>
      <c r="P1334" s="16">
        <v>0</v>
      </c>
      <c r="Q1334" s="16">
        <v>9243</v>
      </c>
      <c r="R1334" s="16">
        <v>302</v>
      </c>
      <c r="S1334" s="16">
        <v>2</v>
      </c>
      <c r="T1334" s="16">
        <v>0</v>
      </c>
      <c r="U1334" s="15" t="str">
        <f t="shared" si="80"/>
        <v>Privado Nacional</v>
      </c>
      <c r="V1334" s="17">
        <f t="shared" si="81"/>
        <v>3.212679374598415E-4</v>
      </c>
      <c r="W1334" s="17">
        <f t="shared" si="82"/>
        <v>3.2673374445526343E-2</v>
      </c>
      <c r="X1334" s="15" t="str">
        <f t="shared" si="83"/>
        <v>Média/Pequena</v>
      </c>
      <c r="Y1334" s="121" t="str" cm="1">
        <f t="array" ref="Y1334">_xlfn.IFS(ISNUMBER(W1334)=FALSE,"Sem dado",W1334&gt;0.075,"Excelente",W1334&gt;0.04,"Bom",W1334&gt;0,"Fraco",TRUE,"Prejuízo")</f>
        <v>Fraco</v>
      </c>
    </row>
    <row r="1335" spans="1:25" ht="15" customHeight="1" x14ac:dyDescent="0.2">
      <c r="A1335" s="12" t="s">
        <v>2844</v>
      </c>
      <c r="B1335" s="56">
        <v>71384697</v>
      </c>
      <c r="C1335" s="12"/>
      <c r="D1335" s="12"/>
      <c r="E1335" s="12"/>
      <c r="F1335" s="12" t="s">
        <v>265</v>
      </c>
      <c r="G1335" s="33">
        <v>2</v>
      </c>
      <c r="H1335" s="33">
        <v>9</v>
      </c>
      <c r="I1335" s="12" t="s">
        <v>2845</v>
      </c>
      <c r="J1335" s="12" t="s">
        <v>120</v>
      </c>
      <c r="K1335" s="73" t="s">
        <v>29</v>
      </c>
      <c r="L1335" s="13">
        <v>9234</v>
      </c>
      <c r="M1335" s="13">
        <v>6207</v>
      </c>
      <c r="N1335" s="13">
        <v>2132</v>
      </c>
      <c r="O1335" s="13">
        <v>868</v>
      </c>
      <c r="P1335" s="13">
        <v>0</v>
      </c>
      <c r="Q1335" s="13">
        <v>8367</v>
      </c>
      <c r="R1335" s="13">
        <v>202</v>
      </c>
      <c r="S1335" s="13">
        <v>0</v>
      </c>
      <c r="T1335" s="13">
        <v>0</v>
      </c>
      <c r="U1335" s="12" t="str">
        <f t="shared" si="80"/>
        <v>Privado Nacional</v>
      </c>
      <c r="V1335" s="14">
        <f t="shared" si="81"/>
        <v>0.67218973359324241</v>
      </c>
      <c r="W1335" s="14">
        <f t="shared" si="82"/>
        <v>2.4142464443647663E-2</v>
      </c>
      <c r="X1335" s="12" t="str">
        <f t="shared" si="83"/>
        <v>Média/Pequena</v>
      </c>
      <c r="Y1335" s="122" t="str" cm="1">
        <f t="array" ref="Y1335">_xlfn.IFS(ISNUMBER(W1335)=FALSE,"Sem dado",W1335&gt;0.075,"Excelente",W1335&gt;0.04,"Bom",W1335&gt;0,"Fraco",TRUE,"Prejuízo")</f>
        <v>Fraco</v>
      </c>
    </row>
    <row r="1336" spans="1:25" ht="15" customHeight="1" x14ac:dyDescent="0.2">
      <c r="A1336" s="15" t="s">
        <v>2846</v>
      </c>
      <c r="B1336" s="60">
        <v>42100982</v>
      </c>
      <c r="C1336" s="15"/>
      <c r="D1336" s="15"/>
      <c r="E1336" s="15"/>
      <c r="F1336" s="15" t="s">
        <v>265</v>
      </c>
      <c r="G1336" s="34">
        <v>2</v>
      </c>
      <c r="H1336" s="34">
        <v>9</v>
      </c>
      <c r="I1336" s="15" t="s">
        <v>53</v>
      </c>
      <c r="J1336" s="15" t="s">
        <v>54</v>
      </c>
      <c r="K1336" s="74" t="s">
        <v>29</v>
      </c>
      <c r="L1336" s="16">
        <v>9217</v>
      </c>
      <c r="M1336" s="16">
        <v>905</v>
      </c>
      <c r="N1336" s="16">
        <v>0</v>
      </c>
      <c r="O1336" s="16">
        <v>222</v>
      </c>
      <c r="P1336" s="16">
        <v>89</v>
      </c>
      <c r="Q1336" s="16">
        <v>8995</v>
      </c>
      <c r="R1336" s="16">
        <v>41</v>
      </c>
      <c r="S1336" s="16">
        <v>0</v>
      </c>
      <c r="T1336" s="16">
        <v>1</v>
      </c>
      <c r="U1336" s="15" t="str">
        <f t="shared" si="80"/>
        <v>Privado Nacional</v>
      </c>
      <c r="V1336" s="17">
        <f t="shared" si="81"/>
        <v>9.8188130628187043E-2</v>
      </c>
      <c r="W1336" s="17">
        <f t="shared" si="82"/>
        <v>4.5580878265703171E-3</v>
      </c>
      <c r="X1336" s="15" t="str">
        <f t="shared" si="83"/>
        <v>Média/Pequena</v>
      </c>
      <c r="Y1336" s="121" t="str" cm="1">
        <f t="array" ref="Y1336">_xlfn.IFS(ISNUMBER(W1336)=FALSE,"Sem dado",W1336&gt;0.075,"Excelente",W1336&gt;0.04,"Bom",W1336&gt;0,"Fraco",TRUE,"Prejuízo")</f>
        <v>Fraco</v>
      </c>
    </row>
    <row r="1337" spans="1:25" ht="15" customHeight="1" x14ac:dyDescent="0.2">
      <c r="A1337" s="12" t="s">
        <v>2847</v>
      </c>
      <c r="B1337" s="56">
        <v>62280490</v>
      </c>
      <c r="C1337" s="12" t="s">
        <v>2848</v>
      </c>
      <c r="D1337" s="12"/>
      <c r="E1337" s="12" t="s">
        <v>2849</v>
      </c>
      <c r="F1337" s="12" t="s">
        <v>98</v>
      </c>
      <c r="G1337" s="33">
        <v>2</v>
      </c>
      <c r="H1337" s="33">
        <v>16</v>
      </c>
      <c r="I1337" s="12" t="s">
        <v>38</v>
      </c>
      <c r="J1337" s="12" t="s">
        <v>39</v>
      </c>
      <c r="K1337" s="73" t="s">
        <v>29</v>
      </c>
      <c r="L1337" s="13">
        <v>9210</v>
      </c>
      <c r="M1337" s="13">
        <v>0</v>
      </c>
      <c r="N1337" s="13">
        <v>8589</v>
      </c>
      <c r="O1337" s="13">
        <v>638</v>
      </c>
      <c r="P1337" s="13">
        <v>0</v>
      </c>
      <c r="Q1337" s="13">
        <v>8572</v>
      </c>
      <c r="R1337" s="13">
        <v>-7174</v>
      </c>
      <c r="S1337" s="13">
        <v>2</v>
      </c>
      <c r="T1337" s="13">
        <v>0</v>
      </c>
      <c r="U1337" s="12" t="str">
        <f t="shared" si="80"/>
        <v>Privado Nacional</v>
      </c>
      <c r="V1337" s="14">
        <f t="shared" si="81"/>
        <v>0</v>
      </c>
      <c r="W1337" s="14">
        <f t="shared" si="82"/>
        <v>-0.83691087260849273</v>
      </c>
      <c r="X1337" s="12" t="str">
        <f t="shared" si="83"/>
        <v>Média/Pequena</v>
      </c>
      <c r="Y1337" s="122" t="str" cm="1">
        <f t="array" ref="Y1337">_xlfn.IFS(ISNUMBER(W1337)=FALSE,"Sem dado",W1337&gt;0.075,"Excelente",W1337&gt;0.04,"Bom",W1337&gt;0,"Fraco",TRUE,"Prejuízo")</f>
        <v>Prejuízo</v>
      </c>
    </row>
    <row r="1338" spans="1:25" ht="15" customHeight="1" x14ac:dyDescent="0.2">
      <c r="A1338" s="15" t="s">
        <v>2850</v>
      </c>
      <c r="B1338" s="60">
        <v>4804353</v>
      </c>
      <c r="C1338" s="15"/>
      <c r="D1338" s="15"/>
      <c r="E1338" s="15"/>
      <c r="F1338" s="15" t="s">
        <v>265</v>
      </c>
      <c r="G1338" s="34">
        <v>2</v>
      </c>
      <c r="H1338" s="34">
        <v>9</v>
      </c>
      <c r="I1338" s="15" t="s">
        <v>38</v>
      </c>
      <c r="J1338" s="15" t="s">
        <v>39</v>
      </c>
      <c r="K1338" s="74" t="s">
        <v>29</v>
      </c>
      <c r="L1338" s="16">
        <v>9160</v>
      </c>
      <c r="M1338" s="16">
        <v>3302</v>
      </c>
      <c r="N1338" s="16">
        <v>5793</v>
      </c>
      <c r="O1338" s="16">
        <v>350</v>
      </c>
      <c r="P1338" s="16">
        <v>0</v>
      </c>
      <c r="Q1338" s="16">
        <v>8810</v>
      </c>
      <c r="R1338" s="16">
        <v>184</v>
      </c>
      <c r="S1338" s="16">
        <v>0</v>
      </c>
      <c r="T1338" s="16">
        <v>0</v>
      </c>
      <c r="U1338" s="15" t="str">
        <f t="shared" si="80"/>
        <v>Privado Nacional</v>
      </c>
      <c r="V1338" s="17">
        <f t="shared" si="81"/>
        <v>0.36048034934497819</v>
      </c>
      <c r="W1338" s="17">
        <f t="shared" si="82"/>
        <v>2.0885357548240637E-2</v>
      </c>
      <c r="X1338" s="15" t="str">
        <f t="shared" si="83"/>
        <v>Média/Pequena</v>
      </c>
      <c r="Y1338" s="121" t="str" cm="1">
        <f t="array" ref="Y1338">_xlfn.IFS(ISNUMBER(W1338)=FALSE,"Sem dado",W1338&gt;0.075,"Excelente",W1338&gt;0.04,"Bom",W1338&gt;0,"Fraco",TRUE,"Prejuízo")</f>
        <v>Fraco</v>
      </c>
    </row>
    <row r="1339" spans="1:25" ht="15" customHeight="1" x14ac:dyDescent="0.2">
      <c r="A1339" s="12" t="s">
        <v>2851</v>
      </c>
      <c r="B1339" s="56">
        <v>731320</v>
      </c>
      <c r="C1339" s="12"/>
      <c r="D1339" s="12"/>
      <c r="E1339" s="12"/>
      <c r="F1339" s="12" t="s">
        <v>265</v>
      </c>
      <c r="G1339" s="33">
        <v>2</v>
      </c>
      <c r="H1339" s="33">
        <v>9</v>
      </c>
      <c r="I1339" s="12" t="s">
        <v>1223</v>
      </c>
      <c r="J1339" s="12" t="s">
        <v>39</v>
      </c>
      <c r="K1339" s="73" t="s">
        <v>29</v>
      </c>
      <c r="L1339" s="13">
        <v>9142</v>
      </c>
      <c r="M1339" s="13">
        <v>8109</v>
      </c>
      <c r="N1339" s="13">
        <v>456</v>
      </c>
      <c r="O1339" s="13">
        <v>217</v>
      </c>
      <c r="P1339" s="13">
        <v>0</v>
      </c>
      <c r="Q1339" s="13">
        <v>8925</v>
      </c>
      <c r="R1339" s="13">
        <v>575</v>
      </c>
      <c r="S1339" s="13">
        <v>0</v>
      </c>
      <c r="T1339" s="13">
        <v>0</v>
      </c>
      <c r="U1339" s="12" t="str">
        <f t="shared" si="80"/>
        <v>Privado Nacional</v>
      </c>
      <c r="V1339" s="14">
        <f t="shared" si="81"/>
        <v>0.88700503172172396</v>
      </c>
      <c r="W1339" s="14">
        <f t="shared" si="82"/>
        <v>6.4425770308123242E-2</v>
      </c>
      <c r="X1339" s="12" t="str">
        <f t="shared" si="83"/>
        <v>Média/Pequena</v>
      </c>
      <c r="Y1339" s="122" t="str" cm="1">
        <f t="array" ref="Y1339">_xlfn.IFS(ISNUMBER(W1339)=FALSE,"Sem dado",W1339&gt;0.075,"Excelente",W1339&gt;0.04,"Bom",W1339&gt;0,"Fraco",TRUE,"Prejuízo")</f>
        <v>Bom</v>
      </c>
    </row>
    <row r="1340" spans="1:25" ht="15" customHeight="1" x14ac:dyDescent="0.2">
      <c r="A1340" s="15" t="s">
        <v>2852</v>
      </c>
      <c r="B1340" s="60">
        <v>57030391</v>
      </c>
      <c r="C1340" s="15" t="s">
        <v>2853</v>
      </c>
      <c r="D1340" s="15"/>
      <c r="E1340" s="15" t="s">
        <v>2854</v>
      </c>
      <c r="F1340" s="15" t="s">
        <v>84</v>
      </c>
      <c r="G1340" s="34">
        <v>2</v>
      </c>
      <c r="H1340" s="34">
        <v>41</v>
      </c>
      <c r="I1340" s="15" t="s">
        <v>1306</v>
      </c>
      <c r="J1340" s="15" t="s">
        <v>217</v>
      </c>
      <c r="K1340" s="74" t="s">
        <v>29</v>
      </c>
      <c r="L1340" s="16">
        <v>9121</v>
      </c>
      <c r="M1340" s="16">
        <v>0</v>
      </c>
      <c r="N1340" s="16">
        <v>9111</v>
      </c>
      <c r="O1340" s="16">
        <v>21</v>
      </c>
      <c r="P1340" s="16">
        <v>1</v>
      </c>
      <c r="Q1340" s="16">
        <v>9100</v>
      </c>
      <c r="R1340" s="16">
        <v>211</v>
      </c>
      <c r="S1340" s="16">
        <v>1</v>
      </c>
      <c r="T1340" s="16">
        <v>0</v>
      </c>
      <c r="U1340" s="15" t="str">
        <f t="shared" si="80"/>
        <v>Privado Nacional</v>
      </c>
      <c r="V1340" s="17">
        <f t="shared" si="81"/>
        <v>0</v>
      </c>
      <c r="W1340" s="17">
        <f t="shared" si="82"/>
        <v>2.3186813186813187E-2</v>
      </c>
      <c r="X1340" s="15" t="str">
        <f t="shared" si="83"/>
        <v>Média/Pequena</v>
      </c>
      <c r="Y1340" s="121" t="str" cm="1">
        <f t="array" ref="Y1340">_xlfn.IFS(ISNUMBER(W1340)=FALSE,"Sem dado",W1340&gt;0.075,"Excelente",W1340&gt;0.04,"Bom",W1340&gt;0,"Fraco",TRUE,"Prejuízo")</f>
        <v>Fraco</v>
      </c>
    </row>
    <row r="1341" spans="1:25" ht="15" customHeight="1" x14ac:dyDescent="0.2">
      <c r="A1341" s="12" t="s">
        <v>2855</v>
      </c>
      <c r="B1341" s="56">
        <v>53899051</v>
      </c>
      <c r="C1341" s="12" t="s">
        <v>2856</v>
      </c>
      <c r="D1341" s="12"/>
      <c r="E1341" s="12" t="s">
        <v>2857</v>
      </c>
      <c r="F1341" s="12" t="s">
        <v>98</v>
      </c>
      <c r="G1341" s="33">
        <v>2</v>
      </c>
      <c r="H1341" s="33">
        <v>16</v>
      </c>
      <c r="I1341" s="12" t="s">
        <v>73</v>
      </c>
      <c r="J1341" s="12" t="s">
        <v>74</v>
      </c>
      <c r="K1341" s="73" t="s">
        <v>29</v>
      </c>
      <c r="L1341" s="13">
        <v>9060</v>
      </c>
      <c r="M1341" s="13">
        <v>0</v>
      </c>
      <c r="N1341" s="13">
        <v>7979</v>
      </c>
      <c r="O1341" s="13">
        <v>1618</v>
      </c>
      <c r="P1341" s="13">
        <v>0</v>
      </c>
      <c r="Q1341" s="13">
        <v>7442</v>
      </c>
      <c r="R1341" s="13">
        <v>83</v>
      </c>
      <c r="S1341" s="13">
        <v>1</v>
      </c>
      <c r="T1341" s="13">
        <v>0</v>
      </c>
      <c r="U1341" s="12" t="str">
        <f t="shared" si="80"/>
        <v>Privado Nacional</v>
      </c>
      <c r="V1341" s="14">
        <f t="shared" si="81"/>
        <v>0</v>
      </c>
      <c r="W1341" s="14">
        <f t="shared" si="82"/>
        <v>1.1152915882827198E-2</v>
      </c>
      <c r="X1341" s="12" t="str">
        <f t="shared" si="83"/>
        <v>Média/Pequena</v>
      </c>
      <c r="Y1341" s="122" t="str" cm="1">
        <f t="array" ref="Y1341">_xlfn.IFS(ISNUMBER(W1341)=FALSE,"Sem dado",W1341&gt;0.075,"Excelente",W1341&gt;0.04,"Bom",W1341&gt;0,"Fraco",TRUE,"Prejuízo")</f>
        <v>Fraco</v>
      </c>
    </row>
    <row r="1342" spans="1:25" ht="15" customHeight="1" x14ac:dyDescent="0.2">
      <c r="A1342" s="15" t="s">
        <v>2858</v>
      </c>
      <c r="B1342" s="60">
        <v>28145589</v>
      </c>
      <c r="C1342" s="15"/>
      <c r="D1342" s="15"/>
      <c r="E1342" s="15"/>
      <c r="F1342" s="15" t="s">
        <v>265</v>
      </c>
      <c r="G1342" s="34">
        <v>2</v>
      </c>
      <c r="H1342" s="34">
        <v>9</v>
      </c>
      <c r="I1342" s="15" t="s">
        <v>182</v>
      </c>
      <c r="J1342" s="15" t="s">
        <v>183</v>
      </c>
      <c r="K1342" s="74" t="s">
        <v>29</v>
      </c>
      <c r="L1342" s="16">
        <v>9031</v>
      </c>
      <c r="M1342" s="16">
        <v>1409</v>
      </c>
      <c r="N1342" s="16">
        <v>7312</v>
      </c>
      <c r="O1342" s="16">
        <v>1187</v>
      </c>
      <c r="P1342" s="16">
        <v>0</v>
      </c>
      <c r="Q1342" s="16">
        <v>7844</v>
      </c>
      <c r="R1342" s="16">
        <v>117</v>
      </c>
      <c r="S1342" s="16">
        <v>0</v>
      </c>
      <c r="T1342" s="16">
        <v>1</v>
      </c>
      <c r="U1342" s="15" t="str">
        <f t="shared" si="80"/>
        <v>Privado Nacional</v>
      </c>
      <c r="V1342" s="17">
        <f t="shared" si="81"/>
        <v>0.15601815967224006</v>
      </c>
      <c r="W1342" s="17">
        <f t="shared" si="82"/>
        <v>1.4915859255481898E-2</v>
      </c>
      <c r="X1342" s="15" t="str">
        <f t="shared" si="83"/>
        <v>Média/Pequena</v>
      </c>
      <c r="Y1342" s="121" t="str" cm="1">
        <f t="array" ref="Y1342">_xlfn.IFS(ISNUMBER(W1342)=FALSE,"Sem dado",W1342&gt;0.075,"Excelente",W1342&gt;0.04,"Bom",W1342&gt;0,"Fraco",TRUE,"Prejuízo")</f>
        <v>Fraco</v>
      </c>
    </row>
    <row r="1343" spans="1:25" ht="15" customHeight="1" x14ac:dyDescent="0.2">
      <c r="A1343" s="12" t="s">
        <v>2859</v>
      </c>
      <c r="B1343" s="56">
        <v>47133056</v>
      </c>
      <c r="C1343" s="12" t="s">
        <v>2860</v>
      </c>
      <c r="D1343" s="12"/>
      <c r="E1343" s="12" t="s">
        <v>2861</v>
      </c>
      <c r="F1343" s="12" t="s">
        <v>84</v>
      </c>
      <c r="G1343" s="33">
        <v>2</v>
      </c>
      <c r="H1343" s="33">
        <v>41</v>
      </c>
      <c r="I1343" s="12" t="s">
        <v>53</v>
      </c>
      <c r="J1343" s="12" t="s">
        <v>54</v>
      </c>
      <c r="K1343" s="73" t="s">
        <v>29</v>
      </c>
      <c r="L1343" s="13">
        <v>8963</v>
      </c>
      <c r="M1343" s="13">
        <v>0</v>
      </c>
      <c r="N1343" s="13">
        <v>1024</v>
      </c>
      <c r="O1343" s="13">
        <v>3667</v>
      </c>
      <c r="P1343" s="13">
        <v>2982</v>
      </c>
      <c r="Q1343" s="13">
        <v>5296</v>
      </c>
      <c r="R1343" s="13">
        <v>-187</v>
      </c>
      <c r="S1343" s="13">
        <v>1</v>
      </c>
      <c r="T1343" s="13">
        <v>0</v>
      </c>
      <c r="U1343" s="12" t="str">
        <f t="shared" si="80"/>
        <v>Privado Nacional</v>
      </c>
      <c r="V1343" s="14">
        <f t="shared" si="81"/>
        <v>0</v>
      </c>
      <c r="W1343" s="14">
        <f t="shared" si="82"/>
        <v>-3.530966767371601E-2</v>
      </c>
      <c r="X1343" s="12" t="str">
        <f t="shared" si="83"/>
        <v>Média/Pequena</v>
      </c>
      <c r="Y1343" s="122" t="str" cm="1">
        <f t="array" ref="Y1343">_xlfn.IFS(ISNUMBER(W1343)=FALSE,"Sem dado",W1343&gt;0.075,"Excelente",W1343&gt;0.04,"Bom",W1343&gt;0,"Fraco",TRUE,"Prejuízo")</f>
        <v>Prejuízo</v>
      </c>
    </row>
    <row r="1344" spans="1:25" ht="15" customHeight="1" x14ac:dyDescent="0.2">
      <c r="A1344" s="15" t="s">
        <v>2862</v>
      </c>
      <c r="B1344" s="60">
        <v>96409263</v>
      </c>
      <c r="C1344" s="15"/>
      <c r="D1344" s="15"/>
      <c r="E1344" s="15"/>
      <c r="F1344" s="15" t="s">
        <v>265</v>
      </c>
      <c r="G1344" s="34">
        <v>2</v>
      </c>
      <c r="H1344" s="34">
        <v>9</v>
      </c>
      <c r="I1344" s="15" t="s">
        <v>2863</v>
      </c>
      <c r="J1344" s="15" t="s">
        <v>39</v>
      </c>
      <c r="K1344" s="74" t="s">
        <v>29</v>
      </c>
      <c r="L1344" s="16">
        <v>8818</v>
      </c>
      <c r="M1344" s="16">
        <v>6421</v>
      </c>
      <c r="N1344" s="16">
        <v>2387</v>
      </c>
      <c r="O1344" s="16">
        <v>171</v>
      </c>
      <c r="P1344" s="16">
        <v>0</v>
      </c>
      <c r="Q1344" s="16">
        <v>8647</v>
      </c>
      <c r="R1344" s="16">
        <v>413</v>
      </c>
      <c r="S1344" s="16">
        <v>0</v>
      </c>
      <c r="T1344" s="16">
        <v>0</v>
      </c>
      <c r="U1344" s="15" t="str">
        <f t="shared" si="80"/>
        <v>Privado Nacional</v>
      </c>
      <c r="V1344" s="17">
        <f t="shared" si="81"/>
        <v>0.72816965298253578</v>
      </c>
      <c r="W1344" s="17">
        <f t="shared" si="82"/>
        <v>4.7762229675031805E-2</v>
      </c>
      <c r="X1344" s="15" t="str">
        <f t="shared" si="83"/>
        <v>Média/Pequena</v>
      </c>
      <c r="Y1344" s="121" t="str" cm="1">
        <f t="array" ref="Y1344">_xlfn.IFS(ISNUMBER(W1344)=FALSE,"Sem dado",W1344&gt;0.075,"Excelente",W1344&gt;0.04,"Bom",W1344&gt;0,"Fraco",TRUE,"Prejuízo")</f>
        <v>Bom</v>
      </c>
    </row>
    <row r="1345" spans="1:25" ht="15" customHeight="1" x14ac:dyDescent="0.2">
      <c r="A1345" s="12" t="s">
        <v>2864</v>
      </c>
      <c r="B1345" s="56">
        <v>49204605</v>
      </c>
      <c r="C1345" s="12"/>
      <c r="D1345" s="12"/>
      <c r="E1345" s="12"/>
      <c r="F1345" s="12" t="s">
        <v>265</v>
      </c>
      <c r="G1345" s="33">
        <v>2</v>
      </c>
      <c r="H1345" s="33">
        <v>9</v>
      </c>
      <c r="I1345" s="12" t="s">
        <v>2865</v>
      </c>
      <c r="J1345" s="12" t="s">
        <v>39</v>
      </c>
      <c r="K1345" s="73" t="s">
        <v>29</v>
      </c>
      <c r="L1345" s="13">
        <v>8796</v>
      </c>
      <c r="M1345" s="13">
        <v>4653</v>
      </c>
      <c r="N1345" s="13">
        <v>3862</v>
      </c>
      <c r="O1345" s="13">
        <v>525</v>
      </c>
      <c r="P1345" s="13">
        <v>0</v>
      </c>
      <c r="Q1345" s="13">
        <v>8271</v>
      </c>
      <c r="R1345" s="13">
        <v>-86</v>
      </c>
      <c r="S1345" s="13">
        <v>0</v>
      </c>
      <c r="T1345" s="13">
        <v>0</v>
      </c>
      <c r="U1345" s="12" t="str">
        <f t="shared" si="80"/>
        <v>Privado Nacional</v>
      </c>
      <c r="V1345" s="14">
        <f t="shared" si="81"/>
        <v>0.52899045020463842</v>
      </c>
      <c r="W1345" s="14">
        <f t="shared" si="82"/>
        <v>-1.0397775359690485E-2</v>
      </c>
      <c r="X1345" s="12" t="str">
        <f t="shared" si="83"/>
        <v>Média/Pequena</v>
      </c>
      <c r="Y1345" s="122" t="str" cm="1">
        <f t="array" ref="Y1345">_xlfn.IFS(ISNUMBER(W1345)=FALSE,"Sem dado",W1345&gt;0.075,"Excelente",W1345&gt;0.04,"Bom",W1345&gt;0,"Fraco",TRUE,"Prejuízo")</f>
        <v>Prejuízo</v>
      </c>
    </row>
    <row r="1346" spans="1:25" ht="15" customHeight="1" x14ac:dyDescent="0.2">
      <c r="A1346" s="15" t="s">
        <v>2866</v>
      </c>
      <c r="B1346" s="60">
        <v>44905255</v>
      </c>
      <c r="C1346" s="15"/>
      <c r="D1346" s="15"/>
      <c r="E1346" s="15"/>
      <c r="F1346" s="15" t="s">
        <v>265</v>
      </c>
      <c r="G1346" s="34">
        <v>2</v>
      </c>
      <c r="H1346" s="34">
        <v>9</v>
      </c>
      <c r="I1346" s="15" t="s">
        <v>38</v>
      </c>
      <c r="J1346" s="15" t="s">
        <v>39</v>
      </c>
      <c r="K1346" s="74" t="s">
        <v>29</v>
      </c>
      <c r="L1346" s="16">
        <v>8696</v>
      </c>
      <c r="M1346" s="16">
        <v>2318</v>
      </c>
      <c r="N1346" s="16">
        <v>5733</v>
      </c>
      <c r="O1346" s="16">
        <v>359</v>
      </c>
      <c r="P1346" s="16">
        <v>0</v>
      </c>
      <c r="Q1346" s="16">
        <v>8337</v>
      </c>
      <c r="R1346" s="16">
        <v>240</v>
      </c>
      <c r="S1346" s="16">
        <v>0</v>
      </c>
      <c r="T1346" s="16">
        <v>0</v>
      </c>
      <c r="U1346" s="15" t="str">
        <f t="shared" si="80"/>
        <v>Privado Nacional</v>
      </c>
      <c r="V1346" s="17">
        <f t="shared" si="81"/>
        <v>0.26655933762649492</v>
      </c>
      <c r="W1346" s="17">
        <f t="shared" si="82"/>
        <v>2.8787333573227779E-2</v>
      </c>
      <c r="X1346" s="15" t="str">
        <f t="shared" si="83"/>
        <v>Média/Pequena</v>
      </c>
      <c r="Y1346" s="121" t="str" cm="1">
        <f t="array" ref="Y1346">_xlfn.IFS(ISNUMBER(W1346)=FALSE,"Sem dado",W1346&gt;0.075,"Excelente",W1346&gt;0.04,"Bom",W1346&gt;0,"Fraco",TRUE,"Prejuízo")</f>
        <v>Fraco</v>
      </c>
    </row>
    <row r="1347" spans="1:25" ht="15" customHeight="1" x14ac:dyDescent="0.2">
      <c r="A1347" s="12" t="s">
        <v>2867</v>
      </c>
      <c r="B1347" s="56">
        <v>44459799</v>
      </c>
      <c r="C1347" s="12" t="s">
        <v>2868</v>
      </c>
      <c r="D1347" s="12"/>
      <c r="E1347" s="12" t="s">
        <v>2869</v>
      </c>
      <c r="F1347" s="12" t="s">
        <v>84</v>
      </c>
      <c r="G1347" s="33">
        <v>3</v>
      </c>
      <c r="H1347" s="33">
        <v>41</v>
      </c>
      <c r="I1347" s="12" t="s">
        <v>38</v>
      </c>
      <c r="J1347" s="12" t="s">
        <v>39</v>
      </c>
      <c r="K1347" s="73" t="s">
        <v>29</v>
      </c>
      <c r="L1347" s="13">
        <v>8679</v>
      </c>
      <c r="M1347" s="13">
        <v>0</v>
      </c>
      <c r="N1347" s="13">
        <v>8242</v>
      </c>
      <c r="O1347" s="13">
        <v>153</v>
      </c>
      <c r="P1347" s="13">
        <v>0</v>
      </c>
      <c r="Q1347" s="13">
        <v>8526</v>
      </c>
      <c r="R1347" s="13">
        <v>331</v>
      </c>
      <c r="S1347" s="13">
        <v>1</v>
      </c>
      <c r="T1347" s="13">
        <v>0</v>
      </c>
      <c r="U1347" s="12" t="str">
        <f t="shared" si="80"/>
        <v>Privado Estrangeiro</v>
      </c>
      <c r="V1347" s="14">
        <f t="shared" si="81"/>
        <v>0</v>
      </c>
      <c r="W1347" s="14">
        <f t="shared" si="82"/>
        <v>3.8822425521932914E-2</v>
      </c>
      <c r="X1347" s="12" t="str">
        <f t="shared" si="83"/>
        <v>Média/Pequena</v>
      </c>
      <c r="Y1347" s="122" t="str" cm="1">
        <f t="array" ref="Y1347">_xlfn.IFS(ISNUMBER(W1347)=FALSE,"Sem dado",W1347&gt;0.075,"Excelente",W1347&gt;0.04,"Bom",W1347&gt;0,"Fraco",TRUE,"Prejuízo")</f>
        <v>Fraco</v>
      </c>
    </row>
    <row r="1348" spans="1:25" ht="15" customHeight="1" x14ac:dyDescent="0.2">
      <c r="A1348" s="15" t="s">
        <v>2870</v>
      </c>
      <c r="B1348" s="60">
        <v>48140925</v>
      </c>
      <c r="C1348" s="15"/>
      <c r="D1348" s="15"/>
      <c r="E1348" s="15"/>
      <c r="F1348" s="15" t="s">
        <v>265</v>
      </c>
      <c r="G1348" s="34">
        <v>2</v>
      </c>
      <c r="H1348" s="34">
        <v>9</v>
      </c>
      <c r="I1348" s="15" t="s">
        <v>2871</v>
      </c>
      <c r="J1348" s="15" t="s">
        <v>39</v>
      </c>
      <c r="K1348" s="74" t="s">
        <v>29</v>
      </c>
      <c r="L1348" s="16">
        <v>8603</v>
      </c>
      <c r="M1348" s="16">
        <v>4592</v>
      </c>
      <c r="N1348" s="16">
        <v>3672</v>
      </c>
      <c r="O1348" s="16">
        <v>573</v>
      </c>
      <c r="P1348" s="16">
        <v>0</v>
      </c>
      <c r="Q1348" s="16">
        <v>8031</v>
      </c>
      <c r="R1348" s="16">
        <v>408</v>
      </c>
      <c r="S1348" s="16">
        <v>0</v>
      </c>
      <c r="T1348" s="16">
        <v>0</v>
      </c>
      <c r="U1348" s="15" t="str">
        <f t="shared" si="80"/>
        <v>Privado Nacional</v>
      </c>
      <c r="V1348" s="17">
        <f t="shared" si="81"/>
        <v>0.5337672904800651</v>
      </c>
      <c r="W1348" s="17">
        <f t="shared" si="82"/>
        <v>5.0803137840866638E-2</v>
      </c>
      <c r="X1348" s="15" t="str">
        <f t="shared" si="83"/>
        <v>Média/Pequena</v>
      </c>
      <c r="Y1348" s="121" t="str" cm="1">
        <f t="array" ref="Y1348">_xlfn.IFS(ISNUMBER(W1348)=FALSE,"Sem dado",W1348&gt;0.075,"Excelente",W1348&gt;0.04,"Bom",W1348&gt;0,"Fraco",TRUE,"Prejuízo")</f>
        <v>Bom</v>
      </c>
    </row>
    <row r="1349" spans="1:25" ht="15" customHeight="1" x14ac:dyDescent="0.2">
      <c r="A1349" s="12" t="s">
        <v>2872</v>
      </c>
      <c r="B1349" s="56">
        <v>52935442</v>
      </c>
      <c r="C1349" s="12"/>
      <c r="D1349" s="12"/>
      <c r="E1349" s="12"/>
      <c r="F1349" s="12" t="s">
        <v>265</v>
      </c>
      <c r="G1349" s="33">
        <v>2</v>
      </c>
      <c r="H1349" s="33">
        <v>9</v>
      </c>
      <c r="I1349" s="12" t="s">
        <v>38</v>
      </c>
      <c r="J1349" s="12" t="s">
        <v>39</v>
      </c>
      <c r="K1349" s="73" t="s">
        <v>29</v>
      </c>
      <c r="L1349" s="13">
        <v>8487</v>
      </c>
      <c r="M1349" s="13">
        <v>6203</v>
      </c>
      <c r="N1349" s="13">
        <v>2228</v>
      </c>
      <c r="O1349" s="13">
        <v>159</v>
      </c>
      <c r="P1349" s="13">
        <v>0</v>
      </c>
      <c r="Q1349" s="13">
        <v>8329</v>
      </c>
      <c r="R1349" s="13">
        <v>347</v>
      </c>
      <c r="S1349" s="13">
        <v>0</v>
      </c>
      <c r="T1349" s="13">
        <v>0</v>
      </c>
      <c r="U1349" s="12" t="str">
        <f t="shared" ref="U1349:U1412" si="84">IFERROR(CHOOSE(G1349,"Público","Privado Nacional","Privado Estrangeiro"),"n.d.")</f>
        <v>Privado Nacional</v>
      </c>
      <c r="V1349" s="14">
        <f t="shared" ref="V1349:V1412" si="85">IF(AND(ISNUMBER(M1349),ISNUMBER(L1349)),IF(L1349&gt;0,M1349/L1349,"n.d."),"NI")</f>
        <v>0.73088252621656646</v>
      </c>
      <c r="W1349" s="14">
        <f t="shared" ref="W1349:W1412" si="86">IF(AND(ISNUMBER(R1349),ISNUMBER(Q1349)),IF(Q1349&gt;0,R1349/Q1349,"n.d."),"NI")</f>
        <v>4.1661664065313964E-2</v>
      </c>
      <c r="X1349" s="12" t="str">
        <f t="shared" ref="X1349:X1412" si="87">IF(ISNUMBER(L1349),IF(L1349&gt;100000000,"Grande","Média/Pequena"),"Sem dado")</f>
        <v>Média/Pequena</v>
      </c>
      <c r="Y1349" s="122" t="str" cm="1">
        <f t="array" ref="Y1349">_xlfn.IFS(ISNUMBER(W1349)=FALSE,"Sem dado",W1349&gt;0.075,"Excelente",W1349&gt;0.04,"Bom",W1349&gt;0,"Fraco",TRUE,"Prejuízo")</f>
        <v>Bom</v>
      </c>
    </row>
    <row r="1350" spans="1:25" ht="15" customHeight="1" x14ac:dyDescent="0.2">
      <c r="A1350" s="15" t="s">
        <v>2873</v>
      </c>
      <c r="B1350" s="60">
        <v>10853017</v>
      </c>
      <c r="C1350" s="15" t="s">
        <v>2874</v>
      </c>
      <c r="D1350" s="15"/>
      <c r="E1350" s="15" t="s">
        <v>2875</v>
      </c>
      <c r="F1350" s="15" t="s">
        <v>98</v>
      </c>
      <c r="G1350" s="34">
        <v>2</v>
      </c>
      <c r="H1350" s="34">
        <v>21</v>
      </c>
      <c r="I1350" s="15" t="s">
        <v>38</v>
      </c>
      <c r="J1350" s="15" t="s">
        <v>39</v>
      </c>
      <c r="K1350" s="74" t="s">
        <v>29</v>
      </c>
      <c r="L1350" s="16">
        <v>8455</v>
      </c>
      <c r="M1350" s="16">
        <v>0</v>
      </c>
      <c r="N1350" s="16">
        <v>531</v>
      </c>
      <c r="O1350" s="16">
        <v>1537</v>
      </c>
      <c r="P1350" s="16">
        <v>0</v>
      </c>
      <c r="Q1350" s="16">
        <v>6918</v>
      </c>
      <c r="R1350" s="16">
        <v>-658</v>
      </c>
      <c r="S1350" s="16">
        <v>2</v>
      </c>
      <c r="T1350" s="16">
        <v>0</v>
      </c>
      <c r="U1350" s="15" t="str">
        <f t="shared" si="84"/>
        <v>Privado Nacional</v>
      </c>
      <c r="V1350" s="17">
        <f t="shared" si="85"/>
        <v>0</v>
      </c>
      <c r="W1350" s="17">
        <f t="shared" si="86"/>
        <v>-9.5114194854004047E-2</v>
      </c>
      <c r="X1350" s="15" t="str">
        <f t="shared" si="87"/>
        <v>Média/Pequena</v>
      </c>
      <c r="Y1350" s="121" t="str" cm="1">
        <f t="array" ref="Y1350">_xlfn.IFS(ISNUMBER(W1350)=FALSE,"Sem dado",W1350&gt;0.075,"Excelente",W1350&gt;0.04,"Bom",W1350&gt;0,"Fraco",TRUE,"Prejuízo")</f>
        <v>Prejuízo</v>
      </c>
    </row>
    <row r="1351" spans="1:25" ht="15" customHeight="1" x14ac:dyDescent="0.2">
      <c r="A1351" s="12" t="s">
        <v>2876</v>
      </c>
      <c r="B1351" s="56">
        <v>61637240</v>
      </c>
      <c r="C1351" s="12" t="s">
        <v>2877</v>
      </c>
      <c r="D1351" s="12"/>
      <c r="E1351" s="12" t="s">
        <v>2878</v>
      </c>
      <c r="F1351" s="12" t="s">
        <v>65</v>
      </c>
      <c r="G1351" s="33">
        <v>2</v>
      </c>
      <c r="H1351" s="33">
        <v>43</v>
      </c>
      <c r="I1351" s="12" t="s">
        <v>2210</v>
      </c>
      <c r="J1351" s="12" t="s">
        <v>39</v>
      </c>
      <c r="K1351" s="73" t="s">
        <v>29</v>
      </c>
      <c r="L1351" s="13">
        <v>8426</v>
      </c>
      <c r="M1351" s="13">
        <v>3350</v>
      </c>
      <c r="N1351" s="13">
        <v>5067</v>
      </c>
      <c r="O1351" s="13">
        <v>36</v>
      </c>
      <c r="P1351" s="13">
        <v>0</v>
      </c>
      <c r="Q1351" s="13">
        <v>8390</v>
      </c>
      <c r="R1351" s="13">
        <v>144</v>
      </c>
      <c r="S1351" s="13">
        <v>2</v>
      </c>
      <c r="T1351" s="13">
        <v>0</v>
      </c>
      <c r="U1351" s="12" t="str">
        <f t="shared" si="84"/>
        <v>Privado Nacional</v>
      </c>
      <c r="V1351" s="14">
        <f t="shared" si="85"/>
        <v>0.39757892238309994</v>
      </c>
      <c r="W1351" s="14">
        <f t="shared" si="86"/>
        <v>1.7163289630512515E-2</v>
      </c>
      <c r="X1351" s="12" t="str">
        <f t="shared" si="87"/>
        <v>Média/Pequena</v>
      </c>
      <c r="Y1351" s="122" t="str" cm="1">
        <f t="array" ref="Y1351">_xlfn.IFS(ISNUMBER(W1351)=FALSE,"Sem dado",W1351&gt;0.075,"Excelente",W1351&gt;0.04,"Bom",W1351&gt;0,"Fraco",TRUE,"Prejuízo")</f>
        <v>Fraco</v>
      </c>
    </row>
    <row r="1352" spans="1:25" ht="15" customHeight="1" x14ac:dyDescent="0.2">
      <c r="A1352" s="15" t="s">
        <v>2879</v>
      </c>
      <c r="B1352" s="60">
        <v>17343682</v>
      </c>
      <c r="C1352" s="15" t="s">
        <v>2880</v>
      </c>
      <c r="D1352" s="15"/>
      <c r="E1352" s="15" t="s">
        <v>2881</v>
      </c>
      <c r="F1352" s="15" t="s">
        <v>98</v>
      </c>
      <c r="G1352" s="34">
        <v>2</v>
      </c>
      <c r="H1352" s="34">
        <v>16</v>
      </c>
      <c r="I1352" s="15" t="s">
        <v>53</v>
      </c>
      <c r="J1352" s="15" t="s">
        <v>54</v>
      </c>
      <c r="K1352" s="74" t="s">
        <v>29</v>
      </c>
      <c r="L1352" s="16">
        <v>8224</v>
      </c>
      <c r="M1352" s="16">
        <v>0</v>
      </c>
      <c r="N1352" s="16">
        <v>7189</v>
      </c>
      <c r="O1352" s="16">
        <v>3362</v>
      </c>
      <c r="P1352" s="16">
        <v>0</v>
      </c>
      <c r="Q1352" s="16">
        <v>4862</v>
      </c>
      <c r="R1352" s="16">
        <v>3365</v>
      </c>
      <c r="S1352" s="16">
        <v>3</v>
      </c>
      <c r="T1352" s="16">
        <v>0</v>
      </c>
      <c r="U1352" s="15" t="str">
        <f t="shared" si="84"/>
        <v>Privado Nacional</v>
      </c>
      <c r="V1352" s="17">
        <f t="shared" si="85"/>
        <v>0</v>
      </c>
      <c r="W1352" s="17">
        <f t="shared" si="86"/>
        <v>0.69210201563142737</v>
      </c>
      <c r="X1352" s="15" t="str">
        <f t="shared" si="87"/>
        <v>Média/Pequena</v>
      </c>
      <c r="Y1352" s="121" t="str" cm="1">
        <f t="array" ref="Y1352">_xlfn.IFS(ISNUMBER(W1352)=FALSE,"Sem dado",W1352&gt;0.075,"Excelente",W1352&gt;0.04,"Bom",W1352&gt;0,"Fraco",TRUE,"Prejuízo")</f>
        <v>Excelente</v>
      </c>
    </row>
    <row r="1353" spans="1:25" ht="15" customHeight="1" x14ac:dyDescent="0.2">
      <c r="A1353" s="12" t="s">
        <v>2882</v>
      </c>
      <c r="B1353" s="56">
        <v>48529228</v>
      </c>
      <c r="C1353" s="12" t="s">
        <v>2883</v>
      </c>
      <c r="D1353" s="12"/>
      <c r="E1353" s="12" t="s">
        <v>2884</v>
      </c>
      <c r="F1353" s="12" t="s">
        <v>65</v>
      </c>
      <c r="G1353" s="33">
        <v>2</v>
      </c>
      <c r="H1353" s="33">
        <v>43</v>
      </c>
      <c r="I1353" s="12" t="s">
        <v>281</v>
      </c>
      <c r="J1353" s="12" t="s">
        <v>217</v>
      </c>
      <c r="K1353" s="73" t="s">
        <v>29</v>
      </c>
      <c r="L1353" s="13">
        <v>8222</v>
      </c>
      <c r="M1353" s="13">
        <v>5975</v>
      </c>
      <c r="N1353" s="13">
        <v>1895</v>
      </c>
      <c r="O1353" s="13">
        <v>1734</v>
      </c>
      <c r="P1353" s="13">
        <v>0</v>
      </c>
      <c r="Q1353" s="13">
        <v>6488</v>
      </c>
      <c r="R1353" s="13">
        <v>-345</v>
      </c>
      <c r="S1353" s="13">
        <v>2</v>
      </c>
      <c r="T1353" s="13">
        <v>0</v>
      </c>
      <c r="U1353" s="12" t="str">
        <f t="shared" si="84"/>
        <v>Privado Nacional</v>
      </c>
      <c r="V1353" s="14">
        <f t="shared" si="85"/>
        <v>0.72670882996837749</v>
      </c>
      <c r="W1353" s="14">
        <f t="shared" si="86"/>
        <v>-5.3175092478421698E-2</v>
      </c>
      <c r="X1353" s="12" t="str">
        <f t="shared" si="87"/>
        <v>Média/Pequena</v>
      </c>
      <c r="Y1353" s="122" t="str" cm="1">
        <f t="array" ref="Y1353">_xlfn.IFS(ISNUMBER(W1353)=FALSE,"Sem dado",W1353&gt;0.075,"Excelente",W1353&gt;0.04,"Bom",W1353&gt;0,"Fraco",TRUE,"Prejuízo")</f>
        <v>Prejuízo</v>
      </c>
    </row>
    <row r="1354" spans="1:25" ht="15" customHeight="1" x14ac:dyDescent="0.2">
      <c r="A1354" s="15" t="s">
        <v>2885</v>
      </c>
      <c r="B1354" s="60">
        <v>52833288</v>
      </c>
      <c r="C1354" s="15" t="s">
        <v>2886</v>
      </c>
      <c r="D1354" s="15"/>
      <c r="E1354" s="15" t="s">
        <v>2887</v>
      </c>
      <c r="F1354" s="15" t="s">
        <v>84</v>
      </c>
      <c r="G1354" s="34">
        <v>3</v>
      </c>
      <c r="H1354" s="34">
        <v>41</v>
      </c>
      <c r="I1354" s="15" t="s">
        <v>38</v>
      </c>
      <c r="J1354" s="15" t="s">
        <v>39</v>
      </c>
      <c r="K1354" s="74" t="s">
        <v>29</v>
      </c>
      <c r="L1354" s="16">
        <v>8193</v>
      </c>
      <c r="M1354" s="16">
        <v>0</v>
      </c>
      <c r="N1354" s="16">
        <v>3532</v>
      </c>
      <c r="O1354" s="16">
        <v>3978</v>
      </c>
      <c r="P1354" s="16">
        <v>3745</v>
      </c>
      <c r="Q1354" s="16">
        <v>4215</v>
      </c>
      <c r="R1354" s="16">
        <v>-1457</v>
      </c>
      <c r="S1354" s="16">
        <v>1</v>
      </c>
      <c r="T1354" s="16">
        <v>0</v>
      </c>
      <c r="U1354" s="15" t="str">
        <f t="shared" si="84"/>
        <v>Privado Estrangeiro</v>
      </c>
      <c r="V1354" s="17">
        <f t="shared" si="85"/>
        <v>0</v>
      </c>
      <c r="W1354" s="17">
        <f t="shared" si="86"/>
        <v>-0.34567022538552789</v>
      </c>
      <c r="X1354" s="15" t="str">
        <f t="shared" si="87"/>
        <v>Média/Pequena</v>
      </c>
      <c r="Y1354" s="121" t="str" cm="1">
        <f t="array" ref="Y1354">_xlfn.IFS(ISNUMBER(W1354)=FALSE,"Sem dado",W1354&gt;0.075,"Excelente",W1354&gt;0.04,"Bom",W1354&gt;0,"Fraco",TRUE,"Prejuízo")</f>
        <v>Prejuízo</v>
      </c>
    </row>
    <row r="1355" spans="1:25" ht="15" customHeight="1" x14ac:dyDescent="0.2">
      <c r="A1355" s="12" t="s">
        <v>2888</v>
      </c>
      <c r="B1355" s="56">
        <v>41219353</v>
      </c>
      <c r="C1355" s="12"/>
      <c r="D1355" s="12"/>
      <c r="E1355" s="12"/>
      <c r="F1355" s="12" t="s">
        <v>265</v>
      </c>
      <c r="G1355" s="33">
        <v>2</v>
      </c>
      <c r="H1355" s="33">
        <v>9</v>
      </c>
      <c r="I1355" s="12" t="s">
        <v>577</v>
      </c>
      <c r="J1355" s="12" t="s">
        <v>578</v>
      </c>
      <c r="K1355" s="73" t="s">
        <v>29</v>
      </c>
      <c r="L1355" s="13">
        <v>8183</v>
      </c>
      <c r="M1355" s="13">
        <v>4013</v>
      </c>
      <c r="N1355" s="13">
        <v>3718</v>
      </c>
      <c r="O1355" s="13">
        <v>3138</v>
      </c>
      <c r="P1355" s="13">
        <v>2787</v>
      </c>
      <c r="Q1355" s="13">
        <v>5045</v>
      </c>
      <c r="R1355" s="13">
        <v>238</v>
      </c>
      <c r="S1355" s="13">
        <v>0</v>
      </c>
      <c r="T1355" s="13">
        <v>0</v>
      </c>
      <c r="U1355" s="12" t="str">
        <f t="shared" si="84"/>
        <v>Privado Nacional</v>
      </c>
      <c r="V1355" s="14">
        <f t="shared" si="85"/>
        <v>0.4904069412196016</v>
      </c>
      <c r="W1355" s="14">
        <f t="shared" si="86"/>
        <v>4.717542120911794E-2</v>
      </c>
      <c r="X1355" s="12" t="str">
        <f t="shared" si="87"/>
        <v>Média/Pequena</v>
      </c>
      <c r="Y1355" s="122" t="str" cm="1">
        <f t="array" ref="Y1355">_xlfn.IFS(ISNUMBER(W1355)=FALSE,"Sem dado",W1355&gt;0.075,"Excelente",W1355&gt;0.04,"Bom",W1355&gt;0,"Fraco",TRUE,"Prejuízo")</f>
        <v>Bom</v>
      </c>
    </row>
    <row r="1356" spans="1:25" ht="15" customHeight="1" x14ac:dyDescent="0.2">
      <c r="A1356" s="15" t="s">
        <v>2889</v>
      </c>
      <c r="B1356" s="60">
        <v>57598120</v>
      </c>
      <c r="C1356" s="15"/>
      <c r="D1356" s="15"/>
      <c r="E1356" s="15"/>
      <c r="F1356" s="15" t="s">
        <v>265</v>
      </c>
      <c r="G1356" s="34">
        <v>2</v>
      </c>
      <c r="H1356" s="34">
        <v>9</v>
      </c>
      <c r="I1356" s="15" t="s">
        <v>38</v>
      </c>
      <c r="J1356" s="15" t="s">
        <v>39</v>
      </c>
      <c r="K1356" s="74" t="s">
        <v>29</v>
      </c>
      <c r="L1356" s="16">
        <v>8170</v>
      </c>
      <c r="M1356" s="16">
        <v>5121</v>
      </c>
      <c r="N1356" s="16">
        <v>2470</v>
      </c>
      <c r="O1356" s="16">
        <v>354</v>
      </c>
      <c r="P1356" s="16">
        <v>0</v>
      </c>
      <c r="Q1356" s="16">
        <v>7816</v>
      </c>
      <c r="R1356" s="16">
        <v>223</v>
      </c>
      <c r="S1356" s="16">
        <v>0</v>
      </c>
      <c r="T1356" s="16">
        <v>0</v>
      </c>
      <c r="U1356" s="15" t="str">
        <f t="shared" si="84"/>
        <v>Privado Nacional</v>
      </c>
      <c r="V1356" s="17">
        <f t="shared" si="85"/>
        <v>0.62680538555691556</v>
      </c>
      <c r="W1356" s="17">
        <f t="shared" si="86"/>
        <v>2.853121801432958E-2</v>
      </c>
      <c r="X1356" s="15" t="str">
        <f t="shared" si="87"/>
        <v>Média/Pequena</v>
      </c>
      <c r="Y1356" s="121" t="str" cm="1">
        <f t="array" ref="Y1356">_xlfn.IFS(ISNUMBER(W1356)=FALSE,"Sem dado",W1356&gt;0.075,"Excelente",W1356&gt;0.04,"Bom",W1356&gt;0,"Fraco",TRUE,"Prejuízo")</f>
        <v>Fraco</v>
      </c>
    </row>
    <row r="1357" spans="1:25" ht="15" customHeight="1" x14ac:dyDescent="0.2">
      <c r="A1357" s="12" t="s">
        <v>2890</v>
      </c>
      <c r="B1357" s="56">
        <v>56198117</v>
      </c>
      <c r="C1357" s="12" t="s">
        <v>2891</v>
      </c>
      <c r="D1357" s="12"/>
      <c r="E1357" s="12" t="s">
        <v>2892</v>
      </c>
      <c r="F1357" s="12" t="s">
        <v>65</v>
      </c>
      <c r="G1357" s="33">
        <v>2</v>
      </c>
      <c r="H1357" s="33">
        <v>43</v>
      </c>
      <c r="I1357" s="12" t="s">
        <v>782</v>
      </c>
      <c r="J1357" s="12" t="s">
        <v>74</v>
      </c>
      <c r="K1357" s="73" t="s">
        <v>29</v>
      </c>
      <c r="L1357" s="13">
        <v>8047</v>
      </c>
      <c r="M1357" s="13">
        <v>0</v>
      </c>
      <c r="N1357" s="13">
        <v>4578</v>
      </c>
      <c r="O1357" s="13">
        <v>2665</v>
      </c>
      <c r="P1357" s="13">
        <v>2224</v>
      </c>
      <c r="Q1357" s="13">
        <v>5382</v>
      </c>
      <c r="R1357" s="13">
        <v>125</v>
      </c>
      <c r="S1357" s="13">
        <v>2</v>
      </c>
      <c r="T1357" s="13">
        <v>0</v>
      </c>
      <c r="U1357" s="12" t="str">
        <f t="shared" si="84"/>
        <v>Privado Nacional</v>
      </c>
      <c r="V1357" s="14">
        <f t="shared" si="85"/>
        <v>0</v>
      </c>
      <c r="W1357" s="14">
        <f t="shared" si="86"/>
        <v>2.3225566703827572E-2</v>
      </c>
      <c r="X1357" s="12" t="str">
        <f t="shared" si="87"/>
        <v>Média/Pequena</v>
      </c>
      <c r="Y1357" s="122" t="str" cm="1">
        <f t="array" ref="Y1357">_xlfn.IFS(ISNUMBER(W1357)=FALSE,"Sem dado",W1357&gt;0.075,"Excelente",W1357&gt;0.04,"Bom",W1357&gt;0,"Fraco",TRUE,"Prejuízo")</f>
        <v>Fraco</v>
      </c>
    </row>
    <row r="1358" spans="1:25" ht="15" customHeight="1" x14ac:dyDescent="0.2">
      <c r="A1358" s="15" t="s">
        <v>2893</v>
      </c>
      <c r="B1358" s="60">
        <v>91018408</v>
      </c>
      <c r="C1358" s="15"/>
      <c r="D1358" s="15"/>
      <c r="E1358" s="15"/>
      <c r="F1358" s="15" t="s">
        <v>265</v>
      </c>
      <c r="G1358" s="34">
        <v>2</v>
      </c>
      <c r="H1358" s="34">
        <v>9</v>
      </c>
      <c r="I1358" s="15" t="s">
        <v>2894</v>
      </c>
      <c r="J1358" s="15" t="s">
        <v>74</v>
      </c>
      <c r="K1358" s="74" t="s">
        <v>29</v>
      </c>
      <c r="L1358" s="16">
        <v>7990</v>
      </c>
      <c r="M1358" s="16">
        <v>6628</v>
      </c>
      <c r="N1358" s="16">
        <v>0</v>
      </c>
      <c r="O1358" s="16">
        <v>293</v>
      </c>
      <c r="P1358" s="16">
        <v>0</v>
      </c>
      <c r="Q1358" s="16">
        <v>7697</v>
      </c>
      <c r="R1358" s="16">
        <v>323</v>
      </c>
      <c r="S1358" s="16">
        <v>0</v>
      </c>
      <c r="T1358" s="16">
        <v>0</v>
      </c>
      <c r="U1358" s="15" t="str">
        <f t="shared" si="84"/>
        <v>Privado Nacional</v>
      </c>
      <c r="V1358" s="17">
        <f t="shared" si="85"/>
        <v>0.82953692115143929</v>
      </c>
      <c r="W1358" s="17">
        <f t="shared" si="86"/>
        <v>4.1964401714953879E-2</v>
      </c>
      <c r="X1358" s="15" t="str">
        <f t="shared" si="87"/>
        <v>Média/Pequena</v>
      </c>
      <c r="Y1358" s="121" t="str" cm="1">
        <f t="array" ref="Y1358">_xlfn.IFS(ISNUMBER(W1358)=FALSE,"Sem dado",W1358&gt;0.075,"Excelente",W1358&gt;0.04,"Bom",W1358&gt;0,"Fraco",TRUE,"Prejuízo")</f>
        <v>Bom</v>
      </c>
    </row>
    <row r="1359" spans="1:25" ht="15" customHeight="1" x14ac:dyDescent="0.2">
      <c r="A1359" s="12" t="s">
        <v>2895</v>
      </c>
      <c r="B1359" s="56">
        <v>34335592</v>
      </c>
      <c r="C1359" s="12" t="s">
        <v>2273</v>
      </c>
      <c r="D1359" s="12" t="s">
        <v>2274</v>
      </c>
      <c r="E1359" s="12" t="s">
        <v>2275</v>
      </c>
      <c r="F1359" s="12" t="s">
        <v>65</v>
      </c>
      <c r="G1359" s="33">
        <v>2</v>
      </c>
      <c r="H1359" s="33">
        <v>43</v>
      </c>
      <c r="I1359" s="12" t="s">
        <v>107</v>
      </c>
      <c r="J1359" s="12" t="s">
        <v>39</v>
      </c>
      <c r="K1359" s="73" t="s">
        <v>29</v>
      </c>
      <c r="L1359" s="13">
        <v>7987</v>
      </c>
      <c r="M1359" s="13">
        <v>0</v>
      </c>
      <c r="N1359" s="13">
        <v>7589</v>
      </c>
      <c r="O1359" s="13">
        <v>144</v>
      </c>
      <c r="P1359" s="13">
        <v>113</v>
      </c>
      <c r="Q1359" s="13">
        <v>7842</v>
      </c>
      <c r="R1359" s="13">
        <v>183</v>
      </c>
      <c r="S1359" s="13">
        <v>1</v>
      </c>
      <c r="T1359" s="13">
        <v>0</v>
      </c>
      <c r="U1359" s="12" t="str">
        <f t="shared" si="84"/>
        <v>Privado Nacional</v>
      </c>
      <c r="V1359" s="14">
        <f t="shared" si="85"/>
        <v>0</v>
      </c>
      <c r="W1359" s="14">
        <f t="shared" si="86"/>
        <v>2.3335883703136953E-2</v>
      </c>
      <c r="X1359" s="12" t="str">
        <f t="shared" si="87"/>
        <v>Média/Pequena</v>
      </c>
      <c r="Y1359" s="122" t="str" cm="1">
        <f t="array" ref="Y1359">_xlfn.IFS(ISNUMBER(W1359)=FALSE,"Sem dado",W1359&gt;0.075,"Excelente",W1359&gt;0.04,"Bom",W1359&gt;0,"Fraco",TRUE,"Prejuízo")</f>
        <v>Fraco</v>
      </c>
    </row>
    <row r="1360" spans="1:25" ht="15" customHeight="1" x14ac:dyDescent="0.2">
      <c r="A1360" s="15" t="s">
        <v>2896</v>
      </c>
      <c r="B1360" s="60">
        <v>38129006</v>
      </c>
      <c r="C1360" s="15" t="s">
        <v>2897</v>
      </c>
      <c r="D1360" s="15"/>
      <c r="E1360" s="15" t="s">
        <v>2898</v>
      </c>
      <c r="F1360" s="15" t="s">
        <v>65</v>
      </c>
      <c r="G1360" s="34">
        <v>2</v>
      </c>
      <c r="H1360" s="34">
        <v>43</v>
      </c>
      <c r="I1360" s="15" t="s">
        <v>38</v>
      </c>
      <c r="J1360" s="15" t="s">
        <v>39</v>
      </c>
      <c r="K1360" s="74" t="s">
        <v>29</v>
      </c>
      <c r="L1360" s="16">
        <v>7880</v>
      </c>
      <c r="M1360" s="16">
        <v>0</v>
      </c>
      <c r="N1360" s="16">
        <v>5506</v>
      </c>
      <c r="O1360" s="16">
        <v>2715</v>
      </c>
      <c r="P1360" s="16">
        <v>2283</v>
      </c>
      <c r="Q1360" s="16">
        <v>5165</v>
      </c>
      <c r="R1360" s="16">
        <v>121</v>
      </c>
      <c r="S1360" s="16">
        <v>2</v>
      </c>
      <c r="T1360" s="16">
        <v>0</v>
      </c>
      <c r="U1360" s="15" t="str">
        <f t="shared" si="84"/>
        <v>Privado Nacional</v>
      </c>
      <c r="V1360" s="17">
        <f t="shared" si="85"/>
        <v>0</v>
      </c>
      <c r="W1360" s="17">
        <f t="shared" si="86"/>
        <v>2.3426911907066795E-2</v>
      </c>
      <c r="X1360" s="15" t="str">
        <f t="shared" si="87"/>
        <v>Média/Pequena</v>
      </c>
      <c r="Y1360" s="121" t="str" cm="1">
        <f t="array" ref="Y1360">_xlfn.IFS(ISNUMBER(W1360)=FALSE,"Sem dado",W1360&gt;0.075,"Excelente",W1360&gt;0.04,"Bom",W1360&gt;0,"Fraco",TRUE,"Prejuízo")</f>
        <v>Fraco</v>
      </c>
    </row>
    <row r="1361" spans="1:25" ht="15" customHeight="1" x14ac:dyDescent="0.2">
      <c r="A1361" s="12" t="s">
        <v>2899</v>
      </c>
      <c r="B1361" s="56">
        <v>15489568</v>
      </c>
      <c r="C1361" s="12" t="s">
        <v>2900</v>
      </c>
      <c r="D1361" s="12"/>
      <c r="E1361" s="12" t="s">
        <v>2901</v>
      </c>
      <c r="F1361" s="12" t="s">
        <v>98</v>
      </c>
      <c r="G1361" s="33">
        <v>2</v>
      </c>
      <c r="H1361" s="33">
        <v>16</v>
      </c>
      <c r="I1361" s="12" t="s">
        <v>38</v>
      </c>
      <c r="J1361" s="12" t="s">
        <v>39</v>
      </c>
      <c r="K1361" s="73" t="s">
        <v>29</v>
      </c>
      <c r="L1361" s="13">
        <v>7844</v>
      </c>
      <c r="M1361" s="13">
        <v>0</v>
      </c>
      <c r="N1361" s="13">
        <v>6598</v>
      </c>
      <c r="O1361" s="13">
        <v>3704</v>
      </c>
      <c r="P1361" s="13">
        <v>0</v>
      </c>
      <c r="Q1361" s="13">
        <v>4140</v>
      </c>
      <c r="R1361" s="13">
        <v>-75</v>
      </c>
      <c r="S1361" s="13">
        <v>2</v>
      </c>
      <c r="T1361" s="13">
        <v>0</v>
      </c>
      <c r="U1361" s="12" t="str">
        <f t="shared" si="84"/>
        <v>Privado Nacional</v>
      </c>
      <c r="V1361" s="14">
        <f t="shared" si="85"/>
        <v>0</v>
      </c>
      <c r="W1361" s="14">
        <f t="shared" si="86"/>
        <v>-1.8115942028985508E-2</v>
      </c>
      <c r="X1361" s="12" t="str">
        <f t="shared" si="87"/>
        <v>Média/Pequena</v>
      </c>
      <c r="Y1361" s="122" t="str" cm="1">
        <f t="array" ref="Y1361">_xlfn.IFS(ISNUMBER(W1361)=FALSE,"Sem dado",W1361&gt;0.075,"Excelente",W1361&gt;0.04,"Bom",W1361&gt;0,"Fraco",TRUE,"Prejuízo")</f>
        <v>Prejuízo</v>
      </c>
    </row>
    <row r="1362" spans="1:25" ht="15" customHeight="1" x14ac:dyDescent="0.2">
      <c r="A1362" s="15" t="s">
        <v>2902</v>
      </c>
      <c r="B1362" s="60">
        <v>54541468</v>
      </c>
      <c r="C1362" s="15" t="s">
        <v>2903</v>
      </c>
      <c r="D1362" s="15"/>
      <c r="E1362" s="15" t="s">
        <v>2904</v>
      </c>
      <c r="F1362" s="15" t="s">
        <v>98</v>
      </c>
      <c r="G1362" s="34">
        <v>3</v>
      </c>
      <c r="H1362" s="34">
        <v>16</v>
      </c>
      <c r="I1362" s="15" t="s">
        <v>53</v>
      </c>
      <c r="J1362" s="15" t="s">
        <v>54</v>
      </c>
      <c r="K1362" s="74" t="s">
        <v>29</v>
      </c>
      <c r="L1362" s="16">
        <v>7667</v>
      </c>
      <c r="M1362" s="16">
        <v>0</v>
      </c>
      <c r="N1362" s="16">
        <v>5686</v>
      </c>
      <c r="O1362" s="16">
        <v>5382</v>
      </c>
      <c r="P1362" s="16">
        <v>0</v>
      </c>
      <c r="Q1362" s="16">
        <v>2285</v>
      </c>
      <c r="R1362" s="16">
        <v>-559</v>
      </c>
      <c r="S1362" s="16">
        <v>2</v>
      </c>
      <c r="T1362" s="16">
        <v>0</v>
      </c>
      <c r="U1362" s="15" t="str">
        <f t="shared" si="84"/>
        <v>Privado Estrangeiro</v>
      </c>
      <c r="V1362" s="17">
        <f t="shared" si="85"/>
        <v>0</v>
      </c>
      <c r="W1362" s="17">
        <f t="shared" si="86"/>
        <v>-0.24463894967177244</v>
      </c>
      <c r="X1362" s="15" t="str">
        <f t="shared" si="87"/>
        <v>Média/Pequena</v>
      </c>
      <c r="Y1362" s="121" t="str" cm="1">
        <f t="array" ref="Y1362">_xlfn.IFS(ISNUMBER(W1362)=FALSE,"Sem dado",W1362&gt;0.075,"Excelente",W1362&gt;0.04,"Bom",W1362&gt;0,"Fraco",TRUE,"Prejuízo")</f>
        <v>Prejuízo</v>
      </c>
    </row>
    <row r="1363" spans="1:25" ht="15" customHeight="1" x14ac:dyDescent="0.2">
      <c r="A1363" s="12" t="s">
        <v>2905</v>
      </c>
      <c r="B1363" s="56">
        <v>17352220</v>
      </c>
      <c r="C1363" s="12" t="s">
        <v>2906</v>
      </c>
      <c r="D1363" s="12"/>
      <c r="E1363" s="12" t="s">
        <v>2907</v>
      </c>
      <c r="F1363" s="12" t="s">
        <v>98</v>
      </c>
      <c r="G1363" s="33">
        <v>2</v>
      </c>
      <c r="H1363" s="33">
        <v>15</v>
      </c>
      <c r="I1363" s="12" t="s">
        <v>53</v>
      </c>
      <c r="J1363" s="12" t="s">
        <v>54</v>
      </c>
      <c r="K1363" s="73" t="s">
        <v>29</v>
      </c>
      <c r="L1363" s="13">
        <v>7644</v>
      </c>
      <c r="M1363" s="13">
        <v>0</v>
      </c>
      <c r="N1363" s="13">
        <v>6020</v>
      </c>
      <c r="O1363" s="13">
        <v>11239</v>
      </c>
      <c r="P1363" s="13">
        <v>0</v>
      </c>
      <c r="Q1363" s="13">
        <v>-3595</v>
      </c>
      <c r="R1363" s="13">
        <v>-2745</v>
      </c>
      <c r="S1363" s="13">
        <v>2</v>
      </c>
      <c r="T1363" s="13">
        <v>0</v>
      </c>
      <c r="U1363" s="12" t="str">
        <f t="shared" si="84"/>
        <v>Privado Nacional</v>
      </c>
      <c r="V1363" s="14">
        <f t="shared" si="85"/>
        <v>0</v>
      </c>
      <c r="W1363" s="14" t="str">
        <f t="shared" si="86"/>
        <v>n.d.</v>
      </c>
      <c r="X1363" s="12" t="str">
        <f t="shared" si="87"/>
        <v>Média/Pequena</v>
      </c>
      <c r="Y1363" s="122" t="str" cm="1">
        <f t="array" ref="Y1363">_xlfn.IFS(ISNUMBER(W1363)=FALSE,"Sem dado",W1363&gt;0.075,"Excelente",W1363&gt;0.04,"Bom",W1363&gt;0,"Fraco",TRUE,"Prejuízo")</f>
        <v>Sem dado</v>
      </c>
    </row>
    <row r="1364" spans="1:25" ht="15" customHeight="1" x14ac:dyDescent="0.2">
      <c r="A1364" s="15" t="s">
        <v>2908</v>
      </c>
      <c r="B1364" s="60">
        <v>2541707</v>
      </c>
      <c r="C1364" s="15"/>
      <c r="D1364" s="15"/>
      <c r="E1364" s="15"/>
      <c r="F1364" s="15" t="s">
        <v>265</v>
      </c>
      <c r="G1364" s="34">
        <v>2</v>
      </c>
      <c r="H1364" s="34">
        <v>9</v>
      </c>
      <c r="I1364" s="15" t="s">
        <v>2909</v>
      </c>
      <c r="J1364" s="15" t="s">
        <v>39</v>
      </c>
      <c r="K1364" s="74" t="s">
        <v>29</v>
      </c>
      <c r="L1364" s="16">
        <v>7509</v>
      </c>
      <c r="M1364" s="16">
        <v>3543</v>
      </c>
      <c r="N1364" s="16">
        <v>3690</v>
      </c>
      <c r="O1364" s="16">
        <v>1336</v>
      </c>
      <c r="P1364" s="16">
        <v>927</v>
      </c>
      <c r="Q1364" s="16">
        <v>6173</v>
      </c>
      <c r="R1364" s="16">
        <v>432</v>
      </c>
      <c r="S1364" s="16">
        <v>0</v>
      </c>
      <c r="T1364" s="16">
        <v>0</v>
      </c>
      <c r="U1364" s="15" t="str">
        <f t="shared" si="84"/>
        <v>Privado Nacional</v>
      </c>
      <c r="V1364" s="17">
        <f t="shared" si="85"/>
        <v>0.47183379944067122</v>
      </c>
      <c r="W1364" s="17">
        <f t="shared" si="86"/>
        <v>6.9982180463307953E-2</v>
      </c>
      <c r="X1364" s="15" t="str">
        <f t="shared" si="87"/>
        <v>Média/Pequena</v>
      </c>
      <c r="Y1364" s="121" t="str" cm="1">
        <f t="array" ref="Y1364">_xlfn.IFS(ISNUMBER(W1364)=FALSE,"Sem dado",W1364&gt;0.075,"Excelente",W1364&gt;0.04,"Bom",W1364&gt;0,"Fraco",TRUE,"Prejuízo")</f>
        <v>Bom</v>
      </c>
    </row>
    <row r="1365" spans="1:25" ht="15" customHeight="1" x14ac:dyDescent="0.2">
      <c r="A1365" s="12" t="s">
        <v>2910</v>
      </c>
      <c r="B1365" s="56">
        <v>19086249</v>
      </c>
      <c r="C1365" s="12" t="s">
        <v>2911</v>
      </c>
      <c r="D1365" s="12"/>
      <c r="E1365" s="12" t="s">
        <v>2912</v>
      </c>
      <c r="F1365" s="12" t="s">
        <v>98</v>
      </c>
      <c r="G1365" s="33">
        <v>2</v>
      </c>
      <c r="H1365" s="33">
        <v>21</v>
      </c>
      <c r="I1365" s="12" t="s">
        <v>1852</v>
      </c>
      <c r="J1365" s="12" t="s">
        <v>74</v>
      </c>
      <c r="K1365" s="73" t="s">
        <v>29</v>
      </c>
      <c r="L1365" s="13">
        <v>7420</v>
      </c>
      <c r="M1365" s="13">
        <v>0</v>
      </c>
      <c r="N1365" s="13">
        <v>30</v>
      </c>
      <c r="O1365" s="13">
        <v>3198</v>
      </c>
      <c r="P1365" s="13">
        <v>0</v>
      </c>
      <c r="Q1365" s="13">
        <v>4222</v>
      </c>
      <c r="R1365" s="13">
        <v>380</v>
      </c>
      <c r="S1365" s="13">
        <v>3</v>
      </c>
      <c r="T1365" s="13">
        <v>0</v>
      </c>
      <c r="U1365" s="12" t="str">
        <f t="shared" si="84"/>
        <v>Privado Nacional</v>
      </c>
      <c r="V1365" s="14">
        <f t="shared" si="85"/>
        <v>0</v>
      </c>
      <c r="W1365" s="14">
        <f t="shared" si="86"/>
        <v>9.0004737091425868E-2</v>
      </c>
      <c r="X1365" s="12" t="str">
        <f t="shared" si="87"/>
        <v>Média/Pequena</v>
      </c>
      <c r="Y1365" s="122" t="str" cm="1">
        <f t="array" ref="Y1365">_xlfn.IFS(ISNUMBER(W1365)=FALSE,"Sem dado",W1365&gt;0.075,"Excelente",W1365&gt;0.04,"Bom",W1365&gt;0,"Fraco",TRUE,"Prejuízo")</f>
        <v>Excelente</v>
      </c>
    </row>
    <row r="1366" spans="1:25" ht="15" customHeight="1" x14ac:dyDescent="0.2">
      <c r="A1366" s="15" t="s">
        <v>2913</v>
      </c>
      <c r="B1366" s="60">
        <v>17904906</v>
      </c>
      <c r="C1366" s="15" t="s">
        <v>2914</v>
      </c>
      <c r="D1366" s="15"/>
      <c r="E1366" s="15" t="s">
        <v>2915</v>
      </c>
      <c r="F1366" s="15" t="s">
        <v>98</v>
      </c>
      <c r="G1366" s="34">
        <v>2</v>
      </c>
      <c r="H1366" s="34">
        <v>21</v>
      </c>
      <c r="I1366" s="15" t="s">
        <v>53</v>
      </c>
      <c r="J1366" s="15" t="s">
        <v>54</v>
      </c>
      <c r="K1366" s="74" t="s">
        <v>29</v>
      </c>
      <c r="L1366" s="16">
        <v>7358</v>
      </c>
      <c r="M1366" s="16">
        <v>0</v>
      </c>
      <c r="N1366" s="16">
        <v>119</v>
      </c>
      <c r="O1366" s="16">
        <v>5156</v>
      </c>
      <c r="P1366" s="16">
        <v>0</v>
      </c>
      <c r="Q1366" s="16">
        <v>2202</v>
      </c>
      <c r="R1366" s="16">
        <v>-83</v>
      </c>
      <c r="S1366" s="16">
        <v>2</v>
      </c>
      <c r="T1366" s="16">
        <v>0</v>
      </c>
      <c r="U1366" s="15" t="str">
        <f t="shared" si="84"/>
        <v>Privado Nacional</v>
      </c>
      <c r="V1366" s="17">
        <f t="shared" si="85"/>
        <v>0</v>
      </c>
      <c r="W1366" s="17">
        <f t="shared" si="86"/>
        <v>-3.7693006357856496E-2</v>
      </c>
      <c r="X1366" s="15" t="str">
        <f t="shared" si="87"/>
        <v>Média/Pequena</v>
      </c>
      <c r="Y1366" s="121" t="str" cm="1">
        <f t="array" ref="Y1366">_xlfn.IFS(ISNUMBER(W1366)=FALSE,"Sem dado",W1366&gt;0.075,"Excelente",W1366&gt;0.04,"Bom",W1366&gt;0,"Fraco",TRUE,"Prejuízo")</f>
        <v>Prejuízo</v>
      </c>
    </row>
    <row r="1367" spans="1:25" ht="15" customHeight="1" x14ac:dyDescent="0.2">
      <c r="A1367" s="12" t="s">
        <v>2916</v>
      </c>
      <c r="B1367" s="56">
        <v>45716916</v>
      </c>
      <c r="C1367" s="12" t="s">
        <v>2917</v>
      </c>
      <c r="D1367" s="12"/>
      <c r="E1367" s="12" t="s">
        <v>2918</v>
      </c>
      <c r="F1367" s="12" t="s">
        <v>65</v>
      </c>
      <c r="G1367" s="33">
        <v>2</v>
      </c>
      <c r="H1367" s="33">
        <v>43</v>
      </c>
      <c r="I1367" s="12" t="s">
        <v>533</v>
      </c>
      <c r="J1367" s="12" t="s">
        <v>74</v>
      </c>
      <c r="K1367" s="73" t="s">
        <v>29</v>
      </c>
      <c r="L1367" s="13">
        <v>7334</v>
      </c>
      <c r="M1367" s="13">
        <v>460</v>
      </c>
      <c r="N1367" s="13">
        <v>362</v>
      </c>
      <c r="O1367" s="13">
        <v>2296</v>
      </c>
      <c r="P1367" s="13">
        <v>0</v>
      </c>
      <c r="Q1367" s="13">
        <v>5039</v>
      </c>
      <c r="R1367" s="13">
        <v>18</v>
      </c>
      <c r="S1367" s="13">
        <v>2</v>
      </c>
      <c r="T1367" s="13">
        <v>0</v>
      </c>
      <c r="U1367" s="12" t="str">
        <f t="shared" si="84"/>
        <v>Privado Nacional</v>
      </c>
      <c r="V1367" s="14">
        <f t="shared" si="85"/>
        <v>6.2721570766293977E-2</v>
      </c>
      <c r="W1367" s="14">
        <f t="shared" si="86"/>
        <v>3.5721373288350863E-3</v>
      </c>
      <c r="X1367" s="12" t="str">
        <f t="shared" si="87"/>
        <v>Média/Pequena</v>
      </c>
      <c r="Y1367" s="122" t="str" cm="1">
        <f t="array" ref="Y1367">_xlfn.IFS(ISNUMBER(W1367)=FALSE,"Sem dado",W1367&gt;0.075,"Excelente",W1367&gt;0.04,"Bom",W1367&gt;0,"Fraco",TRUE,"Prejuízo")</f>
        <v>Fraco</v>
      </c>
    </row>
    <row r="1368" spans="1:25" ht="15" customHeight="1" x14ac:dyDescent="0.2">
      <c r="A1368" s="15" t="s">
        <v>2919</v>
      </c>
      <c r="B1368" s="60">
        <v>4772908</v>
      </c>
      <c r="C1368" s="15" t="s">
        <v>2920</v>
      </c>
      <c r="D1368" s="15"/>
      <c r="E1368" s="15" t="s">
        <v>2921</v>
      </c>
      <c r="F1368" s="15" t="s">
        <v>65</v>
      </c>
      <c r="G1368" s="34">
        <v>2</v>
      </c>
      <c r="H1368" s="34">
        <v>10</v>
      </c>
      <c r="I1368" s="15" t="s">
        <v>2922</v>
      </c>
      <c r="J1368" s="15" t="s">
        <v>120</v>
      </c>
      <c r="K1368" s="74" t="s">
        <v>29</v>
      </c>
      <c r="L1368" s="16">
        <v>7287</v>
      </c>
      <c r="M1368" s="16">
        <v>0</v>
      </c>
      <c r="N1368" s="16">
        <v>1702</v>
      </c>
      <c r="O1368" s="16">
        <v>5748</v>
      </c>
      <c r="P1368" s="16">
        <v>0</v>
      </c>
      <c r="Q1368" s="16">
        <v>1538</v>
      </c>
      <c r="R1368" s="16">
        <v>41</v>
      </c>
      <c r="S1368" s="16">
        <v>2</v>
      </c>
      <c r="T1368" s="16">
        <v>0</v>
      </c>
      <c r="U1368" s="15" t="str">
        <f t="shared" si="84"/>
        <v>Privado Nacional</v>
      </c>
      <c r="V1368" s="17">
        <f t="shared" si="85"/>
        <v>0</v>
      </c>
      <c r="W1368" s="17">
        <f t="shared" si="86"/>
        <v>2.6657997399219768E-2</v>
      </c>
      <c r="X1368" s="15" t="str">
        <f t="shared" si="87"/>
        <v>Média/Pequena</v>
      </c>
      <c r="Y1368" s="121" t="str" cm="1">
        <f t="array" ref="Y1368">_xlfn.IFS(ISNUMBER(W1368)=FALSE,"Sem dado",W1368&gt;0.075,"Excelente",W1368&gt;0.04,"Bom",W1368&gt;0,"Fraco",TRUE,"Prejuízo")</f>
        <v>Fraco</v>
      </c>
    </row>
    <row r="1369" spans="1:25" ht="15" customHeight="1" x14ac:dyDescent="0.2">
      <c r="A1369" s="12" t="s">
        <v>2923</v>
      </c>
      <c r="B1369" s="56">
        <v>61723847</v>
      </c>
      <c r="C1369" s="12" t="s">
        <v>437</v>
      </c>
      <c r="D1369" s="12" t="s">
        <v>438</v>
      </c>
      <c r="E1369" s="12" t="s">
        <v>439</v>
      </c>
      <c r="F1369" s="12" t="s">
        <v>98</v>
      </c>
      <c r="G1369" s="33">
        <v>2</v>
      </c>
      <c r="H1369" s="33">
        <v>15</v>
      </c>
      <c r="I1369" s="12" t="s">
        <v>38</v>
      </c>
      <c r="J1369" s="12" t="s">
        <v>39</v>
      </c>
      <c r="K1369" s="73" t="s">
        <v>29</v>
      </c>
      <c r="L1369" s="13">
        <v>7208</v>
      </c>
      <c r="M1369" s="13">
        <v>0</v>
      </c>
      <c r="N1369" s="13">
        <v>6462</v>
      </c>
      <c r="O1369" s="13">
        <v>97</v>
      </c>
      <c r="P1369" s="13">
        <v>25</v>
      </c>
      <c r="Q1369" s="13">
        <v>7112</v>
      </c>
      <c r="R1369" s="13">
        <v>20</v>
      </c>
      <c r="S1369" s="13">
        <v>2</v>
      </c>
      <c r="T1369" s="13">
        <v>0</v>
      </c>
      <c r="U1369" s="12" t="str">
        <f t="shared" si="84"/>
        <v>Privado Nacional</v>
      </c>
      <c r="V1369" s="14">
        <f t="shared" si="85"/>
        <v>0</v>
      </c>
      <c r="W1369" s="14">
        <f t="shared" si="86"/>
        <v>2.8121484814398199E-3</v>
      </c>
      <c r="X1369" s="12" t="str">
        <f t="shared" si="87"/>
        <v>Média/Pequena</v>
      </c>
      <c r="Y1369" s="122" t="str" cm="1">
        <f t="array" ref="Y1369">_xlfn.IFS(ISNUMBER(W1369)=FALSE,"Sem dado",W1369&gt;0.075,"Excelente",W1369&gt;0.04,"Bom",W1369&gt;0,"Fraco",TRUE,"Prejuízo")</f>
        <v>Fraco</v>
      </c>
    </row>
    <row r="1370" spans="1:25" ht="15" customHeight="1" x14ac:dyDescent="0.2">
      <c r="A1370" s="15" t="s">
        <v>2924</v>
      </c>
      <c r="B1370" s="60">
        <v>17607375</v>
      </c>
      <c r="C1370" s="15"/>
      <c r="D1370" s="15"/>
      <c r="E1370" s="15"/>
      <c r="F1370" s="15" t="s">
        <v>265</v>
      </c>
      <c r="G1370" s="34">
        <v>2</v>
      </c>
      <c r="H1370" s="34">
        <v>9</v>
      </c>
      <c r="I1370" s="15" t="s">
        <v>1350</v>
      </c>
      <c r="J1370" s="15" t="s">
        <v>120</v>
      </c>
      <c r="K1370" s="74" t="s">
        <v>29</v>
      </c>
      <c r="L1370" s="16">
        <v>7203</v>
      </c>
      <c r="M1370" s="16">
        <v>2951</v>
      </c>
      <c r="N1370" s="16">
        <v>3522</v>
      </c>
      <c r="O1370" s="16">
        <v>331</v>
      </c>
      <c r="P1370" s="16">
        <v>0</v>
      </c>
      <c r="Q1370" s="16">
        <v>6872</v>
      </c>
      <c r="R1370" s="16">
        <v>335</v>
      </c>
      <c r="S1370" s="16">
        <v>0</v>
      </c>
      <c r="T1370" s="16">
        <v>0</v>
      </c>
      <c r="U1370" s="15" t="str">
        <f t="shared" si="84"/>
        <v>Privado Nacional</v>
      </c>
      <c r="V1370" s="17">
        <f t="shared" si="85"/>
        <v>0.40969040677495489</v>
      </c>
      <c r="W1370" s="17">
        <f t="shared" si="86"/>
        <v>4.8748544819557628E-2</v>
      </c>
      <c r="X1370" s="15" t="str">
        <f t="shared" si="87"/>
        <v>Média/Pequena</v>
      </c>
      <c r="Y1370" s="121" t="str" cm="1">
        <f t="array" ref="Y1370">_xlfn.IFS(ISNUMBER(W1370)=FALSE,"Sem dado",W1370&gt;0.075,"Excelente",W1370&gt;0.04,"Bom",W1370&gt;0,"Fraco",TRUE,"Prejuízo")</f>
        <v>Bom</v>
      </c>
    </row>
    <row r="1371" spans="1:25" ht="15" customHeight="1" x14ac:dyDescent="0.2">
      <c r="A1371" s="12" t="s">
        <v>2925</v>
      </c>
      <c r="B1371" s="56">
        <v>73077398</v>
      </c>
      <c r="C1371" s="12"/>
      <c r="D1371" s="12"/>
      <c r="E1371" s="12"/>
      <c r="F1371" s="12" t="s">
        <v>265</v>
      </c>
      <c r="G1371" s="33">
        <v>2</v>
      </c>
      <c r="H1371" s="33">
        <v>9</v>
      </c>
      <c r="I1371" s="12" t="s">
        <v>2926</v>
      </c>
      <c r="J1371" s="12" t="s">
        <v>39</v>
      </c>
      <c r="K1371" s="73" t="s">
        <v>29</v>
      </c>
      <c r="L1371" s="13">
        <v>7181</v>
      </c>
      <c r="M1371" s="13">
        <v>3915</v>
      </c>
      <c r="N1371" s="13">
        <v>2900</v>
      </c>
      <c r="O1371" s="13">
        <v>404</v>
      </c>
      <c r="P1371" s="13">
        <v>0</v>
      </c>
      <c r="Q1371" s="13">
        <v>6777</v>
      </c>
      <c r="R1371" s="13">
        <v>-53</v>
      </c>
      <c r="S1371" s="13">
        <v>0</v>
      </c>
      <c r="T1371" s="13">
        <v>1</v>
      </c>
      <c r="U1371" s="12" t="str">
        <f t="shared" si="84"/>
        <v>Privado Nacional</v>
      </c>
      <c r="V1371" s="14">
        <f t="shared" si="85"/>
        <v>0.54518869238267653</v>
      </c>
      <c r="W1371" s="14">
        <f t="shared" si="86"/>
        <v>-7.820569573557621E-3</v>
      </c>
      <c r="X1371" s="12" t="str">
        <f t="shared" si="87"/>
        <v>Média/Pequena</v>
      </c>
      <c r="Y1371" s="122" t="str" cm="1">
        <f t="array" ref="Y1371">_xlfn.IFS(ISNUMBER(W1371)=FALSE,"Sem dado",W1371&gt;0.075,"Excelente",W1371&gt;0.04,"Bom",W1371&gt;0,"Fraco",TRUE,"Prejuízo")</f>
        <v>Prejuízo</v>
      </c>
    </row>
    <row r="1372" spans="1:25" ht="15" customHeight="1" x14ac:dyDescent="0.2">
      <c r="A1372" s="15" t="s">
        <v>2927</v>
      </c>
      <c r="B1372" s="60">
        <v>42963742</v>
      </c>
      <c r="C1372" s="15" t="s">
        <v>2928</v>
      </c>
      <c r="D1372" s="15"/>
      <c r="E1372" s="15" t="s">
        <v>2929</v>
      </c>
      <c r="F1372" s="15" t="s">
        <v>65</v>
      </c>
      <c r="G1372" s="34">
        <v>2</v>
      </c>
      <c r="H1372" s="34">
        <v>43</v>
      </c>
      <c r="I1372" s="15" t="s">
        <v>119</v>
      </c>
      <c r="J1372" s="15" t="s">
        <v>120</v>
      </c>
      <c r="K1372" s="74" t="s">
        <v>29</v>
      </c>
      <c r="L1372" s="16">
        <v>7176</v>
      </c>
      <c r="M1372" s="16">
        <v>5185</v>
      </c>
      <c r="N1372" s="16">
        <v>10</v>
      </c>
      <c r="O1372" s="16">
        <v>150</v>
      </c>
      <c r="P1372" s="16">
        <v>0</v>
      </c>
      <c r="Q1372" s="16">
        <v>7025</v>
      </c>
      <c r="R1372" s="16">
        <v>356</v>
      </c>
      <c r="S1372" s="16">
        <v>2</v>
      </c>
      <c r="T1372" s="16">
        <v>0</v>
      </c>
      <c r="U1372" s="15" t="str">
        <f t="shared" si="84"/>
        <v>Privado Nacional</v>
      </c>
      <c r="V1372" s="17">
        <f t="shared" si="85"/>
        <v>0.72254738015607578</v>
      </c>
      <c r="W1372" s="17">
        <f t="shared" si="86"/>
        <v>5.0676156583629894E-2</v>
      </c>
      <c r="X1372" s="15" t="str">
        <f t="shared" si="87"/>
        <v>Média/Pequena</v>
      </c>
      <c r="Y1372" s="121" t="str" cm="1">
        <f t="array" ref="Y1372">_xlfn.IFS(ISNUMBER(W1372)=FALSE,"Sem dado",W1372&gt;0.075,"Excelente",W1372&gt;0.04,"Bom",W1372&gt;0,"Fraco",TRUE,"Prejuízo")</f>
        <v>Bom</v>
      </c>
    </row>
    <row r="1373" spans="1:25" ht="15" customHeight="1" x14ac:dyDescent="0.2">
      <c r="A1373" s="12" t="s">
        <v>2930</v>
      </c>
      <c r="B1373" s="56">
        <v>30183111</v>
      </c>
      <c r="C1373" s="12" t="s">
        <v>2931</v>
      </c>
      <c r="D1373" s="12"/>
      <c r="E1373" s="12" t="s">
        <v>2932</v>
      </c>
      <c r="F1373" s="12" t="s">
        <v>98</v>
      </c>
      <c r="G1373" s="33">
        <v>2</v>
      </c>
      <c r="H1373" s="33">
        <v>21</v>
      </c>
      <c r="I1373" s="12" t="s">
        <v>53</v>
      </c>
      <c r="J1373" s="12" t="s">
        <v>54</v>
      </c>
      <c r="K1373" s="73" t="s">
        <v>29</v>
      </c>
      <c r="L1373" s="13">
        <v>7056</v>
      </c>
      <c r="M1373" s="13">
        <v>0</v>
      </c>
      <c r="N1373" s="13">
        <v>2042</v>
      </c>
      <c r="O1373" s="13">
        <v>3872</v>
      </c>
      <c r="P1373" s="13">
        <v>0</v>
      </c>
      <c r="Q1373" s="13">
        <v>3185</v>
      </c>
      <c r="R1373" s="13">
        <v>211</v>
      </c>
      <c r="S1373" s="13">
        <v>2</v>
      </c>
      <c r="T1373" s="13">
        <v>0</v>
      </c>
      <c r="U1373" s="12" t="str">
        <f t="shared" si="84"/>
        <v>Privado Nacional</v>
      </c>
      <c r="V1373" s="14">
        <f t="shared" si="85"/>
        <v>0</v>
      </c>
      <c r="W1373" s="14">
        <f t="shared" si="86"/>
        <v>6.6248037676609112E-2</v>
      </c>
      <c r="X1373" s="12" t="str">
        <f t="shared" si="87"/>
        <v>Média/Pequena</v>
      </c>
      <c r="Y1373" s="122" t="str" cm="1">
        <f t="array" ref="Y1373">_xlfn.IFS(ISNUMBER(W1373)=FALSE,"Sem dado",W1373&gt;0.075,"Excelente",W1373&gt;0.04,"Bom",W1373&gt;0,"Fraco",TRUE,"Prejuízo")</f>
        <v>Bom</v>
      </c>
    </row>
    <row r="1374" spans="1:25" ht="15" customHeight="1" x14ac:dyDescent="0.2">
      <c r="A1374" s="15" t="s">
        <v>2933</v>
      </c>
      <c r="B1374" s="60">
        <v>141155</v>
      </c>
      <c r="C1374" s="15"/>
      <c r="D1374" s="15"/>
      <c r="E1374" s="15"/>
      <c r="F1374" s="15" t="s">
        <v>265</v>
      </c>
      <c r="G1374" s="34">
        <v>2</v>
      </c>
      <c r="H1374" s="34">
        <v>9</v>
      </c>
      <c r="I1374" s="15" t="s">
        <v>2934</v>
      </c>
      <c r="J1374" s="15" t="s">
        <v>54</v>
      </c>
      <c r="K1374" s="74" t="s">
        <v>29</v>
      </c>
      <c r="L1374" s="16">
        <v>6929</v>
      </c>
      <c r="M1374" s="16">
        <v>1965</v>
      </c>
      <c r="N1374" s="16">
        <v>2930</v>
      </c>
      <c r="O1374" s="16">
        <v>575</v>
      </c>
      <c r="P1374" s="16">
        <v>0</v>
      </c>
      <c r="Q1374" s="16">
        <v>6354</v>
      </c>
      <c r="R1374" s="16">
        <v>-37</v>
      </c>
      <c r="S1374" s="16">
        <v>0</v>
      </c>
      <c r="T1374" s="16">
        <v>1</v>
      </c>
      <c r="U1374" s="15" t="str">
        <f t="shared" si="84"/>
        <v>Privado Nacional</v>
      </c>
      <c r="V1374" s="17">
        <f t="shared" si="85"/>
        <v>0.28359070572954248</v>
      </c>
      <c r="W1374" s="17">
        <f t="shared" si="86"/>
        <v>-5.8231035568146053E-3</v>
      </c>
      <c r="X1374" s="15" t="str">
        <f t="shared" si="87"/>
        <v>Média/Pequena</v>
      </c>
      <c r="Y1374" s="121" t="str" cm="1">
        <f t="array" ref="Y1374">_xlfn.IFS(ISNUMBER(W1374)=FALSE,"Sem dado",W1374&gt;0.075,"Excelente",W1374&gt;0.04,"Bom",W1374&gt;0,"Fraco",TRUE,"Prejuízo")</f>
        <v>Prejuízo</v>
      </c>
    </row>
    <row r="1375" spans="1:25" ht="15" customHeight="1" x14ac:dyDescent="0.2">
      <c r="A1375" s="12" t="s">
        <v>2935</v>
      </c>
      <c r="B1375" s="56">
        <v>47227569</v>
      </c>
      <c r="C1375" s="12" t="s">
        <v>2936</v>
      </c>
      <c r="D1375" s="12"/>
      <c r="E1375" s="12" t="s">
        <v>2937</v>
      </c>
      <c r="F1375" s="12" t="s">
        <v>98</v>
      </c>
      <c r="G1375" s="33">
        <v>2</v>
      </c>
      <c r="H1375" s="33">
        <v>16</v>
      </c>
      <c r="I1375" s="12" t="s">
        <v>38</v>
      </c>
      <c r="J1375" s="12" t="s">
        <v>39</v>
      </c>
      <c r="K1375" s="73" t="s">
        <v>29</v>
      </c>
      <c r="L1375" s="13">
        <v>6923</v>
      </c>
      <c r="M1375" s="13">
        <v>0</v>
      </c>
      <c r="N1375" s="13">
        <v>6074</v>
      </c>
      <c r="O1375" s="13">
        <v>865</v>
      </c>
      <c r="P1375" s="13">
        <v>10</v>
      </c>
      <c r="Q1375" s="13">
        <v>6058</v>
      </c>
      <c r="R1375" s="13">
        <v>-1675</v>
      </c>
      <c r="S1375" s="13">
        <v>2</v>
      </c>
      <c r="T1375" s="13">
        <v>0</v>
      </c>
      <c r="U1375" s="12" t="str">
        <f t="shared" si="84"/>
        <v>Privado Nacional</v>
      </c>
      <c r="V1375" s="14">
        <f t="shared" si="85"/>
        <v>0</v>
      </c>
      <c r="W1375" s="14">
        <f t="shared" si="86"/>
        <v>-0.27649389237372068</v>
      </c>
      <c r="X1375" s="12" t="str">
        <f t="shared" si="87"/>
        <v>Média/Pequena</v>
      </c>
      <c r="Y1375" s="122" t="str" cm="1">
        <f t="array" ref="Y1375">_xlfn.IFS(ISNUMBER(W1375)=FALSE,"Sem dado",W1375&gt;0.075,"Excelente",W1375&gt;0.04,"Bom",W1375&gt;0,"Fraco",TRUE,"Prejuízo")</f>
        <v>Prejuízo</v>
      </c>
    </row>
    <row r="1376" spans="1:25" ht="15" customHeight="1" x14ac:dyDescent="0.2">
      <c r="A1376" s="15" t="s">
        <v>2938</v>
      </c>
      <c r="B1376" s="60">
        <v>5419025</v>
      </c>
      <c r="C1376" s="15"/>
      <c r="D1376" s="15"/>
      <c r="E1376" s="15"/>
      <c r="F1376" s="15" t="s">
        <v>265</v>
      </c>
      <c r="G1376" s="34">
        <v>2</v>
      </c>
      <c r="H1376" s="34">
        <v>9</v>
      </c>
      <c r="I1376" s="15" t="s">
        <v>73</v>
      </c>
      <c r="J1376" s="15" t="s">
        <v>74</v>
      </c>
      <c r="K1376" s="74" t="s">
        <v>29</v>
      </c>
      <c r="L1376" s="16">
        <v>6912</v>
      </c>
      <c r="M1376" s="16">
        <v>899</v>
      </c>
      <c r="N1376" s="16">
        <v>0</v>
      </c>
      <c r="O1376" s="16">
        <v>856</v>
      </c>
      <c r="P1376" s="16">
        <v>0</v>
      </c>
      <c r="Q1376" s="16">
        <v>6056</v>
      </c>
      <c r="R1376" s="16">
        <v>40</v>
      </c>
      <c r="S1376" s="16">
        <v>0</v>
      </c>
      <c r="T1376" s="16">
        <v>0</v>
      </c>
      <c r="U1376" s="15" t="str">
        <f t="shared" si="84"/>
        <v>Privado Nacional</v>
      </c>
      <c r="V1376" s="17">
        <f t="shared" si="85"/>
        <v>0.13006365740740741</v>
      </c>
      <c r="W1376" s="17">
        <f t="shared" si="86"/>
        <v>6.6050198150594455E-3</v>
      </c>
      <c r="X1376" s="15" t="str">
        <f t="shared" si="87"/>
        <v>Média/Pequena</v>
      </c>
      <c r="Y1376" s="121" t="str" cm="1">
        <f t="array" ref="Y1376">_xlfn.IFS(ISNUMBER(W1376)=FALSE,"Sem dado",W1376&gt;0.075,"Excelente",W1376&gt;0.04,"Bom",W1376&gt;0,"Fraco",TRUE,"Prejuízo")</f>
        <v>Fraco</v>
      </c>
    </row>
    <row r="1377" spans="1:25" ht="15" customHeight="1" x14ac:dyDescent="0.2">
      <c r="A1377" s="12" t="s">
        <v>2939</v>
      </c>
      <c r="B1377" s="56">
        <v>40353377</v>
      </c>
      <c r="C1377" s="12" t="s">
        <v>2940</v>
      </c>
      <c r="D1377" s="12"/>
      <c r="E1377" s="12" t="s">
        <v>2941</v>
      </c>
      <c r="F1377" s="12" t="s">
        <v>98</v>
      </c>
      <c r="G1377" s="33">
        <v>2</v>
      </c>
      <c r="H1377" s="33">
        <v>21</v>
      </c>
      <c r="I1377" s="12" t="s">
        <v>53</v>
      </c>
      <c r="J1377" s="12" t="s">
        <v>54</v>
      </c>
      <c r="K1377" s="73" t="s">
        <v>29</v>
      </c>
      <c r="L1377" s="13">
        <v>6903</v>
      </c>
      <c r="M1377" s="13">
        <v>0</v>
      </c>
      <c r="N1377" s="13">
        <v>0</v>
      </c>
      <c r="O1377" s="13">
        <v>1991</v>
      </c>
      <c r="P1377" s="13">
        <v>0</v>
      </c>
      <c r="Q1377" s="13">
        <v>4911</v>
      </c>
      <c r="R1377" s="13">
        <v>318</v>
      </c>
      <c r="S1377" s="13">
        <v>3</v>
      </c>
      <c r="T1377" s="13">
        <v>0</v>
      </c>
      <c r="U1377" s="12" t="str">
        <f t="shared" si="84"/>
        <v>Privado Nacional</v>
      </c>
      <c r="V1377" s="14">
        <f t="shared" si="85"/>
        <v>0</v>
      </c>
      <c r="W1377" s="14">
        <f t="shared" si="86"/>
        <v>6.4752596212584002E-2</v>
      </c>
      <c r="X1377" s="12" t="str">
        <f t="shared" si="87"/>
        <v>Média/Pequena</v>
      </c>
      <c r="Y1377" s="122" t="str" cm="1">
        <f t="array" ref="Y1377">_xlfn.IFS(ISNUMBER(W1377)=FALSE,"Sem dado",W1377&gt;0.075,"Excelente",W1377&gt;0.04,"Bom",W1377&gt;0,"Fraco",TRUE,"Prejuízo")</f>
        <v>Bom</v>
      </c>
    </row>
    <row r="1378" spans="1:25" ht="15" customHeight="1" x14ac:dyDescent="0.2">
      <c r="A1378" s="15" t="s">
        <v>2942</v>
      </c>
      <c r="B1378" s="60">
        <v>19495266</v>
      </c>
      <c r="C1378" s="15"/>
      <c r="D1378" s="15"/>
      <c r="E1378" s="15"/>
      <c r="F1378" s="15" t="s">
        <v>265</v>
      </c>
      <c r="G1378" s="34">
        <v>2</v>
      </c>
      <c r="H1378" s="34">
        <v>9</v>
      </c>
      <c r="I1378" s="15" t="s">
        <v>839</v>
      </c>
      <c r="J1378" s="15" t="s">
        <v>120</v>
      </c>
      <c r="K1378" s="74" t="s">
        <v>29</v>
      </c>
      <c r="L1378" s="16">
        <v>6858</v>
      </c>
      <c r="M1378" s="16">
        <v>4299</v>
      </c>
      <c r="N1378" s="16">
        <v>2260</v>
      </c>
      <c r="O1378" s="16">
        <v>1137</v>
      </c>
      <c r="P1378" s="16">
        <v>0</v>
      </c>
      <c r="Q1378" s="16">
        <v>5721</v>
      </c>
      <c r="R1378" s="16">
        <v>192</v>
      </c>
      <c r="S1378" s="16">
        <v>0</v>
      </c>
      <c r="T1378" s="16">
        <v>0</v>
      </c>
      <c r="U1378" s="15" t="str">
        <f t="shared" si="84"/>
        <v>Privado Nacional</v>
      </c>
      <c r="V1378" s="17">
        <f t="shared" si="85"/>
        <v>0.62685914260717412</v>
      </c>
      <c r="W1378" s="17">
        <f t="shared" si="86"/>
        <v>3.3560566334556896E-2</v>
      </c>
      <c r="X1378" s="15" t="str">
        <f t="shared" si="87"/>
        <v>Média/Pequena</v>
      </c>
      <c r="Y1378" s="121" t="str" cm="1">
        <f t="array" ref="Y1378">_xlfn.IFS(ISNUMBER(W1378)=FALSE,"Sem dado",W1378&gt;0.075,"Excelente",W1378&gt;0.04,"Bom",W1378&gt;0,"Fraco",TRUE,"Prejuízo")</f>
        <v>Fraco</v>
      </c>
    </row>
    <row r="1379" spans="1:25" ht="15" customHeight="1" x14ac:dyDescent="0.2">
      <c r="A1379" s="12" t="s">
        <v>2943</v>
      </c>
      <c r="B1379" s="56">
        <v>64835226</v>
      </c>
      <c r="C1379" s="12" t="s">
        <v>1256</v>
      </c>
      <c r="D1379" s="12" t="s">
        <v>1257</v>
      </c>
      <c r="E1379" s="12" t="s">
        <v>1258</v>
      </c>
      <c r="F1379" s="12" t="s">
        <v>98</v>
      </c>
      <c r="G1379" s="33">
        <v>2</v>
      </c>
      <c r="H1379" s="33">
        <v>16</v>
      </c>
      <c r="I1379" s="12" t="s">
        <v>38</v>
      </c>
      <c r="J1379" s="12" t="s">
        <v>39</v>
      </c>
      <c r="K1379" s="73" t="s">
        <v>29</v>
      </c>
      <c r="L1379" s="13">
        <v>6807</v>
      </c>
      <c r="M1379" s="13">
        <v>0</v>
      </c>
      <c r="N1379" s="13">
        <v>0</v>
      </c>
      <c r="O1379" s="13">
        <v>114</v>
      </c>
      <c r="P1379" s="13">
        <v>0</v>
      </c>
      <c r="Q1379" s="13">
        <v>6693</v>
      </c>
      <c r="R1379" s="13">
        <v>192</v>
      </c>
      <c r="S1379" s="13">
        <v>2</v>
      </c>
      <c r="T1379" s="13">
        <v>0</v>
      </c>
      <c r="U1379" s="12" t="str">
        <f t="shared" si="84"/>
        <v>Privado Nacional</v>
      </c>
      <c r="V1379" s="14">
        <f t="shared" si="85"/>
        <v>0</v>
      </c>
      <c r="W1379" s="14">
        <f t="shared" si="86"/>
        <v>2.8686687584043032E-2</v>
      </c>
      <c r="X1379" s="12" t="str">
        <f t="shared" si="87"/>
        <v>Média/Pequena</v>
      </c>
      <c r="Y1379" s="122" t="str" cm="1">
        <f t="array" ref="Y1379">_xlfn.IFS(ISNUMBER(W1379)=FALSE,"Sem dado",W1379&gt;0.075,"Excelente",W1379&gt;0.04,"Bom",W1379&gt;0,"Fraco",TRUE,"Prejuízo")</f>
        <v>Fraco</v>
      </c>
    </row>
    <row r="1380" spans="1:25" ht="15" customHeight="1" x14ac:dyDescent="0.2">
      <c r="A1380" s="15" t="s">
        <v>2944</v>
      </c>
      <c r="B1380" s="60">
        <v>53385390</v>
      </c>
      <c r="C1380" s="15" t="s">
        <v>659</v>
      </c>
      <c r="D1380" s="15" t="s">
        <v>660</v>
      </c>
      <c r="E1380" s="15" t="s">
        <v>661</v>
      </c>
      <c r="F1380" s="15" t="s">
        <v>65</v>
      </c>
      <c r="G1380" s="34">
        <v>2</v>
      </c>
      <c r="H1380" s="34">
        <v>43</v>
      </c>
      <c r="I1380" s="15" t="s">
        <v>38</v>
      </c>
      <c r="J1380" s="15" t="s">
        <v>39</v>
      </c>
      <c r="K1380" s="74" t="s">
        <v>29</v>
      </c>
      <c r="L1380" s="16">
        <v>6780</v>
      </c>
      <c r="M1380" s="16">
        <v>0</v>
      </c>
      <c r="N1380" s="16">
        <v>0</v>
      </c>
      <c r="O1380" s="16">
        <v>327</v>
      </c>
      <c r="P1380" s="16">
        <v>0</v>
      </c>
      <c r="Q1380" s="16">
        <v>6453</v>
      </c>
      <c r="R1380" s="16">
        <v>-23</v>
      </c>
      <c r="S1380" s="16">
        <v>2</v>
      </c>
      <c r="T1380" s="16">
        <v>0</v>
      </c>
      <c r="U1380" s="15" t="str">
        <f t="shared" si="84"/>
        <v>Privado Nacional</v>
      </c>
      <c r="V1380" s="17">
        <f t="shared" si="85"/>
        <v>0</v>
      </c>
      <c r="W1380" s="17">
        <f t="shared" si="86"/>
        <v>-3.5642336897567023E-3</v>
      </c>
      <c r="X1380" s="15" t="str">
        <f t="shared" si="87"/>
        <v>Média/Pequena</v>
      </c>
      <c r="Y1380" s="121" t="str" cm="1">
        <f t="array" ref="Y1380">_xlfn.IFS(ISNUMBER(W1380)=FALSE,"Sem dado",W1380&gt;0.075,"Excelente",W1380&gt;0.04,"Bom",W1380&gt;0,"Fraco",TRUE,"Prejuízo")</f>
        <v>Prejuízo</v>
      </c>
    </row>
    <row r="1381" spans="1:25" ht="15" customHeight="1" x14ac:dyDescent="0.2">
      <c r="A1381" s="12" t="s">
        <v>2945</v>
      </c>
      <c r="B1381" s="56">
        <v>53272365</v>
      </c>
      <c r="C1381" s="12"/>
      <c r="D1381" s="12"/>
      <c r="E1381" s="12"/>
      <c r="F1381" s="12" t="s">
        <v>265</v>
      </c>
      <c r="G1381" s="33">
        <v>2</v>
      </c>
      <c r="H1381" s="33">
        <v>9</v>
      </c>
      <c r="I1381" s="12" t="s">
        <v>2926</v>
      </c>
      <c r="J1381" s="12" t="s">
        <v>39</v>
      </c>
      <c r="K1381" s="73" t="s">
        <v>29</v>
      </c>
      <c r="L1381" s="13">
        <v>6685</v>
      </c>
      <c r="M1381" s="13">
        <v>3503</v>
      </c>
      <c r="N1381" s="13">
        <v>2907</v>
      </c>
      <c r="O1381" s="13">
        <v>589</v>
      </c>
      <c r="P1381" s="13">
        <v>0</v>
      </c>
      <c r="Q1381" s="13">
        <v>6096</v>
      </c>
      <c r="R1381" s="13">
        <v>332</v>
      </c>
      <c r="S1381" s="13">
        <v>0</v>
      </c>
      <c r="T1381" s="13">
        <v>0</v>
      </c>
      <c r="U1381" s="12" t="str">
        <f t="shared" si="84"/>
        <v>Privado Nacional</v>
      </c>
      <c r="V1381" s="14">
        <f t="shared" si="85"/>
        <v>0.52400897531787582</v>
      </c>
      <c r="W1381" s="14">
        <f t="shared" si="86"/>
        <v>5.446194225721785E-2</v>
      </c>
      <c r="X1381" s="12" t="str">
        <f t="shared" si="87"/>
        <v>Média/Pequena</v>
      </c>
      <c r="Y1381" s="122" t="str" cm="1">
        <f t="array" ref="Y1381">_xlfn.IFS(ISNUMBER(W1381)=FALSE,"Sem dado",W1381&gt;0.075,"Excelente",W1381&gt;0.04,"Bom",W1381&gt;0,"Fraco",TRUE,"Prejuízo")</f>
        <v>Bom</v>
      </c>
    </row>
    <row r="1382" spans="1:25" ht="15" customHeight="1" x14ac:dyDescent="0.2">
      <c r="A1382" s="15" t="s">
        <v>2946</v>
      </c>
      <c r="B1382" s="60">
        <v>913314</v>
      </c>
      <c r="C1382" s="15"/>
      <c r="D1382" s="15"/>
      <c r="E1382" s="15"/>
      <c r="F1382" s="15" t="s">
        <v>265</v>
      </c>
      <c r="G1382" s="34">
        <v>2</v>
      </c>
      <c r="H1382" s="34">
        <v>9</v>
      </c>
      <c r="I1382" s="15" t="s">
        <v>2442</v>
      </c>
      <c r="J1382" s="15" t="s">
        <v>120</v>
      </c>
      <c r="K1382" s="74" t="s">
        <v>29</v>
      </c>
      <c r="L1382" s="16">
        <v>6684</v>
      </c>
      <c r="M1382" s="16">
        <v>1637</v>
      </c>
      <c r="N1382" s="16">
        <v>4632</v>
      </c>
      <c r="O1382" s="16">
        <v>549</v>
      </c>
      <c r="P1382" s="16">
        <v>0</v>
      </c>
      <c r="Q1382" s="16">
        <v>6135</v>
      </c>
      <c r="R1382" s="16">
        <v>147</v>
      </c>
      <c r="S1382" s="16">
        <v>0</v>
      </c>
      <c r="T1382" s="16">
        <v>0</v>
      </c>
      <c r="U1382" s="15" t="str">
        <f t="shared" si="84"/>
        <v>Privado Nacional</v>
      </c>
      <c r="V1382" s="17">
        <f t="shared" si="85"/>
        <v>0.24491322561340514</v>
      </c>
      <c r="W1382" s="17">
        <f t="shared" si="86"/>
        <v>2.3960880195599023E-2</v>
      </c>
      <c r="X1382" s="15" t="str">
        <f t="shared" si="87"/>
        <v>Média/Pequena</v>
      </c>
      <c r="Y1382" s="121" t="str" cm="1">
        <f t="array" ref="Y1382">_xlfn.IFS(ISNUMBER(W1382)=FALSE,"Sem dado",W1382&gt;0.075,"Excelente",W1382&gt;0.04,"Bom",W1382&gt;0,"Fraco",TRUE,"Prejuízo")</f>
        <v>Fraco</v>
      </c>
    </row>
    <row r="1383" spans="1:25" ht="15" customHeight="1" x14ac:dyDescent="0.2">
      <c r="A1383" s="12" t="s">
        <v>2947</v>
      </c>
      <c r="B1383" s="56">
        <v>49889190</v>
      </c>
      <c r="C1383" s="12" t="s">
        <v>2948</v>
      </c>
      <c r="D1383" s="12"/>
      <c r="E1383" s="12" t="s">
        <v>2949</v>
      </c>
      <c r="F1383" s="12" t="s">
        <v>65</v>
      </c>
      <c r="G1383" s="33">
        <v>2</v>
      </c>
      <c r="H1383" s="33">
        <v>43</v>
      </c>
      <c r="I1383" s="12" t="s">
        <v>38</v>
      </c>
      <c r="J1383" s="12" t="s">
        <v>39</v>
      </c>
      <c r="K1383" s="73" t="s">
        <v>29</v>
      </c>
      <c r="L1383" s="13">
        <v>6618</v>
      </c>
      <c r="M1383" s="13">
        <v>116</v>
      </c>
      <c r="N1383" s="13">
        <v>6087</v>
      </c>
      <c r="O1383" s="13">
        <v>228</v>
      </c>
      <c r="P1383" s="13">
        <v>0</v>
      </c>
      <c r="Q1383" s="13">
        <v>6390</v>
      </c>
      <c r="R1383" s="13">
        <v>114</v>
      </c>
      <c r="S1383" s="13">
        <v>2</v>
      </c>
      <c r="T1383" s="13">
        <v>0</v>
      </c>
      <c r="U1383" s="12" t="str">
        <f t="shared" si="84"/>
        <v>Privado Nacional</v>
      </c>
      <c r="V1383" s="14">
        <f t="shared" si="85"/>
        <v>1.7527954064672106E-2</v>
      </c>
      <c r="W1383" s="14">
        <f t="shared" si="86"/>
        <v>1.7840375586854459E-2</v>
      </c>
      <c r="X1383" s="12" t="str">
        <f t="shared" si="87"/>
        <v>Média/Pequena</v>
      </c>
      <c r="Y1383" s="122" t="str" cm="1">
        <f t="array" ref="Y1383">_xlfn.IFS(ISNUMBER(W1383)=FALSE,"Sem dado",W1383&gt;0.075,"Excelente",W1383&gt;0.04,"Bom",W1383&gt;0,"Fraco",TRUE,"Prejuízo")</f>
        <v>Fraco</v>
      </c>
    </row>
    <row r="1384" spans="1:25" ht="15" customHeight="1" x14ac:dyDescent="0.2">
      <c r="A1384" s="15" t="s">
        <v>2950</v>
      </c>
      <c r="B1384" s="60">
        <v>6077760</v>
      </c>
      <c r="C1384" s="15"/>
      <c r="D1384" s="15"/>
      <c r="E1384" s="15"/>
      <c r="F1384" s="15" t="s">
        <v>265</v>
      </c>
      <c r="G1384" s="34">
        <v>2</v>
      </c>
      <c r="H1384" s="34">
        <v>9</v>
      </c>
      <c r="I1384" s="15" t="s">
        <v>1180</v>
      </c>
      <c r="J1384" s="15" t="s">
        <v>39</v>
      </c>
      <c r="K1384" s="74" t="s">
        <v>29</v>
      </c>
      <c r="L1384" s="16">
        <v>6613</v>
      </c>
      <c r="M1384" s="16">
        <v>2866</v>
      </c>
      <c r="N1384" s="16">
        <v>3513</v>
      </c>
      <c r="O1384" s="16">
        <v>525</v>
      </c>
      <c r="P1384" s="16">
        <v>0</v>
      </c>
      <c r="Q1384" s="16">
        <v>6088</v>
      </c>
      <c r="R1384" s="16">
        <v>145</v>
      </c>
      <c r="S1384" s="16">
        <v>0</v>
      </c>
      <c r="T1384" s="16">
        <v>0</v>
      </c>
      <c r="U1384" s="15" t="str">
        <f t="shared" si="84"/>
        <v>Privado Nacional</v>
      </c>
      <c r="V1384" s="17">
        <f t="shared" si="85"/>
        <v>0.433388779676395</v>
      </c>
      <c r="W1384" s="17">
        <f t="shared" si="86"/>
        <v>2.3817345597897503E-2</v>
      </c>
      <c r="X1384" s="15" t="str">
        <f t="shared" si="87"/>
        <v>Média/Pequena</v>
      </c>
      <c r="Y1384" s="121" t="str" cm="1">
        <f t="array" ref="Y1384">_xlfn.IFS(ISNUMBER(W1384)=FALSE,"Sem dado",W1384&gt;0.075,"Excelente",W1384&gt;0.04,"Bom",W1384&gt;0,"Fraco",TRUE,"Prejuízo")</f>
        <v>Fraco</v>
      </c>
    </row>
    <row r="1385" spans="1:25" ht="15" customHeight="1" x14ac:dyDescent="0.2">
      <c r="A1385" s="12" t="s">
        <v>2951</v>
      </c>
      <c r="B1385" s="56">
        <v>15482499</v>
      </c>
      <c r="C1385" s="12" t="s">
        <v>2952</v>
      </c>
      <c r="D1385" s="12"/>
      <c r="E1385" s="12" t="s">
        <v>2953</v>
      </c>
      <c r="F1385" s="12" t="s">
        <v>98</v>
      </c>
      <c r="G1385" s="33">
        <v>2</v>
      </c>
      <c r="H1385" s="33">
        <v>21</v>
      </c>
      <c r="I1385" s="12" t="s">
        <v>2954</v>
      </c>
      <c r="J1385" s="12" t="s">
        <v>217</v>
      </c>
      <c r="K1385" s="73" t="s">
        <v>29</v>
      </c>
      <c r="L1385" s="13">
        <v>6481</v>
      </c>
      <c r="M1385" s="13">
        <v>0</v>
      </c>
      <c r="N1385" s="13">
        <v>521</v>
      </c>
      <c r="O1385" s="13">
        <v>1430</v>
      </c>
      <c r="P1385" s="13">
        <v>0</v>
      </c>
      <c r="Q1385" s="13">
        <v>5052</v>
      </c>
      <c r="R1385" s="13">
        <v>1</v>
      </c>
      <c r="S1385" s="13">
        <v>10</v>
      </c>
      <c r="T1385" s="13">
        <v>0</v>
      </c>
      <c r="U1385" s="12" t="str">
        <f t="shared" si="84"/>
        <v>Privado Nacional</v>
      </c>
      <c r="V1385" s="14">
        <f t="shared" si="85"/>
        <v>0</v>
      </c>
      <c r="W1385" s="14">
        <f t="shared" si="86"/>
        <v>1.9794140934283451E-4</v>
      </c>
      <c r="X1385" s="12" t="str">
        <f t="shared" si="87"/>
        <v>Média/Pequena</v>
      </c>
      <c r="Y1385" s="122" t="str" cm="1">
        <f t="array" ref="Y1385">_xlfn.IFS(ISNUMBER(W1385)=FALSE,"Sem dado",W1385&gt;0.075,"Excelente",W1385&gt;0.04,"Bom",W1385&gt;0,"Fraco",TRUE,"Prejuízo")</f>
        <v>Fraco</v>
      </c>
    </row>
    <row r="1386" spans="1:25" ht="15" customHeight="1" x14ac:dyDescent="0.2">
      <c r="A1386" s="15" t="s">
        <v>2955</v>
      </c>
      <c r="B1386" s="60">
        <v>34666362</v>
      </c>
      <c r="C1386" s="15" t="s">
        <v>2956</v>
      </c>
      <c r="D1386" s="15"/>
      <c r="E1386" s="15" t="s">
        <v>2957</v>
      </c>
      <c r="F1386" s="15" t="s">
        <v>98</v>
      </c>
      <c r="G1386" s="34">
        <v>2</v>
      </c>
      <c r="H1386" s="34">
        <v>21</v>
      </c>
      <c r="I1386" s="15" t="s">
        <v>143</v>
      </c>
      <c r="J1386" s="15" t="s">
        <v>144</v>
      </c>
      <c r="K1386" s="74" t="s">
        <v>29</v>
      </c>
      <c r="L1386" s="16">
        <v>6414</v>
      </c>
      <c r="M1386" s="16">
        <v>0</v>
      </c>
      <c r="N1386" s="16">
        <v>809</v>
      </c>
      <c r="O1386" s="16">
        <v>1577</v>
      </c>
      <c r="P1386" s="16">
        <v>0</v>
      </c>
      <c r="Q1386" s="16">
        <v>4837</v>
      </c>
      <c r="R1386" s="16">
        <v>-26</v>
      </c>
      <c r="S1386" s="16">
        <v>2</v>
      </c>
      <c r="T1386" s="16">
        <v>0</v>
      </c>
      <c r="U1386" s="15" t="str">
        <f t="shared" si="84"/>
        <v>Privado Nacional</v>
      </c>
      <c r="V1386" s="17">
        <f t="shared" si="85"/>
        <v>0</v>
      </c>
      <c r="W1386" s="17">
        <f t="shared" si="86"/>
        <v>-5.3752325821790365E-3</v>
      </c>
      <c r="X1386" s="15" t="str">
        <f t="shared" si="87"/>
        <v>Média/Pequena</v>
      </c>
      <c r="Y1386" s="121" t="str" cm="1">
        <f t="array" ref="Y1386">_xlfn.IFS(ISNUMBER(W1386)=FALSE,"Sem dado",W1386&gt;0.075,"Excelente",W1386&gt;0.04,"Bom",W1386&gt;0,"Fraco",TRUE,"Prejuízo")</f>
        <v>Prejuízo</v>
      </c>
    </row>
    <row r="1387" spans="1:25" ht="15" customHeight="1" x14ac:dyDescent="0.2">
      <c r="A1387" s="12" t="s">
        <v>2958</v>
      </c>
      <c r="B1387" s="56">
        <v>43446335</v>
      </c>
      <c r="C1387" s="12"/>
      <c r="D1387" s="12"/>
      <c r="E1387" s="12"/>
      <c r="F1387" s="12" t="s">
        <v>265</v>
      </c>
      <c r="G1387" s="33">
        <v>2</v>
      </c>
      <c r="H1387" s="33">
        <v>9</v>
      </c>
      <c r="I1387" s="12" t="s">
        <v>2959</v>
      </c>
      <c r="J1387" s="12" t="s">
        <v>120</v>
      </c>
      <c r="K1387" s="73" t="s">
        <v>29</v>
      </c>
      <c r="L1387" s="13">
        <v>6407</v>
      </c>
      <c r="M1387" s="13">
        <v>1620</v>
      </c>
      <c r="N1387" s="13">
        <v>4645</v>
      </c>
      <c r="O1387" s="13">
        <v>665</v>
      </c>
      <c r="P1387" s="13">
        <v>0</v>
      </c>
      <c r="Q1387" s="13">
        <v>5742</v>
      </c>
      <c r="R1387" s="13">
        <v>259</v>
      </c>
      <c r="S1387" s="13">
        <v>0</v>
      </c>
      <c r="T1387" s="13">
        <v>0</v>
      </c>
      <c r="U1387" s="12" t="str">
        <f t="shared" si="84"/>
        <v>Privado Nacional</v>
      </c>
      <c r="V1387" s="14">
        <f t="shared" si="85"/>
        <v>0.25284844701108161</v>
      </c>
      <c r="W1387" s="14">
        <f t="shared" si="86"/>
        <v>4.5106234761407175E-2</v>
      </c>
      <c r="X1387" s="12" t="str">
        <f t="shared" si="87"/>
        <v>Média/Pequena</v>
      </c>
      <c r="Y1387" s="122" t="str" cm="1">
        <f t="array" ref="Y1387">_xlfn.IFS(ISNUMBER(W1387)=FALSE,"Sem dado",W1387&gt;0.075,"Excelente",W1387&gt;0.04,"Bom",W1387&gt;0,"Fraco",TRUE,"Prejuízo")</f>
        <v>Bom</v>
      </c>
    </row>
    <row r="1388" spans="1:25" ht="15" customHeight="1" x14ac:dyDescent="0.2">
      <c r="A1388" s="15" t="s">
        <v>2960</v>
      </c>
      <c r="B1388" s="60">
        <v>62469998</v>
      </c>
      <c r="C1388" s="15" t="s">
        <v>2961</v>
      </c>
      <c r="D1388" s="15"/>
      <c r="E1388" s="15" t="s">
        <v>2962</v>
      </c>
      <c r="F1388" s="15" t="s">
        <v>65</v>
      </c>
      <c r="G1388" s="34">
        <v>3</v>
      </c>
      <c r="H1388" s="34">
        <v>43</v>
      </c>
      <c r="I1388" s="15" t="s">
        <v>38</v>
      </c>
      <c r="J1388" s="15" t="s">
        <v>39</v>
      </c>
      <c r="K1388" s="74" t="s">
        <v>29</v>
      </c>
      <c r="L1388" s="16">
        <v>6373</v>
      </c>
      <c r="M1388" s="16">
        <v>0</v>
      </c>
      <c r="N1388" s="16">
        <v>6346</v>
      </c>
      <c r="O1388" s="16">
        <v>4</v>
      </c>
      <c r="P1388" s="16">
        <v>0</v>
      </c>
      <c r="Q1388" s="16">
        <v>6369</v>
      </c>
      <c r="R1388" s="16">
        <v>-40</v>
      </c>
      <c r="S1388" s="16">
        <v>2</v>
      </c>
      <c r="T1388" s="16">
        <v>0</v>
      </c>
      <c r="U1388" s="15" t="str">
        <f t="shared" si="84"/>
        <v>Privado Estrangeiro</v>
      </c>
      <c r="V1388" s="17">
        <f t="shared" si="85"/>
        <v>0</v>
      </c>
      <c r="W1388" s="17">
        <f t="shared" si="86"/>
        <v>-6.2804207881928089E-3</v>
      </c>
      <c r="X1388" s="15" t="str">
        <f t="shared" si="87"/>
        <v>Média/Pequena</v>
      </c>
      <c r="Y1388" s="121" t="str" cm="1">
        <f t="array" ref="Y1388">_xlfn.IFS(ISNUMBER(W1388)=FALSE,"Sem dado",W1388&gt;0.075,"Excelente",W1388&gt;0.04,"Bom",W1388&gt;0,"Fraco",TRUE,"Prejuízo")</f>
        <v>Prejuízo</v>
      </c>
    </row>
    <row r="1389" spans="1:25" ht="15" customHeight="1" x14ac:dyDescent="0.2">
      <c r="A1389" s="12" t="s">
        <v>2963</v>
      </c>
      <c r="B1389" s="56">
        <v>87963450</v>
      </c>
      <c r="C1389" s="12" t="s">
        <v>2964</v>
      </c>
      <c r="D1389" s="12"/>
      <c r="E1389" s="12" t="s">
        <v>2965</v>
      </c>
      <c r="F1389" s="12" t="s">
        <v>98</v>
      </c>
      <c r="G1389" s="33">
        <v>2</v>
      </c>
      <c r="H1389" s="33">
        <v>16</v>
      </c>
      <c r="I1389" s="12" t="s">
        <v>53</v>
      </c>
      <c r="J1389" s="12" t="s">
        <v>54</v>
      </c>
      <c r="K1389" s="73" t="s">
        <v>29</v>
      </c>
      <c r="L1389" s="13">
        <v>6274</v>
      </c>
      <c r="M1389" s="13">
        <v>0</v>
      </c>
      <c r="N1389" s="13">
        <v>0</v>
      </c>
      <c r="O1389" s="13">
        <v>2262</v>
      </c>
      <c r="P1389" s="13">
        <v>0</v>
      </c>
      <c r="Q1389" s="13">
        <v>4012</v>
      </c>
      <c r="R1389" s="13">
        <v>-2305</v>
      </c>
      <c r="S1389" s="13">
        <v>2</v>
      </c>
      <c r="T1389" s="13">
        <v>0</v>
      </c>
      <c r="U1389" s="12" t="str">
        <f t="shared" si="84"/>
        <v>Privado Nacional</v>
      </c>
      <c r="V1389" s="14">
        <f t="shared" si="85"/>
        <v>0</v>
      </c>
      <c r="W1389" s="14">
        <f t="shared" si="86"/>
        <v>-0.57452642073778659</v>
      </c>
      <c r="X1389" s="12" t="str">
        <f t="shared" si="87"/>
        <v>Média/Pequena</v>
      </c>
      <c r="Y1389" s="122" t="str" cm="1">
        <f t="array" ref="Y1389">_xlfn.IFS(ISNUMBER(W1389)=FALSE,"Sem dado",W1389&gt;0.075,"Excelente",W1389&gt;0.04,"Bom",W1389&gt;0,"Fraco",TRUE,"Prejuízo")</f>
        <v>Prejuízo</v>
      </c>
    </row>
    <row r="1390" spans="1:25" ht="15" customHeight="1" x14ac:dyDescent="0.2">
      <c r="A1390" s="15" t="s">
        <v>2966</v>
      </c>
      <c r="B1390" s="60">
        <v>76621457</v>
      </c>
      <c r="C1390" s="15" t="s">
        <v>324</v>
      </c>
      <c r="D1390" s="15" t="s">
        <v>325</v>
      </c>
      <c r="E1390" s="15" t="s">
        <v>326</v>
      </c>
      <c r="F1390" s="15" t="s">
        <v>98</v>
      </c>
      <c r="G1390" s="34">
        <v>2</v>
      </c>
      <c r="H1390" s="34">
        <v>16</v>
      </c>
      <c r="I1390" s="15" t="s">
        <v>228</v>
      </c>
      <c r="J1390" s="15" t="s">
        <v>229</v>
      </c>
      <c r="K1390" s="74" t="s">
        <v>29</v>
      </c>
      <c r="L1390" s="16">
        <v>6271</v>
      </c>
      <c r="M1390" s="16">
        <v>0</v>
      </c>
      <c r="N1390" s="16">
        <v>0</v>
      </c>
      <c r="O1390" s="16">
        <v>467</v>
      </c>
      <c r="P1390" s="16">
        <v>0</v>
      </c>
      <c r="Q1390" s="16">
        <v>5804</v>
      </c>
      <c r="R1390" s="16">
        <v>186</v>
      </c>
      <c r="S1390" s="16">
        <v>2</v>
      </c>
      <c r="T1390" s="16">
        <v>0</v>
      </c>
      <c r="U1390" s="15" t="str">
        <f t="shared" si="84"/>
        <v>Privado Nacional</v>
      </c>
      <c r="V1390" s="17">
        <f t="shared" si="85"/>
        <v>0</v>
      </c>
      <c r="W1390" s="17">
        <f t="shared" si="86"/>
        <v>3.2046864231564436E-2</v>
      </c>
      <c r="X1390" s="15" t="str">
        <f t="shared" si="87"/>
        <v>Média/Pequena</v>
      </c>
      <c r="Y1390" s="121" t="str" cm="1">
        <f t="array" ref="Y1390">_xlfn.IFS(ISNUMBER(W1390)=FALSE,"Sem dado",W1390&gt;0.075,"Excelente",W1390&gt;0.04,"Bom",W1390&gt;0,"Fraco",TRUE,"Prejuízo")</f>
        <v>Fraco</v>
      </c>
    </row>
    <row r="1391" spans="1:25" ht="15" customHeight="1" x14ac:dyDescent="0.2">
      <c r="A1391" s="12" t="s">
        <v>2967</v>
      </c>
      <c r="B1391" s="56">
        <v>40269467</v>
      </c>
      <c r="C1391" s="12" t="s">
        <v>2968</v>
      </c>
      <c r="D1391" s="12"/>
      <c r="E1391" s="12" t="s">
        <v>2969</v>
      </c>
      <c r="F1391" s="12" t="s">
        <v>65</v>
      </c>
      <c r="G1391" s="33">
        <v>2</v>
      </c>
      <c r="H1391" s="33">
        <v>10</v>
      </c>
      <c r="I1391" s="12" t="s">
        <v>670</v>
      </c>
      <c r="J1391" s="12" t="s">
        <v>229</v>
      </c>
      <c r="K1391" s="73" t="s">
        <v>29</v>
      </c>
      <c r="L1391" s="13">
        <v>6263</v>
      </c>
      <c r="M1391" s="13">
        <v>3384</v>
      </c>
      <c r="N1391" s="13">
        <v>2088</v>
      </c>
      <c r="O1391" s="13">
        <v>4381</v>
      </c>
      <c r="P1391" s="13">
        <v>4216</v>
      </c>
      <c r="Q1391" s="13">
        <v>1882</v>
      </c>
      <c r="R1391" s="13">
        <v>-891</v>
      </c>
      <c r="S1391" s="13">
        <v>2</v>
      </c>
      <c r="T1391" s="13">
        <v>0</v>
      </c>
      <c r="U1391" s="12" t="str">
        <f t="shared" si="84"/>
        <v>Privado Nacional</v>
      </c>
      <c r="V1391" s="14">
        <f t="shared" si="85"/>
        <v>0.54031614242375858</v>
      </c>
      <c r="W1391" s="14">
        <f t="shared" si="86"/>
        <v>-0.47343251859723701</v>
      </c>
      <c r="X1391" s="12" t="str">
        <f t="shared" si="87"/>
        <v>Média/Pequena</v>
      </c>
      <c r="Y1391" s="122" t="str" cm="1">
        <f t="array" ref="Y1391">_xlfn.IFS(ISNUMBER(W1391)=FALSE,"Sem dado",W1391&gt;0.075,"Excelente",W1391&gt;0.04,"Bom",W1391&gt;0,"Fraco",TRUE,"Prejuízo")</f>
        <v>Prejuízo</v>
      </c>
    </row>
    <row r="1392" spans="1:25" ht="15" customHeight="1" x14ac:dyDescent="0.2">
      <c r="A1392" s="15" t="s">
        <v>2970</v>
      </c>
      <c r="B1392" s="60">
        <v>5048575</v>
      </c>
      <c r="C1392" s="15"/>
      <c r="D1392" s="15"/>
      <c r="E1392" s="15"/>
      <c r="F1392" s="15" t="s">
        <v>265</v>
      </c>
      <c r="G1392" s="34">
        <v>2</v>
      </c>
      <c r="H1392" s="34">
        <v>9</v>
      </c>
      <c r="I1392" s="15" t="s">
        <v>2934</v>
      </c>
      <c r="J1392" s="15" t="s">
        <v>54</v>
      </c>
      <c r="K1392" s="74" t="s">
        <v>29</v>
      </c>
      <c r="L1392" s="16">
        <v>6257</v>
      </c>
      <c r="M1392" s="16">
        <v>1211</v>
      </c>
      <c r="N1392" s="16">
        <v>3878</v>
      </c>
      <c r="O1392" s="16">
        <v>868</v>
      </c>
      <c r="P1392" s="16">
        <v>0</v>
      </c>
      <c r="Q1392" s="16">
        <v>5390</v>
      </c>
      <c r="R1392" s="16">
        <v>242</v>
      </c>
      <c r="S1392" s="16">
        <v>0</v>
      </c>
      <c r="T1392" s="16">
        <v>0</v>
      </c>
      <c r="U1392" s="15" t="str">
        <f t="shared" si="84"/>
        <v>Privado Nacional</v>
      </c>
      <c r="V1392" s="17">
        <f t="shared" si="85"/>
        <v>0.19354323158062969</v>
      </c>
      <c r="W1392" s="17">
        <f t="shared" si="86"/>
        <v>4.4897959183673466E-2</v>
      </c>
      <c r="X1392" s="15" t="str">
        <f t="shared" si="87"/>
        <v>Média/Pequena</v>
      </c>
      <c r="Y1392" s="121" t="str" cm="1">
        <f t="array" ref="Y1392">_xlfn.IFS(ISNUMBER(W1392)=FALSE,"Sem dado",W1392&gt;0.075,"Excelente",W1392&gt;0.04,"Bom",W1392&gt;0,"Fraco",TRUE,"Prejuízo")</f>
        <v>Bom</v>
      </c>
    </row>
    <row r="1393" spans="1:25" ht="15" customHeight="1" x14ac:dyDescent="0.2">
      <c r="A1393" s="12" t="s">
        <v>2971</v>
      </c>
      <c r="B1393" s="56">
        <v>6373777</v>
      </c>
      <c r="C1393" s="12" t="s">
        <v>2972</v>
      </c>
      <c r="D1393" s="12"/>
      <c r="E1393" s="12" t="s">
        <v>2973</v>
      </c>
      <c r="F1393" s="12" t="s">
        <v>98</v>
      </c>
      <c r="G1393" s="33">
        <v>2</v>
      </c>
      <c r="H1393" s="33">
        <v>21</v>
      </c>
      <c r="I1393" s="12" t="s">
        <v>1133</v>
      </c>
      <c r="J1393" s="12" t="s">
        <v>1078</v>
      </c>
      <c r="K1393" s="73" t="s">
        <v>29</v>
      </c>
      <c r="L1393" s="13">
        <v>6235</v>
      </c>
      <c r="M1393" s="13">
        <v>0</v>
      </c>
      <c r="N1393" s="13">
        <v>0</v>
      </c>
      <c r="O1393" s="13">
        <v>1095</v>
      </c>
      <c r="P1393" s="13">
        <v>0</v>
      </c>
      <c r="Q1393" s="13">
        <v>5140</v>
      </c>
      <c r="R1393" s="13">
        <v>-351</v>
      </c>
      <c r="S1393" s="13">
        <v>13</v>
      </c>
      <c r="T1393" s="13">
        <v>0</v>
      </c>
      <c r="U1393" s="12" t="str">
        <f t="shared" si="84"/>
        <v>Privado Nacional</v>
      </c>
      <c r="V1393" s="14">
        <f t="shared" si="85"/>
        <v>0</v>
      </c>
      <c r="W1393" s="14">
        <f t="shared" si="86"/>
        <v>-6.8287937743190655E-2</v>
      </c>
      <c r="X1393" s="12" t="str">
        <f t="shared" si="87"/>
        <v>Média/Pequena</v>
      </c>
      <c r="Y1393" s="122" t="str" cm="1">
        <f t="array" ref="Y1393">_xlfn.IFS(ISNUMBER(W1393)=FALSE,"Sem dado",W1393&gt;0.075,"Excelente",W1393&gt;0.04,"Bom",W1393&gt;0,"Fraco",TRUE,"Prejuízo")</f>
        <v>Prejuízo</v>
      </c>
    </row>
    <row r="1394" spans="1:25" ht="15" customHeight="1" x14ac:dyDescent="0.2">
      <c r="A1394" s="15" t="s">
        <v>2974</v>
      </c>
      <c r="B1394" s="60">
        <v>55319370</v>
      </c>
      <c r="C1394" s="15"/>
      <c r="D1394" s="15"/>
      <c r="E1394" s="15"/>
      <c r="F1394" s="15" t="s">
        <v>265</v>
      </c>
      <c r="G1394" s="34">
        <v>2</v>
      </c>
      <c r="H1394" s="34">
        <v>9</v>
      </c>
      <c r="I1394" s="15" t="s">
        <v>2975</v>
      </c>
      <c r="J1394" s="15" t="s">
        <v>39</v>
      </c>
      <c r="K1394" s="74" t="s">
        <v>29</v>
      </c>
      <c r="L1394" s="16">
        <v>6162</v>
      </c>
      <c r="M1394" s="16">
        <v>2916</v>
      </c>
      <c r="N1394" s="16">
        <v>2828</v>
      </c>
      <c r="O1394" s="16">
        <v>109</v>
      </c>
      <c r="P1394" s="16">
        <v>0</v>
      </c>
      <c r="Q1394" s="16">
        <v>6053</v>
      </c>
      <c r="R1394" s="16">
        <v>534</v>
      </c>
      <c r="S1394" s="16">
        <v>0</v>
      </c>
      <c r="T1394" s="16">
        <v>0</v>
      </c>
      <c r="U1394" s="15" t="str">
        <f t="shared" si="84"/>
        <v>Privado Nacional</v>
      </c>
      <c r="V1394" s="17">
        <f t="shared" si="85"/>
        <v>0.47322297955209347</v>
      </c>
      <c r="W1394" s="17">
        <f t="shared" si="86"/>
        <v>8.8220716999834789E-2</v>
      </c>
      <c r="X1394" s="15" t="str">
        <f t="shared" si="87"/>
        <v>Média/Pequena</v>
      </c>
      <c r="Y1394" s="121" t="str" cm="1">
        <f t="array" ref="Y1394">_xlfn.IFS(ISNUMBER(W1394)=FALSE,"Sem dado",W1394&gt;0.075,"Excelente",W1394&gt;0.04,"Bom",W1394&gt;0,"Fraco",TRUE,"Prejuízo")</f>
        <v>Excelente</v>
      </c>
    </row>
    <row r="1395" spans="1:25" ht="15" customHeight="1" x14ac:dyDescent="0.2">
      <c r="A1395" s="12" t="s">
        <v>2976</v>
      </c>
      <c r="B1395" s="56">
        <v>44475245</v>
      </c>
      <c r="C1395" s="12" t="s">
        <v>80</v>
      </c>
      <c r="D1395" s="12" t="s">
        <v>81</v>
      </c>
      <c r="E1395" s="12" t="s">
        <v>82</v>
      </c>
      <c r="F1395" s="12" t="s">
        <v>98</v>
      </c>
      <c r="G1395" s="33">
        <v>2</v>
      </c>
      <c r="H1395" s="33">
        <v>16</v>
      </c>
      <c r="I1395" s="12" t="s">
        <v>53</v>
      </c>
      <c r="J1395" s="12" t="s">
        <v>54</v>
      </c>
      <c r="K1395" s="73" t="s">
        <v>29</v>
      </c>
      <c r="L1395" s="13">
        <v>6110</v>
      </c>
      <c r="M1395" s="13">
        <v>0</v>
      </c>
      <c r="N1395" s="13">
        <v>861</v>
      </c>
      <c r="O1395" s="13">
        <v>58</v>
      </c>
      <c r="P1395" s="13">
        <v>0</v>
      </c>
      <c r="Q1395" s="13">
        <v>6052</v>
      </c>
      <c r="R1395" s="13">
        <v>-164</v>
      </c>
      <c r="S1395" s="13">
        <v>2</v>
      </c>
      <c r="T1395" s="13">
        <v>0</v>
      </c>
      <c r="U1395" s="12" t="str">
        <f t="shared" si="84"/>
        <v>Privado Nacional</v>
      </c>
      <c r="V1395" s="14">
        <f t="shared" si="85"/>
        <v>0</v>
      </c>
      <c r="W1395" s="14">
        <f t="shared" si="86"/>
        <v>-2.7098479841374753E-2</v>
      </c>
      <c r="X1395" s="12" t="str">
        <f t="shared" si="87"/>
        <v>Média/Pequena</v>
      </c>
      <c r="Y1395" s="122" t="str" cm="1">
        <f t="array" ref="Y1395">_xlfn.IFS(ISNUMBER(W1395)=FALSE,"Sem dado",W1395&gt;0.075,"Excelente",W1395&gt;0.04,"Bom",W1395&gt;0,"Fraco",TRUE,"Prejuízo")</f>
        <v>Prejuízo</v>
      </c>
    </row>
    <row r="1396" spans="1:25" ht="15" customHeight="1" x14ac:dyDescent="0.2">
      <c r="A1396" s="15" t="s">
        <v>2977</v>
      </c>
      <c r="B1396" s="60">
        <v>44154779</v>
      </c>
      <c r="C1396" s="15" t="s">
        <v>2578</v>
      </c>
      <c r="D1396" s="15"/>
      <c r="E1396" s="15" t="s">
        <v>2579</v>
      </c>
      <c r="F1396" s="15" t="s">
        <v>84</v>
      </c>
      <c r="G1396" s="34">
        <v>2</v>
      </c>
      <c r="H1396" s="34">
        <v>41</v>
      </c>
      <c r="I1396" s="15" t="s">
        <v>38</v>
      </c>
      <c r="J1396" s="15" t="s">
        <v>39</v>
      </c>
      <c r="K1396" s="74" t="s">
        <v>29</v>
      </c>
      <c r="L1396" s="16">
        <v>6091</v>
      </c>
      <c r="M1396" s="16">
        <v>0</v>
      </c>
      <c r="N1396" s="16">
        <v>4617</v>
      </c>
      <c r="O1396" s="16">
        <v>3621</v>
      </c>
      <c r="P1396" s="16">
        <v>0</v>
      </c>
      <c r="Q1396" s="16">
        <v>2469</v>
      </c>
      <c r="R1396" s="16">
        <v>22</v>
      </c>
      <c r="S1396" s="16">
        <v>1</v>
      </c>
      <c r="T1396" s="16">
        <v>0</v>
      </c>
      <c r="U1396" s="15" t="str">
        <f t="shared" si="84"/>
        <v>Privado Nacional</v>
      </c>
      <c r="V1396" s="17">
        <f t="shared" si="85"/>
        <v>0</v>
      </c>
      <c r="W1396" s="17">
        <f t="shared" si="86"/>
        <v>8.910490076954233E-3</v>
      </c>
      <c r="X1396" s="15" t="str">
        <f t="shared" si="87"/>
        <v>Média/Pequena</v>
      </c>
      <c r="Y1396" s="121" t="str" cm="1">
        <f t="array" ref="Y1396">_xlfn.IFS(ISNUMBER(W1396)=FALSE,"Sem dado",W1396&gt;0.075,"Excelente",W1396&gt;0.04,"Bom",W1396&gt;0,"Fraco",TRUE,"Prejuízo")</f>
        <v>Fraco</v>
      </c>
    </row>
    <row r="1397" spans="1:25" ht="15" customHeight="1" x14ac:dyDescent="0.2">
      <c r="A1397" s="12" t="s">
        <v>2978</v>
      </c>
      <c r="B1397" s="56">
        <v>57824223</v>
      </c>
      <c r="C1397" s="12" t="s">
        <v>2979</v>
      </c>
      <c r="D1397" s="12"/>
      <c r="E1397" s="12" t="s">
        <v>2980</v>
      </c>
      <c r="F1397" s="12" t="s">
        <v>84</v>
      </c>
      <c r="G1397" s="33">
        <v>2</v>
      </c>
      <c r="H1397" s="33">
        <v>41</v>
      </c>
      <c r="I1397" s="12" t="s">
        <v>255</v>
      </c>
      <c r="J1397" s="12" t="s">
        <v>39</v>
      </c>
      <c r="K1397" s="73" t="s">
        <v>29</v>
      </c>
      <c r="L1397" s="13">
        <v>6080</v>
      </c>
      <c r="M1397" s="13">
        <v>0</v>
      </c>
      <c r="N1397" s="13">
        <v>5884</v>
      </c>
      <c r="O1397" s="13">
        <v>46</v>
      </c>
      <c r="P1397" s="13">
        <v>2</v>
      </c>
      <c r="Q1397" s="13">
        <v>6033</v>
      </c>
      <c r="R1397" s="13">
        <v>55</v>
      </c>
      <c r="S1397" s="13">
        <v>1</v>
      </c>
      <c r="T1397" s="13">
        <v>0</v>
      </c>
      <c r="U1397" s="12" t="str">
        <f t="shared" si="84"/>
        <v>Privado Nacional</v>
      </c>
      <c r="V1397" s="14">
        <f t="shared" si="85"/>
        <v>0</v>
      </c>
      <c r="W1397" s="14">
        <f t="shared" si="86"/>
        <v>9.1165257749046911E-3</v>
      </c>
      <c r="X1397" s="12" t="str">
        <f t="shared" si="87"/>
        <v>Média/Pequena</v>
      </c>
      <c r="Y1397" s="122" t="str" cm="1">
        <f t="array" ref="Y1397">_xlfn.IFS(ISNUMBER(W1397)=FALSE,"Sem dado",W1397&gt;0.075,"Excelente",W1397&gt;0.04,"Bom",W1397&gt;0,"Fraco",TRUE,"Prejuízo")</f>
        <v>Fraco</v>
      </c>
    </row>
    <row r="1398" spans="1:25" ht="15" customHeight="1" x14ac:dyDescent="0.2">
      <c r="A1398" s="15" t="s">
        <v>2981</v>
      </c>
      <c r="B1398" s="60">
        <v>46505612</v>
      </c>
      <c r="C1398" s="15" t="s">
        <v>2982</v>
      </c>
      <c r="D1398" s="15"/>
      <c r="E1398" s="15" t="s">
        <v>2983</v>
      </c>
      <c r="F1398" s="15" t="s">
        <v>84</v>
      </c>
      <c r="G1398" s="34">
        <v>2</v>
      </c>
      <c r="H1398" s="34">
        <v>41</v>
      </c>
      <c r="I1398" s="15" t="s">
        <v>107</v>
      </c>
      <c r="J1398" s="15" t="s">
        <v>39</v>
      </c>
      <c r="K1398" s="74" t="s">
        <v>29</v>
      </c>
      <c r="L1398" s="16">
        <v>6034</v>
      </c>
      <c r="M1398" s="16">
        <v>0</v>
      </c>
      <c r="N1398" s="16">
        <v>5892</v>
      </c>
      <c r="O1398" s="16">
        <v>195</v>
      </c>
      <c r="P1398" s="16">
        <v>0</v>
      </c>
      <c r="Q1398" s="16">
        <v>5840</v>
      </c>
      <c r="R1398" s="16">
        <v>147</v>
      </c>
      <c r="S1398" s="16">
        <v>1</v>
      </c>
      <c r="T1398" s="16">
        <v>0</v>
      </c>
      <c r="U1398" s="15" t="str">
        <f t="shared" si="84"/>
        <v>Privado Nacional</v>
      </c>
      <c r="V1398" s="17">
        <f t="shared" si="85"/>
        <v>0</v>
      </c>
      <c r="W1398" s="17">
        <f t="shared" si="86"/>
        <v>2.5171232876712329E-2</v>
      </c>
      <c r="X1398" s="15" t="str">
        <f t="shared" si="87"/>
        <v>Média/Pequena</v>
      </c>
      <c r="Y1398" s="121" t="str" cm="1">
        <f t="array" ref="Y1398">_xlfn.IFS(ISNUMBER(W1398)=FALSE,"Sem dado",W1398&gt;0.075,"Excelente",W1398&gt;0.04,"Bom",W1398&gt;0,"Fraco",TRUE,"Prejuízo")</f>
        <v>Fraco</v>
      </c>
    </row>
    <row r="1399" spans="1:25" ht="15" customHeight="1" x14ac:dyDescent="0.2">
      <c r="A1399" s="12" t="s">
        <v>2984</v>
      </c>
      <c r="B1399" s="56">
        <v>44323831</v>
      </c>
      <c r="C1399" s="12" t="s">
        <v>2985</v>
      </c>
      <c r="D1399" s="12"/>
      <c r="E1399" s="12" t="s">
        <v>2986</v>
      </c>
      <c r="F1399" s="12" t="s">
        <v>98</v>
      </c>
      <c r="G1399" s="33">
        <v>2</v>
      </c>
      <c r="H1399" s="33">
        <v>21</v>
      </c>
      <c r="I1399" s="12" t="s">
        <v>587</v>
      </c>
      <c r="J1399" s="12" t="s">
        <v>39</v>
      </c>
      <c r="K1399" s="73" t="s">
        <v>29</v>
      </c>
      <c r="L1399" s="13">
        <v>6020</v>
      </c>
      <c r="M1399" s="13">
        <v>0</v>
      </c>
      <c r="N1399" s="13">
        <v>5714</v>
      </c>
      <c r="O1399" s="13">
        <v>205</v>
      </c>
      <c r="P1399" s="13">
        <v>0</v>
      </c>
      <c r="Q1399" s="13">
        <v>5815</v>
      </c>
      <c r="R1399" s="13">
        <v>-162</v>
      </c>
      <c r="S1399" s="13">
        <v>3</v>
      </c>
      <c r="T1399" s="13">
        <v>0</v>
      </c>
      <c r="U1399" s="12" t="str">
        <f t="shared" si="84"/>
        <v>Privado Nacional</v>
      </c>
      <c r="V1399" s="14">
        <f t="shared" si="85"/>
        <v>0</v>
      </c>
      <c r="W1399" s="14">
        <f t="shared" si="86"/>
        <v>-2.7858985382631127E-2</v>
      </c>
      <c r="X1399" s="12" t="str">
        <f t="shared" si="87"/>
        <v>Média/Pequena</v>
      </c>
      <c r="Y1399" s="122" t="str" cm="1">
        <f t="array" ref="Y1399">_xlfn.IFS(ISNUMBER(W1399)=FALSE,"Sem dado",W1399&gt;0.075,"Excelente",W1399&gt;0.04,"Bom",W1399&gt;0,"Fraco",TRUE,"Prejuízo")</f>
        <v>Prejuízo</v>
      </c>
    </row>
    <row r="1400" spans="1:25" ht="15" customHeight="1" x14ac:dyDescent="0.2">
      <c r="A1400" s="15" t="s">
        <v>2987</v>
      </c>
      <c r="B1400" s="60">
        <v>56106523</v>
      </c>
      <c r="C1400" s="15" t="s">
        <v>2988</v>
      </c>
      <c r="D1400" s="15"/>
      <c r="E1400" s="15" t="s">
        <v>2989</v>
      </c>
      <c r="F1400" s="15" t="s">
        <v>84</v>
      </c>
      <c r="G1400" s="34">
        <v>2</v>
      </c>
      <c r="H1400" s="34">
        <v>41</v>
      </c>
      <c r="I1400" s="15" t="s">
        <v>119</v>
      </c>
      <c r="J1400" s="15" t="s">
        <v>120</v>
      </c>
      <c r="K1400" s="74" t="s">
        <v>29</v>
      </c>
      <c r="L1400" s="16">
        <v>6017</v>
      </c>
      <c r="M1400" s="16">
        <v>0</v>
      </c>
      <c r="N1400" s="16">
        <v>5512</v>
      </c>
      <c r="O1400" s="16">
        <v>155</v>
      </c>
      <c r="P1400" s="16">
        <v>126</v>
      </c>
      <c r="Q1400" s="16">
        <v>5863</v>
      </c>
      <c r="R1400" s="16">
        <v>103</v>
      </c>
      <c r="S1400" s="16">
        <v>1</v>
      </c>
      <c r="T1400" s="16">
        <v>0</v>
      </c>
      <c r="U1400" s="15" t="str">
        <f t="shared" si="84"/>
        <v>Privado Nacional</v>
      </c>
      <c r="V1400" s="17">
        <f t="shared" si="85"/>
        <v>0</v>
      </c>
      <c r="W1400" s="17">
        <f t="shared" si="86"/>
        <v>1.7567798055602935E-2</v>
      </c>
      <c r="X1400" s="15" t="str">
        <f t="shared" si="87"/>
        <v>Média/Pequena</v>
      </c>
      <c r="Y1400" s="121" t="str" cm="1">
        <f t="array" ref="Y1400">_xlfn.IFS(ISNUMBER(W1400)=FALSE,"Sem dado",W1400&gt;0.075,"Excelente",W1400&gt;0.04,"Bom",W1400&gt;0,"Fraco",TRUE,"Prejuízo")</f>
        <v>Fraco</v>
      </c>
    </row>
    <row r="1401" spans="1:25" ht="15" customHeight="1" x14ac:dyDescent="0.2">
      <c r="A1401" s="12" t="s">
        <v>2990</v>
      </c>
      <c r="B1401" s="56">
        <v>46026562</v>
      </c>
      <c r="C1401" s="12" t="s">
        <v>2991</v>
      </c>
      <c r="D1401" s="12"/>
      <c r="E1401" s="12" t="s">
        <v>2992</v>
      </c>
      <c r="F1401" s="12" t="s">
        <v>65</v>
      </c>
      <c r="G1401" s="33">
        <v>2</v>
      </c>
      <c r="H1401" s="33">
        <v>43</v>
      </c>
      <c r="I1401" s="12" t="s">
        <v>73</v>
      </c>
      <c r="J1401" s="12" t="s">
        <v>74</v>
      </c>
      <c r="K1401" s="73" t="s">
        <v>29</v>
      </c>
      <c r="L1401" s="13">
        <v>6003</v>
      </c>
      <c r="M1401" s="13">
        <v>952</v>
      </c>
      <c r="N1401" s="13">
        <v>0</v>
      </c>
      <c r="O1401" s="13">
        <v>947</v>
      </c>
      <c r="P1401" s="13">
        <v>163</v>
      </c>
      <c r="Q1401" s="13">
        <v>5056</v>
      </c>
      <c r="R1401" s="13">
        <v>711</v>
      </c>
      <c r="S1401" s="13">
        <v>2</v>
      </c>
      <c r="T1401" s="13">
        <v>0</v>
      </c>
      <c r="U1401" s="12" t="str">
        <f t="shared" si="84"/>
        <v>Privado Nacional</v>
      </c>
      <c r="V1401" s="14">
        <f t="shared" si="85"/>
        <v>0.15858737298017658</v>
      </c>
      <c r="W1401" s="14">
        <f t="shared" si="86"/>
        <v>0.140625</v>
      </c>
      <c r="X1401" s="12" t="str">
        <f t="shared" si="87"/>
        <v>Média/Pequena</v>
      </c>
      <c r="Y1401" s="122" t="str" cm="1">
        <f t="array" ref="Y1401">_xlfn.IFS(ISNUMBER(W1401)=FALSE,"Sem dado",W1401&gt;0.075,"Excelente",W1401&gt;0.04,"Bom",W1401&gt;0,"Fraco",TRUE,"Prejuízo")</f>
        <v>Excelente</v>
      </c>
    </row>
    <row r="1402" spans="1:25" ht="15" customHeight="1" x14ac:dyDescent="0.2">
      <c r="A1402" s="15" t="s">
        <v>2993</v>
      </c>
      <c r="B1402" s="60">
        <v>48172860</v>
      </c>
      <c r="C1402" s="15"/>
      <c r="D1402" s="15"/>
      <c r="E1402" s="15"/>
      <c r="F1402" s="15" t="s">
        <v>265</v>
      </c>
      <c r="G1402" s="34">
        <v>2</v>
      </c>
      <c r="H1402" s="34">
        <v>9</v>
      </c>
      <c r="I1402" s="15" t="s">
        <v>1180</v>
      </c>
      <c r="J1402" s="15" t="s">
        <v>39</v>
      </c>
      <c r="K1402" s="74" t="s">
        <v>29</v>
      </c>
      <c r="L1402" s="16">
        <v>5972</v>
      </c>
      <c r="M1402" s="16">
        <v>3004</v>
      </c>
      <c r="N1402" s="16">
        <v>2774</v>
      </c>
      <c r="O1402" s="16">
        <v>731</v>
      </c>
      <c r="P1402" s="16">
        <v>463</v>
      </c>
      <c r="Q1402" s="16">
        <v>5241</v>
      </c>
      <c r="R1402" s="16">
        <v>38</v>
      </c>
      <c r="S1402" s="16">
        <v>0</v>
      </c>
      <c r="T1402" s="16">
        <v>0</v>
      </c>
      <c r="U1402" s="15" t="str">
        <f t="shared" si="84"/>
        <v>Privado Nacional</v>
      </c>
      <c r="V1402" s="17">
        <f t="shared" si="85"/>
        <v>0.50301406563965168</v>
      </c>
      <c r="W1402" s="17">
        <f t="shared" si="86"/>
        <v>7.2505247090249953E-3</v>
      </c>
      <c r="X1402" s="15" t="str">
        <f t="shared" si="87"/>
        <v>Média/Pequena</v>
      </c>
      <c r="Y1402" s="121" t="str" cm="1">
        <f t="array" ref="Y1402">_xlfn.IFS(ISNUMBER(W1402)=FALSE,"Sem dado",W1402&gt;0.075,"Excelente",W1402&gt;0.04,"Bom",W1402&gt;0,"Fraco",TRUE,"Prejuízo")</f>
        <v>Fraco</v>
      </c>
    </row>
    <row r="1403" spans="1:25" ht="15" customHeight="1" x14ac:dyDescent="0.2">
      <c r="A1403" s="12" t="s">
        <v>2994</v>
      </c>
      <c r="B1403" s="56">
        <v>4684647</v>
      </c>
      <c r="C1403" s="12" t="s">
        <v>2995</v>
      </c>
      <c r="D1403" s="12"/>
      <c r="E1403" s="12" t="s">
        <v>2996</v>
      </c>
      <c r="F1403" s="12" t="s">
        <v>98</v>
      </c>
      <c r="G1403" s="33">
        <v>2</v>
      </c>
      <c r="H1403" s="33">
        <v>21</v>
      </c>
      <c r="I1403" s="12" t="s">
        <v>1167</v>
      </c>
      <c r="J1403" s="12" t="s">
        <v>39</v>
      </c>
      <c r="K1403" s="73" t="s">
        <v>29</v>
      </c>
      <c r="L1403" s="13">
        <v>5967</v>
      </c>
      <c r="M1403" s="13">
        <v>0</v>
      </c>
      <c r="N1403" s="13">
        <v>0</v>
      </c>
      <c r="O1403" s="13">
        <v>1263</v>
      </c>
      <c r="P1403" s="13">
        <v>0</v>
      </c>
      <c r="Q1403" s="13">
        <v>4703</v>
      </c>
      <c r="R1403" s="13">
        <v>278</v>
      </c>
      <c r="S1403" s="13">
        <v>2</v>
      </c>
      <c r="T1403" s="13">
        <v>0</v>
      </c>
      <c r="U1403" s="12" t="str">
        <f t="shared" si="84"/>
        <v>Privado Nacional</v>
      </c>
      <c r="V1403" s="14">
        <f t="shared" si="85"/>
        <v>0</v>
      </c>
      <c r="W1403" s="14">
        <f t="shared" si="86"/>
        <v>5.9111205613438231E-2</v>
      </c>
      <c r="X1403" s="12" t="str">
        <f t="shared" si="87"/>
        <v>Média/Pequena</v>
      </c>
      <c r="Y1403" s="122" t="str" cm="1">
        <f t="array" ref="Y1403">_xlfn.IFS(ISNUMBER(W1403)=FALSE,"Sem dado",W1403&gt;0.075,"Excelente",W1403&gt;0.04,"Bom",W1403&gt;0,"Fraco",TRUE,"Prejuízo")</f>
        <v>Bom</v>
      </c>
    </row>
    <row r="1404" spans="1:25" ht="15" customHeight="1" x14ac:dyDescent="0.2">
      <c r="A1404" s="15" t="s">
        <v>2997</v>
      </c>
      <c r="B1404" s="60">
        <v>71590442</v>
      </c>
      <c r="C1404" s="15" t="s">
        <v>2998</v>
      </c>
      <c r="D1404" s="15"/>
      <c r="E1404" s="15" t="s">
        <v>2999</v>
      </c>
      <c r="F1404" s="15" t="s">
        <v>98</v>
      </c>
      <c r="G1404" s="34">
        <v>2</v>
      </c>
      <c r="H1404" s="34">
        <v>16</v>
      </c>
      <c r="I1404" s="15" t="s">
        <v>3000</v>
      </c>
      <c r="J1404" s="15" t="s">
        <v>39</v>
      </c>
      <c r="K1404" s="74" t="s">
        <v>29</v>
      </c>
      <c r="L1404" s="16">
        <v>5935</v>
      </c>
      <c r="M1404" s="16">
        <v>0</v>
      </c>
      <c r="N1404" s="16">
        <v>3689</v>
      </c>
      <c r="O1404" s="16">
        <v>251</v>
      </c>
      <c r="P1404" s="16">
        <v>5</v>
      </c>
      <c r="Q1404" s="16">
        <v>5683</v>
      </c>
      <c r="R1404" s="16">
        <v>225</v>
      </c>
      <c r="S1404" s="16">
        <v>2</v>
      </c>
      <c r="T1404" s="16">
        <v>0</v>
      </c>
      <c r="U1404" s="15" t="str">
        <f t="shared" si="84"/>
        <v>Privado Nacional</v>
      </c>
      <c r="V1404" s="17">
        <f t="shared" si="85"/>
        <v>0</v>
      </c>
      <c r="W1404" s="17">
        <f t="shared" si="86"/>
        <v>3.959176491289812E-2</v>
      </c>
      <c r="X1404" s="15" t="str">
        <f t="shared" si="87"/>
        <v>Média/Pequena</v>
      </c>
      <c r="Y1404" s="121" t="str" cm="1">
        <f t="array" ref="Y1404">_xlfn.IFS(ISNUMBER(W1404)=FALSE,"Sem dado",W1404&gt;0.075,"Excelente",W1404&gt;0.04,"Bom",W1404&gt;0,"Fraco",TRUE,"Prejuízo")</f>
        <v>Fraco</v>
      </c>
    </row>
    <row r="1405" spans="1:25" ht="15" customHeight="1" x14ac:dyDescent="0.2">
      <c r="A1405" s="12" t="s">
        <v>3001</v>
      </c>
      <c r="B1405" s="56">
        <v>48707451</v>
      </c>
      <c r="C1405" s="12" t="s">
        <v>3002</v>
      </c>
      <c r="D1405" s="12"/>
      <c r="E1405" s="12" t="s">
        <v>3003</v>
      </c>
      <c r="F1405" s="12" t="s">
        <v>65</v>
      </c>
      <c r="G1405" s="33">
        <v>2</v>
      </c>
      <c r="H1405" s="33">
        <v>43</v>
      </c>
      <c r="I1405" s="12" t="s">
        <v>404</v>
      </c>
      <c r="J1405" s="12" t="s">
        <v>401</v>
      </c>
      <c r="K1405" s="73" t="s">
        <v>29</v>
      </c>
      <c r="L1405" s="13">
        <v>5934</v>
      </c>
      <c r="M1405" s="13">
        <v>504</v>
      </c>
      <c r="N1405" s="13">
        <v>101</v>
      </c>
      <c r="O1405" s="13">
        <v>3109</v>
      </c>
      <c r="P1405" s="13">
        <v>0</v>
      </c>
      <c r="Q1405" s="13">
        <v>2825</v>
      </c>
      <c r="R1405" s="13">
        <v>-399</v>
      </c>
      <c r="S1405" s="13">
        <v>2</v>
      </c>
      <c r="T1405" s="13">
        <v>0</v>
      </c>
      <c r="U1405" s="12" t="str">
        <f t="shared" si="84"/>
        <v>Privado Nacional</v>
      </c>
      <c r="V1405" s="14">
        <f t="shared" si="85"/>
        <v>8.4934277047522752E-2</v>
      </c>
      <c r="W1405" s="14">
        <f t="shared" si="86"/>
        <v>-0.14123893805309734</v>
      </c>
      <c r="X1405" s="12" t="str">
        <f t="shared" si="87"/>
        <v>Média/Pequena</v>
      </c>
      <c r="Y1405" s="122" t="str" cm="1">
        <f t="array" ref="Y1405">_xlfn.IFS(ISNUMBER(W1405)=FALSE,"Sem dado",W1405&gt;0.075,"Excelente",W1405&gt;0.04,"Bom",W1405&gt;0,"Fraco",TRUE,"Prejuízo")</f>
        <v>Prejuízo</v>
      </c>
    </row>
    <row r="1406" spans="1:25" ht="15" customHeight="1" x14ac:dyDescent="0.2">
      <c r="A1406" s="15" t="s">
        <v>3004</v>
      </c>
      <c r="B1406" s="60">
        <v>47215387</v>
      </c>
      <c r="C1406" s="15" t="s">
        <v>3005</v>
      </c>
      <c r="D1406" s="15"/>
      <c r="E1406" s="15" t="s">
        <v>3006</v>
      </c>
      <c r="F1406" s="15" t="s">
        <v>98</v>
      </c>
      <c r="G1406" s="34">
        <v>2</v>
      </c>
      <c r="H1406" s="34">
        <v>16</v>
      </c>
      <c r="I1406" s="15" t="s">
        <v>228</v>
      </c>
      <c r="J1406" s="15" t="s">
        <v>229</v>
      </c>
      <c r="K1406" s="74" t="s">
        <v>29</v>
      </c>
      <c r="L1406" s="16">
        <v>5932</v>
      </c>
      <c r="M1406" s="16">
        <v>0</v>
      </c>
      <c r="N1406" s="16">
        <v>4648</v>
      </c>
      <c r="O1406" s="16">
        <v>881</v>
      </c>
      <c r="P1406" s="16">
        <v>0</v>
      </c>
      <c r="Q1406" s="16">
        <v>5052</v>
      </c>
      <c r="R1406" s="16">
        <v>303</v>
      </c>
      <c r="S1406" s="16">
        <v>1</v>
      </c>
      <c r="T1406" s="16">
        <v>0</v>
      </c>
      <c r="U1406" s="15" t="str">
        <f t="shared" si="84"/>
        <v>Privado Nacional</v>
      </c>
      <c r="V1406" s="17">
        <f t="shared" si="85"/>
        <v>0</v>
      </c>
      <c r="W1406" s="17">
        <f t="shared" si="86"/>
        <v>5.9976247030878858E-2</v>
      </c>
      <c r="X1406" s="15" t="str">
        <f t="shared" si="87"/>
        <v>Média/Pequena</v>
      </c>
      <c r="Y1406" s="121" t="str" cm="1">
        <f t="array" ref="Y1406">_xlfn.IFS(ISNUMBER(W1406)=FALSE,"Sem dado",W1406&gt;0.075,"Excelente",W1406&gt;0.04,"Bom",W1406&gt;0,"Fraco",TRUE,"Prejuízo")</f>
        <v>Bom</v>
      </c>
    </row>
    <row r="1407" spans="1:25" ht="15" customHeight="1" x14ac:dyDescent="0.2">
      <c r="A1407" s="12" t="s">
        <v>3007</v>
      </c>
      <c r="B1407" s="56">
        <v>53932869</v>
      </c>
      <c r="C1407" s="12"/>
      <c r="D1407" s="12"/>
      <c r="E1407" s="12"/>
      <c r="F1407" s="12" t="s">
        <v>265</v>
      </c>
      <c r="G1407" s="33">
        <v>2</v>
      </c>
      <c r="H1407" s="33">
        <v>9</v>
      </c>
      <c r="I1407" s="12" t="s">
        <v>44</v>
      </c>
      <c r="J1407" s="12" t="s">
        <v>39</v>
      </c>
      <c r="K1407" s="73" t="s">
        <v>29</v>
      </c>
      <c r="L1407" s="13">
        <v>5926</v>
      </c>
      <c r="M1407" s="13">
        <v>3881</v>
      </c>
      <c r="N1407" s="13">
        <v>1616</v>
      </c>
      <c r="O1407" s="13">
        <v>180</v>
      </c>
      <c r="P1407" s="13">
        <v>0</v>
      </c>
      <c r="Q1407" s="13">
        <v>5746</v>
      </c>
      <c r="R1407" s="13">
        <v>229</v>
      </c>
      <c r="S1407" s="13">
        <v>0</v>
      </c>
      <c r="T1407" s="13">
        <v>0</v>
      </c>
      <c r="U1407" s="12" t="str">
        <f t="shared" si="84"/>
        <v>Privado Nacional</v>
      </c>
      <c r="V1407" s="14">
        <f t="shared" si="85"/>
        <v>0.65491056361795474</v>
      </c>
      <c r="W1407" s="14">
        <f t="shared" si="86"/>
        <v>3.9853811347024017E-2</v>
      </c>
      <c r="X1407" s="12" t="str">
        <f t="shared" si="87"/>
        <v>Média/Pequena</v>
      </c>
      <c r="Y1407" s="122" t="str" cm="1">
        <f t="array" ref="Y1407">_xlfn.IFS(ISNUMBER(W1407)=FALSE,"Sem dado",W1407&gt;0.075,"Excelente",W1407&gt;0.04,"Bom",W1407&gt;0,"Fraco",TRUE,"Prejuízo")</f>
        <v>Fraco</v>
      </c>
    </row>
    <row r="1408" spans="1:25" ht="15" customHeight="1" x14ac:dyDescent="0.2">
      <c r="A1408" s="15" t="s">
        <v>3008</v>
      </c>
      <c r="B1408" s="60">
        <v>1819799</v>
      </c>
      <c r="C1408" s="15"/>
      <c r="D1408" s="15"/>
      <c r="E1408" s="15"/>
      <c r="F1408" s="15" t="s">
        <v>265</v>
      </c>
      <c r="G1408" s="34">
        <v>2</v>
      </c>
      <c r="H1408" s="34">
        <v>9</v>
      </c>
      <c r="I1408" s="15" t="s">
        <v>3009</v>
      </c>
      <c r="J1408" s="15" t="s">
        <v>54</v>
      </c>
      <c r="K1408" s="74" t="s">
        <v>29</v>
      </c>
      <c r="L1408" s="16">
        <v>5925</v>
      </c>
      <c r="M1408" s="16">
        <v>2601</v>
      </c>
      <c r="N1408" s="16">
        <v>2845</v>
      </c>
      <c r="O1408" s="16">
        <v>651</v>
      </c>
      <c r="P1408" s="16">
        <v>0</v>
      </c>
      <c r="Q1408" s="16">
        <v>5274</v>
      </c>
      <c r="R1408" s="16">
        <v>191</v>
      </c>
      <c r="S1408" s="16">
        <v>0</v>
      </c>
      <c r="T1408" s="16">
        <v>0</v>
      </c>
      <c r="U1408" s="15" t="str">
        <f t="shared" si="84"/>
        <v>Privado Nacional</v>
      </c>
      <c r="V1408" s="17">
        <f t="shared" si="85"/>
        <v>0.43898734177215187</v>
      </c>
      <c r="W1408" s="17">
        <f t="shared" si="86"/>
        <v>3.6215396283655672E-2</v>
      </c>
      <c r="X1408" s="15" t="str">
        <f t="shared" si="87"/>
        <v>Média/Pequena</v>
      </c>
      <c r="Y1408" s="121" t="str" cm="1">
        <f t="array" ref="Y1408">_xlfn.IFS(ISNUMBER(W1408)=FALSE,"Sem dado",W1408&gt;0.075,"Excelente",W1408&gt;0.04,"Bom",W1408&gt;0,"Fraco",TRUE,"Prejuízo")</f>
        <v>Fraco</v>
      </c>
    </row>
    <row r="1409" spans="1:25" ht="15" customHeight="1" x14ac:dyDescent="0.2">
      <c r="A1409" s="12" t="s">
        <v>3010</v>
      </c>
      <c r="B1409" s="56">
        <v>30304919</v>
      </c>
      <c r="C1409" s="12"/>
      <c r="D1409" s="12"/>
      <c r="E1409" s="12"/>
      <c r="F1409" s="12" t="s">
        <v>265</v>
      </c>
      <c r="G1409" s="33">
        <v>2</v>
      </c>
      <c r="H1409" s="33">
        <v>9</v>
      </c>
      <c r="I1409" s="12" t="s">
        <v>53</v>
      </c>
      <c r="J1409" s="12" t="s">
        <v>54</v>
      </c>
      <c r="K1409" s="73" t="s">
        <v>29</v>
      </c>
      <c r="L1409" s="13">
        <v>5895</v>
      </c>
      <c r="M1409" s="13">
        <v>3580</v>
      </c>
      <c r="N1409" s="13">
        <v>772</v>
      </c>
      <c r="O1409" s="13">
        <v>456</v>
      </c>
      <c r="P1409" s="13">
        <v>0</v>
      </c>
      <c r="Q1409" s="13">
        <v>5439</v>
      </c>
      <c r="R1409" s="13">
        <v>316</v>
      </c>
      <c r="S1409" s="13">
        <v>0</v>
      </c>
      <c r="T1409" s="13">
        <v>0</v>
      </c>
      <c r="U1409" s="12" t="str">
        <f t="shared" si="84"/>
        <v>Privado Nacional</v>
      </c>
      <c r="V1409" s="14">
        <f t="shared" si="85"/>
        <v>0.60729431721798133</v>
      </c>
      <c r="W1409" s="14">
        <f t="shared" si="86"/>
        <v>5.8098915241772388E-2</v>
      </c>
      <c r="X1409" s="12" t="str">
        <f t="shared" si="87"/>
        <v>Média/Pequena</v>
      </c>
      <c r="Y1409" s="122" t="str" cm="1">
        <f t="array" ref="Y1409">_xlfn.IFS(ISNUMBER(W1409)=FALSE,"Sem dado",W1409&gt;0.075,"Excelente",W1409&gt;0.04,"Bom",W1409&gt;0,"Fraco",TRUE,"Prejuízo")</f>
        <v>Bom</v>
      </c>
    </row>
    <row r="1410" spans="1:25" ht="15" customHeight="1" x14ac:dyDescent="0.2">
      <c r="A1410" s="15" t="s">
        <v>3011</v>
      </c>
      <c r="B1410" s="60">
        <v>1504952</v>
      </c>
      <c r="C1410" s="15"/>
      <c r="D1410" s="15"/>
      <c r="E1410" s="15"/>
      <c r="F1410" s="15" t="s">
        <v>265</v>
      </c>
      <c r="G1410" s="34">
        <v>2</v>
      </c>
      <c r="H1410" s="34">
        <v>9</v>
      </c>
      <c r="I1410" s="15" t="s">
        <v>38</v>
      </c>
      <c r="J1410" s="15" t="s">
        <v>39</v>
      </c>
      <c r="K1410" s="74" t="s">
        <v>29</v>
      </c>
      <c r="L1410" s="16">
        <v>5870</v>
      </c>
      <c r="M1410" s="16">
        <v>2744</v>
      </c>
      <c r="N1410" s="16">
        <v>2862</v>
      </c>
      <c r="O1410" s="16">
        <v>621</v>
      </c>
      <c r="P1410" s="16">
        <v>0</v>
      </c>
      <c r="Q1410" s="16">
        <v>5249</v>
      </c>
      <c r="R1410" s="16">
        <v>238</v>
      </c>
      <c r="S1410" s="16">
        <v>0</v>
      </c>
      <c r="T1410" s="16">
        <v>0</v>
      </c>
      <c r="U1410" s="15" t="str">
        <f t="shared" si="84"/>
        <v>Privado Nacional</v>
      </c>
      <c r="V1410" s="17">
        <f t="shared" si="85"/>
        <v>0.46746166950596252</v>
      </c>
      <c r="W1410" s="17">
        <f t="shared" si="86"/>
        <v>4.5341969899028389E-2</v>
      </c>
      <c r="X1410" s="15" t="str">
        <f t="shared" si="87"/>
        <v>Média/Pequena</v>
      </c>
      <c r="Y1410" s="121" t="str" cm="1">
        <f t="array" ref="Y1410">_xlfn.IFS(ISNUMBER(W1410)=FALSE,"Sem dado",W1410&gt;0.075,"Excelente",W1410&gt;0.04,"Bom",W1410&gt;0,"Fraco",TRUE,"Prejuízo")</f>
        <v>Bom</v>
      </c>
    </row>
    <row r="1411" spans="1:25" ht="15" customHeight="1" x14ac:dyDescent="0.2">
      <c r="A1411" s="12" t="s">
        <v>3012</v>
      </c>
      <c r="B1411" s="56">
        <v>59394633</v>
      </c>
      <c r="C1411" s="12" t="s">
        <v>1792</v>
      </c>
      <c r="D1411" s="12"/>
      <c r="E1411" s="12" t="s">
        <v>1793</v>
      </c>
      <c r="F1411" s="12" t="s">
        <v>98</v>
      </c>
      <c r="G1411" s="33">
        <v>2</v>
      </c>
      <c r="H1411" s="33">
        <v>16</v>
      </c>
      <c r="I1411" s="12" t="s">
        <v>38</v>
      </c>
      <c r="J1411" s="12" t="s">
        <v>39</v>
      </c>
      <c r="K1411" s="73" t="s">
        <v>29</v>
      </c>
      <c r="L1411" s="13">
        <v>5850</v>
      </c>
      <c r="M1411" s="13">
        <v>0</v>
      </c>
      <c r="N1411" s="13">
        <v>1577</v>
      </c>
      <c r="O1411" s="13">
        <v>198</v>
      </c>
      <c r="P1411" s="13">
        <v>149</v>
      </c>
      <c r="Q1411" s="13">
        <v>5652</v>
      </c>
      <c r="R1411" s="13">
        <v>-107</v>
      </c>
      <c r="S1411" s="13">
        <v>2</v>
      </c>
      <c r="T1411" s="13">
        <v>0</v>
      </c>
      <c r="U1411" s="12" t="str">
        <f t="shared" si="84"/>
        <v>Privado Nacional</v>
      </c>
      <c r="V1411" s="14">
        <f t="shared" si="85"/>
        <v>0</v>
      </c>
      <c r="W1411" s="14">
        <f t="shared" si="86"/>
        <v>-1.8931351733899506E-2</v>
      </c>
      <c r="X1411" s="12" t="str">
        <f t="shared" si="87"/>
        <v>Média/Pequena</v>
      </c>
      <c r="Y1411" s="122" t="str" cm="1">
        <f t="array" ref="Y1411">_xlfn.IFS(ISNUMBER(W1411)=FALSE,"Sem dado",W1411&gt;0.075,"Excelente",W1411&gt;0.04,"Bom",W1411&gt;0,"Fraco",TRUE,"Prejuízo")</f>
        <v>Prejuízo</v>
      </c>
    </row>
    <row r="1412" spans="1:25" ht="15" customHeight="1" x14ac:dyDescent="0.2">
      <c r="A1412" s="15" t="s">
        <v>3013</v>
      </c>
      <c r="B1412" s="60">
        <v>30586895</v>
      </c>
      <c r="C1412" s="15"/>
      <c r="D1412" s="15"/>
      <c r="E1412" s="15"/>
      <c r="F1412" s="15" t="s">
        <v>265</v>
      </c>
      <c r="G1412" s="34">
        <v>2</v>
      </c>
      <c r="H1412" s="34">
        <v>9</v>
      </c>
      <c r="I1412" s="15" t="s">
        <v>2934</v>
      </c>
      <c r="J1412" s="15" t="s">
        <v>54</v>
      </c>
      <c r="K1412" s="74" t="s">
        <v>29</v>
      </c>
      <c r="L1412" s="16">
        <v>5775</v>
      </c>
      <c r="M1412" s="16">
        <v>3114</v>
      </c>
      <c r="N1412" s="16">
        <v>2440</v>
      </c>
      <c r="O1412" s="16">
        <v>437</v>
      </c>
      <c r="P1412" s="16">
        <v>0</v>
      </c>
      <c r="Q1412" s="16">
        <v>5338</v>
      </c>
      <c r="R1412" s="16">
        <v>344</v>
      </c>
      <c r="S1412" s="16">
        <v>0</v>
      </c>
      <c r="T1412" s="16">
        <v>0</v>
      </c>
      <c r="U1412" s="15" t="str">
        <f t="shared" si="84"/>
        <v>Privado Nacional</v>
      </c>
      <c r="V1412" s="17">
        <f t="shared" si="85"/>
        <v>0.53922077922077927</v>
      </c>
      <c r="W1412" s="17">
        <f t="shared" si="86"/>
        <v>6.4443611839640313E-2</v>
      </c>
      <c r="X1412" s="15" t="str">
        <f t="shared" si="87"/>
        <v>Média/Pequena</v>
      </c>
      <c r="Y1412" s="121" t="str" cm="1">
        <f t="array" ref="Y1412">_xlfn.IFS(ISNUMBER(W1412)=FALSE,"Sem dado",W1412&gt;0.075,"Excelente",W1412&gt;0.04,"Bom",W1412&gt;0,"Fraco",TRUE,"Prejuízo")</f>
        <v>Bom</v>
      </c>
    </row>
    <row r="1413" spans="1:25" ht="15" customHeight="1" x14ac:dyDescent="0.2">
      <c r="A1413" s="12" t="s">
        <v>3014</v>
      </c>
      <c r="B1413" s="56">
        <v>63822040</v>
      </c>
      <c r="C1413" s="12" t="s">
        <v>3015</v>
      </c>
      <c r="D1413" s="12"/>
      <c r="E1413" s="12" t="s">
        <v>3016</v>
      </c>
      <c r="F1413" s="12" t="s">
        <v>65</v>
      </c>
      <c r="G1413" s="33">
        <v>2</v>
      </c>
      <c r="H1413" s="33">
        <v>43</v>
      </c>
      <c r="I1413" s="12" t="s">
        <v>38</v>
      </c>
      <c r="J1413" s="12" t="s">
        <v>39</v>
      </c>
      <c r="K1413" s="73" t="s">
        <v>29</v>
      </c>
      <c r="L1413" s="13">
        <v>5701</v>
      </c>
      <c r="M1413" s="13">
        <v>4203</v>
      </c>
      <c r="N1413" s="13">
        <v>581</v>
      </c>
      <c r="O1413" s="13">
        <v>3723</v>
      </c>
      <c r="P1413" s="13">
        <v>0</v>
      </c>
      <c r="Q1413" s="13">
        <v>1977</v>
      </c>
      <c r="R1413" s="13">
        <v>466</v>
      </c>
      <c r="S1413" s="13">
        <v>2</v>
      </c>
      <c r="T1413" s="13">
        <v>0</v>
      </c>
      <c r="U1413" s="12" t="str">
        <f t="shared" ref="U1413:U1476" si="88">IFERROR(CHOOSE(G1413,"Público","Privado Nacional","Privado Estrangeiro"),"n.d.")</f>
        <v>Privado Nacional</v>
      </c>
      <c r="V1413" s="14">
        <f t="shared" ref="V1413:V1476" si="89">IF(AND(ISNUMBER(M1413),ISNUMBER(L1413)),IF(L1413&gt;0,M1413/L1413,"n.d."),"NI")</f>
        <v>0.73723908086300649</v>
      </c>
      <c r="W1413" s="14">
        <f t="shared" ref="W1413:W1476" si="90">IF(AND(ISNUMBER(R1413),ISNUMBER(Q1413)),IF(Q1413&gt;0,R1413/Q1413,"n.d."),"NI")</f>
        <v>0.2357106727364694</v>
      </c>
      <c r="X1413" s="12" t="str">
        <f t="shared" ref="X1413:X1476" si="91">IF(ISNUMBER(L1413),IF(L1413&gt;100000000,"Grande","Média/Pequena"),"Sem dado")</f>
        <v>Média/Pequena</v>
      </c>
      <c r="Y1413" s="122" t="str" cm="1">
        <f t="array" ref="Y1413">_xlfn.IFS(ISNUMBER(W1413)=FALSE,"Sem dado",W1413&gt;0.075,"Excelente",W1413&gt;0.04,"Bom",W1413&gt;0,"Fraco",TRUE,"Prejuízo")</f>
        <v>Excelente</v>
      </c>
    </row>
    <row r="1414" spans="1:25" ht="15" customHeight="1" x14ac:dyDescent="0.2">
      <c r="A1414" s="15" t="s">
        <v>3017</v>
      </c>
      <c r="B1414" s="60">
        <v>44353942</v>
      </c>
      <c r="C1414" s="15" t="s">
        <v>3018</v>
      </c>
      <c r="D1414" s="15"/>
      <c r="E1414" s="15" t="s">
        <v>3019</v>
      </c>
      <c r="F1414" s="15" t="s">
        <v>84</v>
      </c>
      <c r="G1414" s="34">
        <v>2</v>
      </c>
      <c r="H1414" s="34">
        <v>41</v>
      </c>
      <c r="I1414" s="15" t="s">
        <v>38</v>
      </c>
      <c r="J1414" s="15" t="s">
        <v>39</v>
      </c>
      <c r="K1414" s="74" t="s">
        <v>29</v>
      </c>
      <c r="L1414" s="16">
        <v>5698</v>
      </c>
      <c r="M1414" s="16">
        <v>0</v>
      </c>
      <c r="N1414" s="16">
        <v>4947</v>
      </c>
      <c r="O1414" s="16">
        <v>806</v>
      </c>
      <c r="P1414" s="16">
        <v>0</v>
      </c>
      <c r="Q1414" s="16">
        <v>4892</v>
      </c>
      <c r="R1414" s="16">
        <v>800</v>
      </c>
      <c r="S1414" s="16">
        <v>1</v>
      </c>
      <c r="T1414" s="16">
        <v>0</v>
      </c>
      <c r="U1414" s="15" t="str">
        <f t="shared" si="88"/>
        <v>Privado Nacional</v>
      </c>
      <c r="V1414" s="17">
        <f t="shared" si="89"/>
        <v>0</v>
      </c>
      <c r="W1414" s="17">
        <f t="shared" si="90"/>
        <v>0.16353229762878169</v>
      </c>
      <c r="X1414" s="15" t="str">
        <f t="shared" si="91"/>
        <v>Média/Pequena</v>
      </c>
      <c r="Y1414" s="121" t="str" cm="1">
        <f t="array" ref="Y1414">_xlfn.IFS(ISNUMBER(W1414)=FALSE,"Sem dado",W1414&gt;0.075,"Excelente",W1414&gt;0.04,"Bom",W1414&gt;0,"Fraco",TRUE,"Prejuízo")</f>
        <v>Excelente</v>
      </c>
    </row>
    <row r="1415" spans="1:25" ht="15" customHeight="1" x14ac:dyDescent="0.2">
      <c r="A1415" s="12" t="s">
        <v>3020</v>
      </c>
      <c r="B1415" s="56">
        <v>94968518</v>
      </c>
      <c r="C1415" s="12" t="s">
        <v>3021</v>
      </c>
      <c r="D1415" s="12"/>
      <c r="E1415" s="12" t="s">
        <v>3022</v>
      </c>
      <c r="F1415" s="12" t="s">
        <v>98</v>
      </c>
      <c r="G1415" s="33">
        <v>2</v>
      </c>
      <c r="H1415" s="33">
        <v>21</v>
      </c>
      <c r="I1415" s="12" t="s">
        <v>38</v>
      </c>
      <c r="J1415" s="12" t="s">
        <v>39</v>
      </c>
      <c r="K1415" s="73" t="s">
        <v>29</v>
      </c>
      <c r="L1415" s="13">
        <v>5684</v>
      </c>
      <c r="M1415" s="13">
        <v>0</v>
      </c>
      <c r="N1415" s="13">
        <v>1583</v>
      </c>
      <c r="O1415" s="13">
        <v>4588</v>
      </c>
      <c r="P1415" s="13">
        <v>0</v>
      </c>
      <c r="Q1415" s="13">
        <v>1096</v>
      </c>
      <c r="R1415" s="13">
        <v>-296</v>
      </c>
      <c r="S1415" s="13">
        <v>2</v>
      </c>
      <c r="T1415" s="13">
        <v>0</v>
      </c>
      <c r="U1415" s="12" t="str">
        <f t="shared" si="88"/>
        <v>Privado Nacional</v>
      </c>
      <c r="V1415" s="14">
        <f t="shared" si="89"/>
        <v>0</v>
      </c>
      <c r="W1415" s="14">
        <f t="shared" si="90"/>
        <v>-0.27007299270072993</v>
      </c>
      <c r="X1415" s="12" t="str">
        <f t="shared" si="91"/>
        <v>Média/Pequena</v>
      </c>
      <c r="Y1415" s="122" t="str" cm="1">
        <f t="array" ref="Y1415">_xlfn.IFS(ISNUMBER(W1415)=FALSE,"Sem dado",W1415&gt;0.075,"Excelente",W1415&gt;0.04,"Bom",W1415&gt;0,"Fraco",TRUE,"Prejuízo")</f>
        <v>Prejuízo</v>
      </c>
    </row>
    <row r="1416" spans="1:25" ht="15" customHeight="1" x14ac:dyDescent="0.2">
      <c r="A1416" s="15" t="s">
        <v>3023</v>
      </c>
      <c r="B1416" s="60">
        <v>65645137</v>
      </c>
      <c r="C1416" s="15" t="s">
        <v>3024</v>
      </c>
      <c r="D1416" s="15"/>
      <c r="E1416" s="15" t="s">
        <v>3025</v>
      </c>
      <c r="F1416" s="15" t="s">
        <v>98</v>
      </c>
      <c r="G1416" s="34">
        <v>2</v>
      </c>
      <c r="H1416" s="34">
        <v>21</v>
      </c>
      <c r="I1416" s="15" t="s">
        <v>38</v>
      </c>
      <c r="J1416" s="15" t="s">
        <v>39</v>
      </c>
      <c r="K1416" s="74" t="s">
        <v>29</v>
      </c>
      <c r="L1416" s="16">
        <v>5586</v>
      </c>
      <c r="M1416" s="16">
        <v>0</v>
      </c>
      <c r="N1416" s="16">
        <v>1137</v>
      </c>
      <c r="O1416" s="16">
        <v>1658</v>
      </c>
      <c r="P1416" s="16">
        <v>0</v>
      </c>
      <c r="Q1416" s="16">
        <v>3928</v>
      </c>
      <c r="R1416" s="16">
        <v>746</v>
      </c>
      <c r="S1416" s="16">
        <v>2</v>
      </c>
      <c r="T1416" s="16">
        <v>0</v>
      </c>
      <c r="U1416" s="15" t="str">
        <f t="shared" si="88"/>
        <v>Privado Nacional</v>
      </c>
      <c r="V1416" s="17">
        <f t="shared" si="89"/>
        <v>0</v>
      </c>
      <c r="W1416" s="17">
        <f t="shared" si="90"/>
        <v>0.18991853360488797</v>
      </c>
      <c r="X1416" s="15" t="str">
        <f t="shared" si="91"/>
        <v>Média/Pequena</v>
      </c>
      <c r="Y1416" s="121" t="str" cm="1">
        <f t="array" ref="Y1416">_xlfn.IFS(ISNUMBER(W1416)=FALSE,"Sem dado",W1416&gt;0.075,"Excelente",W1416&gt;0.04,"Bom",W1416&gt;0,"Fraco",TRUE,"Prejuízo")</f>
        <v>Excelente</v>
      </c>
    </row>
    <row r="1417" spans="1:25" ht="15" customHeight="1" x14ac:dyDescent="0.2">
      <c r="A1417" s="12" t="s">
        <v>3026</v>
      </c>
      <c r="B1417" s="56">
        <v>44223196</v>
      </c>
      <c r="C1417" s="12"/>
      <c r="D1417" s="12"/>
      <c r="E1417" s="12"/>
      <c r="F1417" s="12" t="s">
        <v>265</v>
      </c>
      <c r="G1417" s="33">
        <v>2</v>
      </c>
      <c r="H1417" s="33">
        <v>9</v>
      </c>
      <c r="I1417" s="12" t="s">
        <v>38</v>
      </c>
      <c r="J1417" s="12" t="s">
        <v>39</v>
      </c>
      <c r="K1417" s="73" t="s">
        <v>29</v>
      </c>
      <c r="L1417" s="13">
        <v>5557</v>
      </c>
      <c r="M1417" s="13">
        <v>4269</v>
      </c>
      <c r="N1417" s="13">
        <v>479</v>
      </c>
      <c r="O1417" s="13">
        <v>58</v>
      </c>
      <c r="P1417" s="13">
        <v>0</v>
      </c>
      <c r="Q1417" s="13">
        <v>5500</v>
      </c>
      <c r="R1417" s="13">
        <v>298</v>
      </c>
      <c r="S1417" s="13">
        <v>0</v>
      </c>
      <c r="T1417" s="13">
        <v>0</v>
      </c>
      <c r="U1417" s="12" t="str">
        <f t="shared" si="88"/>
        <v>Privado Nacional</v>
      </c>
      <c r="V1417" s="14">
        <f t="shared" si="89"/>
        <v>0.76822026273168975</v>
      </c>
      <c r="W1417" s="14">
        <f t="shared" si="90"/>
        <v>5.4181818181818185E-2</v>
      </c>
      <c r="X1417" s="12" t="str">
        <f t="shared" si="91"/>
        <v>Média/Pequena</v>
      </c>
      <c r="Y1417" s="122" t="str" cm="1">
        <f t="array" ref="Y1417">_xlfn.IFS(ISNUMBER(W1417)=FALSE,"Sem dado",W1417&gt;0.075,"Excelente",W1417&gt;0.04,"Bom",W1417&gt;0,"Fraco",TRUE,"Prejuízo")</f>
        <v>Bom</v>
      </c>
    </row>
    <row r="1418" spans="1:25" ht="15" customHeight="1" x14ac:dyDescent="0.2">
      <c r="A1418" s="15" t="s">
        <v>3027</v>
      </c>
      <c r="B1418" s="60">
        <v>57654096</v>
      </c>
      <c r="C1418" s="15" t="s">
        <v>3028</v>
      </c>
      <c r="D1418" s="15"/>
      <c r="E1418" s="15" t="s">
        <v>3029</v>
      </c>
      <c r="F1418" s="15" t="s">
        <v>84</v>
      </c>
      <c r="G1418" s="34">
        <v>2</v>
      </c>
      <c r="H1418" s="34">
        <v>41</v>
      </c>
      <c r="I1418" s="15" t="s">
        <v>38</v>
      </c>
      <c r="J1418" s="15" t="s">
        <v>39</v>
      </c>
      <c r="K1418" s="74" t="s">
        <v>29</v>
      </c>
      <c r="L1418" s="16">
        <v>5514</v>
      </c>
      <c r="M1418" s="16">
        <v>0</v>
      </c>
      <c r="N1418" s="16">
        <v>5457</v>
      </c>
      <c r="O1418" s="16">
        <v>287</v>
      </c>
      <c r="P1418" s="16">
        <v>0</v>
      </c>
      <c r="Q1418" s="16">
        <v>5227</v>
      </c>
      <c r="R1418" s="16">
        <v>-73</v>
      </c>
      <c r="S1418" s="16">
        <v>1</v>
      </c>
      <c r="T1418" s="16">
        <v>0</v>
      </c>
      <c r="U1418" s="15" t="str">
        <f t="shared" si="88"/>
        <v>Privado Nacional</v>
      </c>
      <c r="V1418" s="17">
        <f t="shared" si="89"/>
        <v>0</v>
      </c>
      <c r="W1418" s="17">
        <f t="shared" si="90"/>
        <v>-1.3965946049359097E-2</v>
      </c>
      <c r="X1418" s="15" t="str">
        <f t="shared" si="91"/>
        <v>Média/Pequena</v>
      </c>
      <c r="Y1418" s="121" t="str" cm="1">
        <f t="array" ref="Y1418">_xlfn.IFS(ISNUMBER(W1418)=FALSE,"Sem dado",W1418&gt;0.075,"Excelente",W1418&gt;0.04,"Bom",W1418&gt;0,"Fraco",TRUE,"Prejuízo")</f>
        <v>Prejuízo</v>
      </c>
    </row>
    <row r="1419" spans="1:25" ht="15" customHeight="1" x14ac:dyDescent="0.2">
      <c r="A1419" s="12" t="s">
        <v>3030</v>
      </c>
      <c r="B1419" s="56">
        <v>999403</v>
      </c>
      <c r="C1419" s="12" t="s">
        <v>424</v>
      </c>
      <c r="D1419" s="12" t="s">
        <v>425</v>
      </c>
      <c r="E1419" s="12" t="s">
        <v>426</v>
      </c>
      <c r="F1419" s="12" t="s">
        <v>98</v>
      </c>
      <c r="G1419" s="33">
        <v>2</v>
      </c>
      <c r="H1419" s="33">
        <v>16</v>
      </c>
      <c r="I1419" s="12" t="s">
        <v>38</v>
      </c>
      <c r="J1419" s="12" t="s">
        <v>39</v>
      </c>
      <c r="K1419" s="73" t="s">
        <v>29</v>
      </c>
      <c r="L1419" s="13">
        <v>5507</v>
      </c>
      <c r="M1419" s="13">
        <v>0</v>
      </c>
      <c r="N1419" s="13">
        <v>0</v>
      </c>
      <c r="O1419" s="13">
        <v>64</v>
      </c>
      <c r="P1419" s="13">
        <v>0</v>
      </c>
      <c r="Q1419" s="13">
        <v>5443</v>
      </c>
      <c r="R1419" s="13">
        <v>165</v>
      </c>
      <c r="S1419" s="13">
        <v>2</v>
      </c>
      <c r="T1419" s="13">
        <v>0</v>
      </c>
      <c r="U1419" s="12" t="str">
        <f t="shared" si="88"/>
        <v>Privado Nacional</v>
      </c>
      <c r="V1419" s="14">
        <f t="shared" si="89"/>
        <v>0</v>
      </c>
      <c r="W1419" s="14">
        <f t="shared" si="90"/>
        <v>3.0314164982546389E-2</v>
      </c>
      <c r="X1419" s="12" t="str">
        <f t="shared" si="91"/>
        <v>Média/Pequena</v>
      </c>
      <c r="Y1419" s="122" t="str" cm="1">
        <f t="array" ref="Y1419">_xlfn.IFS(ISNUMBER(W1419)=FALSE,"Sem dado",W1419&gt;0.075,"Excelente",W1419&gt;0.04,"Bom",W1419&gt;0,"Fraco",TRUE,"Prejuízo")</f>
        <v>Fraco</v>
      </c>
    </row>
    <row r="1420" spans="1:25" ht="15" customHeight="1" x14ac:dyDescent="0.2">
      <c r="A1420" s="15" t="s">
        <v>3031</v>
      </c>
      <c r="B1420" s="60">
        <v>49933388</v>
      </c>
      <c r="C1420" s="15" t="s">
        <v>3032</v>
      </c>
      <c r="D1420" s="15"/>
      <c r="E1420" s="15" t="s">
        <v>3033</v>
      </c>
      <c r="F1420" s="15" t="s">
        <v>65</v>
      </c>
      <c r="G1420" s="34">
        <v>2</v>
      </c>
      <c r="H1420" s="34">
        <v>43</v>
      </c>
      <c r="I1420" s="15" t="s">
        <v>528</v>
      </c>
      <c r="J1420" s="15" t="s">
        <v>217</v>
      </c>
      <c r="K1420" s="74" t="s">
        <v>29</v>
      </c>
      <c r="L1420" s="16">
        <v>5504</v>
      </c>
      <c r="M1420" s="16">
        <v>0</v>
      </c>
      <c r="N1420" s="16">
        <v>5441</v>
      </c>
      <c r="O1420" s="16">
        <v>69</v>
      </c>
      <c r="P1420" s="16">
        <v>0</v>
      </c>
      <c r="Q1420" s="16">
        <v>5435</v>
      </c>
      <c r="R1420" s="16">
        <v>107</v>
      </c>
      <c r="S1420" s="16">
        <v>2</v>
      </c>
      <c r="T1420" s="16">
        <v>0</v>
      </c>
      <c r="U1420" s="15" t="str">
        <f t="shared" si="88"/>
        <v>Privado Nacional</v>
      </c>
      <c r="V1420" s="17">
        <f t="shared" si="89"/>
        <v>0</v>
      </c>
      <c r="W1420" s="17">
        <f t="shared" si="90"/>
        <v>1.968721251149954E-2</v>
      </c>
      <c r="X1420" s="15" t="str">
        <f t="shared" si="91"/>
        <v>Média/Pequena</v>
      </c>
      <c r="Y1420" s="121" t="str" cm="1">
        <f t="array" ref="Y1420">_xlfn.IFS(ISNUMBER(W1420)=FALSE,"Sem dado",W1420&gt;0.075,"Excelente",W1420&gt;0.04,"Bom",W1420&gt;0,"Fraco",TRUE,"Prejuízo")</f>
        <v>Fraco</v>
      </c>
    </row>
    <row r="1421" spans="1:25" ht="15" customHeight="1" x14ac:dyDescent="0.2">
      <c r="A1421" s="12" t="s">
        <v>3034</v>
      </c>
      <c r="B1421" s="56">
        <v>3422007</v>
      </c>
      <c r="C1421" s="12"/>
      <c r="D1421" s="12"/>
      <c r="E1421" s="12"/>
      <c r="F1421" s="12" t="s">
        <v>265</v>
      </c>
      <c r="G1421" s="33">
        <v>2</v>
      </c>
      <c r="H1421" s="33">
        <v>9</v>
      </c>
      <c r="I1421" s="12" t="s">
        <v>38</v>
      </c>
      <c r="J1421" s="12" t="s">
        <v>39</v>
      </c>
      <c r="K1421" s="73" t="s">
        <v>29</v>
      </c>
      <c r="L1421" s="13">
        <v>5430</v>
      </c>
      <c r="M1421" s="13">
        <v>2428</v>
      </c>
      <c r="N1421" s="13">
        <v>2425</v>
      </c>
      <c r="O1421" s="13">
        <v>3518</v>
      </c>
      <c r="P1421" s="13">
        <v>3124</v>
      </c>
      <c r="Q1421" s="13">
        <v>1912</v>
      </c>
      <c r="R1421" s="13">
        <v>-225</v>
      </c>
      <c r="S1421" s="13">
        <v>0</v>
      </c>
      <c r="T1421" s="13">
        <v>4</v>
      </c>
      <c r="U1421" s="12" t="str">
        <f t="shared" si="88"/>
        <v>Privado Nacional</v>
      </c>
      <c r="V1421" s="14">
        <f t="shared" si="89"/>
        <v>0.44714548802946591</v>
      </c>
      <c r="W1421" s="14">
        <f t="shared" si="90"/>
        <v>-0.11767782426778242</v>
      </c>
      <c r="X1421" s="12" t="str">
        <f t="shared" si="91"/>
        <v>Média/Pequena</v>
      </c>
      <c r="Y1421" s="122" t="str" cm="1">
        <f t="array" ref="Y1421">_xlfn.IFS(ISNUMBER(W1421)=FALSE,"Sem dado",W1421&gt;0.075,"Excelente",W1421&gt;0.04,"Bom",W1421&gt;0,"Fraco",TRUE,"Prejuízo")</f>
        <v>Prejuízo</v>
      </c>
    </row>
    <row r="1422" spans="1:25" ht="15" customHeight="1" x14ac:dyDescent="0.2">
      <c r="A1422" s="15" t="s">
        <v>3035</v>
      </c>
      <c r="B1422" s="60">
        <v>57707777</v>
      </c>
      <c r="C1422" s="15" t="s">
        <v>3036</v>
      </c>
      <c r="D1422" s="15"/>
      <c r="E1422" s="15" t="s">
        <v>3037</v>
      </c>
      <c r="F1422" s="15" t="s">
        <v>98</v>
      </c>
      <c r="G1422" s="34">
        <v>2</v>
      </c>
      <c r="H1422" s="34">
        <v>15</v>
      </c>
      <c r="I1422" s="15" t="s">
        <v>38</v>
      </c>
      <c r="J1422" s="15" t="s">
        <v>39</v>
      </c>
      <c r="K1422" s="74" t="s">
        <v>29</v>
      </c>
      <c r="L1422" s="16">
        <v>5428</v>
      </c>
      <c r="M1422" s="16">
        <v>0</v>
      </c>
      <c r="N1422" s="16">
        <v>5377</v>
      </c>
      <c r="O1422" s="16">
        <v>2009</v>
      </c>
      <c r="P1422" s="16">
        <v>0</v>
      </c>
      <c r="Q1422" s="16">
        <v>3419</v>
      </c>
      <c r="R1422" s="16">
        <v>-210</v>
      </c>
      <c r="S1422" s="16">
        <v>2</v>
      </c>
      <c r="T1422" s="16">
        <v>0</v>
      </c>
      <c r="U1422" s="15" t="str">
        <f t="shared" si="88"/>
        <v>Privado Nacional</v>
      </c>
      <c r="V1422" s="17">
        <f t="shared" si="89"/>
        <v>0</v>
      </c>
      <c r="W1422" s="17">
        <f t="shared" si="90"/>
        <v>-6.1421468265574729E-2</v>
      </c>
      <c r="X1422" s="15" t="str">
        <f t="shared" si="91"/>
        <v>Média/Pequena</v>
      </c>
      <c r="Y1422" s="121" t="str" cm="1">
        <f t="array" ref="Y1422">_xlfn.IFS(ISNUMBER(W1422)=FALSE,"Sem dado",W1422&gt;0.075,"Excelente",W1422&gt;0.04,"Bom",W1422&gt;0,"Fraco",TRUE,"Prejuízo")</f>
        <v>Prejuízo</v>
      </c>
    </row>
    <row r="1423" spans="1:25" ht="15" customHeight="1" x14ac:dyDescent="0.2">
      <c r="A1423" s="12" t="s">
        <v>3038</v>
      </c>
      <c r="B1423" s="56">
        <v>5740092</v>
      </c>
      <c r="C1423" s="12"/>
      <c r="D1423" s="12"/>
      <c r="E1423" s="12"/>
      <c r="F1423" s="12" t="s">
        <v>265</v>
      </c>
      <c r="G1423" s="33">
        <v>2</v>
      </c>
      <c r="H1423" s="33">
        <v>9</v>
      </c>
      <c r="I1423" s="12" t="s">
        <v>255</v>
      </c>
      <c r="J1423" s="12" t="s">
        <v>39</v>
      </c>
      <c r="K1423" s="73" t="s">
        <v>29</v>
      </c>
      <c r="L1423" s="13">
        <v>5399</v>
      </c>
      <c r="M1423" s="13">
        <v>12</v>
      </c>
      <c r="N1423" s="13">
        <v>0</v>
      </c>
      <c r="O1423" s="13">
        <v>867</v>
      </c>
      <c r="P1423" s="13">
        <v>567</v>
      </c>
      <c r="Q1423" s="13">
        <v>4532</v>
      </c>
      <c r="R1423" s="13">
        <v>223</v>
      </c>
      <c r="S1423" s="13">
        <v>0</v>
      </c>
      <c r="T1423" s="13">
        <v>0</v>
      </c>
      <c r="U1423" s="12" t="str">
        <f t="shared" si="88"/>
        <v>Privado Nacional</v>
      </c>
      <c r="V1423" s="14">
        <f t="shared" si="89"/>
        <v>2.2226338210779772E-3</v>
      </c>
      <c r="W1423" s="14">
        <f t="shared" si="90"/>
        <v>4.9205648720211825E-2</v>
      </c>
      <c r="X1423" s="12" t="str">
        <f t="shared" si="91"/>
        <v>Média/Pequena</v>
      </c>
      <c r="Y1423" s="122" t="str" cm="1">
        <f t="array" ref="Y1423">_xlfn.IFS(ISNUMBER(W1423)=FALSE,"Sem dado",W1423&gt;0.075,"Excelente",W1423&gt;0.04,"Bom",W1423&gt;0,"Fraco",TRUE,"Prejuízo")</f>
        <v>Bom</v>
      </c>
    </row>
    <row r="1424" spans="1:25" ht="15" customHeight="1" x14ac:dyDescent="0.2">
      <c r="A1424" s="15" t="s">
        <v>3039</v>
      </c>
      <c r="B1424" s="60">
        <v>88952130</v>
      </c>
      <c r="C1424" s="15"/>
      <c r="D1424" s="15"/>
      <c r="E1424" s="15"/>
      <c r="F1424" s="15" t="s">
        <v>265</v>
      </c>
      <c r="G1424" s="34">
        <v>2</v>
      </c>
      <c r="H1424" s="34">
        <v>9</v>
      </c>
      <c r="I1424" s="15" t="s">
        <v>3040</v>
      </c>
      <c r="J1424" s="15" t="s">
        <v>74</v>
      </c>
      <c r="K1424" s="74" t="s">
        <v>29</v>
      </c>
      <c r="L1424" s="16">
        <v>5398</v>
      </c>
      <c r="M1424" s="16">
        <v>1887</v>
      </c>
      <c r="N1424" s="16">
        <v>3383</v>
      </c>
      <c r="O1424" s="16">
        <v>124</v>
      </c>
      <c r="P1424" s="16">
        <v>0</v>
      </c>
      <c r="Q1424" s="16">
        <v>5273</v>
      </c>
      <c r="R1424" s="16">
        <v>154</v>
      </c>
      <c r="S1424" s="16">
        <v>0</v>
      </c>
      <c r="T1424" s="16">
        <v>0</v>
      </c>
      <c r="U1424" s="15" t="str">
        <f t="shared" si="88"/>
        <v>Privado Nacional</v>
      </c>
      <c r="V1424" s="17">
        <f t="shared" si="89"/>
        <v>0.34957391626528345</v>
      </c>
      <c r="W1424" s="17">
        <f t="shared" si="90"/>
        <v>2.9205385928314051E-2</v>
      </c>
      <c r="X1424" s="15" t="str">
        <f t="shared" si="91"/>
        <v>Média/Pequena</v>
      </c>
      <c r="Y1424" s="121" t="str" cm="1">
        <f t="array" ref="Y1424">_xlfn.IFS(ISNUMBER(W1424)=FALSE,"Sem dado",W1424&gt;0.075,"Excelente",W1424&gt;0.04,"Bom",W1424&gt;0,"Fraco",TRUE,"Prejuízo")</f>
        <v>Fraco</v>
      </c>
    </row>
    <row r="1425" spans="1:25" ht="15" customHeight="1" x14ac:dyDescent="0.2">
      <c r="A1425" s="12" t="s">
        <v>3041</v>
      </c>
      <c r="B1425" s="56">
        <v>40333582</v>
      </c>
      <c r="C1425" s="12" t="s">
        <v>3042</v>
      </c>
      <c r="D1425" s="12"/>
      <c r="E1425" s="12" t="s">
        <v>3043</v>
      </c>
      <c r="F1425" s="12" t="s">
        <v>98</v>
      </c>
      <c r="G1425" s="33">
        <v>2</v>
      </c>
      <c r="H1425" s="33">
        <v>21</v>
      </c>
      <c r="I1425" s="12" t="s">
        <v>1749</v>
      </c>
      <c r="J1425" s="12" t="s">
        <v>39</v>
      </c>
      <c r="K1425" s="73" t="s">
        <v>29</v>
      </c>
      <c r="L1425" s="13">
        <v>5352</v>
      </c>
      <c r="M1425" s="13">
        <v>0</v>
      </c>
      <c r="N1425" s="13">
        <v>356</v>
      </c>
      <c r="O1425" s="13">
        <v>4000</v>
      </c>
      <c r="P1425" s="13">
        <v>0</v>
      </c>
      <c r="Q1425" s="13">
        <v>1352</v>
      </c>
      <c r="R1425" s="13">
        <v>-105</v>
      </c>
      <c r="S1425" s="13">
        <v>2</v>
      </c>
      <c r="T1425" s="13">
        <v>0</v>
      </c>
      <c r="U1425" s="12" t="str">
        <f t="shared" si="88"/>
        <v>Privado Nacional</v>
      </c>
      <c r="V1425" s="14">
        <f t="shared" si="89"/>
        <v>0</v>
      </c>
      <c r="W1425" s="14">
        <f t="shared" si="90"/>
        <v>-7.7662721893491118E-2</v>
      </c>
      <c r="X1425" s="12" t="str">
        <f t="shared" si="91"/>
        <v>Média/Pequena</v>
      </c>
      <c r="Y1425" s="122" t="str" cm="1">
        <f t="array" ref="Y1425">_xlfn.IFS(ISNUMBER(W1425)=FALSE,"Sem dado",W1425&gt;0.075,"Excelente",W1425&gt;0.04,"Bom",W1425&gt;0,"Fraco",TRUE,"Prejuízo")</f>
        <v>Prejuízo</v>
      </c>
    </row>
    <row r="1426" spans="1:25" ht="15" customHeight="1" x14ac:dyDescent="0.2">
      <c r="A1426" s="15" t="s">
        <v>3044</v>
      </c>
      <c r="B1426" s="60">
        <v>8323197</v>
      </c>
      <c r="C1426" s="15" t="s">
        <v>3045</v>
      </c>
      <c r="D1426" s="15"/>
      <c r="E1426" s="15" t="s">
        <v>3046</v>
      </c>
      <c r="F1426" s="15" t="s">
        <v>84</v>
      </c>
      <c r="G1426" s="34">
        <v>2</v>
      </c>
      <c r="H1426" s="34">
        <v>41</v>
      </c>
      <c r="I1426" s="15" t="s">
        <v>564</v>
      </c>
      <c r="J1426" s="15" t="s">
        <v>120</v>
      </c>
      <c r="K1426" s="74" t="s">
        <v>29</v>
      </c>
      <c r="L1426" s="16">
        <v>5339</v>
      </c>
      <c r="M1426" s="16">
        <v>0</v>
      </c>
      <c r="N1426" s="16">
        <v>249</v>
      </c>
      <c r="O1426" s="16">
        <v>74</v>
      </c>
      <c r="P1426" s="16">
        <v>0</v>
      </c>
      <c r="Q1426" s="16">
        <v>5265</v>
      </c>
      <c r="R1426" s="16">
        <v>-31</v>
      </c>
      <c r="S1426" s="16">
        <v>1</v>
      </c>
      <c r="T1426" s="16">
        <v>0</v>
      </c>
      <c r="U1426" s="15" t="str">
        <f t="shared" si="88"/>
        <v>Privado Nacional</v>
      </c>
      <c r="V1426" s="17">
        <f t="shared" si="89"/>
        <v>0</v>
      </c>
      <c r="W1426" s="17">
        <f t="shared" si="90"/>
        <v>-5.887939221272555E-3</v>
      </c>
      <c r="X1426" s="15" t="str">
        <f t="shared" si="91"/>
        <v>Média/Pequena</v>
      </c>
      <c r="Y1426" s="121" t="str" cm="1">
        <f t="array" ref="Y1426">_xlfn.IFS(ISNUMBER(W1426)=FALSE,"Sem dado",W1426&gt;0.075,"Excelente",W1426&gt;0.04,"Bom",W1426&gt;0,"Fraco",TRUE,"Prejuízo")</f>
        <v>Prejuízo</v>
      </c>
    </row>
    <row r="1427" spans="1:25" ht="15" customHeight="1" x14ac:dyDescent="0.2">
      <c r="A1427" s="12" t="s">
        <v>3047</v>
      </c>
      <c r="B1427" s="56">
        <v>62264924</v>
      </c>
      <c r="C1427" s="12" t="s">
        <v>3048</v>
      </c>
      <c r="D1427" s="12"/>
      <c r="E1427" s="12" t="s">
        <v>3049</v>
      </c>
      <c r="F1427" s="12" t="s">
        <v>98</v>
      </c>
      <c r="G1427" s="33">
        <v>2</v>
      </c>
      <c r="H1427" s="33">
        <v>16</v>
      </c>
      <c r="I1427" s="12" t="s">
        <v>38</v>
      </c>
      <c r="J1427" s="12" t="s">
        <v>39</v>
      </c>
      <c r="K1427" s="73" t="s">
        <v>29</v>
      </c>
      <c r="L1427" s="13">
        <v>5314</v>
      </c>
      <c r="M1427" s="13">
        <v>0</v>
      </c>
      <c r="N1427" s="13">
        <v>132</v>
      </c>
      <c r="O1427" s="13">
        <v>2439</v>
      </c>
      <c r="P1427" s="13">
        <v>0</v>
      </c>
      <c r="Q1427" s="13">
        <v>2876</v>
      </c>
      <c r="R1427" s="13">
        <v>2346</v>
      </c>
      <c r="S1427" s="13">
        <v>2</v>
      </c>
      <c r="T1427" s="13">
        <v>0</v>
      </c>
      <c r="U1427" s="12" t="str">
        <f t="shared" si="88"/>
        <v>Privado Nacional</v>
      </c>
      <c r="V1427" s="14">
        <f t="shared" si="89"/>
        <v>0</v>
      </c>
      <c r="W1427" s="14">
        <f t="shared" si="90"/>
        <v>0.81571627260083446</v>
      </c>
      <c r="X1427" s="12" t="str">
        <f t="shared" si="91"/>
        <v>Média/Pequena</v>
      </c>
      <c r="Y1427" s="122" t="str" cm="1">
        <f t="array" ref="Y1427">_xlfn.IFS(ISNUMBER(W1427)=FALSE,"Sem dado",W1427&gt;0.075,"Excelente",W1427&gt;0.04,"Bom",W1427&gt;0,"Fraco",TRUE,"Prejuízo")</f>
        <v>Excelente</v>
      </c>
    </row>
    <row r="1428" spans="1:25" ht="15" customHeight="1" x14ac:dyDescent="0.2">
      <c r="A1428" s="15" t="s">
        <v>3050</v>
      </c>
      <c r="B1428" s="60">
        <v>44564204</v>
      </c>
      <c r="C1428" s="15" t="s">
        <v>3051</v>
      </c>
      <c r="D1428" s="15"/>
      <c r="E1428" s="15" t="s">
        <v>3052</v>
      </c>
      <c r="F1428" s="15" t="s">
        <v>65</v>
      </c>
      <c r="G1428" s="34">
        <v>2</v>
      </c>
      <c r="H1428" s="34">
        <v>43</v>
      </c>
      <c r="I1428" s="15" t="s">
        <v>143</v>
      </c>
      <c r="J1428" s="15" t="s">
        <v>144</v>
      </c>
      <c r="K1428" s="74" t="s">
        <v>29</v>
      </c>
      <c r="L1428" s="16">
        <v>5265</v>
      </c>
      <c r="M1428" s="16">
        <v>3119</v>
      </c>
      <c r="N1428" s="16">
        <v>2139</v>
      </c>
      <c r="O1428" s="16">
        <v>907</v>
      </c>
      <c r="P1428" s="16">
        <v>0</v>
      </c>
      <c r="Q1428" s="16">
        <v>4358</v>
      </c>
      <c r="R1428" s="16">
        <v>357</v>
      </c>
      <c r="S1428" s="16">
        <v>2</v>
      </c>
      <c r="T1428" s="16">
        <v>0</v>
      </c>
      <c r="U1428" s="15" t="str">
        <f t="shared" si="88"/>
        <v>Privado Nacional</v>
      </c>
      <c r="V1428" s="17">
        <f t="shared" si="89"/>
        <v>0.59240265906932577</v>
      </c>
      <c r="W1428" s="17">
        <f t="shared" si="90"/>
        <v>8.1918311151904538E-2</v>
      </c>
      <c r="X1428" s="15" t="str">
        <f t="shared" si="91"/>
        <v>Média/Pequena</v>
      </c>
      <c r="Y1428" s="121" t="str" cm="1">
        <f t="array" ref="Y1428">_xlfn.IFS(ISNUMBER(W1428)=FALSE,"Sem dado",W1428&gt;0.075,"Excelente",W1428&gt;0.04,"Bom",W1428&gt;0,"Fraco",TRUE,"Prejuízo")</f>
        <v>Excelente</v>
      </c>
    </row>
    <row r="1429" spans="1:25" ht="15" customHeight="1" x14ac:dyDescent="0.2">
      <c r="A1429" s="12" t="s">
        <v>3053</v>
      </c>
      <c r="B1429" s="56">
        <v>3990888</v>
      </c>
      <c r="C1429" s="12"/>
      <c r="D1429" s="12"/>
      <c r="E1429" s="12"/>
      <c r="F1429" s="12" t="s">
        <v>265</v>
      </c>
      <c r="G1429" s="33">
        <v>2</v>
      </c>
      <c r="H1429" s="33">
        <v>9</v>
      </c>
      <c r="I1429" s="12" t="s">
        <v>73</v>
      </c>
      <c r="J1429" s="12" t="s">
        <v>74</v>
      </c>
      <c r="K1429" s="73" t="s">
        <v>29</v>
      </c>
      <c r="L1429" s="13">
        <v>5225</v>
      </c>
      <c r="M1429" s="13">
        <v>3222</v>
      </c>
      <c r="N1429" s="13">
        <v>0</v>
      </c>
      <c r="O1429" s="13">
        <v>560</v>
      </c>
      <c r="P1429" s="13">
        <v>0</v>
      </c>
      <c r="Q1429" s="13">
        <v>4665</v>
      </c>
      <c r="R1429" s="13">
        <v>-130</v>
      </c>
      <c r="S1429" s="13">
        <v>0</v>
      </c>
      <c r="T1429" s="13">
        <v>0</v>
      </c>
      <c r="U1429" s="12" t="str">
        <f t="shared" si="88"/>
        <v>Privado Nacional</v>
      </c>
      <c r="V1429" s="14">
        <f t="shared" si="89"/>
        <v>0.61665071770334923</v>
      </c>
      <c r="W1429" s="14">
        <f t="shared" si="90"/>
        <v>-2.7867095391211148E-2</v>
      </c>
      <c r="X1429" s="12" t="str">
        <f t="shared" si="91"/>
        <v>Média/Pequena</v>
      </c>
      <c r="Y1429" s="122" t="str" cm="1">
        <f t="array" ref="Y1429">_xlfn.IFS(ISNUMBER(W1429)=FALSE,"Sem dado",W1429&gt;0.075,"Excelente",W1429&gt;0.04,"Bom",W1429&gt;0,"Fraco",TRUE,"Prejuízo")</f>
        <v>Prejuízo</v>
      </c>
    </row>
    <row r="1430" spans="1:25" ht="15" customHeight="1" x14ac:dyDescent="0.2">
      <c r="A1430" s="15" t="s">
        <v>3054</v>
      </c>
      <c r="B1430" s="60">
        <v>69136075</v>
      </c>
      <c r="C1430" s="15"/>
      <c r="D1430" s="15"/>
      <c r="E1430" s="15"/>
      <c r="F1430" s="15" t="s">
        <v>265</v>
      </c>
      <c r="G1430" s="34">
        <v>2</v>
      </c>
      <c r="H1430" s="34">
        <v>9</v>
      </c>
      <c r="I1430" s="15" t="s">
        <v>1180</v>
      </c>
      <c r="J1430" s="15" t="s">
        <v>39</v>
      </c>
      <c r="K1430" s="74" t="s">
        <v>29</v>
      </c>
      <c r="L1430" s="16">
        <v>5209</v>
      </c>
      <c r="M1430" s="16">
        <v>2256</v>
      </c>
      <c r="N1430" s="16">
        <v>2497</v>
      </c>
      <c r="O1430" s="16">
        <v>887</v>
      </c>
      <c r="P1430" s="16">
        <v>662</v>
      </c>
      <c r="Q1430" s="16">
        <v>4322</v>
      </c>
      <c r="R1430" s="16">
        <v>143</v>
      </c>
      <c r="S1430" s="16">
        <v>0</v>
      </c>
      <c r="T1430" s="16">
        <v>0</v>
      </c>
      <c r="U1430" s="15" t="str">
        <f t="shared" si="88"/>
        <v>Privado Nacional</v>
      </c>
      <c r="V1430" s="17">
        <f t="shared" si="89"/>
        <v>0.4330965636398541</v>
      </c>
      <c r="W1430" s="17">
        <f t="shared" si="90"/>
        <v>3.3086534012031467E-2</v>
      </c>
      <c r="X1430" s="15" t="str">
        <f t="shared" si="91"/>
        <v>Média/Pequena</v>
      </c>
      <c r="Y1430" s="121" t="str" cm="1">
        <f t="array" ref="Y1430">_xlfn.IFS(ISNUMBER(W1430)=FALSE,"Sem dado",W1430&gt;0.075,"Excelente",W1430&gt;0.04,"Bom",W1430&gt;0,"Fraco",TRUE,"Prejuízo")</f>
        <v>Fraco</v>
      </c>
    </row>
    <row r="1431" spans="1:25" ht="15" customHeight="1" x14ac:dyDescent="0.2">
      <c r="A1431" s="12" t="s">
        <v>3055</v>
      </c>
      <c r="B1431" s="56">
        <v>62667674</v>
      </c>
      <c r="C1431" s="12" t="s">
        <v>1495</v>
      </c>
      <c r="D1431" s="12" t="s">
        <v>1496</v>
      </c>
      <c r="E1431" s="12" t="s">
        <v>1496</v>
      </c>
      <c r="F1431" s="12" t="s">
        <v>98</v>
      </c>
      <c r="G1431" s="33">
        <v>2</v>
      </c>
      <c r="H1431" s="33">
        <v>16</v>
      </c>
      <c r="I1431" s="12" t="s">
        <v>73</v>
      </c>
      <c r="J1431" s="12" t="s">
        <v>74</v>
      </c>
      <c r="K1431" s="73" t="s">
        <v>29</v>
      </c>
      <c r="L1431" s="13">
        <v>5194</v>
      </c>
      <c r="M1431" s="13">
        <v>0</v>
      </c>
      <c r="N1431" s="13">
        <v>3826</v>
      </c>
      <c r="O1431" s="13">
        <v>74</v>
      </c>
      <c r="P1431" s="13">
        <v>0</v>
      </c>
      <c r="Q1431" s="13">
        <v>5120</v>
      </c>
      <c r="R1431" s="13">
        <v>-247</v>
      </c>
      <c r="S1431" s="13">
        <v>2</v>
      </c>
      <c r="T1431" s="13">
        <v>0</v>
      </c>
      <c r="U1431" s="12" t="str">
        <f t="shared" si="88"/>
        <v>Privado Nacional</v>
      </c>
      <c r="V1431" s="14">
        <f t="shared" si="89"/>
        <v>0</v>
      </c>
      <c r="W1431" s="14">
        <f t="shared" si="90"/>
        <v>-4.8242187499999999E-2</v>
      </c>
      <c r="X1431" s="12" t="str">
        <f t="shared" si="91"/>
        <v>Média/Pequena</v>
      </c>
      <c r="Y1431" s="122" t="str" cm="1">
        <f t="array" ref="Y1431">_xlfn.IFS(ISNUMBER(W1431)=FALSE,"Sem dado",W1431&gt;0.075,"Excelente",W1431&gt;0.04,"Bom",W1431&gt;0,"Fraco",TRUE,"Prejuízo")</f>
        <v>Prejuízo</v>
      </c>
    </row>
    <row r="1432" spans="1:25" ht="15" customHeight="1" x14ac:dyDescent="0.2">
      <c r="A1432" s="15" t="s">
        <v>3056</v>
      </c>
      <c r="B1432" s="60">
        <v>72952138</v>
      </c>
      <c r="C1432" s="15"/>
      <c r="D1432" s="15"/>
      <c r="E1432" s="15"/>
      <c r="F1432" s="15" t="s">
        <v>265</v>
      </c>
      <c r="G1432" s="34">
        <v>2</v>
      </c>
      <c r="H1432" s="34">
        <v>9</v>
      </c>
      <c r="I1432" s="15" t="s">
        <v>3057</v>
      </c>
      <c r="J1432" s="15" t="s">
        <v>39</v>
      </c>
      <c r="K1432" s="74" t="s">
        <v>29</v>
      </c>
      <c r="L1432" s="16">
        <v>5053</v>
      </c>
      <c r="M1432" s="16">
        <v>2528</v>
      </c>
      <c r="N1432" s="16">
        <v>2430</v>
      </c>
      <c r="O1432" s="16">
        <v>254</v>
      </c>
      <c r="P1432" s="16">
        <v>0</v>
      </c>
      <c r="Q1432" s="16">
        <v>4799</v>
      </c>
      <c r="R1432" s="16">
        <v>193</v>
      </c>
      <c r="S1432" s="16">
        <v>0</v>
      </c>
      <c r="T1432" s="16">
        <v>0</v>
      </c>
      <c r="U1432" s="15" t="str">
        <f t="shared" si="88"/>
        <v>Privado Nacional</v>
      </c>
      <c r="V1432" s="17">
        <f t="shared" si="89"/>
        <v>0.50029685335444285</v>
      </c>
      <c r="W1432" s="17">
        <f t="shared" si="90"/>
        <v>4.0216711814961448E-2</v>
      </c>
      <c r="X1432" s="15" t="str">
        <f t="shared" si="91"/>
        <v>Média/Pequena</v>
      </c>
      <c r="Y1432" s="121" t="str" cm="1">
        <f t="array" ref="Y1432">_xlfn.IFS(ISNUMBER(W1432)=FALSE,"Sem dado",W1432&gt;0.075,"Excelente",W1432&gt;0.04,"Bom",W1432&gt;0,"Fraco",TRUE,"Prejuízo")</f>
        <v>Bom</v>
      </c>
    </row>
    <row r="1433" spans="1:25" ht="15" customHeight="1" x14ac:dyDescent="0.2">
      <c r="A1433" s="12" t="s">
        <v>3058</v>
      </c>
      <c r="B1433" s="56">
        <v>50286774</v>
      </c>
      <c r="C1433" s="12" t="s">
        <v>3059</v>
      </c>
      <c r="D1433" s="12"/>
      <c r="E1433" s="12" t="s">
        <v>3060</v>
      </c>
      <c r="F1433" s="12" t="s">
        <v>98</v>
      </c>
      <c r="G1433" s="33">
        <v>2</v>
      </c>
      <c r="H1433" s="33">
        <v>16</v>
      </c>
      <c r="I1433" s="12" t="s">
        <v>38</v>
      </c>
      <c r="J1433" s="12" t="s">
        <v>39</v>
      </c>
      <c r="K1433" s="73" t="s">
        <v>29</v>
      </c>
      <c r="L1433" s="13">
        <v>5036</v>
      </c>
      <c r="M1433" s="13">
        <v>0</v>
      </c>
      <c r="N1433" s="13">
        <v>1364</v>
      </c>
      <c r="O1433" s="13">
        <v>867</v>
      </c>
      <c r="P1433" s="13">
        <v>489</v>
      </c>
      <c r="Q1433" s="13">
        <v>4170</v>
      </c>
      <c r="R1433" s="13">
        <v>118</v>
      </c>
      <c r="S1433" s="13">
        <v>2</v>
      </c>
      <c r="T1433" s="13">
        <v>0</v>
      </c>
      <c r="U1433" s="12" t="str">
        <f t="shared" si="88"/>
        <v>Privado Nacional</v>
      </c>
      <c r="V1433" s="14">
        <f t="shared" si="89"/>
        <v>0</v>
      </c>
      <c r="W1433" s="14">
        <f t="shared" si="90"/>
        <v>2.8297362110311752E-2</v>
      </c>
      <c r="X1433" s="12" t="str">
        <f t="shared" si="91"/>
        <v>Média/Pequena</v>
      </c>
      <c r="Y1433" s="122" t="str" cm="1">
        <f t="array" ref="Y1433">_xlfn.IFS(ISNUMBER(W1433)=FALSE,"Sem dado",W1433&gt;0.075,"Excelente",W1433&gt;0.04,"Bom",W1433&gt;0,"Fraco",TRUE,"Prejuízo")</f>
        <v>Fraco</v>
      </c>
    </row>
    <row r="1434" spans="1:25" ht="15" customHeight="1" x14ac:dyDescent="0.2">
      <c r="A1434" s="15" t="s">
        <v>3061</v>
      </c>
      <c r="B1434" s="60">
        <v>57996878</v>
      </c>
      <c r="C1434" s="15"/>
      <c r="D1434" s="15"/>
      <c r="E1434" s="15"/>
      <c r="F1434" s="15" t="s">
        <v>265</v>
      </c>
      <c r="G1434" s="34">
        <v>2</v>
      </c>
      <c r="H1434" s="34">
        <v>9</v>
      </c>
      <c r="I1434" s="15" t="s">
        <v>2871</v>
      </c>
      <c r="J1434" s="15" t="s">
        <v>39</v>
      </c>
      <c r="K1434" s="74" t="s">
        <v>29</v>
      </c>
      <c r="L1434" s="16">
        <v>4982</v>
      </c>
      <c r="M1434" s="16">
        <v>2101</v>
      </c>
      <c r="N1434" s="16">
        <v>1737</v>
      </c>
      <c r="O1434" s="16">
        <v>614</v>
      </c>
      <c r="P1434" s="16">
        <v>0</v>
      </c>
      <c r="Q1434" s="16">
        <v>4369</v>
      </c>
      <c r="R1434" s="16">
        <v>-59</v>
      </c>
      <c r="S1434" s="16">
        <v>0</v>
      </c>
      <c r="T1434" s="16">
        <v>0</v>
      </c>
      <c r="U1434" s="15" t="str">
        <f t="shared" si="88"/>
        <v>Privado Nacional</v>
      </c>
      <c r="V1434" s="17">
        <f t="shared" si="89"/>
        <v>0.42171818546768364</v>
      </c>
      <c r="W1434" s="17">
        <f t="shared" si="90"/>
        <v>-1.3504234378576334E-2</v>
      </c>
      <c r="X1434" s="15" t="str">
        <f t="shared" si="91"/>
        <v>Média/Pequena</v>
      </c>
      <c r="Y1434" s="121" t="str" cm="1">
        <f t="array" ref="Y1434">_xlfn.IFS(ISNUMBER(W1434)=FALSE,"Sem dado",W1434&gt;0.075,"Excelente",W1434&gt;0.04,"Bom",W1434&gt;0,"Fraco",TRUE,"Prejuízo")</f>
        <v>Prejuízo</v>
      </c>
    </row>
    <row r="1435" spans="1:25" ht="15" customHeight="1" x14ac:dyDescent="0.2">
      <c r="A1435" s="12" t="s">
        <v>3062</v>
      </c>
      <c r="B1435" s="56">
        <v>512839</v>
      </c>
      <c r="C1435" s="12"/>
      <c r="D1435" s="12"/>
      <c r="E1435" s="12"/>
      <c r="F1435" s="12" t="s">
        <v>265</v>
      </c>
      <c r="G1435" s="33">
        <v>2</v>
      </c>
      <c r="H1435" s="33">
        <v>9</v>
      </c>
      <c r="I1435" s="12" t="s">
        <v>1846</v>
      </c>
      <c r="J1435" s="12" t="s">
        <v>39</v>
      </c>
      <c r="K1435" s="73" t="s">
        <v>29</v>
      </c>
      <c r="L1435" s="13">
        <v>4935</v>
      </c>
      <c r="M1435" s="13">
        <v>4232</v>
      </c>
      <c r="N1435" s="13">
        <v>64</v>
      </c>
      <c r="O1435" s="13">
        <v>2502</v>
      </c>
      <c r="P1435" s="13">
        <v>2399</v>
      </c>
      <c r="Q1435" s="13">
        <v>2433</v>
      </c>
      <c r="R1435" s="13">
        <v>-723</v>
      </c>
      <c r="S1435" s="13">
        <v>0</v>
      </c>
      <c r="T1435" s="13">
        <v>0</v>
      </c>
      <c r="U1435" s="12" t="str">
        <f t="shared" si="88"/>
        <v>Privado Nacional</v>
      </c>
      <c r="V1435" s="14">
        <f t="shared" si="89"/>
        <v>0.85754812563323202</v>
      </c>
      <c r="W1435" s="14">
        <f t="shared" si="90"/>
        <v>-0.29716399506781749</v>
      </c>
      <c r="X1435" s="12" t="str">
        <f t="shared" si="91"/>
        <v>Média/Pequena</v>
      </c>
      <c r="Y1435" s="122" t="str" cm="1">
        <f t="array" ref="Y1435">_xlfn.IFS(ISNUMBER(W1435)=FALSE,"Sem dado",W1435&gt;0.075,"Excelente",W1435&gt;0.04,"Bom",W1435&gt;0,"Fraco",TRUE,"Prejuízo")</f>
        <v>Prejuízo</v>
      </c>
    </row>
    <row r="1436" spans="1:25" ht="15" customHeight="1" x14ac:dyDescent="0.2">
      <c r="A1436" s="15" t="s">
        <v>3063</v>
      </c>
      <c r="B1436" s="60">
        <v>57523215</v>
      </c>
      <c r="C1436" s="15" t="s">
        <v>3064</v>
      </c>
      <c r="D1436" s="15"/>
      <c r="E1436" s="15" t="s">
        <v>3065</v>
      </c>
      <c r="F1436" s="15" t="s">
        <v>65</v>
      </c>
      <c r="G1436" s="34">
        <v>2</v>
      </c>
      <c r="H1436" s="34">
        <v>43</v>
      </c>
      <c r="I1436" s="15" t="s">
        <v>38</v>
      </c>
      <c r="J1436" s="15" t="s">
        <v>39</v>
      </c>
      <c r="K1436" s="74" t="s">
        <v>29</v>
      </c>
      <c r="L1436" s="16">
        <v>4854</v>
      </c>
      <c r="M1436" s="16">
        <v>215</v>
      </c>
      <c r="N1436" s="16">
        <v>2</v>
      </c>
      <c r="O1436" s="16">
        <v>186</v>
      </c>
      <c r="P1436" s="16">
        <v>0</v>
      </c>
      <c r="Q1436" s="16">
        <v>4668</v>
      </c>
      <c r="R1436" s="16">
        <v>-862</v>
      </c>
      <c r="S1436" s="16">
        <v>2</v>
      </c>
      <c r="T1436" s="16">
        <v>0</v>
      </c>
      <c r="U1436" s="15" t="str">
        <f t="shared" si="88"/>
        <v>Privado Nacional</v>
      </c>
      <c r="V1436" s="17">
        <f t="shared" si="89"/>
        <v>4.4293366295838486E-2</v>
      </c>
      <c r="W1436" s="17">
        <f t="shared" si="90"/>
        <v>-0.18466152527849186</v>
      </c>
      <c r="X1436" s="15" t="str">
        <f t="shared" si="91"/>
        <v>Média/Pequena</v>
      </c>
      <c r="Y1436" s="121" t="str" cm="1">
        <f t="array" ref="Y1436">_xlfn.IFS(ISNUMBER(W1436)=FALSE,"Sem dado",W1436&gt;0.075,"Excelente",W1436&gt;0.04,"Bom",W1436&gt;0,"Fraco",TRUE,"Prejuízo")</f>
        <v>Prejuízo</v>
      </c>
    </row>
    <row r="1437" spans="1:25" ht="15" customHeight="1" x14ac:dyDescent="0.2">
      <c r="A1437" s="12" t="s">
        <v>3066</v>
      </c>
      <c r="B1437" s="56">
        <v>7945233</v>
      </c>
      <c r="C1437" s="12" t="s">
        <v>1881</v>
      </c>
      <c r="D1437" s="12"/>
      <c r="E1437" s="12" t="s">
        <v>1882</v>
      </c>
      <c r="F1437" s="12" t="s">
        <v>65</v>
      </c>
      <c r="G1437" s="33">
        <v>3</v>
      </c>
      <c r="H1437" s="33">
        <v>10</v>
      </c>
      <c r="I1437" s="12" t="s">
        <v>38</v>
      </c>
      <c r="J1437" s="12" t="s">
        <v>39</v>
      </c>
      <c r="K1437" s="73" t="s">
        <v>29</v>
      </c>
      <c r="L1437" s="13">
        <v>4622</v>
      </c>
      <c r="M1437" s="13">
        <v>102</v>
      </c>
      <c r="N1437" s="13">
        <v>0</v>
      </c>
      <c r="O1437" s="13">
        <v>293</v>
      </c>
      <c r="P1437" s="13">
        <v>0</v>
      </c>
      <c r="Q1437" s="13">
        <v>4329</v>
      </c>
      <c r="R1437" s="13">
        <v>-162</v>
      </c>
      <c r="S1437" s="13">
        <v>2</v>
      </c>
      <c r="T1437" s="13">
        <v>0</v>
      </c>
      <c r="U1437" s="12" t="str">
        <f t="shared" si="88"/>
        <v>Privado Estrangeiro</v>
      </c>
      <c r="V1437" s="14">
        <f t="shared" si="89"/>
        <v>2.2068368671570748E-2</v>
      </c>
      <c r="W1437" s="14">
        <f t="shared" si="90"/>
        <v>-3.7422037422037424E-2</v>
      </c>
      <c r="X1437" s="12" t="str">
        <f t="shared" si="91"/>
        <v>Média/Pequena</v>
      </c>
      <c r="Y1437" s="122" t="str" cm="1">
        <f t="array" ref="Y1437">_xlfn.IFS(ISNUMBER(W1437)=FALSE,"Sem dado",W1437&gt;0.075,"Excelente",W1437&gt;0.04,"Bom",W1437&gt;0,"Fraco",TRUE,"Prejuízo")</f>
        <v>Prejuízo</v>
      </c>
    </row>
    <row r="1438" spans="1:25" ht="15" customHeight="1" x14ac:dyDescent="0.2">
      <c r="A1438" s="15" t="s">
        <v>3067</v>
      </c>
      <c r="B1438" s="60">
        <v>51118718</v>
      </c>
      <c r="C1438" s="15" t="s">
        <v>1959</v>
      </c>
      <c r="D1438" s="15"/>
      <c r="E1438" s="15" t="s">
        <v>1960</v>
      </c>
      <c r="F1438" s="15" t="s">
        <v>65</v>
      </c>
      <c r="G1438" s="34">
        <v>3</v>
      </c>
      <c r="H1438" s="34">
        <v>43</v>
      </c>
      <c r="I1438" s="15" t="s">
        <v>38</v>
      </c>
      <c r="J1438" s="15" t="s">
        <v>39</v>
      </c>
      <c r="K1438" s="74" t="s">
        <v>29</v>
      </c>
      <c r="L1438" s="16">
        <v>4529</v>
      </c>
      <c r="M1438" s="16">
        <v>0</v>
      </c>
      <c r="N1438" s="16">
        <v>0</v>
      </c>
      <c r="O1438" s="16">
        <v>46</v>
      </c>
      <c r="P1438" s="16">
        <v>0</v>
      </c>
      <c r="Q1438" s="16">
        <v>4483</v>
      </c>
      <c r="R1438" s="16">
        <v>-128</v>
      </c>
      <c r="S1438" s="16">
        <v>2</v>
      </c>
      <c r="T1438" s="16">
        <v>0</v>
      </c>
      <c r="U1438" s="15" t="str">
        <f t="shared" si="88"/>
        <v>Privado Estrangeiro</v>
      </c>
      <c r="V1438" s="17">
        <f t="shared" si="89"/>
        <v>0</v>
      </c>
      <c r="W1438" s="17">
        <f t="shared" si="90"/>
        <v>-2.8552308721838057E-2</v>
      </c>
      <c r="X1438" s="15" t="str">
        <f t="shared" si="91"/>
        <v>Média/Pequena</v>
      </c>
      <c r="Y1438" s="121" t="str" cm="1">
        <f t="array" ref="Y1438">_xlfn.IFS(ISNUMBER(W1438)=FALSE,"Sem dado",W1438&gt;0.075,"Excelente",W1438&gt;0.04,"Bom",W1438&gt;0,"Fraco",TRUE,"Prejuízo")</f>
        <v>Prejuízo</v>
      </c>
    </row>
    <row r="1439" spans="1:25" ht="15" customHeight="1" x14ac:dyDescent="0.2">
      <c r="A1439" s="12" t="s">
        <v>3068</v>
      </c>
      <c r="B1439" s="56">
        <v>62198637</v>
      </c>
      <c r="C1439" s="12" t="s">
        <v>3069</v>
      </c>
      <c r="D1439" s="12"/>
      <c r="E1439" s="12" t="s">
        <v>3070</v>
      </c>
      <c r="F1439" s="12" t="s">
        <v>65</v>
      </c>
      <c r="G1439" s="33">
        <v>2</v>
      </c>
      <c r="H1439" s="33">
        <v>43</v>
      </c>
      <c r="I1439" s="12" t="s">
        <v>53</v>
      </c>
      <c r="J1439" s="12" t="s">
        <v>54</v>
      </c>
      <c r="K1439" s="73" t="s">
        <v>29</v>
      </c>
      <c r="L1439" s="13">
        <v>4516</v>
      </c>
      <c r="M1439" s="13">
        <v>0</v>
      </c>
      <c r="N1439" s="13">
        <v>3685</v>
      </c>
      <c r="O1439" s="13">
        <v>141</v>
      </c>
      <c r="P1439" s="13">
        <v>0</v>
      </c>
      <c r="Q1439" s="13">
        <v>4376</v>
      </c>
      <c r="R1439" s="13">
        <v>870</v>
      </c>
      <c r="S1439" s="13">
        <v>2</v>
      </c>
      <c r="T1439" s="13">
        <v>0</v>
      </c>
      <c r="U1439" s="12" t="str">
        <f t="shared" si="88"/>
        <v>Privado Nacional</v>
      </c>
      <c r="V1439" s="14">
        <f t="shared" si="89"/>
        <v>0</v>
      </c>
      <c r="W1439" s="14">
        <f t="shared" si="90"/>
        <v>0.19881170018281535</v>
      </c>
      <c r="X1439" s="12" t="str">
        <f t="shared" si="91"/>
        <v>Média/Pequena</v>
      </c>
      <c r="Y1439" s="122" t="str" cm="1">
        <f t="array" ref="Y1439">_xlfn.IFS(ISNUMBER(W1439)=FALSE,"Sem dado",W1439&gt;0.075,"Excelente",W1439&gt;0.04,"Bom",W1439&gt;0,"Fraco",TRUE,"Prejuízo")</f>
        <v>Excelente</v>
      </c>
    </row>
    <row r="1440" spans="1:25" ht="15" customHeight="1" x14ac:dyDescent="0.2">
      <c r="A1440" s="15" t="s">
        <v>3071</v>
      </c>
      <c r="B1440" s="60">
        <v>52690487</v>
      </c>
      <c r="C1440" s="15" t="s">
        <v>3072</v>
      </c>
      <c r="D1440" s="15"/>
      <c r="E1440" s="15" t="s">
        <v>3073</v>
      </c>
      <c r="F1440" s="15" t="s">
        <v>65</v>
      </c>
      <c r="G1440" s="34">
        <v>2</v>
      </c>
      <c r="H1440" s="34">
        <v>44</v>
      </c>
      <c r="I1440" s="15" t="s">
        <v>132</v>
      </c>
      <c r="J1440" s="15" t="s">
        <v>133</v>
      </c>
      <c r="K1440" s="74" t="s">
        <v>29</v>
      </c>
      <c r="L1440" s="16">
        <v>4496</v>
      </c>
      <c r="M1440" s="16">
        <v>0</v>
      </c>
      <c r="N1440" s="16">
        <v>4417</v>
      </c>
      <c r="O1440" s="16">
        <v>32</v>
      </c>
      <c r="P1440" s="16">
        <v>0</v>
      </c>
      <c r="Q1440" s="16">
        <v>4464</v>
      </c>
      <c r="R1440" s="16">
        <v>0</v>
      </c>
      <c r="S1440" s="16">
        <v>2</v>
      </c>
      <c r="T1440" s="16">
        <v>0</v>
      </c>
      <c r="U1440" s="15" t="str">
        <f t="shared" si="88"/>
        <v>Privado Nacional</v>
      </c>
      <c r="V1440" s="17">
        <f t="shared" si="89"/>
        <v>0</v>
      </c>
      <c r="W1440" s="17">
        <f t="shared" si="90"/>
        <v>0</v>
      </c>
      <c r="X1440" s="15" t="str">
        <f t="shared" si="91"/>
        <v>Média/Pequena</v>
      </c>
      <c r="Y1440" s="121" t="str" cm="1">
        <f t="array" ref="Y1440">_xlfn.IFS(ISNUMBER(W1440)=FALSE,"Sem dado",W1440&gt;0.075,"Excelente",W1440&gt;0.04,"Bom",W1440&gt;0,"Fraco",TRUE,"Prejuízo")</f>
        <v>Prejuízo</v>
      </c>
    </row>
    <row r="1441" spans="1:25" ht="15" customHeight="1" x14ac:dyDescent="0.2">
      <c r="A1441" s="12" t="s">
        <v>3074</v>
      </c>
      <c r="B1441" s="56">
        <v>59149941</v>
      </c>
      <c r="C1441" s="12" t="s">
        <v>56</v>
      </c>
      <c r="D1441" s="12" t="s">
        <v>57</v>
      </c>
      <c r="E1441" s="12" t="s">
        <v>58</v>
      </c>
      <c r="F1441" s="12" t="s">
        <v>65</v>
      </c>
      <c r="G1441" s="33">
        <v>2</v>
      </c>
      <c r="H1441" s="33">
        <v>43</v>
      </c>
      <c r="I1441" s="12" t="s">
        <v>53</v>
      </c>
      <c r="J1441" s="12" t="s">
        <v>54</v>
      </c>
      <c r="K1441" s="73" t="s">
        <v>29</v>
      </c>
      <c r="L1441" s="13">
        <v>4480</v>
      </c>
      <c r="M1441" s="13">
        <v>0</v>
      </c>
      <c r="N1441" s="13">
        <v>0</v>
      </c>
      <c r="O1441" s="13">
        <v>7</v>
      </c>
      <c r="P1441" s="13">
        <v>0</v>
      </c>
      <c r="Q1441" s="13">
        <v>4473</v>
      </c>
      <c r="R1441" s="13">
        <v>-157</v>
      </c>
      <c r="S1441" s="13">
        <v>2</v>
      </c>
      <c r="T1441" s="13">
        <v>0</v>
      </c>
      <c r="U1441" s="12" t="str">
        <f t="shared" si="88"/>
        <v>Privado Nacional</v>
      </c>
      <c r="V1441" s="14">
        <f t="shared" si="89"/>
        <v>0</v>
      </c>
      <c r="W1441" s="14">
        <f t="shared" si="90"/>
        <v>-3.5099485803711153E-2</v>
      </c>
      <c r="X1441" s="12" t="str">
        <f t="shared" si="91"/>
        <v>Média/Pequena</v>
      </c>
      <c r="Y1441" s="122" t="str" cm="1">
        <f t="array" ref="Y1441">_xlfn.IFS(ISNUMBER(W1441)=FALSE,"Sem dado",W1441&gt;0.075,"Excelente",W1441&gt;0.04,"Bom",W1441&gt;0,"Fraco",TRUE,"Prejuízo")</f>
        <v>Prejuízo</v>
      </c>
    </row>
    <row r="1442" spans="1:25" ht="15" customHeight="1" x14ac:dyDescent="0.2">
      <c r="A1442" s="15" t="s">
        <v>3075</v>
      </c>
      <c r="B1442" s="60">
        <v>21130869</v>
      </c>
      <c r="C1442" s="15"/>
      <c r="D1442" s="15"/>
      <c r="E1442" s="15"/>
      <c r="F1442" s="15" t="s">
        <v>265</v>
      </c>
      <c r="G1442" s="34">
        <v>2</v>
      </c>
      <c r="H1442" s="34">
        <v>9</v>
      </c>
      <c r="I1442" s="15" t="s">
        <v>119</v>
      </c>
      <c r="J1442" s="15" t="s">
        <v>120</v>
      </c>
      <c r="K1442" s="74" t="s">
        <v>29</v>
      </c>
      <c r="L1442" s="16">
        <v>4385</v>
      </c>
      <c r="M1442" s="16">
        <v>787</v>
      </c>
      <c r="N1442" s="16">
        <v>3236</v>
      </c>
      <c r="O1442" s="16">
        <v>737</v>
      </c>
      <c r="P1442" s="16">
        <v>0</v>
      </c>
      <c r="Q1442" s="16">
        <v>3648</v>
      </c>
      <c r="R1442" s="16">
        <v>-145</v>
      </c>
      <c r="S1442" s="16">
        <v>0</v>
      </c>
      <c r="T1442" s="16">
        <v>0</v>
      </c>
      <c r="U1442" s="15" t="str">
        <f t="shared" si="88"/>
        <v>Privado Nacional</v>
      </c>
      <c r="V1442" s="17">
        <f t="shared" si="89"/>
        <v>0.17947548460661344</v>
      </c>
      <c r="W1442" s="17">
        <f t="shared" si="90"/>
        <v>-3.9747807017543858E-2</v>
      </c>
      <c r="X1442" s="15" t="str">
        <f t="shared" si="91"/>
        <v>Média/Pequena</v>
      </c>
      <c r="Y1442" s="121" t="str" cm="1">
        <f t="array" ref="Y1442">_xlfn.IFS(ISNUMBER(W1442)=FALSE,"Sem dado",W1442&gt;0.075,"Excelente",W1442&gt;0.04,"Bom",W1442&gt;0,"Fraco",TRUE,"Prejuízo")</f>
        <v>Prejuízo</v>
      </c>
    </row>
    <row r="1443" spans="1:25" ht="15" customHeight="1" x14ac:dyDescent="0.2">
      <c r="A1443" s="12" t="s">
        <v>3076</v>
      </c>
      <c r="B1443" s="56">
        <v>48703302</v>
      </c>
      <c r="C1443" s="12" t="s">
        <v>3077</v>
      </c>
      <c r="D1443" s="12"/>
      <c r="E1443" s="12" t="s">
        <v>3078</v>
      </c>
      <c r="F1443" s="12" t="s">
        <v>65</v>
      </c>
      <c r="G1443" s="33">
        <v>2</v>
      </c>
      <c r="H1443" s="33">
        <v>43</v>
      </c>
      <c r="I1443" s="12" t="s">
        <v>216</v>
      </c>
      <c r="J1443" s="12" t="s">
        <v>217</v>
      </c>
      <c r="K1443" s="73" t="s">
        <v>29</v>
      </c>
      <c r="L1443" s="13">
        <v>4222</v>
      </c>
      <c r="M1443" s="13">
        <v>0</v>
      </c>
      <c r="N1443" s="13">
        <v>1448</v>
      </c>
      <c r="O1443" s="13">
        <v>304</v>
      </c>
      <c r="P1443" s="13">
        <v>0</v>
      </c>
      <c r="Q1443" s="13">
        <v>3918</v>
      </c>
      <c r="R1443" s="13">
        <v>125</v>
      </c>
      <c r="S1443" s="13">
        <v>2</v>
      </c>
      <c r="T1443" s="13">
        <v>0</v>
      </c>
      <c r="U1443" s="12" t="str">
        <f t="shared" si="88"/>
        <v>Privado Nacional</v>
      </c>
      <c r="V1443" s="14">
        <f t="shared" si="89"/>
        <v>0</v>
      </c>
      <c r="W1443" s="14">
        <f t="shared" si="90"/>
        <v>3.1904032669729451E-2</v>
      </c>
      <c r="X1443" s="12" t="str">
        <f t="shared" si="91"/>
        <v>Média/Pequena</v>
      </c>
      <c r="Y1443" s="122" t="str" cm="1">
        <f t="array" ref="Y1443">_xlfn.IFS(ISNUMBER(W1443)=FALSE,"Sem dado",W1443&gt;0.075,"Excelente",W1443&gt;0.04,"Bom",W1443&gt;0,"Fraco",TRUE,"Prejuízo")</f>
        <v>Fraco</v>
      </c>
    </row>
    <row r="1444" spans="1:25" ht="15" customHeight="1" x14ac:dyDescent="0.2">
      <c r="A1444" s="15" t="s">
        <v>3079</v>
      </c>
      <c r="B1444" s="60">
        <v>31746993</v>
      </c>
      <c r="C1444" s="15"/>
      <c r="D1444" s="15"/>
      <c r="E1444" s="15"/>
      <c r="F1444" s="15" t="s">
        <v>265</v>
      </c>
      <c r="G1444" s="34">
        <v>2</v>
      </c>
      <c r="H1444" s="34">
        <v>9</v>
      </c>
      <c r="I1444" s="15" t="s">
        <v>479</v>
      </c>
      <c r="J1444" s="15" t="s">
        <v>183</v>
      </c>
      <c r="K1444" s="74" t="s">
        <v>29</v>
      </c>
      <c r="L1444" s="16">
        <v>4211</v>
      </c>
      <c r="M1444" s="16">
        <v>3923</v>
      </c>
      <c r="N1444" s="16">
        <v>44</v>
      </c>
      <c r="O1444" s="16">
        <v>207</v>
      </c>
      <c r="P1444" s="16">
        <v>0</v>
      </c>
      <c r="Q1444" s="16">
        <v>4004</v>
      </c>
      <c r="R1444" s="16">
        <v>84</v>
      </c>
      <c r="S1444" s="16">
        <v>0</v>
      </c>
      <c r="T1444" s="16">
        <v>0</v>
      </c>
      <c r="U1444" s="15" t="str">
        <f t="shared" si="88"/>
        <v>Privado Nacional</v>
      </c>
      <c r="V1444" s="17">
        <f t="shared" si="89"/>
        <v>0.93160769413440991</v>
      </c>
      <c r="W1444" s="17">
        <f t="shared" si="90"/>
        <v>2.097902097902098E-2</v>
      </c>
      <c r="X1444" s="15" t="str">
        <f t="shared" si="91"/>
        <v>Média/Pequena</v>
      </c>
      <c r="Y1444" s="121" t="str" cm="1">
        <f t="array" ref="Y1444">_xlfn.IFS(ISNUMBER(W1444)=FALSE,"Sem dado",W1444&gt;0.075,"Excelente",W1444&gt;0.04,"Bom",W1444&gt;0,"Fraco",TRUE,"Prejuízo")</f>
        <v>Fraco</v>
      </c>
    </row>
    <row r="1445" spans="1:25" ht="15" customHeight="1" x14ac:dyDescent="0.2">
      <c r="A1445" s="12" t="s">
        <v>3080</v>
      </c>
      <c r="B1445" s="56">
        <v>48721937</v>
      </c>
      <c r="C1445" s="12" t="s">
        <v>3081</v>
      </c>
      <c r="D1445" s="12"/>
      <c r="E1445" s="12" t="s">
        <v>3082</v>
      </c>
      <c r="F1445" s="12" t="s">
        <v>65</v>
      </c>
      <c r="G1445" s="33">
        <v>2</v>
      </c>
      <c r="H1445" s="33">
        <v>43</v>
      </c>
      <c r="I1445" s="12" t="s">
        <v>564</v>
      </c>
      <c r="J1445" s="12" t="s">
        <v>120</v>
      </c>
      <c r="K1445" s="73" t="s">
        <v>29</v>
      </c>
      <c r="L1445" s="13">
        <v>4196</v>
      </c>
      <c r="M1445" s="13">
        <v>19</v>
      </c>
      <c r="N1445" s="13">
        <v>0</v>
      </c>
      <c r="O1445" s="13">
        <v>321</v>
      </c>
      <c r="P1445" s="13">
        <v>0</v>
      </c>
      <c r="Q1445" s="13">
        <v>3875</v>
      </c>
      <c r="R1445" s="13">
        <v>-26</v>
      </c>
      <c r="S1445" s="13">
        <v>2</v>
      </c>
      <c r="T1445" s="13">
        <v>0</v>
      </c>
      <c r="U1445" s="12" t="str">
        <f t="shared" si="88"/>
        <v>Privado Nacional</v>
      </c>
      <c r="V1445" s="14">
        <f t="shared" si="89"/>
        <v>4.5281220209723548E-3</v>
      </c>
      <c r="W1445" s="14">
        <f t="shared" si="90"/>
        <v>-6.7096774193548389E-3</v>
      </c>
      <c r="X1445" s="12" t="str">
        <f t="shared" si="91"/>
        <v>Média/Pequena</v>
      </c>
      <c r="Y1445" s="122" t="str" cm="1">
        <f t="array" ref="Y1445">_xlfn.IFS(ISNUMBER(W1445)=FALSE,"Sem dado",W1445&gt;0.075,"Excelente",W1445&gt;0.04,"Bom",W1445&gt;0,"Fraco",TRUE,"Prejuízo")</f>
        <v>Prejuízo</v>
      </c>
    </row>
    <row r="1446" spans="1:25" ht="15" customHeight="1" x14ac:dyDescent="0.2">
      <c r="A1446" s="15" t="s">
        <v>3083</v>
      </c>
      <c r="B1446" s="60">
        <v>67031757</v>
      </c>
      <c r="C1446" s="15"/>
      <c r="D1446" s="15"/>
      <c r="E1446" s="15"/>
      <c r="F1446" s="15" t="s">
        <v>265</v>
      </c>
      <c r="G1446" s="34">
        <v>2</v>
      </c>
      <c r="H1446" s="34">
        <v>9</v>
      </c>
      <c r="I1446" s="15" t="s">
        <v>38</v>
      </c>
      <c r="J1446" s="15" t="s">
        <v>39</v>
      </c>
      <c r="K1446" s="74" t="s">
        <v>29</v>
      </c>
      <c r="L1446" s="16">
        <v>4182</v>
      </c>
      <c r="M1446" s="16">
        <v>448</v>
      </c>
      <c r="N1446" s="16">
        <v>3629</v>
      </c>
      <c r="O1446" s="16">
        <v>198</v>
      </c>
      <c r="P1446" s="16">
        <v>0</v>
      </c>
      <c r="Q1446" s="16">
        <v>3984</v>
      </c>
      <c r="R1446" s="16">
        <v>50</v>
      </c>
      <c r="S1446" s="16">
        <v>0</v>
      </c>
      <c r="T1446" s="16">
        <v>0</v>
      </c>
      <c r="U1446" s="15" t="str">
        <f t="shared" si="88"/>
        <v>Privado Nacional</v>
      </c>
      <c r="V1446" s="17">
        <f t="shared" si="89"/>
        <v>0.10712577714012435</v>
      </c>
      <c r="W1446" s="17">
        <f t="shared" si="90"/>
        <v>1.2550200803212851E-2</v>
      </c>
      <c r="X1446" s="15" t="str">
        <f t="shared" si="91"/>
        <v>Média/Pequena</v>
      </c>
      <c r="Y1446" s="121" t="str" cm="1">
        <f t="array" ref="Y1446">_xlfn.IFS(ISNUMBER(W1446)=FALSE,"Sem dado",W1446&gt;0.075,"Excelente",W1446&gt;0.04,"Bom",W1446&gt;0,"Fraco",TRUE,"Prejuízo")</f>
        <v>Fraco</v>
      </c>
    </row>
    <row r="1447" spans="1:25" ht="15" customHeight="1" x14ac:dyDescent="0.2">
      <c r="A1447" s="12" t="s">
        <v>3084</v>
      </c>
      <c r="B1447" s="56">
        <v>55251092</v>
      </c>
      <c r="C1447" s="12" t="s">
        <v>3085</v>
      </c>
      <c r="D1447" s="12"/>
      <c r="E1447" s="12" t="s">
        <v>3086</v>
      </c>
      <c r="F1447" s="12" t="s">
        <v>84</v>
      </c>
      <c r="G1447" s="33">
        <v>2</v>
      </c>
      <c r="H1447" s="33">
        <v>41</v>
      </c>
      <c r="I1447" s="12" t="s">
        <v>73</v>
      </c>
      <c r="J1447" s="12" t="s">
        <v>74</v>
      </c>
      <c r="K1447" s="73" t="s">
        <v>29</v>
      </c>
      <c r="L1447" s="13">
        <v>4150</v>
      </c>
      <c r="M1447" s="13">
        <v>0</v>
      </c>
      <c r="N1447" s="13">
        <v>4139</v>
      </c>
      <c r="O1447" s="13">
        <v>7</v>
      </c>
      <c r="P1447" s="13">
        <v>0</v>
      </c>
      <c r="Q1447" s="13">
        <v>4143</v>
      </c>
      <c r="R1447" s="13">
        <v>88</v>
      </c>
      <c r="S1447" s="13">
        <v>1</v>
      </c>
      <c r="T1447" s="13">
        <v>0</v>
      </c>
      <c r="U1447" s="12" t="str">
        <f t="shared" si="88"/>
        <v>Privado Nacional</v>
      </c>
      <c r="V1447" s="14">
        <f t="shared" si="89"/>
        <v>0</v>
      </c>
      <c r="W1447" s="14">
        <f t="shared" si="90"/>
        <v>2.1240646874245716E-2</v>
      </c>
      <c r="X1447" s="12" t="str">
        <f t="shared" si="91"/>
        <v>Média/Pequena</v>
      </c>
      <c r="Y1447" s="122" t="str" cm="1">
        <f t="array" ref="Y1447">_xlfn.IFS(ISNUMBER(W1447)=FALSE,"Sem dado",W1447&gt;0.075,"Excelente",W1447&gt;0.04,"Bom",W1447&gt;0,"Fraco",TRUE,"Prejuízo")</f>
        <v>Fraco</v>
      </c>
    </row>
    <row r="1448" spans="1:25" ht="15" customHeight="1" x14ac:dyDescent="0.2">
      <c r="A1448" s="15" t="s">
        <v>3087</v>
      </c>
      <c r="B1448" s="60">
        <v>46130566</v>
      </c>
      <c r="C1448" s="15" t="s">
        <v>3088</v>
      </c>
      <c r="D1448" s="15"/>
      <c r="E1448" s="15" t="s">
        <v>3089</v>
      </c>
      <c r="F1448" s="15" t="s">
        <v>65</v>
      </c>
      <c r="G1448" s="34">
        <v>2</v>
      </c>
      <c r="H1448" s="34">
        <v>43</v>
      </c>
      <c r="I1448" s="15" t="s">
        <v>53</v>
      </c>
      <c r="J1448" s="15" t="s">
        <v>54</v>
      </c>
      <c r="K1448" s="74" t="s">
        <v>29</v>
      </c>
      <c r="L1448" s="16">
        <v>4127</v>
      </c>
      <c r="M1448" s="16">
        <v>623</v>
      </c>
      <c r="N1448" s="16">
        <v>3324</v>
      </c>
      <c r="O1448" s="16">
        <v>65</v>
      </c>
      <c r="P1448" s="16">
        <v>0</v>
      </c>
      <c r="Q1448" s="16">
        <v>4062</v>
      </c>
      <c r="R1448" s="16">
        <v>-222</v>
      </c>
      <c r="S1448" s="16">
        <v>2</v>
      </c>
      <c r="T1448" s="16">
        <v>0</v>
      </c>
      <c r="U1448" s="15" t="str">
        <f t="shared" si="88"/>
        <v>Privado Nacional</v>
      </c>
      <c r="V1448" s="17">
        <f t="shared" si="89"/>
        <v>0.15095711170341652</v>
      </c>
      <c r="W1448" s="17">
        <f t="shared" si="90"/>
        <v>-5.4652880354505169E-2</v>
      </c>
      <c r="X1448" s="15" t="str">
        <f t="shared" si="91"/>
        <v>Média/Pequena</v>
      </c>
      <c r="Y1448" s="121" t="str" cm="1">
        <f t="array" ref="Y1448">_xlfn.IFS(ISNUMBER(W1448)=FALSE,"Sem dado",W1448&gt;0.075,"Excelente",W1448&gt;0.04,"Bom",W1448&gt;0,"Fraco",TRUE,"Prejuízo")</f>
        <v>Prejuízo</v>
      </c>
    </row>
    <row r="1449" spans="1:25" ht="15" customHeight="1" x14ac:dyDescent="0.2">
      <c r="A1449" s="12" t="s">
        <v>3090</v>
      </c>
      <c r="B1449" s="56">
        <v>51834986</v>
      </c>
      <c r="C1449" s="12" t="s">
        <v>3091</v>
      </c>
      <c r="D1449" s="12"/>
      <c r="E1449" s="12" t="s">
        <v>3092</v>
      </c>
      <c r="F1449" s="12" t="s">
        <v>65</v>
      </c>
      <c r="G1449" s="33">
        <v>2</v>
      </c>
      <c r="H1449" s="33">
        <v>43</v>
      </c>
      <c r="I1449" s="12" t="s">
        <v>3093</v>
      </c>
      <c r="J1449" s="12" t="s">
        <v>229</v>
      </c>
      <c r="K1449" s="73" t="s">
        <v>29</v>
      </c>
      <c r="L1449" s="13">
        <v>4121</v>
      </c>
      <c r="M1449" s="13">
        <v>136</v>
      </c>
      <c r="N1449" s="13">
        <v>3486</v>
      </c>
      <c r="O1449" s="13">
        <v>4</v>
      </c>
      <c r="P1449" s="13">
        <v>0</v>
      </c>
      <c r="Q1449" s="13">
        <v>4117</v>
      </c>
      <c r="R1449" s="13">
        <v>-27</v>
      </c>
      <c r="S1449" s="13">
        <v>2</v>
      </c>
      <c r="T1449" s="13">
        <v>0</v>
      </c>
      <c r="U1449" s="12" t="str">
        <f t="shared" si="88"/>
        <v>Privado Nacional</v>
      </c>
      <c r="V1449" s="14">
        <f t="shared" si="89"/>
        <v>3.3001698616840575E-2</v>
      </c>
      <c r="W1449" s="14">
        <f t="shared" si="90"/>
        <v>-6.5581734272528542E-3</v>
      </c>
      <c r="X1449" s="12" t="str">
        <f t="shared" si="91"/>
        <v>Média/Pequena</v>
      </c>
      <c r="Y1449" s="122" t="str" cm="1">
        <f t="array" ref="Y1449">_xlfn.IFS(ISNUMBER(W1449)=FALSE,"Sem dado",W1449&gt;0.075,"Excelente",W1449&gt;0.04,"Bom",W1449&gt;0,"Fraco",TRUE,"Prejuízo")</f>
        <v>Prejuízo</v>
      </c>
    </row>
    <row r="1450" spans="1:25" ht="15" customHeight="1" x14ac:dyDescent="0.2">
      <c r="A1450" s="15" t="s">
        <v>3094</v>
      </c>
      <c r="B1450" s="60">
        <v>49035310</v>
      </c>
      <c r="C1450" s="15" t="s">
        <v>3095</v>
      </c>
      <c r="D1450" s="15"/>
      <c r="E1450" s="15" t="s">
        <v>3096</v>
      </c>
      <c r="F1450" s="15" t="s">
        <v>65</v>
      </c>
      <c r="G1450" s="34">
        <v>2</v>
      </c>
      <c r="H1450" s="34">
        <v>43</v>
      </c>
      <c r="I1450" s="15" t="s">
        <v>2340</v>
      </c>
      <c r="J1450" s="15" t="s">
        <v>74</v>
      </c>
      <c r="K1450" s="74" t="s">
        <v>29</v>
      </c>
      <c r="L1450" s="16">
        <v>4094</v>
      </c>
      <c r="M1450" s="16">
        <v>557</v>
      </c>
      <c r="N1450" s="16">
        <v>0</v>
      </c>
      <c r="O1450" s="16">
        <v>49</v>
      </c>
      <c r="P1450" s="16">
        <v>0</v>
      </c>
      <c r="Q1450" s="16">
        <v>4045</v>
      </c>
      <c r="R1450" s="16">
        <v>-328</v>
      </c>
      <c r="S1450" s="16">
        <v>2</v>
      </c>
      <c r="T1450" s="16">
        <v>0</v>
      </c>
      <c r="U1450" s="15" t="str">
        <f t="shared" si="88"/>
        <v>Privado Nacional</v>
      </c>
      <c r="V1450" s="17">
        <f t="shared" si="89"/>
        <v>0.13605276013678555</v>
      </c>
      <c r="W1450" s="17">
        <f t="shared" si="90"/>
        <v>-8.1087762669962912E-2</v>
      </c>
      <c r="X1450" s="15" t="str">
        <f t="shared" si="91"/>
        <v>Média/Pequena</v>
      </c>
      <c r="Y1450" s="121" t="str" cm="1">
        <f t="array" ref="Y1450">_xlfn.IFS(ISNUMBER(W1450)=FALSE,"Sem dado",W1450&gt;0.075,"Excelente",W1450&gt;0.04,"Bom",W1450&gt;0,"Fraco",TRUE,"Prejuízo")</f>
        <v>Prejuízo</v>
      </c>
    </row>
    <row r="1451" spans="1:25" ht="15" customHeight="1" x14ac:dyDescent="0.2">
      <c r="A1451" s="12" t="s">
        <v>3097</v>
      </c>
      <c r="B1451" s="56">
        <v>46996177</v>
      </c>
      <c r="C1451" s="12" t="s">
        <v>1741</v>
      </c>
      <c r="D1451" s="12"/>
      <c r="E1451" s="12" t="s">
        <v>1742</v>
      </c>
      <c r="F1451" s="12" t="s">
        <v>84</v>
      </c>
      <c r="G1451" s="33">
        <v>3</v>
      </c>
      <c r="H1451" s="33">
        <v>41</v>
      </c>
      <c r="I1451" s="12" t="s">
        <v>228</v>
      </c>
      <c r="J1451" s="12" t="s">
        <v>229</v>
      </c>
      <c r="K1451" s="73" t="s">
        <v>29</v>
      </c>
      <c r="L1451" s="13">
        <v>4060</v>
      </c>
      <c r="M1451" s="13">
        <v>0</v>
      </c>
      <c r="N1451" s="13">
        <v>3807</v>
      </c>
      <c r="O1451" s="13">
        <v>78</v>
      </c>
      <c r="P1451" s="13">
        <v>0</v>
      </c>
      <c r="Q1451" s="13">
        <v>3982</v>
      </c>
      <c r="R1451" s="13">
        <v>133</v>
      </c>
      <c r="S1451" s="13">
        <v>1</v>
      </c>
      <c r="T1451" s="13">
        <v>0</v>
      </c>
      <c r="U1451" s="12" t="str">
        <f t="shared" si="88"/>
        <v>Privado Estrangeiro</v>
      </c>
      <c r="V1451" s="14">
        <f t="shared" si="89"/>
        <v>0</v>
      </c>
      <c r="W1451" s="14">
        <f t="shared" si="90"/>
        <v>3.340030135610246E-2</v>
      </c>
      <c r="X1451" s="12" t="str">
        <f t="shared" si="91"/>
        <v>Média/Pequena</v>
      </c>
      <c r="Y1451" s="122" t="str" cm="1">
        <f t="array" ref="Y1451">_xlfn.IFS(ISNUMBER(W1451)=FALSE,"Sem dado",W1451&gt;0.075,"Excelente",W1451&gt;0.04,"Bom",W1451&gt;0,"Fraco",TRUE,"Prejuízo")</f>
        <v>Fraco</v>
      </c>
    </row>
    <row r="1452" spans="1:25" ht="15" customHeight="1" x14ac:dyDescent="0.2">
      <c r="A1452" s="15" t="s">
        <v>3098</v>
      </c>
      <c r="B1452" s="60">
        <v>62237649</v>
      </c>
      <c r="C1452" s="15" t="s">
        <v>3099</v>
      </c>
      <c r="D1452" s="15"/>
      <c r="E1452" s="15" t="s">
        <v>3100</v>
      </c>
      <c r="F1452" s="15" t="s">
        <v>98</v>
      </c>
      <c r="G1452" s="34">
        <v>2</v>
      </c>
      <c r="H1452" s="34">
        <v>16</v>
      </c>
      <c r="I1452" s="15" t="s">
        <v>38</v>
      </c>
      <c r="J1452" s="15" t="s">
        <v>39</v>
      </c>
      <c r="K1452" s="74" t="s">
        <v>29</v>
      </c>
      <c r="L1452" s="16">
        <v>4050</v>
      </c>
      <c r="M1452" s="16">
        <v>0</v>
      </c>
      <c r="N1452" s="16">
        <v>0</v>
      </c>
      <c r="O1452" s="16">
        <v>109</v>
      </c>
      <c r="P1452" s="16">
        <v>0</v>
      </c>
      <c r="Q1452" s="16">
        <v>3940</v>
      </c>
      <c r="R1452" s="16">
        <v>-833</v>
      </c>
      <c r="S1452" s="16">
        <v>2</v>
      </c>
      <c r="T1452" s="16">
        <v>0</v>
      </c>
      <c r="U1452" s="15" t="str">
        <f t="shared" si="88"/>
        <v>Privado Nacional</v>
      </c>
      <c r="V1452" s="17">
        <f t="shared" si="89"/>
        <v>0</v>
      </c>
      <c r="W1452" s="17">
        <f t="shared" si="90"/>
        <v>-0.2114213197969543</v>
      </c>
      <c r="X1452" s="15" t="str">
        <f t="shared" si="91"/>
        <v>Média/Pequena</v>
      </c>
      <c r="Y1452" s="121" t="str" cm="1">
        <f t="array" ref="Y1452">_xlfn.IFS(ISNUMBER(W1452)=FALSE,"Sem dado",W1452&gt;0.075,"Excelente",W1452&gt;0.04,"Bom",W1452&gt;0,"Fraco",TRUE,"Prejuízo")</f>
        <v>Prejuízo</v>
      </c>
    </row>
    <row r="1453" spans="1:25" ht="15" customHeight="1" x14ac:dyDescent="0.2">
      <c r="A1453" s="12" t="s">
        <v>3101</v>
      </c>
      <c r="B1453" s="56">
        <v>67600379</v>
      </c>
      <c r="C1453" s="12" t="s">
        <v>622</v>
      </c>
      <c r="D1453" s="12" t="s">
        <v>623</v>
      </c>
      <c r="E1453" s="12" t="s">
        <v>624</v>
      </c>
      <c r="F1453" s="12" t="s">
        <v>98</v>
      </c>
      <c r="G1453" s="33">
        <v>3</v>
      </c>
      <c r="H1453" s="33">
        <v>16</v>
      </c>
      <c r="I1453" s="12" t="s">
        <v>38</v>
      </c>
      <c r="J1453" s="12" t="s">
        <v>39</v>
      </c>
      <c r="K1453" s="73" t="s">
        <v>29</v>
      </c>
      <c r="L1453" s="13">
        <v>3904</v>
      </c>
      <c r="M1453" s="13">
        <v>0</v>
      </c>
      <c r="N1453" s="13">
        <v>3717</v>
      </c>
      <c r="O1453" s="13">
        <v>153</v>
      </c>
      <c r="P1453" s="13">
        <v>0</v>
      </c>
      <c r="Q1453" s="13">
        <v>3752</v>
      </c>
      <c r="R1453" s="13">
        <v>-52</v>
      </c>
      <c r="S1453" s="13">
        <v>2</v>
      </c>
      <c r="T1453" s="13">
        <v>0</v>
      </c>
      <c r="U1453" s="12" t="str">
        <f t="shared" si="88"/>
        <v>Privado Estrangeiro</v>
      </c>
      <c r="V1453" s="14">
        <f t="shared" si="89"/>
        <v>0</v>
      </c>
      <c r="W1453" s="14">
        <f t="shared" si="90"/>
        <v>-1.3859275053304905E-2</v>
      </c>
      <c r="X1453" s="12" t="str">
        <f t="shared" si="91"/>
        <v>Média/Pequena</v>
      </c>
      <c r="Y1453" s="122" t="str" cm="1">
        <f t="array" ref="Y1453">_xlfn.IFS(ISNUMBER(W1453)=FALSE,"Sem dado",W1453&gt;0.075,"Excelente",W1453&gt;0.04,"Bom",W1453&gt;0,"Fraco",TRUE,"Prejuízo")</f>
        <v>Prejuízo</v>
      </c>
    </row>
    <row r="1454" spans="1:25" ht="15" customHeight="1" x14ac:dyDescent="0.2">
      <c r="A1454" s="15" t="s">
        <v>3102</v>
      </c>
      <c r="B1454" s="60">
        <v>46004634</v>
      </c>
      <c r="C1454" s="15" t="s">
        <v>3103</v>
      </c>
      <c r="D1454" s="15"/>
      <c r="E1454" s="15" t="s">
        <v>3104</v>
      </c>
      <c r="F1454" s="15" t="s">
        <v>84</v>
      </c>
      <c r="G1454" s="34">
        <v>2</v>
      </c>
      <c r="H1454" s="34">
        <v>41</v>
      </c>
      <c r="I1454" s="15" t="s">
        <v>38</v>
      </c>
      <c r="J1454" s="15" t="s">
        <v>39</v>
      </c>
      <c r="K1454" s="74" t="s">
        <v>29</v>
      </c>
      <c r="L1454" s="16">
        <v>3864</v>
      </c>
      <c r="M1454" s="16">
        <v>0</v>
      </c>
      <c r="N1454" s="16">
        <v>3572</v>
      </c>
      <c r="O1454" s="16">
        <v>154</v>
      </c>
      <c r="P1454" s="16">
        <v>0</v>
      </c>
      <c r="Q1454" s="16">
        <v>3710</v>
      </c>
      <c r="R1454" s="16">
        <v>34</v>
      </c>
      <c r="S1454" s="16">
        <v>1</v>
      </c>
      <c r="T1454" s="16">
        <v>0</v>
      </c>
      <c r="U1454" s="15" t="str">
        <f t="shared" si="88"/>
        <v>Privado Nacional</v>
      </c>
      <c r="V1454" s="17">
        <f t="shared" si="89"/>
        <v>0</v>
      </c>
      <c r="W1454" s="17">
        <f t="shared" si="90"/>
        <v>9.1644204851752016E-3</v>
      </c>
      <c r="X1454" s="15" t="str">
        <f t="shared" si="91"/>
        <v>Média/Pequena</v>
      </c>
      <c r="Y1454" s="121" t="str" cm="1">
        <f t="array" ref="Y1454">_xlfn.IFS(ISNUMBER(W1454)=FALSE,"Sem dado",W1454&gt;0.075,"Excelente",W1454&gt;0.04,"Bom",W1454&gt;0,"Fraco",TRUE,"Prejuízo")</f>
        <v>Fraco</v>
      </c>
    </row>
    <row r="1455" spans="1:25" ht="15" customHeight="1" x14ac:dyDescent="0.2">
      <c r="A1455" s="12" t="s">
        <v>3105</v>
      </c>
      <c r="B1455" s="56">
        <v>40112555</v>
      </c>
      <c r="C1455" s="12" t="s">
        <v>3106</v>
      </c>
      <c r="D1455" s="12"/>
      <c r="E1455" s="12" t="s">
        <v>3107</v>
      </c>
      <c r="F1455" s="12" t="s">
        <v>65</v>
      </c>
      <c r="G1455" s="33">
        <v>2</v>
      </c>
      <c r="H1455" s="33">
        <v>43</v>
      </c>
      <c r="I1455" s="12" t="s">
        <v>228</v>
      </c>
      <c r="J1455" s="12" t="s">
        <v>229</v>
      </c>
      <c r="K1455" s="73" t="s">
        <v>29</v>
      </c>
      <c r="L1455" s="13">
        <v>3836</v>
      </c>
      <c r="M1455" s="13">
        <v>0</v>
      </c>
      <c r="N1455" s="13">
        <v>1067</v>
      </c>
      <c r="O1455" s="13">
        <v>2582</v>
      </c>
      <c r="P1455" s="13">
        <v>0</v>
      </c>
      <c r="Q1455" s="13">
        <v>1254</v>
      </c>
      <c r="R1455" s="13">
        <v>-300</v>
      </c>
      <c r="S1455" s="13">
        <v>2</v>
      </c>
      <c r="T1455" s="13">
        <v>0</v>
      </c>
      <c r="U1455" s="12" t="str">
        <f t="shared" si="88"/>
        <v>Privado Nacional</v>
      </c>
      <c r="V1455" s="14">
        <f t="shared" si="89"/>
        <v>0</v>
      </c>
      <c r="W1455" s="14">
        <f t="shared" si="90"/>
        <v>-0.23923444976076555</v>
      </c>
      <c r="X1455" s="12" t="str">
        <f t="shared" si="91"/>
        <v>Média/Pequena</v>
      </c>
      <c r="Y1455" s="122" t="str" cm="1">
        <f t="array" ref="Y1455">_xlfn.IFS(ISNUMBER(W1455)=FALSE,"Sem dado",W1455&gt;0.075,"Excelente",W1455&gt;0.04,"Bom",W1455&gt;0,"Fraco",TRUE,"Prejuízo")</f>
        <v>Prejuízo</v>
      </c>
    </row>
    <row r="1456" spans="1:25" ht="15" customHeight="1" x14ac:dyDescent="0.2">
      <c r="A1456" s="15" t="s">
        <v>3108</v>
      </c>
      <c r="B1456" s="60">
        <v>5442029</v>
      </c>
      <c r="C1456" s="15" t="s">
        <v>3109</v>
      </c>
      <c r="D1456" s="15"/>
      <c r="E1456" s="15" t="s">
        <v>3110</v>
      </c>
      <c r="F1456" s="15" t="s">
        <v>65</v>
      </c>
      <c r="G1456" s="34">
        <v>2</v>
      </c>
      <c r="H1456" s="34">
        <v>10</v>
      </c>
      <c r="I1456" s="15" t="s">
        <v>38</v>
      </c>
      <c r="J1456" s="15" t="s">
        <v>39</v>
      </c>
      <c r="K1456" s="74" t="s">
        <v>29</v>
      </c>
      <c r="L1456" s="16">
        <v>3830</v>
      </c>
      <c r="M1456" s="16">
        <v>60</v>
      </c>
      <c r="N1456" s="16">
        <v>0</v>
      </c>
      <c r="O1456" s="16">
        <v>2869</v>
      </c>
      <c r="P1456" s="16">
        <v>1544</v>
      </c>
      <c r="Q1456" s="16">
        <v>960</v>
      </c>
      <c r="R1456" s="16">
        <v>-366</v>
      </c>
      <c r="S1456" s="16">
        <v>2</v>
      </c>
      <c r="T1456" s="16">
        <v>0</v>
      </c>
      <c r="U1456" s="15" t="str">
        <f t="shared" si="88"/>
        <v>Privado Nacional</v>
      </c>
      <c r="V1456" s="17">
        <f t="shared" si="89"/>
        <v>1.5665796344647518E-2</v>
      </c>
      <c r="W1456" s="17">
        <f t="shared" si="90"/>
        <v>-0.38124999999999998</v>
      </c>
      <c r="X1456" s="15" t="str">
        <f t="shared" si="91"/>
        <v>Média/Pequena</v>
      </c>
      <c r="Y1456" s="121" t="str" cm="1">
        <f t="array" ref="Y1456">_xlfn.IFS(ISNUMBER(W1456)=FALSE,"Sem dado",W1456&gt;0.075,"Excelente",W1456&gt;0.04,"Bom",W1456&gt;0,"Fraco",TRUE,"Prejuízo")</f>
        <v>Prejuízo</v>
      </c>
    </row>
    <row r="1457" spans="1:25" ht="15" customHeight="1" x14ac:dyDescent="0.2">
      <c r="A1457" s="12" t="s">
        <v>3111</v>
      </c>
      <c r="B1457" s="56">
        <v>39431423</v>
      </c>
      <c r="C1457" s="12" t="s">
        <v>3112</v>
      </c>
      <c r="D1457" s="12"/>
      <c r="E1457" s="12" t="s">
        <v>3113</v>
      </c>
      <c r="F1457" s="12" t="s">
        <v>65</v>
      </c>
      <c r="G1457" s="33">
        <v>2</v>
      </c>
      <c r="H1457" s="33">
        <v>43</v>
      </c>
      <c r="I1457" s="12" t="s">
        <v>3114</v>
      </c>
      <c r="J1457" s="12" t="s">
        <v>389</v>
      </c>
      <c r="K1457" s="73" t="s">
        <v>29</v>
      </c>
      <c r="L1457" s="13">
        <v>3772</v>
      </c>
      <c r="M1457" s="13">
        <v>990</v>
      </c>
      <c r="N1457" s="13">
        <v>2021</v>
      </c>
      <c r="O1457" s="13">
        <v>185</v>
      </c>
      <c r="P1457" s="13">
        <v>93</v>
      </c>
      <c r="Q1457" s="13">
        <v>3587</v>
      </c>
      <c r="R1457" s="13">
        <v>49</v>
      </c>
      <c r="S1457" s="13">
        <v>2</v>
      </c>
      <c r="T1457" s="13">
        <v>0</v>
      </c>
      <c r="U1457" s="12" t="str">
        <f t="shared" si="88"/>
        <v>Privado Nacional</v>
      </c>
      <c r="V1457" s="14">
        <f t="shared" si="89"/>
        <v>0.26246023329798518</v>
      </c>
      <c r="W1457" s="14">
        <f t="shared" si="90"/>
        <v>1.366044047950934E-2</v>
      </c>
      <c r="X1457" s="12" t="str">
        <f t="shared" si="91"/>
        <v>Média/Pequena</v>
      </c>
      <c r="Y1457" s="122" t="str" cm="1">
        <f t="array" ref="Y1457">_xlfn.IFS(ISNUMBER(W1457)=FALSE,"Sem dado",W1457&gt;0.075,"Excelente",W1457&gt;0.04,"Bom",W1457&gt;0,"Fraco",TRUE,"Prejuízo")</f>
        <v>Fraco</v>
      </c>
    </row>
    <row r="1458" spans="1:25" ht="15" customHeight="1" x14ac:dyDescent="0.2">
      <c r="A1458" s="15" t="s">
        <v>3115</v>
      </c>
      <c r="B1458" s="60">
        <v>48528314</v>
      </c>
      <c r="C1458" s="15" t="s">
        <v>3116</v>
      </c>
      <c r="D1458" s="15"/>
      <c r="E1458" s="15" t="s">
        <v>3117</v>
      </c>
      <c r="F1458" s="15" t="s">
        <v>65</v>
      </c>
      <c r="G1458" s="34">
        <v>2</v>
      </c>
      <c r="H1458" s="34">
        <v>43</v>
      </c>
      <c r="I1458" s="15" t="s">
        <v>2442</v>
      </c>
      <c r="J1458" s="15" t="s">
        <v>120</v>
      </c>
      <c r="K1458" s="74" t="s">
        <v>29</v>
      </c>
      <c r="L1458" s="16">
        <v>3769</v>
      </c>
      <c r="M1458" s="16">
        <v>2</v>
      </c>
      <c r="N1458" s="16">
        <v>1753</v>
      </c>
      <c r="O1458" s="16">
        <v>55</v>
      </c>
      <c r="P1458" s="16">
        <v>0</v>
      </c>
      <c r="Q1458" s="16">
        <v>3714</v>
      </c>
      <c r="R1458" s="16">
        <v>-528</v>
      </c>
      <c r="S1458" s="16">
        <v>2</v>
      </c>
      <c r="T1458" s="16">
        <v>0</v>
      </c>
      <c r="U1458" s="15" t="str">
        <f t="shared" si="88"/>
        <v>Privado Nacional</v>
      </c>
      <c r="V1458" s="17">
        <f t="shared" si="89"/>
        <v>5.3064473335102144E-4</v>
      </c>
      <c r="W1458" s="17">
        <f t="shared" si="90"/>
        <v>-0.1421647819063005</v>
      </c>
      <c r="X1458" s="15" t="str">
        <f t="shared" si="91"/>
        <v>Média/Pequena</v>
      </c>
      <c r="Y1458" s="121" t="str" cm="1">
        <f t="array" ref="Y1458">_xlfn.IFS(ISNUMBER(W1458)=FALSE,"Sem dado",W1458&gt;0.075,"Excelente",W1458&gt;0.04,"Bom",W1458&gt;0,"Fraco",TRUE,"Prejuízo")</f>
        <v>Prejuízo</v>
      </c>
    </row>
    <row r="1459" spans="1:25" ht="15" customHeight="1" x14ac:dyDescent="0.2">
      <c r="A1459" s="12" t="s">
        <v>3118</v>
      </c>
      <c r="B1459" s="56">
        <v>57905133</v>
      </c>
      <c r="C1459" s="12" t="s">
        <v>3119</v>
      </c>
      <c r="D1459" s="12"/>
      <c r="E1459" s="12" t="s">
        <v>3120</v>
      </c>
      <c r="F1459" s="12" t="s">
        <v>65</v>
      </c>
      <c r="G1459" s="33">
        <v>2</v>
      </c>
      <c r="H1459" s="33">
        <v>43</v>
      </c>
      <c r="I1459" s="12" t="s">
        <v>216</v>
      </c>
      <c r="J1459" s="12" t="s">
        <v>217</v>
      </c>
      <c r="K1459" s="73" t="s">
        <v>29</v>
      </c>
      <c r="L1459" s="13">
        <v>3678</v>
      </c>
      <c r="M1459" s="13">
        <v>66</v>
      </c>
      <c r="N1459" s="13">
        <v>3080</v>
      </c>
      <c r="O1459" s="13">
        <v>28</v>
      </c>
      <c r="P1459" s="13">
        <v>0</v>
      </c>
      <c r="Q1459" s="13">
        <v>3650</v>
      </c>
      <c r="R1459" s="13">
        <v>123</v>
      </c>
      <c r="S1459" s="13">
        <v>2</v>
      </c>
      <c r="T1459" s="13">
        <v>0</v>
      </c>
      <c r="U1459" s="12" t="str">
        <f t="shared" si="88"/>
        <v>Privado Nacional</v>
      </c>
      <c r="V1459" s="14">
        <f t="shared" si="89"/>
        <v>1.794453507340946E-2</v>
      </c>
      <c r="W1459" s="14">
        <f t="shared" si="90"/>
        <v>3.3698630136986304E-2</v>
      </c>
      <c r="X1459" s="12" t="str">
        <f t="shared" si="91"/>
        <v>Média/Pequena</v>
      </c>
      <c r="Y1459" s="122" t="str" cm="1">
        <f t="array" ref="Y1459">_xlfn.IFS(ISNUMBER(W1459)=FALSE,"Sem dado",W1459&gt;0.075,"Excelente",W1459&gt;0.04,"Bom",W1459&gt;0,"Fraco",TRUE,"Prejuízo")</f>
        <v>Fraco</v>
      </c>
    </row>
    <row r="1460" spans="1:25" ht="15" customHeight="1" x14ac:dyDescent="0.2">
      <c r="A1460" s="15" t="s">
        <v>3121</v>
      </c>
      <c r="B1460" s="60">
        <v>3635061</v>
      </c>
      <c r="C1460" s="15" t="s">
        <v>3122</v>
      </c>
      <c r="D1460" s="15"/>
      <c r="E1460" s="15" t="s">
        <v>3123</v>
      </c>
      <c r="F1460" s="15" t="s">
        <v>65</v>
      </c>
      <c r="G1460" s="34">
        <v>2</v>
      </c>
      <c r="H1460" s="34">
        <v>10</v>
      </c>
      <c r="I1460" s="15" t="s">
        <v>262</v>
      </c>
      <c r="J1460" s="15" t="s">
        <v>39</v>
      </c>
      <c r="K1460" s="74" t="s">
        <v>29</v>
      </c>
      <c r="L1460" s="16">
        <v>3672</v>
      </c>
      <c r="M1460" s="16">
        <v>599</v>
      </c>
      <c r="N1460" s="16">
        <v>2404</v>
      </c>
      <c r="O1460" s="16">
        <v>3</v>
      </c>
      <c r="P1460" s="16">
        <v>0</v>
      </c>
      <c r="Q1460" s="16">
        <v>3669</v>
      </c>
      <c r="R1460" s="16">
        <v>16</v>
      </c>
      <c r="S1460" s="16">
        <v>2</v>
      </c>
      <c r="T1460" s="16">
        <v>0</v>
      </c>
      <c r="U1460" s="15" t="str">
        <f t="shared" si="88"/>
        <v>Privado Nacional</v>
      </c>
      <c r="V1460" s="17">
        <f t="shared" si="89"/>
        <v>0.16312636165577343</v>
      </c>
      <c r="W1460" s="17">
        <f t="shared" si="90"/>
        <v>4.3608612701008451E-3</v>
      </c>
      <c r="X1460" s="15" t="str">
        <f t="shared" si="91"/>
        <v>Média/Pequena</v>
      </c>
      <c r="Y1460" s="121" t="str" cm="1">
        <f t="array" ref="Y1460">_xlfn.IFS(ISNUMBER(W1460)=FALSE,"Sem dado",W1460&gt;0.075,"Excelente",W1460&gt;0.04,"Bom",W1460&gt;0,"Fraco",TRUE,"Prejuízo")</f>
        <v>Fraco</v>
      </c>
    </row>
    <row r="1461" spans="1:25" ht="15" customHeight="1" x14ac:dyDescent="0.2">
      <c r="A1461" s="12" t="s">
        <v>3124</v>
      </c>
      <c r="B1461" s="56">
        <v>45068632</v>
      </c>
      <c r="C1461" s="12"/>
      <c r="D1461" s="12"/>
      <c r="E1461" s="12"/>
      <c r="F1461" s="12" t="s">
        <v>265</v>
      </c>
      <c r="G1461" s="33">
        <v>2</v>
      </c>
      <c r="H1461" s="33">
        <v>9</v>
      </c>
      <c r="I1461" s="12" t="s">
        <v>3125</v>
      </c>
      <c r="J1461" s="12" t="s">
        <v>39</v>
      </c>
      <c r="K1461" s="73" t="s">
        <v>29</v>
      </c>
      <c r="L1461" s="13">
        <v>3652</v>
      </c>
      <c r="M1461" s="13">
        <v>2528</v>
      </c>
      <c r="N1461" s="13">
        <v>704</v>
      </c>
      <c r="O1461" s="13">
        <v>228</v>
      </c>
      <c r="P1461" s="13">
        <v>0</v>
      </c>
      <c r="Q1461" s="13">
        <v>3424</v>
      </c>
      <c r="R1461" s="13">
        <v>14</v>
      </c>
      <c r="S1461" s="13">
        <v>0</v>
      </c>
      <c r="T1461" s="13">
        <v>0</v>
      </c>
      <c r="U1461" s="12" t="str">
        <f t="shared" si="88"/>
        <v>Privado Nacional</v>
      </c>
      <c r="V1461" s="14">
        <f t="shared" si="89"/>
        <v>0.69222343921139107</v>
      </c>
      <c r="W1461" s="14">
        <f t="shared" si="90"/>
        <v>4.0887850467289715E-3</v>
      </c>
      <c r="X1461" s="12" t="str">
        <f t="shared" si="91"/>
        <v>Média/Pequena</v>
      </c>
      <c r="Y1461" s="122" t="str" cm="1">
        <f t="array" ref="Y1461">_xlfn.IFS(ISNUMBER(W1461)=FALSE,"Sem dado",W1461&gt;0.075,"Excelente",W1461&gt;0.04,"Bom",W1461&gt;0,"Fraco",TRUE,"Prejuízo")</f>
        <v>Fraco</v>
      </c>
    </row>
    <row r="1462" spans="1:25" ht="15" customHeight="1" x14ac:dyDescent="0.2">
      <c r="A1462" s="15" t="s">
        <v>3126</v>
      </c>
      <c r="B1462" s="60">
        <v>1551820</v>
      </c>
      <c r="C1462" s="15"/>
      <c r="D1462" s="15"/>
      <c r="E1462" s="15"/>
      <c r="F1462" s="15" t="s">
        <v>265</v>
      </c>
      <c r="G1462" s="34">
        <v>2</v>
      </c>
      <c r="H1462" s="34">
        <v>9</v>
      </c>
      <c r="I1462" s="15" t="s">
        <v>336</v>
      </c>
      <c r="J1462" s="15" t="s">
        <v>229</v>
      </c>
      <c r="K1462" s="74" t="s">
        <v>29</v>
      </c>
      <c r="L1462" s="16">
        <v>3584</v>
      </c>
      <c r="M1462" s="16">
        <v>3106</v>
      </c>
      <c r="N1462" s="16">
        <v>0</v>
      </c>
      <c r="O1462" s="16">
        <v>64</v>
      </c>
      <c r="P1462" s="16">
        <v>0</v>
      </c>
      <c r="Q1462" s="16">
        <v>3520</v>
      </c>
      <c r="R1462" s="16">
        <v>102</v>
      </c>
      <c r="S1462" s="16">
        <v>0</v>
      </c>
      <c r="T1462" s="16">
        <v>0</v>
      </c>
      <c r="U1462" s="15" t="str">
        <f t="shared" si="88"/>
        <v>Privado Nacional</v>
      </c>
      <c r="V1462" s="17">
        <f t="shared" si="89"/>
        <v>0.8666294642857143</v>
      </c>
      <c r="W1462" s="17">
        <f t="shared" si="90"/>
        <v>2.8977272727272727E-2</v>
      </c>
      <c r="X1462" s="15" t="str">
        <f t="shared" si="91"/>
        <v>Média/Pequena</v>
      </c>
      <c r="Y1462" s="121" t="str" cm="1">
        <f t="array" ref="Y1462">_xlfn.IFS(ISNUMBER(W1462)=FALSE,"Sem dado",W1462&gt;0.075,"Excelente",W1462&gt;0.04,"Bom",W1462&gt;0,"Fraco",TRUE,"Prejuízo")</f>
        <v>Fraco</v>
      </c>
    </row>
    <row r="1463" spans="1:25" ht="15" customHeight="1" x14ac:dyDescent="0.2">
      <c r="A1463" s="12" t="s">
        <v>3127</v>
      </c>
      <c r="B1463" s="56">
        <v>53800488</v>
      </c>
      <c r="C1463" s="12"/>
      <c r="D1463" s="12"/>
      <c r="E1463" s="12"/>
      <c r="F1463" s="12" t="s">
        <v>265</v>
      </c>
      <c r="G1463" s="33">
        <v>2</v>
      </c>
      <c r="H1463" s="33">
        <v>9</v>
      </c>
      <c r="I1463" s="12" t="s">
        <v>38</v>
      </c>
      <c r="J1463" s="12" t="s">
        <v>39</v>
      </c>
      <c r="K1463" s="73" t="s">
        <v>29</v>
      </c>
      <c r="L1463" s="13">
        <v>3562</v>
      </c>
      <c r="M1463" s="13">
        <v>1982</v>
      </c>
      <c r="N1463" s="13">
        <v>1105</v>
      </c>
      <c r="O1463" s="13">
        <v>774</v>
      </c>
      <c r="P1463" s="13">
        <v>0</v>
      </c>
      <c r="Q1463" s="13">
        <v>2787</v>
      </c>
      <c r="R1463" s="13">
        <v>-180</v>
      </c>
      <c r="S1463" s="13">
        <v>0</v>
      </c>
      <c r="T1463" s="13">
        <v>0</v>
      </c>
      <c r="U1463" s="12" t="str">
        <f t="shared" si="88"/>
        <v>Privado Nacional</v>
      </c>
      <c r="V1463" s="14">
        <f t="shared" si="89"/>
        <v>0.55642897248736667</v>
      </c>
      <c r="W1463" s="14">
        <f t="shared" si="90"/>
        <v>-6.4585575888051666E-2</v>
      </c>
      <c r="X1463" s="12" t="str">
        <f t="shared" si="91"/>
        <v>Média/Pequena</v>
      </c>
      <c r="Y1463" s="122" t="str" cm="1">
        <f t="array" ref="Y1463">_xlfn.IFS(ISNUMBER(W1463)=FALSE,"Sem dado",W1463&gt;0.075,"Excelente",W1463&gt;0.04,"Bom",W1463&gt;0,"Fraco",TRUE,"Prejuízo")</f>
        <v>Prejuízo</v>
      </c>
    </row>
    <row r="1464" spans="1:25" ht="15" customHeight="1" x14ac:dyDescent="0.2">
      <c r="A1464" s="15" t="s">
        <v>3128</v>
      </c>
      <c r="B1464" s="60">
        <v>90278987</v>
      </c>
      <c r="C1464" s="15"/>
      <c r="D1464" s="15"/>
      <c r="E1464" s="15"/>
      <c r="F1464" s="15" t="s">
        <v>265</v>
      </c>
      <c r="G1464" s="34">
        <v>2</v>
      </c>
      <c r="H1464" s="34">
        <v>9</v>
      </c>
      <c r="I1464" s="15" t="s">
        <v>73</v>
      </c>
      <c r="J1464" s="15" t="s">
        <v>74</v>
      </c>
      <c r="K1464" s="74" t="s">
        <v>29</v>
      </c>
      <c r="L1464" s="16">
        <v>3562</v>
      </c>
      <c r="M1464" s="16">
        <v>1716</v>
      </c>
      <c r="N1464" s="16">
        <v>1589</v>
      </c>
      <c r="O1464" s="16">
        <v>277</v>
      </c>
      <c r="P1464" s="16">
        <v>0</v>
      </c>
      <c r="Q1464" s="16">
        <v>3285</v>
      </c>
      <c r="R1464" s="16">
        <v>238</v>
      </c>
      <c r="S1464" s="16">
        <v>0</v>
      </c>
      <c r="T1464" s="16">
        <v>0</v>
      </c>
      <c r="U1464" s="15" t="str">
        <f t="shared" si="88"/>
        <v>Privado Nacional</v>
      </c>
      <c r="V1464" s="17">
        <f t="shared" si="89"/>
        <v>0.48175182481751827</v>
      </c>
      <c r="W1464" s="17">
        <f t="shared" si="90"/>
        <v>7.2450532724505329E-2</v>
      </c>
      <c r="X1464" s="15" t="str">
        <f t="shared" si="91"/>
        <v>Média/Pequena</v>
      </c>
      <c r="Y1464" s="121" t="str" cm="1">
        <f t="array" ref="Y1464">_xlfn.IFS(ISNUMBER(W1464)=FALSE,"Sem dado",W1464&gt;0.075,"Excelente",W1464&gt;0.04,"Bom",W1464&gt;0,"Fraco",TRUE,"Prejuízo")</f>
        <v>Bom</v>
      </c>
    </row>
    <row r="1465" spans="1:25" ht="15" customHeight="1" x14ac:dyDescent="0.2">
      <c r="A1465" s="12" t="s">
        <v>3129</v>
      </c>
      <c r="B1465" s="56">
        <v>5747018</v>
      </c>
      <c r="C1465" s="12"/>
      <c r="D1465" s="12"/>
      <c r="E1465" s="12"/>
      <c r="F1465" s="12" t="s">
        <v>265</v>
      </c>
      <c r="G1465" s="33">
        <v>2</v>
      </c>
      <c r="H1465" s="33">
        <v>9</v>
      </c>
      <c r="I1465" s="12" t="s">
        <v>907</v>
      </c>
      <c r="J1465" s="12" t="s">
        <v>578</v>
      </c>
      <c r="K1465" s="73" t="s">
        <v>29</v>
      </c>
      <c r="L1465" s="13">
        <v>3560</v>
      </c>
      <c r="M1465" s="13">
        <v>1065</v>
      </c>
      <c r="N1465" s="13">
        <v>2058</v>
      </c>
      <c r="O1465" s="13">
        <v>366</v>
      </c>
      <c r="P1465" s="13">
        <v>0</v>
      </c>
      <c r="Q1465" s="13">
        <v>3194</v>
      </c>
      <c r="R1465" s="13">
        <v>97</v>
      </c>
      <c r="S1465" s="13">
        <v>0</v>
      </c>
      <c r="T1465" s="13">
        <v>0</v>
      </c>
      <c r="U1465" s="12" t="str">
        <f t="shared" si="88"/>
        <v>Privado Nacional</v>
      </c>
      <c r="V1465" s="14">
        <f t="shared" si="89"/>
        <v>0.2991573033707865</v>
      </c>
      <c r="W1465" s="14">
        <f t="shared" si="90"/>
        <v>3.0369442705072011E-2</v>
      </c>
      <c r="X1465" s="12" t="str">
        <f t="shared" si="91"/>
        <v>Média/Pequena</v>
      </c>
      <c r="Y1465" s="122" t="str" cm="1">
        <f t="array" ref="Y1465">_xlfn.IFS(ISNUMBER(W1465)=FALSE,"Sem dado",W1465&gt;0.075,"Excelente",W1465&gt;0.04,"Bom",W1465&gt;0,"Fraco",TRUE,"Prejuízo")</f>
        <v>Fraco</v>
      </c>
    </row>
    <row r="1466" spans="1:25" ht="15" customHeight="1" x14ac:dyDescent="0.2">
      <c r="A1466" s="15" t="s">
        <v>3130</v>
      </c>
      <c r="B1466" s="60">
        <v>28885036</v>
      </c>
      <c r="C1466" s="15"/>
      <c r="D1466" s="15"/>
      <c r="E1466" s="15"/>
      <c r="F1466" s="15" t="s">
        <v>265</v>
      </c>
      <c r="G1466" s="34">
        <v>2</v>
      </c>
      <c r="H1466" s="34">
        <v>9</v>
      </c>
      <c r="I1466" s="15" t="s">
        <v>53</v>
      </c>
      <c r="J1466" s="15" t="s">
        <v>54</v>
      </c>
      <c r="K1466" s="74" t="s">
        <v>29</v>
      </c>
      <c r="L1466" s="16">
        <v>3546</v>
      </c>
      <c r="M1466" s="16">
        <v>2043</v>
      </c>
      <c r="N1466" s="16">
        <v>810</v>
      </c>
      <c r="O1466" s="16">
        <v>987</v>
      </c>
      <c r="P1466" s="16">
        <v>0</v>
      </c>
      <c r="Q1466" s="16">
        <v>2558</v>
      </c>
      <c r="R1466" s="16">
        <v>-31</v>
      </c>
      <c r="S1466" s="16">
        <v>0</v>
      </c>
      <c r="T1466" s="16">
        <v>0</v>
      </c>
      <c r="U1466" s="15" t="str">
        <f t="shared" si="88"/>
        <v>Privado Nacional</v>
      </c>
      <c r="V1466" s="17">
        <f t="shared" si="89"/>
        <v>0.57614213197969544</v>
      </c>
      <c r="W1466" s="17">
        <f t="shared" si="90"/>
        <v>-1.2118842845973418E-2</v>
      </c>
      <c r="X1466" s="15" t="str">
        <f t="shared" si="91"/>
        <v>Média/Pequena</v>
      </c>
      <c r="Y1466" s="121" t="str" cm="1">
        <f t="array" ref="Y1466">_xlfn.IFS(ISNUMBER(W1466)=FALSE,"Sem dado",W1466&gt;0.075,"Excelente",W1466&gt;0.04,"Bom",W1466&gt;0,"Fraco",TRUE,"Prejuízo")</f>
        <v>Prejuízo</v>
      </c>
    </row>
    <row r="1467" spans="1:25" ht="15" customHeight="1" x14ac:dyDescent="0.2">
      <c r="A1467" s="12" t="s">
        <v>3131</v>
      </c>
      <c r="B1467" s="56">
        <v>76641497</v>
      </c>
      <c r="C1467" s="12" t="s">
        <v>3132</v>
      </c>
      <c r="D1467" s="12"/>
      <c r="E1467" s="12" t="s">
        <v>3133</v>
      </c>
      <c r="F1467" s="12" t="s">
        <v>98</v>
      </c>
      <c r="G1467" s="33">
        <v>2</v>
      </c>
      <c r="H1467" s="33">
        <v>21</v>
      </c>
      <c r="I1467" s="12" t="s">
        <v>228</v>
      </c>
      <c r="J1467" s="12" t="s">
        <v>229</v>
      </c>
      <c r="K1467" s="73" t="s">
        <v>29</v>
      </c>
      <c r="L1467" s="13">
        <v>3537</v>
      </c>
      <c r="M1467" s="13">
        <v>0</v>
      </c>
      <c r="N1467" s="13">
        <v>937</v>
      </c>
      <c r="O1467" s="13">
        <v>777</v>
      </c>
      <c r="P1467" s="13">
        <v>0</v>
      </c>
      <c r="Q1467" s="13">
        <v>2761</v>
      </c>
      <c r="R1467" s="13">
        <v>345</v>
      </c>
      <c r="S1467" s="13">
        <v>3</v>
      </c>
      <c r="T1467" s="13">
        <v>0</v>
      </c>
      <c r="U1467" s="12" t="str">
        <f t="shared" si="88"/>
        <v>Privado Nacional</v>
      </c>
      <c r="V1467" s="14">
        <f t="shared" si="89"/>
        <v>0</v>
      </c>
      <c r="W1467" s="14">
        <f t="shared" si="90"/>
        <v>0.12495472654835205</v>
      </c>
      <c r="X1467" s="12" t="str">
        <f t="shared" si="91"/>
        <v>Média/Pequena</v>
      </c>
      <c r="Y1467" s="122" t="str" cm="1">
        <f t="array" ref="Y1467">_xlfn.IFS(ISNUMBER(W1467)=FALSE,"Sem dado",W1467&gt;0.075,"Excelente",W1467&gt;0.04,"Bom",W1467&gt;0,"Fraco",TRUE,"Prejuízo")</f>
        <v>Excelente</v>
      </c>
    </row>
    <row r="1468" spans="1:25" ht="15" customHeight="1" x14ac:dyDescent="0.2">
      <c r="A1468" s="15" t="s">
        <v>3134</v>
      </c>
      <c r="B1468" s="60">
        <v>46297307</v>
      </c>
      <c r="C1468" s="15" t="s">
        <v>3135</v>
      </c>
      <c r="D1468" s="15"/>
      <c r="E1468" s="15" t="s">
        <v>3136</v>
      </c>
      <c r="F1468" s="15" t="s">
        <v>84</v>
      </c>
      <c r="G1468" s="34">
        <v>2</v>
      </c>
      <c r="H1468" s="34">
        <v>41</v>
      </c>
      <c r="I1468" s="15" t="s">
        <v>107</v>
      </c>
      <c r="J1468" s="15" t="s">
        <v>39</v>
      </c>
      <c r="K1468" s="74" t="s">
        <v>29</v>
      </c>
      <c r="L1468" s="16">
        <v>3526</v>
      </c>
      <c r="M1468" s="16">
        <v>0</v>
      </c>
      <c r="N1468" s="16">
        <v>156</v>
      </c>
      <c r="O1468" s="16">
        <v>140</v>
      </c>
      <c r="P1468" s="16">
        <v>0</v>
      </c>
      <c r="Q1468" s="16">
        <v>3386</v>
      </c>
      <c r="R1468" s="16">
        <v>-1197</v>
      </c>
      <c r="S1468" s="16">
        <v>1</v>
      </c>
      <c r="T1468" s="16">
        <v>0</v>
      </c>
      <c r="U1468" s="15" t="str">
        <f t="shared" si="88"/>
        <v>Privado Nacional</v>
      </c>
      <c r="V1468" s="17">
        <f t="shared" si="89"/>
        <v>0</v>
      </c>
      <c r="W1468" s="17">
        <f t="shared" si="90"/>
        <v>-0.35351447135262848</v>
      </c>
      <c r="X1468" s="15" t="str">
        <f t="shared" si="91"/>
        <v>Média/Pequena</v>
      </c>
      <c r="Y1468" s="121" t="str" cm="1">
        <f t="array" ref="Y1468">_xlfn.IFS(ISNUMBER(W1468)=FALSE,"Sem dado",W1468&gt;0.075,"Excelente",W1468&gt;0.04,"Bom",W1468&gt;0,"Fraco",TRUE,"Prejuízo")</f>
        <v>Prejuízo</v>
      </c>
    </row>
    <row r="1469" spans="1:25" ht="15" customHeight="1" x14ac:dyDescent="0.2">
      <c r="A1469" s="12" t="s">
        <v>3137</v>
      </c>
      <c r="B1469" s="56">
        <v>17772370</v>
      </c>
      <c r="C1469" s="12" t="s">
        <v>3138</v>
      </c>
      <c r="D1469" s="12"/>
      <c r="E1469" s="12" t="s">
        <v>3139</v>
      </c>
      <c r="F1469" s="12" t="s">
        <v>98</v>
      </c>
      <c r="G1469" s="33">
        <v>2</v>
      </c>
      <c r="H1469" s="33">
        <v>21</v>
      </c>
      <c r="I1469" s="12" t="s">
        <v>38</v>
      </c>
      <c r="J1469" s="12" t="s">
        <v>39</v>
      </c>
      <c r="K1469" s="73" t="s">
        <v>29</v>
      </c>
      <c r="L1469" s="13">
        <v>3469</v>
      </c>
      <c r="M1469" s="13">
        <v>0</v>
      </c>
      <c r="N1469" s="13">
        <v>1291</v>
      </c>
      <c r="O1469" s="13">
        <v>612</v>
      </c>
      <c r="P1469" s="13">
        <v>0</v>
      </c>
      <c r="Q1469" s="13">
        <v>2857</v>
      </c>
      <c r="R1469" s="13">
        <v>154</v>
      </c>
      <c r="S1469" s="13">
        <v>2</v>
      </c>
      <c r="T1469" s="13">
        <v>0</v>
      </c>
      <c r="U1469" s="12" t="str">
        <f t="shared" si="88"/>
        <v>Privado Nacional</v>
      </c>
      <c r="V1469" s="14">
        <f t="shared" si="89"/>
        <v>0</v>
      </c>
      <c r="W1469" s="14">
        <f t="shared" si="90"/>
        <v>5.3902695134756741E-2</v>
      </c>
      <c r="X1469" s="12" t="str">
        <f t="shared" si="91"/>
        <v>Média/Pequena</v>
      </c>
      <c r="Y1469" s="122" t="str" cm="1">
        <f t="array" ref="Y1469">_xlfn.IFS(ISNUMBER(W1469)=FALSE,"Sem dado",W1469&gt;0.075,"Excelente",W1469&gt;0.04,"Bom",W1469&gt;0,"Fraco",TRUE,"Prejuízo")</f>
        <v>Bom</v>
      </c>
    </row>
    <row r="1470" spans="1:25" ht="15" customHeight="1" x14ac:dyDescent="0.2">
      <c r="A1470" s="15" t="s">
        <v>3140</v>
      </c>
      <c r="B1470" s="60">
        <v>1107759</v>
      </c>
      <c r="C1470" s="15"/>
      <c r="D1470" s="15"/>
      <c r="E1470" s="15"/>
      <c r="F1470" s="15" t="s">
        <v>265</v>
      </c>
      <c r="G1470" s="34">
        <v>2</v>
      </c>
      <c r="H1470" s="34">
        <v>9</v>
      </c>
      <c r="I1470" s="15" t="s">
        <v>3057</v>
      </c>
      <c r="J1470" s="15" t="s">
        <v>39</v>
      </c>
      <c r="K1470" s="74" t="s">
        <v>29</v>
      </c>
      <c r="L1470" s="16">
        <v>3466</v>
      </c>
      <c r="M1470" s="16">
        <v>1091</v>
      </c>
      <c r="N1470" s="16">
        <v>2199</v>
      </c>
      <c r="O1470" s="16">
        <v>109</v>
      </c>
      <c r="P1470" s="16">
        <v>0</v>
      </c>
      <c r="Q1470" s="16">
        <v>3357</v>
      </c>
      <c r="R1470" s="16">
        <v>183</v>
      </c>
      <c r="S1470" s="16">
        <v>0</v>
      </c>
      <c r="T1470" s="16">
        <v>0</v>
      </c>
      <c r="U1470" s="15" t="str">
        <f t="shared" si="88"/>
        <v>Privado Nacional</v>
      </c>
      <c r="V1470" s="17">
        <f t="shared" si="89"/>
        <v>0.31477207155222159</v>
      </c>
      <c r="W1470" s="17">
        <f t="shared" si="90"/>
        <v>5.4512957998212687E-2</v>
      </c>
      <c r="X1470" s="15" t="str">
        <f t="shared" si="91"/>
        <v>Média/Pequena</v>
      </c>
      <c r="Y1470" s="121" t="str" cm="1">
        <f t="array" ref="Y1470">_xlfn.IFS(ISNUMBER(W1470)=FALSE,"Sem dado",W1470&gt;0.075,"Excelente",W1470&gt;0.04,"Bom",W1470&gt;0,"Fraco",TRUE,"Prejuízo")</f>
        <v>Bom</v>
      </c>
    </row>
    <row r="1471" spans="1:25" ht="15" customHeight="1" x14ac:dyDescent="0.2">
      <c r="A1471" s="12" t="s">
        <v>3141</v>
      </c>
      <c r="B1471" s="56">
        <v>20158571</v>
      </c>
      <c r="C1471" s="12" t="s">
        <v>3142</v>
      </c>
      <c r="D1471" s="12"/>
      <c r="E1471" s="12" t="s">
        <v>3143</v>
      </c>
      <c r="F1471" s="12" t="s">
        <v>65</v>
      </c>
      <c r="G1471" s="33">
        <v>2</v>
      </c>
      <c r="H1471" s="33">
        <v>10</v>
      </c>
      <c r="I1471" s="12" t="s">
        <v>818</v>
      </c>
      <c r="J1471" s="12" t="s">
        <v>819</v>
      </c>
      <c r="K1471" s="73" t="s">
        <v>29</v>
      </c>
      <c r="L1471" s="13">
        <v>3457</v>
      </c>
      <c r="M1471" s="13">
        <v>68</v>
      </c>
      <c r="N1471" s="13">
        <v>135</v>
      </c>
      <c r="O1471" s="13">
        <v>2228</v>
      </c>
      <c r="P1471" s="13">
        <v>0</v>
      </c>
      <c r="Q1471" s="13">
        <v>1229</v>
      </c>
      <c r="R1471" s="13">
        <v>-53</v>
      </c>
      <c r="S1471" s="13">
        <v>1</v>
      </c>
      <c r="T1471" s="13">
        <v>0</v>
      </c>
      <c r="U1471" s="12" t="str">
        <f t="shared" si="88"/>
        <v>Privado Nacional</v>
      </c>
      <c r="V1471" s="14">
        <f t="shared" si="89"/>
        <v>1.9670234307202775E-2</v>
      </c>
      <c r="W1471" s="14">
        <f t="shared" si="90"/>
        <v>-4.3124491456468676E-2</v>
      </c>
      <c r="X1471" s="12" t="str">
        <f t="shared" si="91"/>
        <v>Média/Pequena</v>
      </c>
      <c r="Y1471" s="122" t="str" cm="1">
        <f t="array" ref="Y1471">_xlfn.IFS(ISNUMBER(W1471)=FALSE,"Sem dado",W1471&gt;0.075,"Excelente",W1471&gt;0.04,"Bom",W1471&gt;0,"Fraco",TRUE,"Prejuízo")</f>
        <v>Prejuízo</v>
      </c>
    </row>
    <row r="1472" spans="1:25" ht="15" customHeight="1" x14ac:dyDescent="0.2">
      <c r="A1472" s="15" t="s">
        <v>3144</v>
      </c>
      <c r="B1472" s="60">
        <v>37555231</v>
      </c>
      <c r="C1472" s="15" t="s">
        <v>584</v>
      </c>
      <c r="D1472" s="15" t="s">
        <v>585</v>
      </c>
      <c r="E1472" s="15" t="s">
        <v>586</v>
      </c>
      <c r="F1472" s="15" t="s">
        <v>65</v>
      </c>
      <c r="G1472" s="34">
        <v>2</v>
      </c>
      <c r="H1472" s="34">
        <v>43</v>
      </c>
      <c r="I1472" s="15" t="s">
        <v>587</v>
      </c>
      <c r="J1472" s="15" t="s">
        <v>39</v>
      </c>
      <c r="K1472" s="74" t="s">
        <v>29</v>
      </c>
      <c r="L1472" s="16">
        <v>3442</v>
      </c>
      <c r="M1472" s="16">
        <v>2</v>
      </c>
      <c r="N1472" s="16">
        <v>894</v>
      </c>
      <c r="O1472" s="16">
        <v>27</v>
      </c>
      <c r="P1472" s="16">
        <v>0</v>
      </c>
      <c r="Q1472" s="16">
        <v>3415</v>
      </c>
      <c r="R1472" s="16">
        <v>-23</v>
      </c>
      <c r="S1472" s="16">
        <v>2</v>
      </c>
      <c r="T1472" s="16">
        <v>0</v>
      </c>
      <c r="U1472" s="15" t="str">
        <f t="shared" si="88"/>
        <v>Privado Nacional</v>
      </c>
      <c r="V1472" s="17">
        <f t="shared" si="89"/>
        <v>5.8105752469494478E-4</v>
      </c>
      <c r="W1472" s="17">
        <f t="shared" si="90"/>
        <v>-6.734992679355783E-3</v>
      </c>
      <c r="X1472" s="15" t="str">
        <f t="shared" si="91"/>
        <v>Média/Pequena</v>
      </c>
      <c r="Y1472" s="121" t="str" cm="1">
        <f t="array" ref="Y1472">_xlfn.IFS(ISNUMBER(W1472)=FALSE,"Sem dado",W1472&gt;0.075,"Excelente",W1472&gt;0.04,"Bom",W1472&gt;0,"Fraco",TRUE,"Prejuízo")</f>
        <v>Prejuízo</v>
      </c>
    </row>
    <row r="1473" spans="1:25" ht="15" customHeight="1" x14ac:dyDescent="0.2">
      <c r="A1473" s="12" t="s">
        <v>3145</v>
      </c>
      <c r="B1473" s="56">
        <v>58367961</v>
      </c>
      <c r="C1473" s="12" t="s">
        <v>3146</v>
      </c>
      <c r="D1473" s="12"/>
      <c r="E1473" s="12" t="s">
        <v>3147</v>
      </c>
      <c r="F1473" s="12" t="s">
        <v>65</v>
      </c>
      <c r="G1473" s="33">
        <v>2</v>
      </c>
      <c r="H1473" s="33">
        <v>43</v>
      </c>
      <c r="I1473" s="12" t="s">
        <v>165</v>
      </c>
      <c r="J1473" s="12" t="s">
        <v>39</v>
      </c>
      <c r="K1473" s="73" t="s">
        <v>29</v>
      </c>
      <c r="L1473" s="13">
        <v>3400</v>
      </c>
      <c r="M1473" s="13">
        <v>0</v>
      </c>
      <c r="N1473" s="13">
        <v>3398</v>
      </c>
      <c r="O1473" s="13">
        <v>10</v>
      </c>
      <c r="P1473" s="13">
        <v>0</v>
      </c>
      <c r="Q1473" s="13">
        <v>3389</v>
      </c>
      <c r="R1473" s="13">
        <v>-93</v>
      </c>
      <c r="S1473" s="13">
        <v>2</v>
      </c>
      <c r="T1473" s="13">
        <v>0</v>
      </c>
      <c r="U1473" s="12" t="str">
        <f t="shared" si="88"/>
        <v>Privado Nacional</v>
      </c>
      <c r="V1473" s="14">
        <f t="shared" si="89"/>
        <v>0</v>
      </c>
      <c r="W1473" s="14">
        <f t="shared" si="90"/>
        <v>-2.7441723222189435E-2</v>
      </c>
      <c r="X1473" s="12" t="str">
        <f t="shared" si="91"/>
        <v>Média/Pequena</v>
      </c>
      <c r="Y1473" s="122" t="str" cm="1">
        <f t="array" ref="Y1473">_xlfn.IFS(ISNUMBER(W1473)=FALSE,"Sem dado",W1473&gt;0.075,"Excelente",W1473&gt;0.04,"Bom",W1473&gt;0,"Fraco",TRUE,"Prejuízo")</f>
        <v>Prejuízo</v>
      </c>
    </row>
    <row r="1474" spans="1:25" ht="15" customHeight="1" x14ac:dyDescent="0.2">
      <c r="A1474" s="15" t="s">
        <v>3148</v>
      </c>
      <c r="B1474" s="60">
        <v>2723075</v>
      </c>
      <c r="C1474" s="15"/>
      <c r="D1474" s="15"/>
      <c r="E1474" s="15"/>
      <c r="F1474" s="15" t="s">
        <v>265</v>
      </c>
      <c r="G1474" s="34">
        <v>2</v>
      </c>
      <c r="H1474" s="34">
        <v>9</v>
      </c>
      <c r="I1474" s="15" t="s">
        <v>53</v>
      </c>
      <c r="J1474" s="15" t="s">
        <v>54</v>
      </c>
      <c r="K1474" s="74" t="s">
        <v>29</v>
      </c>
      <c r="L1474" s="16">
        <v>3388</v>
      </c>
      <c r="M1474" s="16">
        <v>1850</v>
      </c>
      <c r="N1474" s="16">
        <v>700</v>
      </c>
      <c r="O1474" s="16">
        <v>553</v>
      </c>
      <c r="P1474" s="16">
        <v>0</v>
      </c>
      <c r="Q1474" s="16">
        <v>2836</v>
      </c>
      <c r="R1474" s="16">
        <v>127</v>
      </c>
      <c r="S1474" s="16">
        <v>0</v>
      </c>
      <c r="T1474" s="16">
        <v>0</v>
      </c>
      <c r="U1474" s="15" t="str">
        <f t="shared" si="88"/>
        <v>Privado Nacional</v>
      </c>
      <c r="V1474" s="17">
        <f t="shared" si="89"/>
        <v>0.54604486422668241</v>
      </c>
      <c r="W1474" s="17">
        <f t="shared" si="90"/>
        <v>4.4781382228490832E-2</v>
      </c>
      <c r="X1474" s="15" t="str">
        <f t="shared" si="91"/>
        <v>Média/Pequena</v>
      </c>
      <c r="Y1474" s="121" t="str" cm="1">
        <f t="array" ref="Y1474">_xlfn.IFS(ISNUMBER(W1474)=FALSE,"Sem dado",W1474&gt;0.075,"Excelente",W1474&gt;0.04,"Bom",W1474&gt;0,"Fraco",TRUE,"Prejuízo")</f>
        <v>Bom</v>
      </c>
    </row>
    <row r="1475" spans="1:25" ht="15" customHeight="1" x14ac:dyDescent="0.2">
      <c r="A1475" s="12" t="s">
        <v>3149</v>
      </c>
      <c r="B1475" s="56">
        <v>21597133</v>
      </c>
      <c r="C1475" s="12"/>
      <c r="D1475" s="12"/>
      <c r="E1475" s="12"/>
      <c r="F1475" s="12" t="s">
        <v>265</v>
      </c>
      <c r="G1475" s="33">
        <v>2</v>
      </c>
      <c r="H1475" s="33">
        <v>9</v>
      </c>
      <c r="I1475" s="12" t="s">
        <v>3150</v>
      </c>
      <c r="J1475" s="12" t="s">
        <v>120</v>
      </c>
      <c r="K1475" s="73" t="s">
        <v>29</v>
      </c>
      <c r="L1475" s="13">
        <v>3373</v>
      </c>
      <c r="M1475" s="13">
        <v>1351</v>
      </c>
      <c r="N1475" s="13">
        <v>0</v>
      </c>
      <c r="O1475" s="13">
        <v>590</v>
      </c>
      <c r="P1475" s="13">
        <v>0</v>
      </c>
      <c r="Q1475" s="13">
        <v>2783</v>
      </c>
      <c r="R1475" s="13">
        <v>57</v>
      </c>
      <c r="S1475" s="13">
        <v>0</v>
      </c>
      <c r="T1475" s="13">
        <v>0</v>
      </c>
      <c r="U1475" s="12" t="str">
        <f t="shared" si="88"/>
        <v>Privado Nacional</v>
      </c>
      <c r="V1475" s="14">
        <f t="shared" si="89"/>
        <v>0.40053364957011561</v>
      </c>
      <c r="W1475" s="14">
        <f t="shared" si="90"/>
        <v>2.0481494789795184E-2</v>
      </c>
      <c r="X1475" s="12" t="str">
        <f t="shared" si="91"/>
        <v>Média/Pequena</v>
      </c>
      <c r="Y1475" s="122" t="str" cm="1">
        <f t="array" ref="Y1475">_xlfn.IFS(ISNUMBER(W1475)=FALSE,"Sem dado",W1475&gt;0.075,"Excelente",W1475&gt;0.04,"Bom",W1475&gt;0,"Fraco",TRUE,"Prejuízo")</f>
        <v>Fraco</v>
      </c>
    </row>
    <row r="1476" spans="1:25" ht="15" customHeight="1" x14ac:dyDescent="0.2">
      <c r="A1476" s="15" t="s">
        <v>3151</v>
      </c>
      <c r="B1476" s="60">
        <v>37800856</v>
      </c>
      <c r="C1476" s="15" t="s">
        <v>3152</v>
      </c>
      <c r="D1476" s="15"/>
      <c r="E1476" s="15" t="s">
        <v>3153</v>
      </c>
      <c r="F1476" s="15" t="s">
        <v>98</v>
      </c>
      <c r="G1476" s="34">
        <v>2</v>
      </c>
      <c r="H1476" s="34">
        <v>16</v>
      </c>
      <c r="I1476" s="15" t="s">
        <v>38</v>
      </c>
      <c r="J1476" s="15" t="s">
        <v>39</v>
      </c>
      <c r="K1476" s="74" t="s">
        <v>29</v>
      </c>
      <c r="L1476" s="16">
        <v>3357</v>
      </c>
      <c r="M1476" s="16">
        <v>0</v>
      </c>
      <c r="N1476" s="16">
        <v>2247</v>
      </c>
      <c r="O1476" s="16">
        <v>172</v>
      </c>
      <c r="P1476" s="16">
        <v>0</v>
      </c>
      <c r="Q1476" s="16">
        <v>3185</v>
      </c>
      <c r="R1476" s="16">
        <v>-92</v>
      </c>
      <c r="S1476" s="16">
        <v>2</v>
      </c>
      <c r="T1476" s="16">
        <v>0</v>
      </c>
      <c r="U1476" s="15" t="str">
        <f t="shared" si="88"/>
        <v>Privado Nacional</v>
      </c>
      <c r="V1476" s="17">
        <f t="shared" si="89"/>
        <v>0</v>
      </c>
      <c r="W1476" s="17">
        <f t="shared" si="90"/>
        <v>-2.8885400313971743E-2</v>
      </c>
      <c r="X1476" s="15" t="str">
        <f t="shared" si="91"/>
        <v>Média/Pequena</v>
      </c>
      <c r="Y1476" s="121" t="str" cm="1">
        <f t="array" ref="Y1476">_xlfn.IFS(ISNUMBER(W1476)=FALSE,"Sem dado",W1476&gt;0.075,"Excelente",W1476&gt;0.04,"Bom",W1476&gt;0,"Fraco",TRUE,"Prejuízo")</f>
        <v>Prejuízo</v>
      </c>
    </row>
    <row r="1477" spans="1:25" ht="15" customHeight="1" x14ac:dyDescent="0.2">
      <c r="A1477" s="12" t="s">
        <v>3154</v>
      </c>
      <c r="B1477" s="56">
        <v>48552108</v>
      </c>
      <c r="C1477" s="12" t="s">
        <v>3155</v>
      </c>
      <c r="D1477" s="12"/>
      <c r="E1477" s="12" t="s">
        <v>3156</v>
      </c>
      <c r="F1477" s="12" t="s">
        <v>84</v>
      </c>
      <c r="G1477" s="33">
        <v>3</v>
      </c>
      <c r="H1477" s="33">
        <v>41</v>
      </c>
      <c r="I1477" s="12" t="s">
        <v>38</v>
      </c>
      <c r="J1477" s="12" t="s">
        <v>39</v>
      </c>
      <c r="K1477" s="73" t="s">
        <v>29</v>
      </c>
      <c r="L1477" s="13">
        <v>3328</v>
      </c>
      <c r="M1477" s="13">
        <v>0</v>
      </c>
      <c r="N1477" s="13">
        <v>0</v>
      </c>
      <c r="O1477" s="13">
        <v>2132</v>
      </c>
      <c r="P1477" s="13">
        <v>0</v>
      </c>
      <c r="Q1477" s="13">
        <v>1196</v>
      </c>
      <c r="R1477" s="13">
        <v>-384</v>
      </c>
      <c r="S1477" s="13">
        <v>1</v>
      </c>
      <c r="T1477" s="13">
        <v>0</v>
      </c>
      <c r="U1477" s="12" t="str">
        <f t="shared" ref="U1477:U1540" si="92">IFERROR(CHOOSE(G1477,"Público","Privado Nacional","Privado Estrangeiro"),"n.d.")</f>
        <v>Privado Estrangeiro</v>
      </c>
      <c r="V1477" s="14">
        <f t="shared" ref="V1477:V1540" si="93">IF(AND(ISNUMBER(M1477),ISNUMBER(L1477)),IF(L1477&gt;0,M1477/L1477,"n.d."),"NI")</f>
        <v>0</v>
      </c>
      <c r="W1477" s="14">
        <f t="shared" ref="W1477:W1540" si="94">IF(AND(ISNUMBER(R1477),ISNUMBER(Q1477)),IF(Q1477&gt;0,R1477/Q1477,"n.d."),"NI")</f>
        <v>-0.32107023411371238</v>
      </c>
      <c r="X1477" s="12" t="str">
        <f t="shared" ref="X1477:X1540" si="95">IF(ISNUMBER(L1477),IF(L1477&gt;100000000,"Grande","Média/Pequena"),"Sem dado")</f>
        <v>Média/Pequena</v>
      </c>
      <c r="Y1477" s="122" t="str" cm="1">
        <f t="array" ref="Y1477">_xlfn.IFS(ISNUMBER(W1477)=FALSE,"Sem dado",W1477&gt;0.075,"Excelente",W1477&gt;0.04,"Bom",W1477&gt;0,"Fraco",TRUE,"Prejuízo")</f>
        <v>Prejuízo</v>
      </c>
    </row>
    <row r="1478" spans="1:25" ht="15" customHeight="1" x14ac:dyDescent="0.2">
      <c r="A1478" s="15" t="s">
        <v>3157</v>
      </c>
      <c r="B1478" s="60">
        <v>2869663</v>
      </c>
      <c r="C1478" s="15"/>
      <c r="D1478" s="15"/>
      <c r="E1478" s="15"/>
      <c r="F1478" s="15" t="s">
        <v>265</v>
      </c>
      <c r="G1478" s="34">
        <v>2</v>
      </c>
      <c r="H1478" s="34">
        <v>9</v>
      </c>
      <c r="I1478" s="15" t="s">
        <v>182</v>
      </c>
      <c r="J1478" s="15" t="s">
        <v>183</v>
      </c>
      <c r="K1478" s="74" t="s">
        <v>29</v>
      </c>
      <c r="L1478" s="16">
        <v>3325</v>
      </c>
      <c r="M1478" s="16">
        <v>1415</v>
      </c>
      <c r="N1478" s="16">
        <v>1595</v>
      </c>
      <c r="O1478" s="16">
        <v>602</v>
      </c>
      <c r="P1478" s="16">
        <v>0</v>
      </c>
      <c r="Q1478" s="16">
        <v>2724</v>
      </c>
      <c r="R1478" s="16">
        <v>-3</v>
      </c>
      <c r="S1478" s="16">
        <v>0</v>
      </c>
      <c r="T1478" s="16">
        <v>0</v>
      </c>
      <c r="U1478" s="15" t="str">
        <f t="shared" si="92"/>
        <v>Privado Nacional</v>
      </c>
      <c r="V1478" s="17">
        <f t="shared" si="93"/>
        <v>0.42556390977443609</v>
      </c>
      <c r="W1478" s="17">
        <f t="shared" si="94"/>
        <v>-1.1013215859030838E-3</v>
      </c>
      <c r="X1478" s="15" t="str">
        <f t="shared" si="95"/>
        <v>Média/Pequena</v>
      </c>
      <c r="Y1478" s="121" t="str" cm="1">
        <f t="array" ref="Y1478">_xlfn.IFS(ISNUMBER(W1478)=FALSE,"Sem dado",W1478&gt;0.075,"Excelente",W1478&gt;0.04,"Bom",W1478&gt;0,"Fraco",TRUE,"Prejuízo")</f>
        <v>Prejuízo</v>
      </c>
    </row>
    <row r="1479" spans="1:25" ht="15" customHeight="1" x14ac:dyDescent="0.2">
      <c r="A1479" s="12" t="s">
        <v>3158</v>
      </c>
      <c r="B1479" s="56">
        <v>47438068</v>
      </c>
      <c r="C1479" s="12" t="s">
        <v>3159</v>
      </c>
      <c r="D1479" s="12"/>
      <c r="E1479" s="12" t="s">
        <v>3160</v>
      </c>
      <c r="F1479" s="12" t="s">
        <v>84</v>
      </c>
      <c r="G1479" s="33">
        <v>3</v>
      </c>
      <c r="H1479" s="33">
        <v>41</v>
      </c>
      <c r="I1479" s="12" t="s">
        <v>38</v>
      </c>
      <c r="J1479" s="12" t="s">
        <v>39</v>
      </c>
      <c r="K1479" s="73" t="s">
        <v>29</v>
      </c>
      <c r="L1479" s="13">
        <v>3311</v>
      </c>
      <c r="M1479" s="13">
        <v>0</v>
      </c>
      <c r="N1479" s="13">
        <v>1920</v>
      </c>
      <c r="O1479" s="13">
        <v>1060</v>
      </c>
      <c r="P1479" s="13">
        <v>0</v>
      </c>
      <c r="Q1479" s="13">
        <v>2251</v>
      </c>
      <c r="R1479" s="13">
        <v>-106</v>
      </c>
      <c r="S1479" s="13">
        <v>1</v>
      </c>
      <c r="T1479" s="13">
        <v>0</v>
      </c>
      <c r="U1479" s="12" t="str">
        <f t="shared" si="92"/>
        <v>Privado Estrangeiro</v>
      </c>
      <c r="V1479" s="14">
        <f t="shared" si="93"/>
        <v>0</v>
      </c>
      <c r="W1479" s="14">
        <f t="shared" si="94"/>
        <v>-4.7090182141270545E-2</v>
      </c>
      <c r="X1479" s="12" t="str">
        <f t="shared" si="95"/>
        <v>Média/Pequena</v>
      </c>
      <c r="Y1479" s="122" t="str" cm="1">
        <f t="array" ref="Y1479">_xlfn.IFS(ISNUMBER(W1479)=FALSE,"Sem dado",W1479&gt;0.075,"Excelente",W1479&gt;0.04,"Bom",W1479&gt;0,"Fraco",TRUE,"Prejuízo")</f>
        <v>Prejuízo</v>
      </c>
    </row>
    <row r="1480" spans="1:25" ht="15" customHeight="1" x14ac:dyDescent="0.2">
      <c r="A1480" s="15" t="s">
        <v>3161</v>
      </c>
      <c r="B1480" s="60">
        <v>56047774</v>
      </c>
      <c r="C1480" s="15" t="s">
        <v>3162</v>
      </c>
      <c r="D1480" s="15"/>
      <c r="E1480" s="15" t="s">
        <v>3163</v>
      </c>
      <c r="F1480" s="15" t="s">
        <v>65</v>
      </c>
      <c r="G1480" s="34">
        <v>2</v>
      </c>
      <c r="H1480" s="34">
        <v>43</v>
      </c>
      <c r="I1480" s="15" t="s">
        <v>564</v>
      </c>
      <c r="J1480" s="15" t="s">
        <v>120</v>
      </c>
      <c r="K1480" s="74" t="s">
        <v>29</v>
      </c>
      <c r="L1480" s="16">
        <v>3272</v>
      </c>
      <c r="M1480" s="16">
        <v>0</v>
      </c>
      <c r="N1480" s="16">
        <v>2717</v>
      </c>
      <c r="O1480" s="16">
        <v>392</v>
      </c>
      <c r="P1480" s="16">
        <v>0</v>
      </c>
      <c r="Q1480" s="16">
        <v>2880</v>
      </c>
      <c r="R1480" s="16">
        <v>218</v>
      </c>
      <c r="S1480" s="16">
        <v>2</v>
      </c>
      <c r="T1480" s="16">
        <v>0</v>
      </c>
      <c r="U1480" s="15" t="str">
        <f t="shared" si="92"/>
        <v>Privado Nacional</v>
      </c>
      <c r="V1480" s="17">
        <f t="shared" si="93"/>
        <v>0</v>
      </c>
      <c r="W1480" s="17">
        <f t="shared" si="94"/>
        <v>7.5694444444444439E-2</v>
      </c>
      <c r="X1480" s="15" t="str">
        <f t="shared" si="95"/>
        <v>Média/Pequena</v>
      </c>
      <c r="Y1480" s="121" t="str" cm="1">
        <f t="array" ref="Y1480">_xlfn.IFS(ISNUMBER(W1480)=FALSE,"Sem dado",W1480&gt;0.075,"Excelente",W1480&gt;0.04,"Bom",W1480&gt;0,"Fraco",TRUE,"Prejuízo")</f>
        <v>Excelente</v>
      </c>
    </row>
    <row r="1481" spans="1:25" ht="15" customHeight="1" x14ac:dyDescent="0.2">
      <c r="A1481" s="12" t="s">
        <v>3164</v>
      </c>
      <c r="B1481" s="56">
        <v>4995006</v>
      </c>
      <c r="C1481" s="12"/>
      <c r="D1481" s="12"/>
      <c r="E1481" s="12"/>
      <c r="F1481" s="12" t="s">
        <v>265</v>
      </c>
      <c r="G1481" s="33">
        <v>2</v>
      </c>
      <c r="H1481" s="33">
        <v>9</v>
      </c>
      <c r="I1481" s="12" t="s">
        <v>53</v>
      </c>
      <c r="J1481" s="12" t="s">
        <v>54</v>
      </c>
      <c r="K1481" s="73" t="s">
        <v>29</v>
      </c>
      <c r="L1481" s="13">
        <v>3253</v>
      </c>
      <c r="M1481" s="13">
        <v>1607</v>
      </c>
      <c r="N1481" s="13">
        <v>1401</v>
      </c>
      <c r="O1481" s="13">
        <v>372</v>
      </c>
      <c r="P1481" s="13">
        <v>0</v>
      </c>
      <c r="Q1481" s="13">
        <v>2880</v>
      </c>
      <c r="R1481" s="13">
        <v>-115</v>
      </c>
      <c r="S1481" s="13">
        <v>0</v>
      </c>
      <c r="T1481" s="13">
        <v>0</v>
      </c>
      <c r="U1481" s="12" t="str">
        <f t="shared" si="92"/>
        <v>Privado Nacional</v>
      </c>
      <c r="V1481" s="14">
        <f t="shared" si="93"/>
        <v>0.49400553335382724</v>
      </c>
      <c r="W1481" s="14">
        <f t="shared" si="94"/>
        <v>-3.9930555555555552E-2</v>
      </c>
      <c r="X1481" s="12" t="str">
        <f t="shared" si="95"/>
        <v>Média/Pequena</v>
      </c>
      <c r="Y1481" s="122" t="str" cm="1">
        <f t="array" ref="Y1481">_xlfn.IFS(ISNUMBER(W1481)=FALSE,"Sem dado",W1481&gt;0.075,"Excelente",W1481&gt;0.04,"Bom",W1481&gt;0,"Fraco",TRUE,"Prejuízo")</f>
        <v>Prejuízo</v>
      </c>
    </row>
    <row r="1482" spans="1:25" ht="15" customHeight="1" x14ac:dyDescent="0.2">
      <c r="A1482" s="15" t="s">
        <v>3165</v>
      </c>
      <c r="B1482" s="60">
        <v>97447304</v>
      </c>
      <c r="C1482" s="15" t="s">
        <v>3166</v>
      </c>
      <c r="D1482" s="15"/>
      <c r="E1482" s="15" t="s">
        <v>3167</v>
      </c>
      <c r="F1482" s="15" t="s">
        <v>98</v>
      </c>
      <c r="G1482" s="34">
        <v>2</v>
      </c>
      <c r="H1482" s="34">
        <v>16</v>
      </c>
      <c r="I1482" s="15" t="s">
        <v>53</v>
      </c>
      <c r="J1482" s="15" t="s">
        <v>54</v>
      </c>
      <c r="K1482" s="74" t="s">
        <v>29</v>
      </c>
      <c r="L1482" s="16">
        <v>3179</v>
      </c>
      <c r="M1482" s="16">
        <v>0</v>
      </c>
      <c r="N1482" s="16">
        <v>2485</v>
      </c>
      <c r="O1482" s="16">
        <v>465</v>
      </c>
      <c r="P1482" s="16">
        <v>0</v>
      </c>
      <c r="Q1482" s="16">
        <v>2714</v>
      </c>
      <c r="R1482" s="16">
        <v>-74</v>
      </c>
      <c r="S1482" s="16">
        <v>2</v>
      </c>
      <c r="T1482" s="16">
        <v>0</v>
      </c>
      <c r="U1482" s="15" t="str">
        <f t="shared" si="92"/>
        <v>Privado Nacional</v>
      </c>
      <c r="V1482" s="17">
        <f t="shared" si="93"/>
        <v>0</v>
      </c>
      <c r="W1482" s="17">
        <f t="shared" si="94"/>
        <v>-2.7266028002947678E-2</v>
      </c>
      <c r="X1482" s="15" t="str">
        <f t="shared" si="95"/>
        <v>Média/Pequena</v>
      </c>
      <c r="Y1482" s="121" t="str" cm="1">
        <f t="array" ref="Y1482">_xlfn.IFS(ISNUMBER(W1482)=FALSE,"Sem dado",W1482&gt;0.075,"Excelente",W1482&gt;0.04,"Bom",W1482&gt;0,"Fraco",TRUE,"Prejuízo")</f>
        <v>Prejuízo</v>
      </c>
    </row>
    <row r="1483" spans="1:25" ht="15" customHeight="1" x14ac:dyDescent="0.2">
      <c r="A1483" s="12" t="s">
        <v>3168</v>
      </c>
      <c r="B1483" s="56">
        <v>5658367</v>
      </c>
      <c r="C1483" s="12"/>
      <c r="D1483" s="12"/>
      <c r="E1483" s="12"/>
      <c r="F1483" s="12" t="s">
        <v>265</v>
      </c>
      <c r="G1483" s="33">
        <v>2</v>
      </c>
      <c r="H1483" s="33">
        <v>9</v>
      </c>
      <c r="I1483" s="12" t="s">
        <v>210</v>
      </c>
      <c r="J1483" s="12" t="s">
        <v>211</v>
      </c>
      <c r="K1483" s="73" t="s">
        <v>29</v>
      </c>
      <c r="L1483" s="13">
        <v>3147</v>
      </c>
      <c r="M1483" s="13">
        <v>884</v>
      </c>
      <c r="N1483" s="13">
        <v>2257</v>
      </c>
      <c r="O1483" s="13">
        <v>64</v>
      </c>
      <c r="P1483" s="13">
        <v>0</v>
      </c>
      <c r="Q1483" s="13">
        <v>3083</v>
      </c>
      <c r="R1483" s="13">
        <v>111</v>
      </c>
      <c r="S1483" s="13">
        <v>0</v>
      </c>
      <c r="T1483" s="13">
        <v>0</v>
      </c>
      <c r="U1483" s="12" t="str">
        <f t="shared" si="92"/>
        <v>Privado Nacional</v>
      </c>
      <c r="V1483" s="14">
        <f t="shared" si="93"/>
        <v>0.28090244677470605</v>
      </c>
      <c r="W1483" s="14">
        <f t="shared" si="94"/>
        <v>3.6003892312682452E-2</v>
      </c>
      <c r="X1483" s="12" t="str">
        <f t="shared" si="95"/>
        <v>Média/Pequena</v>
      </c>
      <c r="Y1483" s="122" t="str" cm="1">
        <f t="array" ref="Y1483">_xlfn.IFS(ISNUMBER(W1483)=FALSE,"Sem dado",W1483&gt;0.075,"Excelente",W1483&gt;0.04,"Bom",W1483&gt;0,"Fraco",TRUE,"Prejuízo")</f>
        <v>Fraco</v>
      </c>
    </row>
    <row r="1484" spans="1:25" ht="15" customHeight="1" x14ac:dyDescent="0.2">
      <c r="A1484" s="15" t="s">
        <v>3169</v>
      </c>
      <c r="B1484" s="60">
        <v>24235459</v>
      </c>
      <c r="C1484" s="15"/>
      <c r="D1484" s="15"/>
      <c r="E1484" s="15"/>
      <c r="F1484" s="15" t="s">
        <v>265</v>
      </c>
      <c r="G1484" s="34">
        <v>2</v>
      </c>
      <c r="H1484" s="34">
        <v>9</v>
      </c>
      <c r="I1484" s="15" t="s">
        <v>615</v>
      </c>
      <c r="J1484" s="15" t="s">
        <v>120</v>
      </c>
      <c r="K1484" s="74" t="s">
        <v>29</v>
      </c>
      <c r="L1484" s="16">
        <v>3128</v>
      </c>
      <c r="M1484" s="16">
        <v>1516</v>
      </c>
      <c r="N1484" s="16">
        <v>86</v>
      </c>
      <c r="O1484" s="16">
        <v>416</v>
      </c>
      <c r="P1484" s="16">
        <v>285</v>
      </c>
      <c r="Q1484" s="16">
        <v>2712</v>
      </c>
      <c r="R1484" s="16">
        <v>-133</v>
      </c>
      <c r="S1484" s="16">
        <v>0</v>
      </c>
      <c r="T1484" s="16">
        <v>0</v>
      </c>
      <c r="U1484" s="15" t="str">
        <f t="shared" si="92"/>
        <v>Privado Nacional</v>
      </c>
      <c r="V1484" s="17">
        <f t="shared" si="93"/>
        <v>0.48465473145780052</v>
      </c>
      <c r="W1484" s="17">
        <f t="shared" si="94"/>
        <v>-4.9041297935103242E-2</v>
      </c>
      <c r="X1484" s="15" t="str">
        <f t="shared" si="95"/>
        <v>Média/Pequena</v>
      </c>
      <c r="Y1484" s="121" t="str" cm="1">
        <f t="array" ref="Y1484">_xlfn.IFS(ISNUMBER(W1484)=FALSE,"Sem dado",W1484&gt;0.075,"Excelente",W1484&gt;0.04,"Bom",W1484&gt;0,"Fraco",TRUE,"Prejuízo")</f>
        <v>Prejuízo</v>
      </c>
    </row>
    <row r="1485" spans="1:25" ht="15" customHeight="1" x14ac:dyDescent="0.2">
      <c r="A1485" s="12" t="s">
        <v>3170</v>
      </c>
      <c r="B1485" s="56">
        <v>25280945</v>
      </c>
      <c r="C1485" s="12" t="s">
        <v>3171</v>
      </c>
      <c r="D1485" s="12"/>
      <c r="E1485" s="12" t="s">
        <v>3172</v>
      </c>
      <c r="F1485" s="12" t="s">
        <v>98</v>
      </c>
      <c r="G1485" s="33">
        <v>2</v>
      </c>
      <c r="H1485" s="33">
        <v>21</v>
      </c>
      <c r="I1485" s="12" t="s">
        <v>228</v>
      </c>
      <c r="J1485" s="12" t="s">
        <v>229</v>
      </c>
      <c r="K1485" s="73" t="s">
        <v>29</v>
      </c>
      <c r="L1485" s="13">
        <v>3122</v>
      </c>
      <c r="M1485" s="13">
        <v>0</v>
      </c>
      <c r="N1485" s="13">
        <v>1247</v>
      </c>
      <c r="O1485" s="13">
        <v>668</v>
      </c>
      <c r="P1485" s="13">
        <v>0</v>
      </c>
      <c r="Q1485" s="13">
        <v>2454</v>
      </c>
      <c r="R1485" s="13">
        <v>164</v>
      </c>
      <c r="S1485" s="13">
        <v>3</v>
      </c>
      <c r="T1485" s="13">
        <v>0</v>
      </c>
      <c r="U1485" s="12" t="str">
        <f t="shared" si="92"/>
        <v>Privado Nacional</v>
      </c>
      <c r="V1485" s="14">
        <f t="shared" si="93"/>
        <v>0</v>
      </c>
      <c r="W1485" s="14">
        <f t="shared" si="94"/>
        <v>6.6829665851670744E-2</v>
      </c>
      <c r="X1485" s="12" t="str">
        <f t="shared" si="95"/>
        <v>Média/Pequena</v>
      </c>
      <c r="Y1485" s="122" t="str" cm="1">
        <f t="array" ref="Y1485">_xlfn.IFS(ISNUMBER(W1485)=FALSE,"Sem dado",W1485&gt;0.075,"Excelente",W1485&gt;0.04,"Bom",W1485&gt;0,"Fraco",TRUE,"Prejuízo")</f>
        <v>Bom</v>
      </c>
    </row>
    <row r="1486" spans="1:25" ht="15" customHeight="1" x14ac:dyDescent="0.2">
      <c r="A1486" s="15" t="s">
        <v>3173</v>
      </c>
      <c r="B1486" s="60">
        <v>28244622</v>
      </c>
      <c r="C1486" s="15"/>
      <c r="D1486" s="15"/>
      <c r="E1486" s="15"/>
      <c r="F1486" s="15" t="s">
        <v>265</v>
      </c>
      <c r="G1486" s="34">
        <v>2</v>
      </c>
      <c r="H1486" s="34">
        <v>9</v>
      </c>
      <c r="I1486" s="15" t="s">
        <v>53</v>
      </c>
      <c r="J1486" s="15" t="s">
        <v>54</v>
      </c>
      <c r="K1486" s="74" t="s">
        <v>29</v>
      </c>
      <c r="L1486" s="16">
        <v>3104</v>
      </c>
      <c r="M1486" s="16">
        <v>952</v>
      </c>
      <c r="N1486" s="16">
        <v>1692</v>
      </c>
      <c r="O1486" s="16">
        <v>154</v>
      </c>
      <c r="P1486" s="16">
        <v>0</v>
      </c>
      <c r="Q1486" s="16">
        <v>2950</v>
      </c>
      <c r="R1486" s="16">
        <v>74</v>
      </c>
      <c r="S1486" s="16">
        <v>0</v>
      </c>
      <c r="T1486" s="16">
        <v>0</v>
      </c>
      <c r="U1486" s="15" t="str">
        <f t="shared" si="92"/>
        <v>Privado Nacional</v>
      </c>
      <c r="V1486" s="17">
        <f t="shared" si="93"/>
        <v>0.30670103092783507</v>
      </c>
      <c r="W1486" s="17">
        <f t="shared" si="94"/>
        <v>2.5084745762711864E-2</v>
      </c>
      <c r="X1486" s="15" t="str">
        <f t="shared" si="95"/>
        <v>Média/Pequena</v>
      </c>
      <c r="Y1486" s="121" t="str" cm="1">
        <f t="array" ref="Y1486">_xlfn.IFS(ISNUMBER(W1486)=FALSE,"Sem dado",W1486&gt;0.075,"Excelente",W1486&gt;0.04,"Bom",W1486&gt;0,"Fraco",TRUE,"Prejuízo")</f>
        <v>Fraco</v>
      </c>
    </row>
    <row r="1487" spans="1:25" ht="15" customHeight="1" x14ac:dyDescent="0.2">
      <c r="A1487" s="12" t="s">
        <v>3174</v>
      </c>
      <c r="B1487" s="56">
        <v>51982465</v>
      </c>
      <c r="C1487" s="12" t="s">
        <v>3175</v>
      </c>
      <c r="D1487" s="12"/>
      <c r="E1487" s="12" t="s">
        <v>3176</v>
      </c>
      <c r="F1487" s="12" t="s">
        <v>84</v>
      </c>
      <c r="G1487" s="33">
        <v>2</v>
      </c>
      <c r="H1487" s="33">
        <v>41</v>
      </c>
      <c r="I1487" s="12" t="s">
        <v>38</v>
      </c>
      <c r="J1487" s="12" t="s">
        <v>39</v>
      </c>
      <c r="K1487" s="73" t="s">
        <v>29</v>
      </c>
      <c r="L1487" s="13">
        <v>3098</v>
      </c>
      <c r="M1487" s="13">
        <v>0</v>
      </c>
      <c r="N1487" s="13">
        <v>2934</v>
      </c>
      <c r="O1487" s="13">
        <v>32</v>
      </c>
      <c r="P1487" s="13">
        <v>0</v>
      </c>
      <c r="Q1487" s="13">
        <v>3066</v>
      </c>
      <c r="R1487" s="13">
        <v>-28</v>
      </c>
      <c r="S1487" s="13">
        <v>1</v>
      </c>
      <c r="T1487" s="13">
        <v>0</v>
      </c>
      <c r="U1487" s="12" t="str">
        <f t="shared" si="92"/>
        <v>Privado Nacional</v>
      </c>
      <c r="V1487" s="14">
        <f t="shared" si="93"/>
        <v>0</v>
      </c>
      <c r="W1487" s="14">
        <f t="shared" si="94"/>
        <v>-9.1324200913242004E-3</v>
      </c>
      <c r="X1487" s="12" t="str">
        <f t="shared" si="95"/>
        <v>Média/Pequena</v>
      </c>
      <c r="Y1487" s="122" t="str" cm="1">
        <f t="array" ref="Y1487">_xlfn.IFS(ISNUMBER(W1487)=FALSE,"Sem dado",W1487&gt;0.075,"Excelente",W1487&gt;0.04,"Bom",W1487&gt;0,"Fraco",TRUE,"Prejuízo")</f>
        <v>Prejuízo</v>
      </c>
    </row>
    <row r="1488" spans="1:25" ht="15" customHeight="1" x14ac:dyDescent="0.2">
      <c r="A1488" s="15" t="s">
        <v>3177</v>
      </c>
      <c r="B1488" s="60">
        <v>19324634</v>
      </c>
      <c r="C1488" s="15" t="s">
        <v>3178</v>
      </c>
      <c r="D1488" s="15"/>
      <c r="E1488" s="15" t="s">
        <v>3179</v>
      </c>
      <c r="F1488" s="15" t="s">
        <v>65</v>
      </c>
      <c r="G1488" s="34">
        <v>2</v>
      </c>
      <c r="H1488" s="34">
        <v>43</v>
      </c>
      <c r="I1488" s="15" t="s">
        <v>132</v>
      </c>
      <c r="J1488" s="15" t="s">
        <v>133</v>
      </c>
      <c r="K1488" s="74" t="s">
        <v>29</v>
      </c>
      <c r="L1488" s="16">
        <v>3054</v>
      </c>
      <c r="M1488" s="16">
        <v>576</v>
      </c>
      <c r="N1488" s="16">
        <v>34</v>
      </c>
      <c r="O1488" s="16">
        <v>40</v>
      </c>
      <c r="P1488" s="16">
        <v>0</v>
      </c>
      <c r="Q1488" s="16">
        <v>3013</v>
      </c>
      <c r="R1488" s="16">
        <v>98</v>
      </c>
      <c r="S1488" s="16">
        <v>2</v>
      </c>
      <c r="T1488" s="16">
        <v>0</v>
      </c>
      <c r="U1488" s="15" t="str">
        <f t="shared" si="92"/>
        <v>Privado Nacional</v>
      </c>
      <c r="V1488" s="17">
        <f t="shared" si="93"/>
        <v>0.18860510805500982</v>
      </c>
      <c r="W1488" s="17">
        <f t="shared" si="94"/>
        <v>3.2525721871888486E-2</v>
      </c>
      <c r="X1488" s="15" t="str">
        <f t="shared" si="95"/>
        <v>Média/Pequena</v>
      </c>
      <c r="Y1488" s="121" t="str" cm="1">
        <f t="array" ref="Y1488">_xlfn.IFS(ISNUMBER(W1488)=FALSE,"Sem dado",W1488&gt;0.075,"Excelente",W1488&gt;0.04,"Bom",W1488&gt;0,"Fraco",TRUE,"Prejuízo")</f>
        <v>Fraco</v>
      </c>
    </row>
    <row r="1489" spans="1:25" ht="15" customHeight="1" x14ac:dyDescent="0.2">
      <c r="A1489" s="12" t="s">
        <v>3180</v>
      </c>
      <c r="B1489" s="56">
        <v>56030613</v>
      </c>
      <c r="C1489" s="12" t="s">
        <v>3181</v>
      </c>
      <c r="D1489" s="12"/>
      <c r="E1489" s="12" t="s">
        <v>3182</v>
      </c>
      <c r="F1489" s="12" t="s">
        <v>65</v>
      </c>
      <c r="G1489" s="33">
        <v>2</v>
      </c>
      <c r="H1489" s="33">
        <v>43</v>
      </c>
      <c r="I1489" s="12" t="s">
        <v>3183</v>
      </c>
      <c r="J1489" s="12" t="s">
        <v>229</v>
      </c>
      <c r="K1489" s="73" t="s">
        <v>29</v>
      </c>
      <c r="L1489" s="13">
        <v>3038</v>
      </c>
      <c r="M1489" s="13">
        <v>2901</v>
      </c>
      <c r="N1489" s="13">
        <v>0</v>
      </c>
      <c r="O1489" s="13">
        <v>37</v>
      </c>
      <c r="P1489" s="13">
        <v>0</v>
      </c>
      <c r="Q1489" s="13">
        <v>3001</v>
      </c>
      <c r="R1489" s="13">
        <v>-33</v>
      </c>
      <c r="S1489" s="13">
        <v>2</v>
      </c>
      <c r="T1489" s="13">
        <v>0</v>
      </c>
      <c r="U1489" s="12" t="str">
        <f t="shared" si="92"/>
        <v>Privado Nacional</v>
      </c>
      <c r="V1489" s="14">
        <f t="shared" si="93"/>
        <v>0.95490454246214618</v>
      </c>
      <c r="W1489" s="14">
        <f t="shared" si="94"/>
        <v>-1.0996334555148283E-2</v>
      </c>
      <c r="X1489" s="12" t="str">
        <f t="shared" si="95"/>
        <v>Média/Pequena</v>
      </c>
      <c r="Y1489" s="122" t="str" cm="1">
        <f t="array" ref="Y1489">_xlfn.IFS(ISNUMBER(W1489)=FALSE,"Sem dado",W1489&gt;0.075,"Excelente",W1489&gt;0.04,"Bom",W1489&gt;0,"Fraco",TRUE,"Prejuízo")</f>
        <v>Prejuízo</v>
      </c>
    </row>
    <row r="1490" spans="1:25" ht="15" customHeight="1" x14ac:dyDescent="0.2">
      <c r="A1490" s="15" t="s">
        <v>3184</v>
      </c>
      <c r="B1490" s="60">
        <v>2192115</v>
      </c>
      <c r="C1490" s="15"/>
      <c r="D1490" s="15"/>
      <c r="E1490" s="15"/>
      <c r="F1490" s="15" t="s">
        <v>265</v>
      </c>
      <c r="G1490" s="34">
        <v>2</v>
      </c>
      <c r="H1490" s="34">
        <v>9</v>
      </c>
      <c r="I1490" s="15" t="s">
        <v>3185</v>
      </c>
      <c r="J1490" s="15" t="s">
        <v>54</v>
      </c>
      <c r="K1490" s="74" t="s">
        <v>29</v>
      </c>
      <c r="L1490" s="16">
        <v>3028</v>
      </c>
      <c r="M1490" s="16">
        <v>1215</v>
      </c>
      <c r="N1490" s="16">
        <v>1476</v>
      </c>
      <c r="O1490" s="16">
        <v>268</v>
      </c>
      <c r="P1490" s="16">
        <v>0</v>
      </c>
      <c r="Q1490" s="16">
        <v>2760</v>
      </c>
      <c r="R1490" s="16">
        <v>109</v>
      </c>
      <c r="S1490" s="16">
        <v>0</v>
      </c>
      <c r="T1490" s="16">
        <v>0</v>
      </c>
      <c r="U1490" s="15" t="str">
        <f t="shared" si="92"/>
        <v>Privado Nacional</v>
      </c>
      <c r="V1490" s="17">
        <f t="shared" si="93"/>
        <v>0.40125495376486131</v>
      </c>
      <c r="W1490" s="17">
        <f t="shared" si="94"/>
        <v>3.9492753623188409E-2</v>
      </c>
      <c r="X1490" s="15" t="str">
        <f t="shared" si="95"/>
        <v>Média/Pequena</v>
      </c>
      <c r="Y1490" s="121" t="str" cm="1">
        <f t="array" ref="Y1490">_xlfn.IFS(ISNUMBER(W1490)=FALSE,"Sem dado",W1490&gt;0.075,"Excelente",W1490&gt;0.04,"Bom",W1490&gt;0,"Fraco",TRUE,"Prejuízo")</f>
        <v>Fraco</v>
      </c>
    </row>
    <row r="1491" spans="1:25" ht="15" customHeight="1" x14ac:dyDescent="0.2">
      <c r="A1491" s="12" t="s">
        <v>3186</v>
      </c>
      <c r="B1491" s="56">
        <v>4223451</v>
      </c>
      <c r="C1491" s="12" t="s">
        <v>3187</v>
      </c>
      <c r="D1491" s="12"/>
      <c r="E1491" s="12" t="s">
        <v>3188</v>
      </c>
      <c r="F1491" s="12" t="s">
        <v>65</v>
      </c>
      <c r="G1491" s="33">
        <v>2</v>
      </c>
      <c r="H1491" s="33">
        <v>10</v>
      </c>
      <c r="I1491" s="12" t="s">
        <v>372</v>
      </c>
      <c r="J1491" s="12" t="s">
        <v>229</v>
      </c>
      <c r="K1491" s="73" t="s">
        <v>29</v>
      </c>
      <c r="L1491" s="13">
        <v>2985</v>
      </c>
      <c r="M1491" s="13">
        <v>1058</v>
      </c>
      <c r="N1491" s="13">
        <v>0</v>
      </c>
      <c r="O1491" s="13">
        <v>276</v>
      </c>
      <c r="P1491" s="13">
        <v>0</v>
      </c>
      <c r="Q1491" s="13">
        <v>2708</v>
      </c>
      <c r="R1491" s="13">
        <v>7</v>
      </c>
      <c r="S1491" s="13">
        <v>2</v>
      </c>
      <c r="T1491" s="13">
        <v>0</v>
      </c>
      <c r="U1491" s="12" t="str">
        <f t="shared" si="92"/>
        <v>Privado Nacional</v>
      </c>
      <c r="V1491" s="14">
        <f t="shared" si="93"/>
        <v>0.35443886097152427</v>
      </c>
      <c r="W1491" s="14">
        <f t="shared" si="94"/>
        <v>2.5849335302806499E-3</v>
      </c>
      <c r="X1491" s="12" t="str">
        <f t="shared" si="95"/>
        <v>Média/Pequena</v>
      </c>
      <c r="Y1491" s="122" t="str" cm="1">
        <f t="array" ref="Y1491">_xlfn.IFS(ISNUMBER(W1491)=FALSE,"Sem dado",W1491&gt;0.075,"Excelente",W1491&gt;0.04,"Bom",W1491&gt;0,"Fraco",TRUE,"Prejuízo")</f>
        <v>Fraco</v>
      </c>
    </row>
    <row r="1492" spans="1:25" ht="15" customHeight="1" x14ac:dyDescent="0.2">
      <c r="A1492" s="15" t="s">
        <v>3189</v>
      </c>
      <c r="B1492" s="60">
        <v>55428859</v>
      </c>
      <c r="C1492" s="15" t="s">
        <v>3190</v>
      </c>
      <c r="D1492" s="15"/>
      <c r="E1492" s="15" t="s">
        <v>3191</v>
      </c>
      <c r="F1492" s="15" t="s">
        <v>98</v>
      </c>
      <c r="G1492" s="34">
        <v>3</v>
      </c>
      <c r="H1492" s="34">
        <v>21</v>
      </c>
      <c r="I1492" s="15" t="s">
        <v>38</v>
      </c>
      <c r="J1492" s="15" t="s">
        <v>39</v>
      </c>
      <c r="K1492" s="74" t="s">
        <v>29</v>
      </c>
      <c r="L1492" s="16">
        <v>2934</v>
      </c>
      <c r="M1492" s="16">
        <v>0</v>
      </c>
      <c r="N1492" s="16">
        <v>2557</v>
      </c>
      <c r="O1492" s="16">
        <v>131</v>
      </c>
      <c r="P1492" s="16">
        <v>0</v>
      </c>
      <c r="Q1492" s="16">
        <v>2804</v>
      </c>
      <c r="R1492" s="16">
        <v>-543</v>
      </c>
      <c r="S1492" s="16">
        <v>2</v>
      </c>
      <c r="T1492" s="16">
        <v>0</v>
      </c>
      <c r="U1492" s="15" t="str">
        <f t="shared" si="92"/>
        <v>Privado Estrangeiro</v>
      </c>
      <c r="V1492" s="17">
        <f t="shared" si="93"/>
        <v>0</v>
      </c>
      <c r="W1492" s="17">
        <f t="shared" si="94"/>
        <v>-0.19365192582025678</v>
      </c>
      <c r="X1492" s="15" t="str">
        <f t="shared" si="95"/>
        <v>Média/Pequena</v>
      </c>
      <c r="Y1492" s="121" t="str" cm="1">
        <f t="array" ref="Y1492">_xlfn.IFS(ISNUMBER(W1492)=FALSE,"Sem dado",W1492&gt;0.075,"Excelente",W1492&gt;0.04,"Bom",W1492&gt;0,"Fraco",TRUE,"Prejuízo")</f>
        <v>Prejuízo</v>
      </c>
    </row>
    <row r="1493" spans="1:25" ht="15" customHeight="1" x14ac:dyDescent="0.2">
      <c r="A1493" s="12" t="s">
        <v>3192</v>
      </c>
      <c r="B1493" s="56">
        <v>68742204</v>
      </c>
      <c r="C1493" s="12" t="s">
        <v>1329</v>
      </c>
      <c r="D1493" s="12" t="s">
        <v>1330</v>
      </c>
      <c r="E1493" s="12" t="s">
        <v>1331</v>
      </c>
      <c r="F1493" s="12" t="s">
        <v>98</v>
      </c>
      <c r="G1493" s="33">
        <v>3</v>
      </c>
      <c r="H1493" s="33">
        <v>21</v>
      </c>
      <c r="I1493" s="12" t="s">
        <v>38</v>
      </c>
      <c r="J1493" s="12" t="s">
        <v>39</v>
      </c>
      <c r="K1493" s="73" t="s">
        <v>29</v>
      </c>
      <c r="L1493" s="13">
        <v>2899</v>
      </c>
      <c r="M1493" s="13">
        <v>0</v>
      </c>
      <c r="N1493" s="13">
        <v>0</v>
      </c>
      <c r="O1493" s="13">
        <v>778</v>
      </c>
      <c r="P1493" s="13">
        <v>0</v>
      </c>
      <c r="Q1493" s="13">
        <v>2121</v>
      </c>
      <c r="R1493" s="13">
        <v>432</v>
      </c>
      <c r="S1493" s="13">
        <v>3</v>
      </c>
      <c r="T1493" s="13">
        <v>0</v>
      </c>
      <c r="U1493" s="12" t="str">
        <f t="shared" si="92"/>
        <v>Privado Estrangeiro</v>
      </c>
      <c r="V1493" s="14">
        <f t="shared" si="93"/>
        <v>0</v>
      </c>
      <c r="W1493" s="14">
        <f t="shared" si="94"/>
        <v>0.20367751060820369</v>
      </c>
      <c r="X1493" s="12" t="str">
        <f t="shared" si="95"/>
        <v>Média/Pequena</v>
      </c>
      <c r="Y1493" s="122" t="str" cm="1">
        <f t="array" ref="Y1493">_xlfn.IFS(ISNUMBER(W1493)=FALSE,"Sem dado",W1493&gt;0.075,"Excelente",W1493&gt;0.04,"Bom",W1493&gt;0,"Fraco",TRUE,"Prejuízo")</f>
        <v>Excelente</v>
      </c>
    </row>
    <row r="1494" spans="1:25" ht="15" customHeight="1" x14ac:dyDescent="0.2">
      <c r="A1494" s="15" t="s">
        <v>3193</v>
      </c>
      <c r="B1494" s="60">
        <v>62451088</v>
      </c>
      <c r="C1494" s="15" t="s">
        <v>3194</v>
      </c>
      <c r="D1494" s="15"/>
      <c r="E1494" s="15" t="s">
        <v>3195</v>
      </c>
      <c r="F1494" s="15" t="s">
        <v>65</v>
      </c>
      <c r="G1494" s="34">
        <v>2</v>
      </c>
      <c r="H1494" s="34">
        <v>43</v>
      </c>
      <c r="I1494" s="15" t="s">
        <v>587</v>
      </c>
      <c r="J1494" s="15" t="s">
        <v>39</v>
      </c>
      <c r="K1494" s="74" t="s">
        <v>29</v>
      </c>
      <c r="L1494" s="16">
        <v>2877</v>
      </c>
      <c r="M1494" s="16">
        <v>60</v>
      </c>
      <c r="N1494" s="16">
        <v>0</v>
      </c>
      <c r="O1494" s="16">
        <v>1840</v>
      </c>
      <c r="P1494" s="16">
        <v>0</v>
      </c>
      <c r="Q1494" s="16">
        <v>1036</v>
      </c>
      <c r="R1494" s="16">
        <v>31</v>
      </c>
      <c r="S1494" s="16">
        <v>2</v>
      </c>
      <c r="T1494" s="16">
        <v>0</v>
      </c>
      <c r="U1494" s="15" t="str">
        <f t="shared" si="92"/>
        <v>Privado Nacional</v>
      </c>
      <c r="V1494" s="17">
        <f t="shared" si="93"/>
        <v>2.0855057351407715E-2</v>
      </c>
      <c r="W1494" s="17">
        <f t="shared" si="94"/>
        <v>2.9922779922779922E-2</v>
      </c>
      <c r="X1494" s="15" t="str">
        <f t="shared" si="95"/>
        <v>Média/Pequena</v>
      </c>
      <c r="Y1494" s="121" t="str" cm="1">
        <f t="array" ref="Y1494">_xlfn.IFS(ISNUMBER(W1494)=FALSE,"Sem dado",W1494&gt;0.075,"Excelente",W1494&gt;0.04,"Bom",W1494&gt;0,"Fraco",TRUE,"Prejuízo")</f>
        <v>Fraco</v>
      </c>
    </row>
    <row r="1495" spans="1:25" ht="15" customHeight="1" x14ac:dyDescent="0.2">
      <c r="A1495" s="12" t="s">
        <v>3196</v>
      </c>
      <c r="B1495" s="56">
        <v>5331882</v>
      </c>
      <c r="C1495" s="12"/>
      <c r="D1495" s="12"/>
      <c r="E1495" s="12"/>
      <c r="F1495" s="12" t="s">
        <v>265</v>
      </c>
      <c r="G1495" s="33">
        <v>2</v>
      </c>
      <c r="H1495" s="33">
        <v>9</v>
      </c>
      <c r="I1495" s="12" t="s">
        <v>73</v>
      </c>
      <c r="J1495" s="12" t="s">
        <v>74</v>
      </c>
      <c r="K1495" s="73" t="s">
        <v>29</v>
      </c>
      <c r="L1495" s="13">
        <v>2796</v>
      </c>
      <c r="M1495" s="13">
        <v>68</v>
      </c>
      <c r="N1495" s="13">
        <v>0</v>
      </c>
      <c r="O1495" s="13">
        <v>279</v>
      </c>
      <c r="P1495" s="13">
        <v>0</v>
      </c>
      <c r="Q1495" s="13">
        <v>2517</v>
      </c>
      <c r="R1495" s="13">
        <v>-15</v>
      </c>
      <c r="S1495" s="13">
        <v>0</v>
      </c>
      <c r="T1495" s="13">
        <v>0</v>
      </c>
      <c r="U1495" s="12" t="str">
        <f t="shared" si="92"/>
        <v>Privado Nacional</v>
      </c>
      <c r="V1495" s="14">
        <f t="shared" si="93"/>
        <v>2.4320457796852647E-2</v>
      </c>
      <c r="W1495" s="14">
        <f t="shared" si="94"/>
        <v>-5.9594755661501785E-3</v>
      </c>
      <c r="X1495" s="12" t="str">
        <f t="shared" si="95"/>
        <v>Média/Pequena</v>
      </c>
      <c r="Y1495" s="122" t="str" cm="1">
        <f t="array" ref="Y1495">_xlfn.IFS(ISNUMBER(W1495)=FALSE,"Sem dado",W1495&gt;0.075,"Excelente",W1495&gt;0.04,"Bom",W1495&gt;0,"Fraco",TRUE,"Prejuízo")</f>
        <v>Prejuízo</v>
      </c>
    </row>
    <row r="1496" spans="1:25" ht="15" customHeight="1" x14ac:dyDescent="0.2">
      <c r="A1496" s="15" t="s">
        <v>3197</v>
      </c>
      <c r="B1496" s="60">
        <v>2910387</v>
      </c>
      <c r="C1496" s="15"/>
      <c r="D1496" s="15"/>
      <c r="E1496" s="15"/>
      <c r="F1496" s="15" t="s">
        <v>265</v>
      </c>
      <c r="G1496" s="34">
        <v>2</v>
      </c>
      <c r="H1496" s="34">
        <v>9</v>
      </c>
      <c r="I1496" s="15" t="s">
        <v>53</v>
      </c>
      <c r="J1496" s="15" t="s">
        <v>54</v>
      </c>
      <c r="K1496" s="74" t="s">
        <v>29</v>
      </c>
      <c r="L1496" s="16">
        <v>2734</v>
      </c>
      <c r="M1496" s="16">
        <v>1248</v>
      </c>
      <c r="N1496" s="16">
        <v>776</v>
      </c>
      <c r="O1496" s="16">
        <v>65</v>
      </c>
      <c r="P1496" s="16">
        <v>0</v>
      </c>
      <c r="Q1496" s="16">
        <v>2669</v>
      </c>
      <c r="R1496" s="16">
        <v>54</v>
      </c>
      <c r="S1496" s="16">
        <v>0</v>
      </c>
      <c r="T1496" s="16">
        <v>0</v>
      </c>
      <c r="U1496" s="15" t="str">
        <f t="shared" si="92"/>
        <v>Privado Nacional</v>
      </c>
      <c r="V1496" s="17">
        <f t="shared" si="93"/>
        <v>0.45647403072421361</v>
      </c>
      <c r="W1496" s="17">
        <f t="shared" si="94"/>
        <v>2.0232296740352193E-2</v>
      </c>
      <c r="X1496" s="15" t="str">
        <f t="shared" si="95"/>
        <v>Média/Pequena</v>
      </c>
      <c r="Y1496" s="121" t="str" cm="1">
        <f t="array" ref="Y1496">_xlfn.IFS(ISNUMBER(W1496)=FALSE,"Sem dado",W1496&gt;0.075,"Excelente",W1496&gt;0.04,"Bom",W1496&gt;0,"Fraco",TRUE,"Prejuízo")</f>
        <v>Fraco</v>
      </c>
    </row>
    <row r="1497" spans="1:25" ht="15" customHeight="1" x14ac:dyDescent="0.2">
      <c r="A1497" s="12" t="s">
        <v>3198</v>
      </c>
      <c r="B1497" s="56">
        <v>18145784</v>
      </c>
      <c r="C1497" s="12" t="s">
        <v>3199</v>
      </c>
      <c r="D1497" s="12"/>
      <c r="E1497" s="12" t="s">
        <v>3200</v>
      </c>
      <c r="F1497" s="12" t="s">
        <v>98</v>
      </c>
      <c r="G1497" s="33">
        <v>2</v>
      </c>
      <c r="H1497" s="33">
        <v>21</v>
      </c>
      <c r="I1497" s="12" t="s">
        <v>38</v>
      </c>
      <c r="J1497" s="12" t="s">
        <v>39</v>
      </c>
      <c r="K1497" s="73" t="s">
        <v>29</v>
      </c>
      <c r="L1497" s="13">
        <v>2709</v>
      </c>
      <c r="M1497" s="13">
        <v>0</v>
      </c>
      <c r="N1497" s="13">
        <v>1775</v>
      </c>
      <c r="O1497" s="13">
        <v>56</v>
      </c>
      <c r="P1497" s="13">
        <v>0</v>
      </c>
      <c r="Q1497" s="13">
        <v>2653</v>
      </c>
      <c r="R1497" s="13">
        <v>-97</v>
      </c>
      <c r="S1497" s="13">
        <v>3</v>
      </c>
      <c r="T1497" s="13">
        <v>0</v>
      </c>
      <c r="U1497" s="12" t="str">
        <f t="shared" si="92"/>
        <v>Privado Nacional</v>
      </c>
      <c r="V1497" s="14">
        <f t="shared" si="93"/>
        <v>0</v>
      </c>
      <c r="W1497" s="14">
        <f t="shared" si="94"/>
        <v>-3.6562382208820202E-2</v>
      </c>
      <c r="X1497" s="12" t="str">
        <f t="shared" si="95"/>
        <v>Média/Pequena</v>
      </c>
      <c r="Y1497" s="122" t="str" cm="1">
        <f t="array" ref="Y1497">_xlfn.IFS(ISNUMBER(W1497)=FALSE,"Sem dado",W1497&gt;0.075,"Excelente",W1497&gt;0.04,"Bom",W1497&gt;0,"Fraco",TRUE,"Prejuízo")</f>
        <v>Prejuízo</v>
      </c>
    </row>
    <row r="1498" spans="1:25" ht="15" customHeight="1" x14ac:dyDescent="0.2">
      <c r="A1498" s="15" t="s">
        <v>3201</v>
      </c>
      <c r="B1498" s="60">
        <v>23010182</v>
      </c>
      <c r="C1498" s="15" t="s">
        <v>3202</v>
      </c>
      <c r="D1498" s="15"/>
      <c r="E1498" s="15" t="s">
        <v>3203</v>
      </c>
      <c r="F1498" s="15" t="s">
        <v>98</v>
      </c>
      <c r="G1498" s="34">
        <v>2</v>
      </c>
      <c r="H1498" s="34">
        <v>21</v>
      </c>
      <c r="I1498" s="15" t="s">
        <v>73</v>
      </c>
      <c r="J1498" s="15" t="s">
        <v>74</v>
      </c>
      <c r="K1498" s="74" t="s">
        <v>29</v>
      </c>
      <c r="L1498" s="16">
        <v>2665</v>
      </c>
      <c r="M1498" s="16">
        <v>0</v>
      </c>
      <c r="N1498" s="16">
        <v>0</v>
      </c>
      <c r="O1498" s="16">
        <v>325</v>
      </c>
      <c r="P1498" s="16">
        <v>0</v>
      </c>
      <c r="Q1498" s="16">
        <v>2340</v>
      </c>
      <c r="R1498" s="16">
        <v>17</v>
      </c>
      <c r="S1498" s="16">
        <v>2</v>
      </c>
      <c r="T1498" s="16">
        <v>0</v>
      </c>
      <c r="U1498" s="15" t="str">
        <f t="shared" si="92"/>
        <v>Privado Nacional</v>
      </c>
      <c r="V1498" s="17">
        <f t="shared" si="93"/>
        <v>0</v>
      </c>
      <c r="W1498" s="17">
        <f t="shared" si="94"/>
        <v>7.2649572649572652E-3</v>
      </c>
      <c r="X1498" s="15" t="str">
        <f t="shared" si="95"/>
        <v>Média/Pequena</v>
      </c>
      <c r="Y1498" s="121" t="str" cm="1">
        <f t="array" ref="Y1498">_xlfn.IFS(ISNUMBER(W1498)=FALSE,"Sem dado",W1498&gt;0.075,"Excelente",W1498&gt;0.04,"Bom",W1498&gt;0,"Fraco",TRUE,"Prejuízo")</f>
        <v>Fraco</v>
      </c>
    </row>
    <row r="1499" spans="1:25" ht="15" customHeight="1" x14ac:dyDescent="0.2">
      <c r="A1499" s="12" t="s">
        <v>3204</v>
      </c>
      <c r="B1499" s="56">
        <v>2230138</v>
      </c>
      <c r="C1499" s="12"/>
      <c r="D1499" s="12"/>
      <c r="E1499" s="12"/>
      <c r="F1499" s="12" t="s">
        <v>265</v>
      </c>
      <c r="G1499" s="33">
        <v>2</v>
      </c>
      <c r="H1499" s="33">
        <v>9</v>
      </c>
      <c r="I1499" s="12" t="s">
        <v>1749</v>
      </c>
      <c r="J1499" s="12" t="s">
        <v>39</v>
      </c>
      <c r="K1499" s="73" t="s">
        <v>29</v>
      </c>
      <c r="L1499" s="13">
        <v>2662</v>
      </c>
      <c r="M1499" s="13">
        <v>1495</v>
      </c>
      <c r="N1499" s="13">
        <v>893</v>
      </c>
      <c r="O1499" s="13">
        <v>413</v>
      </c>
      <c r="P1499" s="13">
        <v>0</v>
      </c>
      <c r="Q1499" s="13">
        <v>2250</v>
      </c>
      <c r="R1499" s="13">
        <v>-127</v>
      </c>
      <c r="S1499" s="13">
        <v>0</v>
      </c>
      <c r="T1499" s="13">
        <v>0</v>
      </c>
      <c r="U1499" s="12" t="str">
        <f t="shared" si="92"/>
        <v>Privado Nacional</v>
      </c>
      <c r="V1499" s="14">
        <f t="shared" si="93"/>
        <v>0.56160781367392942</v>
      </c>
      <c r="W1499" s="14">
        <f t="shared" si="94"/>
        <v>-5.6444444444444443E-2</v>
      </c>
      <c r="X1499" s="12" t="str">
        <f t="shared" si="95"/>
        <v>Média/Pequena</v>
      </c>
      <c r="Y1499" s="122" t="str" cm="1">
        <f t="array" ref="Y1499">_xlfn.IFS(ISNUMBER(W1499)=FALSE,"Sem dado",W1499&gt;0.075,"Excelente",W1499&gt;0.04,"Bom",W1499&gt;0,"Fraco",TRUE,"Prejuízo")</f>
        <v>Prejuízo</v>
      </c>
    </row>
    <row r="1500" spans="1:25" ht="15" customHeight="1" x14ac:dyDescent="0.2">
      <c r="A1500" s="15" t="s">
        <v>3205</v>
      </c>
      <c r="B1500" s="60">
        <v>34190991</v>
      </c>
      <c r="C1500" s="15" t="s">
        <v>3206</v>
      </c>
      <c r="D1500" s="15"/>
      <c r="E1500" s="15" t="s">
        <v>3207</v>
      </c>
      <c r="F1500" s="15" t="s">
        <v>98</v>
      </c>
      <c r="G1500" s="34">
        <v>2</v>
      </c>
      <c r="H1500" s="34">
        <v>15</v>
      </c>
      <c r="I1500" s="15" t="s">
        <v>3208</v>
      </c>
      <c r="J1500" s="15" t="s">
        <v>217</v>
      </c>
      <c r="K1500" s="74" t="s">
        <v>29</v>
      </c>
      <c r="L1500" s="16">
        <v>2658</v>
      </c>
      <c r="M1500" s="16">
        <v>0</v>
      </c>
      <c r="N1500" s="16">
        <v>2299</v>
      </c>
      <c r="O1500" s="16">
        <v>347</v>
      </c>
      <c r="P1500" s="16">
        <v>0</v>
      </c>
      <c r="Q1500" s="16">
        <v>2312</v>
      </c>
      <c r="R1500" s="16">
        <v>12</v>
      </c>
      <c r="S1500" s="16">
        <v>2</v>
      </c>
      <c r="T1500" s="16">
        <v>0</v>
      </c>
      <c r="U1500" s="15" t="str">
        <f t="shared" si="92"/>
        <v>Privado Nacional</v>
      </c>
      <c r="V1500" s="17">
        <f t="shared" si="93"/>
        <v>0</v>
      </c>
      <c r="W1500" s="17">
        <f t="shared" si="94"/>
        <v>5.1903114186851208E-3</v>
      </c>
      <c r="X1500" s="15" t="str">
        <f t="shared" si="95"/>
        <v>Média/Pequena</v>
      </c>
      <c r="Y1500" s="121" t="str" cm="1">
        <f t="array" ref="Y1500">_xlfn.IFS(ISNUMBER(W1500)=FALSE,"Sem dado",W1500&gt;0.075,"Excelente",W1500&gt;0.04,"Bom",W1500&gt;0,"Fraco",TRUE,"Prejuízo")</f>
        <v>Fraco</v>
      </c>
    </row>
    <row r="1501" spans="1:25" ht="15" customHeight="1" x14ac:dyDescent="0.2">
      <c r="A1501" s="12" t="s">
        <v>3209</v>
      </c>
      <c r="B1501" s="56">
        <v>73279093</v>
      </c>
      <c r="C1501" s="12" t="s">
        <v>3210</v>
      </c>
      <c r="D1501" s="12"/>
      <c r="E1501" s="12" t="s">
        <v>3211</v>
      </c>
      <c r="F1501" s="12" t="s">
        <v>98</v>
      </c>
      <c r="G1501" s="33">
        <v>2</v>
      </c>
      <c r="H1501" s="33">
        <v>16</v>
      </c>
      <c r="I1501" s="12" t="s">
        <v>1070</v>
      </c>
      <c r="J1501" s="12" t="s">
        <v>217</v>
      </c>
      <c r="K1501" s="73" t="s">
        <v>29</v>
      </c>
      <c r="L1501" s="13">
        <v>2599</v>
      </c>
      <c r="M1501" s="13">
        <v>0</v>
      </c>
      <c r="N1501" s="13">
        <v>0</v>
      </c>
      <c r="O1501" s="13">
        <v>720</v>
      </c>
      <c r="P1501" s="13">
        <v>0</v>
      </c>
      <c r="Q1501" s="13">
        <v>1879</v>
      </c>
      <c r="R1501" s="13">
        <v>-324</v>
      </c>
      <c r="S1501" s="13">
        <v>4</v>
      </c>
      <c r="T1501" s="13">
        <v>0</v>
      </c>
      <c r="U1501" s="12" t="str">
        <f t="shared" si="92"/>
        <v>Privado Nacional</v>
      </c>
      <c r="V1501" s="14">
        <f t="shared" si="93"/>
        <v>0</v>
      </c>
      <c r="W1501" s="14">
        <f t="shared" si="94"/>
        <v>-0.17243214475784993</v>
      </c>
      <c r="X1501" s="12" t="str">
        <f t="shared" si="95"/>
        <v>Média/Pequena</v>
      </c>
      <c r="Y1501" s="122" t="str" cm="1">
        <f t="array" ref="Y1501">_xlfn.IFS(ISNUMBER(W1501)=FALSE,"Sem dado",W1501&gt;0.075,"Excelente",W1501&gt;0.04,"Bom",W1501&gt;0,"Fraco",TRUE,"Prejuízo")</f>
        <v>Prejuízo</v>
      </c>
    </row>
    <row r="1502" spans="1:25" ht="15" customHeight="1" x14ac:dyDescent="0.2">
      <c r="A1502" s="15" t="s">
        <v>3212</v>
      </c>
      <c r="B1502" s="60">
        <v>42445122</v>
      </c>
      <c r="C1502" s="15"/>
      <c r="D1502" s="15"/>
      <c r="E1502" s="15"/>
      <c r="F1502" s="15" t="s">
        <v>265</v>
      </c>
      <c r="G1502" s="34">
        <v>2</v>
      </c>
      <c r="H1502" s="34">
        <v>9</v>
      </c>
      <c r="I1502" s="15" t="s">
        <v>53</v>
      </c>
      <c r="J1502" s="15" t="s">
        <v>54</v>
      </c>
      <c r="K1502" s="74" t="s">
        <v>29</v>
      </c>
      <c r="L1502" s="16">
        <v>2565</v>
      </c>
      <c r="M1502" s="16">
        <v>1187</v>
      </c>
      <c r="N1502" s="16">
        <v>0</v>
      </c>
      <c r="O1502" s="16">
        <v>1128</v>
      </c>
      <c r="P1502" s="16">
        <v>0</v>
      </c>
      <c r="Q1502" s="16">
        <v>1437</v>
      </c>
      <c r="R1502" s="16">
        <v>-27</v>
      </c>
      <c r="S1502" s="16">
        <v>0</v>
      </c>
      <c r="T1502" s="16">
        <v>1</v>
      </c>
      <c r="U1502" s="15" t="str">
        <f t="shared" si="92"/>
        <v>Privado Nacional</v>
      </c>
      <c r="V1502" s="17">
        <f t="shared" si="93"/>
        <v>0.46276803118908383</v>
      </c>
      <c r="W1502" s="17">
        <f t="shared" si="94"/>
        <v>-1.8789144050104383E-2</v>
      </c>
      <c r="X1502" s="15" t="str">
        <f t="shared" si="95"/>
        <v>Média/Pequena</v>
      </c>
      <c r="Y1502" s="121" t="str" cm="1">
        <f t="array" ref="Y1502">_xlfn.IFS(ISNUMBER(W1502)=FALSE,"Sem dado",W1502&gt;0.075,"Excelente",W1502&gt;0.04,"Bom",W1502&gt;0,"Fraco",TRUE,"Prejuízo")</f>
        <v>Prejuízo</v>
      </c>
    </row>
    <row r="1503" spans="1:25" ht="15" customHeight="1" x14ac:dyDescent="0.2">
      <c r="A1503" s="12" t="s">
        <v>3213</v>
      </c>
      <c r="B1503" s="56">
        <v>58674454</v>
      </c>
      <c r="C1503" s="12" t="s">
        <v>3214</v>
      </c>
      <c r="D1503" s="12"/>
      <c r="E1503" s="12" t="s">
        <v>3215</v>
      </c>
      <c r="F1503" s="12" t="s">
        <v>65</v>
      </c>
      <c r="G1503" s="33">
        <v>2</v>
      </c>
      <c r="H1503" s="33">
        <v>43</v>
      </c>
      <c r="I1503" s="12" t="s">
        <v>255</v>
      </c>
      <c r="J1503" s="12" t="s">
        <v>39</v>
      </c>
      <c r="K1503" s="73" t="s">
        <v>29</v>
      </c>
      <c r="L1503" s="13">
        <v>2514</v>
      </c>
      <c r="M1503" s="13">
        <v>132</v>
      </c>
      <c r="N1503" s="13">
        <v>0</v>
      </c>
      <c r="O1503" s="13">
        <v>750</v>
      </c>
      <c r="P1503" s="13">
        <v>0</v>
      </c>
      <c r="Q1503" s="13">
        <v>1764</v>
      </c>
      <c r="R1503" s="13">
        <v>754</v>
      </c>
      <c r="S1503" s="13">
        <v>2</v>
      </c>
      <c r="T1503" s="13">
        <v>0</v>
      </c>
      <c r="U1503" s="12" t="str">
        <f t="shared" si="92"/>
        <v>Privado Nacional</v>
      </c>
      <c r="V1503" s="14">
        <f t="shared" si="93"/>
        <v>5.2505966587112173E-2</v>
      </c>
      <c r="W1503" s="14">
        <f t="shared" si="94"/>
        <v>0.42743764172335602</v>
      </c>
      <c r="X1503" s="12" t="str">
        <f t="shared" si="95"/>
        <v>Média/Pequena</v>
      </c>
      <c r="Y1503" s="122" t="str" cm="1">
        <f t="array" ref="Y1503">_xlfn.IFS(ISNUMBER(W1503)=FALSE,"Sem dado",W1503&gt;0.075,"Excelente",W1503&gt;0.04,"Bom",W1503&gt;0,"Fraco",TRUE,"Prejuízo")</f>
        <v>Excelente</v>
      </c>
    </row>
    <row r="1504" spans="1:25" ht="15" customHeight="1" x14ac:dyDescent="0.2">
      <c r="A1504" s="15" t="s">
        <v>3216</v>
      </c>
      <c r="B1504" s="60">
        <v>47593544</v>
      </c>
      <c r="C1504" s="15" t="s">
        <v>3217</v>
      </c>
      <c r="D1504" s="15"/>
      <c r="E1504" s="15" t="s">
        <v>3218</v>
      </c>
      <c r="F1504" s="15" t="s">
        <v>65</v>
      </c>
      <c r="G1504" s="34">
        <v>2</v>
      </c>
      <c r="H1504" s="34">
        <v>43</v>
      </c>
      <c r="I1504" s="15" t="s">
        <v>38</v>
      </c>
      <c r="J1504" s="15" t="s">
        <v>39</v>
      </c>
      <c r="K1504" s="74" t="s">
        <v>29</v>
      </c>
      <c r="L1504" s="16">
        <v>2514</v>
      </c>
      <c r="M1504" s="16">
        <v>0</v>
      </c>
      <c r="N1504" s="16">
        <v>0</v>
      </c>
      <c r="O1504" s="16">
        <v>87</v>
      </c>
      <c r="P1504" s="16">
        <v>0</v>
      </c>
      <c r="Q1504" s="16">
        <v>2427</v>
      </c>
      <c r="R1504" s="16">
        <v>-1161</v>
      </c>
      <c r="S1504" s="16">
        <v>2</v>
      </c>
      <c r="T1504" s="16">
        <v>0</v>
      </c>
      <c r="U1504" s="15" t="str">
        <f t="shared" si="92"/>
        <v>Privado Nacional</v>
      </c>
      <c r="V1504" s="17">
        <f t="shared" si="93"/>
        <v>0</v>
      </c>
      <c r="W1504" s="17">
        <f t="shared" si="94"/>
        <v>-0.47836835599505562</v>
      </c>
      <c r="X1504" s="15" t="str">
        <f t="shared" si="95"/>
        <v>Média/Pequena</v>
      </c>
      <c r="Y1504" s="121" t="str" cm="1">
        <f t="array" ref="Y1504">_xlfn.IFS(ISNUMBER(W1504)=FALSE,"Sem dado",W1504&gt;0.075,"Excelente",W1504&gt;0.04,"Bom",W1504&gt;0,"Fraco",TRUE,"Prejuízo")</f>
        <v>Prejuízo</v>
      </c>
    </row>
    <row r="1505" spans="1:25" ht="15" customHeight="1" x14ac:dyDescent="0.2">
      <c r="A1505" s="12" t="s">
        <v>3219</v>
      </c>
      <c r="B1505" s="56">
        <v>28762249</v>
      </c>
      <c r="C1505" s="12" t="s">
        <v>3220</v>
      </c>
      <c r="D1505" s="12"/>
      <c r="E1505" s="12" t="s">
        <v>3221</v>
      </c>
      <c r="F1505" s="12" t="s">
        <v>98</v>
      </c>
      <c r="G1505" s="33">
        <v>2</v>
      </c>
      <c r="H1505" s="33">
        <v>21</v>
      </c>
      <c r="I1505" s="12" t="s">
        <v>132</v>
      </c>
      <c r="J1505" s="12" t="s">
        <v>133</v>
      </c>
      <c r="K1505" s="73" t="s">
        <v>29</v>
      </c>
      <c r="L1505" s="13">
        <v>2496</v>
      </c>
      <c r="M1505" s="13">
        <v>0</v>
      </c>
      <c r="N1505" s="13">
        <v>0</v>
      </c>
      <c r="O1505" s="13">
        <v>307</v>
      </c>
      <c r="P1505" s="13">
        <v>0</v>
      </c>
      <c r="Q1505" s="13">
        <v>2190</v>
      </c>
      <c r="R1505" s="13">
        <v>-597</v>
      </c>
      <c r="S1505" s="13">
        <v>2</v>
      </c>
      <c r="T1505" s="13">
        <v>0</v>
      </c>
      <c r="U1505" s="12" t="str">
        <f t="shared" si="92"/>
        <v>Privado Nacional</v>
      </c>
      <c r="V1505" s="14">
        <f t="shared" si="93"/>
        <v>0</v>
      </c>
      <c r="W1505" s="14">
        <f t="shared" si="94"/>
        <v>-0.27260273972602739</v>
      </c>
      <c r="X1505" s="12" t="str">
        <f t="shared" si="95"/>
        <v>Média/Pequena</v>
      </c>
      <c r="Y1505" s="122" t="str" cm="1">
        <f t="array" ref="Y1505">_xlfn.IFS(ISNUMBER(W1505)=FALSE,"Sem dado",W1505&gt;0.075,"Excelente",W1505&gt;0.04,"Bom",W1505&gt;0,"Fraco",TRUE,"Prejuízo")</f>
        <v>Prejuízo</v>
      </c>
    </row>
    <row r="1506" spans="1:25" ht="15" customHeight="1" x14ac:dyDescent="0.2">
      <c r="A1506" s="15" t="s">
        <v>3222</v>
      </c>
      <c r="B1506" s="60">
        <v>53058329</v>
      </c>
      <c r="C1506" s="15" t="s">
        <v>3223</v>
      </c>
      <c r="D1506" s="15"/>
      <c r="E1506" s="15" t="s">
        <v>3224</v>
      </c>
      <c r="F1506" s="15" t="s">
        <v>84</v>
      </c>
      <c r="G1506" s="34">
        <v>3</v>
      </c>
      <c r="H1506" s="34">
        <v>41</v>
      </c>
      <c r="I1506" s="15" t="s">
        <v>38</v>
      </c>
      <c r="J1506" s="15" t="s">
        <v>39</v>
      </c>
      <c r="K1506" s="74" t="s">
        <v>29</v>
      </c>
      <c r="L1506" s="16">
        <v>2444</v>
      </c>
      <c r="M1506" s="16">
        <v>0</v>
      </c>
      <c r="N1506" s="16">
        <v>2308</v>
      </c>
      <c r="O1506" s="16">
        <v>64</v>
      </c>
      <c r="P1506" s="16">
        <v>0</v>
      </c>
      <c r="Q1506" s="16">
        <v>2380</v>
      </c>
      <c r="R1506" s="16">
        <v>-1230</v>
      </c>
      <c r="S1506" s="16">
        <v>1</v>
      </c>
      <c r="T1506" s="16">
        <v>0</v>
      </c>
      <c r="U1506" s="15" t="str">
        <f t="shared" si="92"/>
        <v>Privado Estrangeiro</v>
      </c>
      <c r="V1506" s="17">
        <f t="shared" si="93"/>
        <v>0</v>
      </c>
      <c r="W1506" s="17">
        <f t="shared" si="94"/>
        <v>-0.51680672268907568</v>
      </c>
      <c r="X1506" s="15" t="str">
        <f t="shared" si="95"/>
        <v>Média/Pequena</v>
      </c>
      <c r="Y1506" s="121" t="str" cm="1">
        <f t="array" ref="Y1506">_xlfn.IFS(ISNUMBER(W1506)=FALSE,"Sem dado",W1506&gt;0.075,"Excelente",W1506&gt;0.04,"Bom",W1506&gt;0,"Fraco",TRUE,"Prejuízo")</f>
        <v>Prejuízo</v>
      </c>
    </row>
    <row r="1507" spans="1:25" ht="15" customHeight="1" x14ac:dyDescent="0.2">
      <c r="A1507" s="12" t="s">
        <v>3225</v>
      </c>
      <c r="B1507" s="56">
        <v>56606230</v>
      </c>
      <c r="C1507" s="12" t="s">
        <v>3226</v>
      </c>
      <c r="D1507" s="12"/>
      <c r="E1507" s="12" t="s">
        <v>3227</v>
      </c>
      <c r="F1507" s="12" t="s">
        <v>65</v>
      </c>
      <c r="G1507" s="33">
        <v>2</v>
      </c>
      <c r="H1507" s="33">
        <v>43</v>
      </c>
      <c r="I1507" s="12" t="s">
        <v>3228</v>
      </c>
      <c r="J1507" s="12" t="s">
        <v>74</v>
      </c>
      <c r="K1507" s="73" t="s">
        <v>29</v>
      </c>
      <c r="L1507" s="13">
        <v>2399</v>
      </c>
      <c r="M1507" s="13">
        <v>2031</v>
      </c>
      <c r="N1507" s="13">
        <v>209</v>
      </c>
      <c r="O1507" s="13">
        <v>1042</v>
      </c>
      <c r="P1507" s="13">
        <v>798</v>
      </c>
      <c r="Q1507" s="13">
        <v>1357</v>
      </c>
      <c r="R1507" s="13">
        <v>122</v>
      </c>
      <c r="S1507" s="13">
        <v>2</v>
      </c>
      <c r="T1507" s="13">
        <v>0</v>
      </c>
      <c r="U1507" s="12" t="str">
        <f t="shared" si="92"/>
        <v>Privado Nacional</v>
      </c>
      <c r="V1507" s="14">
        <f t="shared" si="93"/>
        <v>0.84660275114631101</v>
      </c>
      <c r="W1507" s="14">
        <f t="shared" si="94"/>
        <v>8.9904200442151805E-2</v>
      </c>
      <c r="X1507" s="12" t="str">
        <f t="shared" si="95"/>
        <v>Média/Pequena</v>
      </c>
      <c r="Y1507" s="122" t="str" cm="1">
        <f t="array" ref="Y1507">_xlfn.IFS(ISNUMBER(W1507)=FALSE,"Sem dado",W1507&gt;0.075,"Excelente",W1507&gt;0.04,"Bom",W1507&gt;0,"Fraco",TRUE,"Prejuízo")</f>
        <v>Excelente</v>
      </c>
    </row>
    <row r="1508" spans="1:25" ht="15" customHeight="1" x14ac:dyDescent="0.2">
      <c r="A1508" s="15" t="s">
        <v>3229</v>
      </c>
      <c r="B1508" s="60">
        <v>7651495</v>
      </c>
      <c r="C1508" s="15"/>
      <c r="D1508" s="15"/>
      <c r="E1508" s="15"/>
      <c r="F1508" s="15" t="s">
        <v>265</v>
      </c>
      <c r="G1508" s="34">
        <v>2</v>
      </c>
      <c r="H1508" s="34">
        <v>9</v>
      </c>
      <c r="I1508" s="15" t="s">
        <v>38</v>
      </c>
      <c r="J1508" s="15" t="s">
        <v>39</v>
      </c>
      <c r="K1508" s="74" t="s">
        <v>29</v>
      </c>
      <c r="L1508" s="16">
        <v>2397</v>
      </c>
      <c r="M1508" s="16">
        <v>1832</v>
      </c>
      <c r="N1508" s="16">
        <v>405</v>
      </c>
      <c r="O1508" s="16">
        <v>820</v>
      </c>
      <c r="P1508" s="16">
        <v>0</v>
      </c>
      <c r="Q1508" s="16">
        <v>1577</v>
      </c>
      <c r="R1508" s="16">
        <v>16</v>
      </c>
      <c r="S1508" s="16">
        <v>0</v>
      </c>
      <c r="T1508" s="16">
        <v>0</v>
      </c>
      <c r="U1508" s="15" t="str">
        <f t="shared" si="92"/>
        <v>Privado Nacional</v>
      </c>
      <c r="V1508" s="17">
        <f t="shared" si="93"/>
        <v>0.7642886942010847</v>
      </c>
      <c r="W1508" s="17">
        <f t="shared" si="94"/>
        <v>1.0145846544071021E-2</v>
      </c>
      <c r="X1508" s="15" t="str">
        <f t="shared" si="95"/>
        <v>Média/Pequena</v>
      </c>
      <c r="Y1508" s="121" t="str" cm="1">
        <f t="array" ref="Y1508">_xlfn.IFS(ISNUMBER(W1508)=FALSE,"Sem dado",W1508&gt;0.075,"Excelente",W1508&gt;0.04,"Bom",W1508&gt;0,"Fraco",TRUE,"Prejuízo")</f>
        <v>Fraco</v>
      </c>
    </row>
    <row r="1509" spans="1:25" ht="15" customHeight="1" x14ac:dyDescent="0.2">
      <c r="A1509" s="12" t="s">
        <v>3230</v>
      </c>
      <c r="B1509" s="56">
        <v>37943755</v>
      </c>
      <c r="C1509" s="12" t="s">
        <v>3231</v>
      </c>
      <c r="D1509" s="12"/>
      <c r="E1509" s="12" t="s">
        <v>3232</v>
      </c>
      <c r="F1509" s="12" t="s">
        <v>84</v>
      </c>
      <c r="G1509" s="33">
        <v>2</v>
      </c>
      <c r="H1509" s="33">
        <v>41</v>
      </c>
      <c r="I1509" s="12" t="s">
        <v>38</v>
      </c>
      <c r="J1509" s="12" t="s">
        <v>39</v>
      </c>
      <c r="K1509" s="73" t="s">
        <v>29</v>
      </c>
      <c r="L1509" s="13">
        <v>2394</v>
      </c>
      <c r="M1509" s="13">
        <v>0</v>
      </c>
      <c r="N1509" s="13">
        <v>140</v>
      </c>
      <c r="O1509" s="13">
        <v>364</v>
      </c>
      <c r="P1509" s="13">
        <v>0</v>
      </c>
      <c r="Q1509" s="13">
        <v>2031</v>
      </c>
      <c r="R1509" s="13">
        <v>1120</v>
      </c>
      <c r="S1509" s="13">
        <v>1</v>
      </c>
      <c r="T1509" s="13">
        <v>0</v>
      </c>
      <c r="U1509" s="12" t="str">
        <f t="shared" si="92"/>
        <v>Privado Nacional</v>
      </c>
      <c r="V1509" s="14">
        <f t="shared" si="93"/>
        <v>0</v>
      </c>
      <c r="W1509" s="14">
        <f t="shared" si="94"/>
        <v>0.55145248645987199</v>
      </c>
      <c r="X1509" s="12" t="str">
        <f t="shared" si="95"/>
        <v>Média/Pequena</v>
      </c>
      <c r="Y1509" s="122" t="str" cm="1">
        <f t="array" ref="Y1509">_xlfn.IFS(ISNUMBER(W1509)=FALSE,"Sem dado",W1509&gt;0.075,"Excelente",W1509&gt;0.04,"Bom",W1509&gt;0,"Fraco",TRUE,"Prejuízo")</f>
        <v>Excelente</v>
      </c>
    </row>
    <row r="1510" spans="1:25" ht="15" customHeight="1" x14ac:dyDescent="0.2">
      <c r="A1510" s="15" t="s">
        <v>3233</v>
      </c>
      <c r="B1510" s="60">
        <v>2276653</v>
      </c>
      <c r="C1510" s="15" t="s">
        <v>2720</v>
      </c>
      <c r="D1510" s="15" t="s">
        <v>2721</v>
      </c>
      <c r="E1510" s="15" t="s">
        <v>2722</v>
      </c>
      <c r="F1510" s="15" t="s">
        <v>98</v>
      </c>
      <c r="G1510" s="34">
        <v>2</v>
      </c>
      <c r="H1510" s="34">
        <v>16</v>
      </c>
      <c r="I1510" s="15" t="s">
        <v>388</v>
      </c>
      <c r="J1510" s="15" t="s">
        <v>389</v>
      </c>
      <c r="K1510" s="74" t="s">
        <v>29</v>
      </c>
      <c r="L1510" s="16">
        <v>2366</v>
      </c>
      <c r="M1510" s="16">
        <v>0</v>
      </c>
      <c r="N1510" s="16">
        <v>0</v>
      </c>
      <c r="O1510" s="16">
        <v>418</v>
      </c>
      <c r="P1510" s="16">
        <v>0</v>
      </c>
      <c r="Q1510" s="16">
        <v>1948</v>
      </c>
      <c r="R1510" s="16">
        <v>-1135</v>
      </c>
      <c r="S1510" s="16">
        <v>2</v>
      </c>
      <c r="T1510" s="16">
        <v>0</v>
      </c>
      <c r="U1510" s="15" t="str">
        <f t="shared" si="92"/>
        <v>Privado Nacional</v>
      </c>
      <c r="V1510" s="17">
        <f t="shared" si="93"/>
        <v>0</v>
      </c>
      <c r="W1510" s="17">
        <f t="shared" si="94"/>
        <v>-0.58264887063655035</v>
      </c>
      <c r="X1510" s="15" t="str">
        <f t="shared" si="95"/>
        <v>Média/Pequena</v>
      </c>
      <c r="Y1510" s="121" t="str" cm="1">
        <f t="array" ref="Y1510">_xlfn.IFS(ISNUMBER(W1510)=FALSE,"Sem dado",W1510&gt;0.075,"Excelente",W1510&gt;0.04,"Bom",W1510&gt;0,"Fraco",TRUE,"Prejuízo")</f>
        <v>Prejuízo</v>
      </c>
    </row>
    <row r="1511" spans="1:25" ht="15" customHeight="1" x14ac:dyDescent="0.2">
      <c r="A1511" s="12" t="s">
        <v>3234</v>
      </c>
      <c r="B1511" s="56">
        <v>20269566</v>
      </c>
      <c r="C1511" s="12" t="s">
        <v>3235</v>
      </c>
      <c r="D1511" s="12"/>
      <c r="E1511" s="12" t="s">
        <v>3236</v>
      </c>
      <c r="F1511" s="12" t="s">
        <v>65</v>
      </c>
      <c r="G1511" s="33">
        <v>2</v>
      </c>
      <c r="H1511" s="33">
        <v>10</v>
      </c>
      <c r="I1511" s="12" t="s">
        <v>132</v>
      </c>
      <c r="J1511" s="12" t="s">
        <v>133</v>
      </c>
      <c r="K1511" s="73" t="s">
        <v>29</v>
      </c>
      <c r="L1511" s="13">
        <v>2243</v>
      </c>
      <c r="M1511" s="13">
        <v>748</v>
      </c>
      <c r="N1511" s="13">
        <v>1088</v>
      </c>
      <c r="O1511" s="13">
        <v>841</v>
      </c>
      <c r="P1511" s="13">
        <v>0</v>
      </c>
      <c r="Q1511" s="13">
        <v>1402</v>
      </c>
      <c r="R1511" s="13">
        <v>237</v>
      </c>
      <c r="S1511" s="13">
        <v>2</v>
      </c>
      <c r="T1511" s="13">
        <v>0</v>
      </c>
      <c r="U1511" s="12" t="str">
        <f t="shared" si="92"/>
        <v>Privado Nacional</v>
      </c>
      <c r="V1511" s="14">
        <f t="shared" si="93"/>
        <v>0.33348194382523405</v>
      </c>
      <c r="W1511" s="14">
        <f t="shared" si="94"/>
        <v>0.16904422253922968</v>
      </c>
      <c r="X1511" s="12" t="str">
        <f t="shared" si="95"/>
        <v>Média/Pequena</v>
      </c>
      <c r="Y1511" s="122" t="str" cm="1">
        <f t="array" ref="Y1511">_xlfn.IFS(ISNUMBER(W1511)=FALSE,"Sem dado",W1511&gt;0.075,"Excelente",W1511&gt;0.04,"Bom",W1511&gt;0,"Fraco",TRUE,"Prejuízo")</f>
        <v>Excelente</v>
      </c>
    </row>
    <row r="1512" spans="1:25" ht="15" customHeight="1" x14ac:dyDescent="0.2">
      <c r="A1512" s="15" t="s">
        <v>3237</v>
      </c>
      <c r="B1512" s="60">
        <v>2850075</v>
      </c>
      <c r="C1512" s="15"/>
      <c r="D1512" s="15"/>
      <c r="E1512" s="15"/>
      <c r="F1512" s="15" t="s">
        <v>265</v>
      </c>
      <c r="G1512" s="34">
        <v>2</v>
      </c>
      <c r="H1512" s="34">
        <v>9</v>
      </c>
      <c r="I1512" s="15" t="s">
        <v>53</v>
      </c>
      <c r="J1512" s="15" t="s">
        <v>54</v>
      </c>
      <c r="K1512" s="74" t="s">
        <v>29</v>
      </c>
      <c r="L1512" s="16">
        <v>2199</v>
      </c>
      <c r="M1512" s="16">
        <v>1122</v>
      </c>
      <c r="N1512" s="16">
        <v>0</v>
      </c>
      <c r="O1512" s="16">
        <v>116</v>
      </c>
      <c r="P1512" s="16">
        <v>0</v>
      </c>
      <c r="Q1512" s="16">
        <v>2083</v>
      </c>
      <c r="R1512" s="16">
        <v>11</v>
      </c>
      <c r="S1512" s="16">
        <v>0</v>
      </c>
      <c r="T1512" s="16">
        <v>0</v>
      </c>
      <c r="U1512" s="15" t="str">
        <f t="shared" si="92"/>
        <v>Privado Nacional</v>
      </c>
      <c r="V1512" s="17">
        <f t="shared" si="93"/>
        <v>0.51023192360163716</v>
      </c>
      <c r="W1512" s="17">
        <f t="shared" si="94"/>
        <v>5.2808449351896304E-3</v>
      </c>
      <c r="X1512" s="15" t="str">
        <f t="shared" si="95"/>
        <v>Média/Pequena</v>
      </c>
      <c r="Y1512" s="121" t="str" cm="1">
        <f t="array" ref="Y1512">_xlfn.IFS(ISNUMBER(W1512)=FALSE,"Sem dado",W1512&gt;0.075,"Excelente",W1512&gt;0.04,"Bom",W1512&gt;0,"Fraco",TRUE,"Prejuízo")</f>
        <v>Fraco</v>
      </c>
    </row>
    <row r="1513" spans="1:25" ht="15" customHeight="1" x14ac:dyDescent="0.2">
      <c r="A1513" s="12" t="s">
        <v>3238</v>
      </c>
      <c r="B1513" s="56">
        <v>3674133</v>
      </c>
      <c r="C1513" s="12"/>
      <c r="D1513" s="12"/>
      <c r="E1513" s="12"/>
      <c r="F1513" s="12" t="s">
        <v>265</v>
      </c>
      <c r="G1513" s="33">
        <v>2</v>
      </c>
      <c r="H1513" s="33">
        <v>9</v>
      </c>
      <c r="I1513" s="12" t="s">
        <v>38</v>
      </c>
      <c r="J1513" s="12" t="s">
        <v>39</v>
      </c>
      <c r="K1513" s="73" t="s">
        <v>29</v>
      </c>
      <c r="L1513" s="13">
        <v>2163</v>
      </c>
      <c r="M1513" s="13">
        <v>962</v>
      </c>
      <c r="N1513" s="13">
        <v>1102</v>
      </c>
      <c r="O1513" s="13">
        <v>1408</v>
      </c>
      <c r="P1513" s="13">
        <v>1253</v>
      </c>
      <c r="Q1513" s="13">
        <v>755</v>
      </c>
      <c r="R1513" s="13">
        <v>-60</v>
      </c>
      <c r="S1513" s="13">
        <v>0</v>
      </c>
      <c r="T1513" s="13">
        <v>1</v>
      </c>
      <c r="U1513" s="12" t="str">
        <f t="shared" si="92"/>
        <v>Privado Nacional</v>
      </c>
      <c r="V1513" s="14">
        <f t="shared" si="93"/>
        <v>0.44475265834489136</v>
      </c>
      <c r="W1513" s="14">
        <f t="shared" si="94"/>
        <v>-7.9470198675496692E-2</v>
      </c>
      <c r="X1513" s="12" t="str">
        <f t="shared" si="95"/>
        <v>Média/Pequena</v>
      </c>
      <c r="Y1513" s="122" t="str" cm="1">
        <f t="array" ref="Y1513">_xlfn.IFS(ISNUMBER(W1513)=FALSE,"Sem dado",W1513&gt;0.075,"Excelente",W1513&gt;0.04,"Bom",W1513&gt;0,"Fraco",TRUE,"Prejuízo")</f>
        <v>Prejuízo</v>
      </c>
    </row>
    <row r="1514" spans="1:25" ht="15" customHeight="1" x14ac:dyDescent="0.2">
      <c r="A1514" s="15" t="s">
        <v>3239</v>
      </c>
      <c r="B1514" s="60">
        <v>68314921</v>
      </c>
      <c r="C1514" s="15"/>
      <c r="D1514" s="15"/>
      <c r="E1514" s="15"/>
      <c r="F1514" s="15" t="s">
        <v>265</v>
      </c>
      <c r="G1514" s="34">
        <v>2</v>
      </c>
      <c r="H1514" s="34">
        <v>9</v>
      </c>
      <c r="I1514" s="15" t="s">
        <v>38</v>
      </c>
      <c r="J1514" s="15" t="s">
        <v>39</v>
      </c>
      <c r="K1514" s="74" t="s">
        <v>29</v>
      </c>
      <c r="L1514" s="16">
        <v>2144</v>
      </c>
      <c r="M1514" s="16">
        <v>1711</v>
      </c>
      <c r="N1514" s="16">
        <v>0</v>
      </c>
      <c r="O1514" s="16">
        <v>211</v>
      </c>
      <c r="P1514" s="16">
        <v>0</v>
      </c>
      <c r="Q1514" s="16">
        <v>1933</v>
      </c>
      <c r="R1514" s="16">
        <v>4</v>
      </c>
      <c r="S1514" s="16">
        <v>0</v>
      </c>
      <c r="T1514" s="16">
        <v>0</v>
      </c>
      <c r="U1514" s="15" t="str">
        <f t="shared" si="92"/>
        <v>Privado Nacional</v>
      </c>
      <c r="V1514" s="17">
        <f t="shared" si="93"/>
        <v>0.79804104477611937</v>
      </c>
      <c r="W1514" s="17">
        <f t="shared" si="94"/>
        <v>2.0693222969477496E-3</v>
      </c>
      <c r="X1514" s="15" t="str">
        <f t="shared" si="95"/>
        <v>Média/Pequena</v>
      </c>
      <c r="Y1514" s="121" t="str" cm="1">
        <f t="array" ref="Y1514">_xlfn.IFS(ISNUMBER(W1514)=FALSE,"Sem dado",W1514&gt;0.075,"Excelente",W1514&gt;0.04,"Bom",W1514&gt;0,"Fraco",TRUE,"Prejuízo")</f>
        <v>Fraco</v>
      </c>
    </row>
    <row r="1515" spans="1:25" ht="15" customHeight="1" x14ac:dyDescent="0.2">
      <c r="A1515" s="12" t="s">
        <v>3240</v>
      </c>
      <c r="B1515" s="56">
        <v>77162881</v>
      </c>
      <c r="C1515" s="12" t="s">
        <v>3241</v>
      </c>
      <c r="D1515" s="12"/>
      <c r="E1515" s="12" t="s">
        <v>3242</v>
      </c>
      <c r="F1515" s="12" t="s">
        <v>98</v>
      </c>
      <c r="G1515" s="33">
        <v>2</v>
      </c>
      <c r="H1515" s="33">
        <v>16</v>
      </c>
      <c r="I1515" s="12" t="s">
        <v>228</v>
      </c>
      <c r="J1515" s="12" t="s">
        <v>229</v>
      </c>
      <c r="K1515" s="73" t="s">
        <v>29</v>
      </c>
      <c r="L1515" s="13">
        <v>2134</v>
      </c>
      <c r="M1515" s="13">
        <v>0</v>
      </c>
      <c r="N1515" s="13">
        <v>0</v>
      </c>
      <c r="O1515" s="13">
        <v>1491</v>
      </c>
      <c r="P1515" s="13">
        <v>0</v>
      </c>
      <c r="Q1515" s="13">
        <v>644</v>
      </c>
      <c r="R1515" s="13">
        <v>-389</v>
      </c>
      <c r="S1515" s="13">
        <v>2</v>
      </c>
      <c r="T1515" s="13">
        <v>0</v>
      </c>
      <c r="U1515" s="12" t="str">
        <f t="shared" si="92"/>
        <v>Privado Nacional</v>
      </c>
      <c r="V1515" s="14">
        <f t="shared" si="93"/>
        <v>0</v>
      </c>
      <c r="W1515" s="14">
        <f t="shared" si="94"/>
        <v>-0.60403726708074534</v>
      </c>
      <c r="X1515" s="12" t="str">
        <f t="shared" si="95"/>
        <v>Média/Pequena</v>
      </c>
      <c r="Y1515" s="122" t="str" cm="1">
        <f t="array" ref="Y1515">_xlfn.IFS(ISNUMBER(W1515)=FALSE,"Sem dado",W1515&gt;0.075,"Excelente",W1515&gt;0.04,"Bom",W1515&gt;0,"Fraco",TRUE,"Prejuízo")</f>
        <v>Prejuízo</v>
      </c>
    </row>
    <row r="1516" spans="1:25" ht="15" customHeight="1" x14ac:dyDescent="0.2">
      <c r="A1516" s="15" t="s">
        <v>3243</v>
      </c>
      <c r="B1516" s="60">
        <v>2738981</v>
      </c>
      <c r="C1516" s="15"/>
      <c r="D1516" s="15"/>
      <c r="E1516" s="15"/>
      <c r="F1516" s="15" t="s">
        <v>265</v>
      </c>
      <c r="G1516" s="34">
        <v>2</v>
      </c>
      <c r="H1516" s="34">
        <v>9</v>
      </c>
      <c r="I1516" s="15" t="s">
        <v>1897</v>
      </c>
      <c r="J1516" s="15" t="s">
        <v>120</v>
      </c>
      <c r="K1516" s="74" t="s">
        <v>29</v>
      </c>
      <c r="L1516" s="16">
        <v>2116</v>
      </c>
      <c r="M1516" s="16">
        <v>1575</v>
      </c>
      <c r="N1516" s="16">
        <v>478</v>
      </c>
      <c r="O1516" s="16">
        <v>155</v>
      </c>
      <c r="P1516" s="16">
        <v>0</v>
      </c>
      <c r="Q1516" s="16">
        <v>1961</v>
      </c>
      <c r="R1516" s="16">
        <v>115</v>
      </c>
      <c r="S1516" s="16">
        <v>0</v>
      </c>
      <c r="T1516" s="16">
        <v>0</v>
      </c>
      <c r="U1516" s="15" t="str">
        <f t="shared" si="92"/>
        <v>Privado Nacional</v>
      </c>
      <c r="V1516" s="17">
        <f t="shared" si="93"/>
        <v>0.74432892249527405</v>
      </c>
      <c r="W1516" s="17">
        <f t="shared" si="94"/>
        <v>5.8643549209586948E-2</v>
      </c>
      <c r="X1516" s="15" t="str">
        <f t="shared" si="95"/>
        <v>Média/Pequena</v>
      </c>
      <c r="Y1516" s="121" t="str" cm="1">
        <f t="array" ref="Y1516">_xlfn.IFS(ISNUMBER(W1516)=FALSE,"Sem dado",W1516&gt;0.075,"Excelente",W1516&gt;0.04,"Bom",W1516&gt;0,"Fraco",TRUE,"Prejuízo")</f>
        <v>Bom</v>
      </c>
    </row>
    <row r="1517" spans="1:25" ht="15" customHeight="1" x14ac:dyDescent="0.2">
      <c r="A1517" s="12" t="s">
        <v>3244</v>
      </c>
      <c r="B1517" s="56">
        <v>58526733</v>
      </c>
      <c r="C1517" s="12" t="s">
        <v>3245</v>
      </c>
      <c r="D1517" s="12"/>
      <c r="E1517" s="12" t="s">
        <v>3246</v>
      </c>
      <c r="F1517" s="12" t="s">
        <v>65</v>
      </c>
      <c r="G1517" s="33">
        <v>2</v>
      </c>
      <c r="H1517" s="33">
        <v>43</v>
      </c>
      <c r="I1517" s="12" t="s">
        <v>38</v>
      </c>
      <c r="J1517" s="12" t="s">
        <v>39</v>
      </c>
      <c r="K1517" s="73" t="s">
        <v>29</v>
      </c>
      <c r="L1517" s="13">
        <v>2075</v>
      </c>
      <c r="M1517" s="13">
        <v>0</v>
      </c>
      <c r="N1517" s="13">
        <v>2049</v>
      </c>
      <c r="O1517" s="13">
        <v>461</v>
      </c>
      <c r="P1517" s="13">
        <v>0</v>
      </c>
      <c r="Q1517" s="13">
        <v>1614</v>
      </c>
      <c r="R1517" s="13">
        <v>108</v>
      </c>
      <c r="S1517" s="13">
        <v>2</v>
      </c>
      <c r="T1517" s="13">
        <v>0</v>
      </c>
      <c r="U1517" s="12" t="str">
        <f t="shared" si="92"/>
        <v>Privado Nacional</v>
      </c>
      <c r="V1517" s="14">
        <f t="shared" si="93"/>
        <v>0</v>
      </c>
      <c r="W1517" s="14">
        <f t="shared" si="94"/>
        <v>6.6914498141263934E-2</v>
      </c>
      <c r="X1517" s="12" t="str">
        <f t="shared" si="95"/>
        <v>Média/Pequena</v>
      </c>
      <c r="Y1517" s="122" t="str" cm="1">
        <f t="array" ref="Y1517">_xlfn.IFS(ISNUMBER(W1517)=FALSE,"Sem dado",W1517&gt;0.075,"Excelente",W1517&gt;0.04,"Bom",W1517&gt;0,"Fraco",TRUE,"Prejuízo")</f>
        <v>Bom</v>
      </c>
    </row>
    <row r="1518" spans="1:25" ht="15" customHeight="1" x14ac:dyDescent="0.2">
      <c r="A1518" s="15" t="s">
        <v>3247</v>
      </c>
      <c r="B1518" s="60">
        <v>10749264</v>
      </c>
      <c r="C1518" s="15" t="s">
        <v>3248</v>
      </c>
      <c r="D1518" s="15"/>
      <c r="E1518" s="15" t="s">
        <v>3249</v>
      </c>
      <c r="F1518" s="15" t="s">
        <v>98</v>
      </c>
      <c r="G1518" s="34">
        <v>2</v>
      </c>
      <c r="H1518" s="34">
        <v>16</v>
      </c>
      <c r="I1518" s="15" t="s">
        <v>53</v>
      </c>
      <c r="J1518" s="15" t="s">
        <v>54</v>
      </c>
      <c r="K1518" s="74" t="s">
        <v>29</v>
      </c>
      <c r="L1518" s="16">
        <v>2029</v>
      </c>
      <c r="M1518" s="16">
        <v>0</v>
      </c>
      <c r="N1518" s="16">
        <v>1663</v>
      </c>
      <c r="O1518" s="16">
        <v>951</v>
      </c>
      <c r="P1518" s="16">
        <v>0</v>
      </c>
      <c r="Q1518" s="16">
        <v>1078</v>
      </c>
      <c r="R1518" s="16">
        <v>473</v>
      </c>
      <c r="S1518" s="16">
        <v>3</v>
      </c>
      <c r="T1518" s="16">
        <v>0</v>
      </c>
      <c r="U1518" s="15" t="str">
        <f t="shared" si="92"/>
        <v>Privado Nacional</v>
      </c>
      <c r="V1518" s="17">
        <f t="shared" si="93"/>
        <v>0</v>
      </c>
      <c r="W1518" s="17">
        <f t="shared" si="94"/>
        <v>0.43877551020408162</v>
      </c>
      <c r="X1518" s="15" t="str">
        <f t="shared" si="95"/>
        <v>Média/Pequena</v>
      </c>
      <c r="Y1518" s="121" t="str" cm="1">
        <f t="array" ref="Y1518">_xlfn.IFS(ISNUMBER(W1518)=FALSE,"Sem dado",W1518&gt;0.075,"Excelente",W1518&gt;0.04,"Bom",W1518&gt;0,"Fraco",TRUE,"Prejuízo")</f>
        <v>Excelente</v>
      </c>
    </row>
    <row r="1519" spans="1:25" ht="15" customHeight="1" x14ac:dyDescent="0.2">
      <c r="A1519" s="12" t="s">
        <v>3250</v>
      </c>
      <c r="B1519" s="56">
        <v>88043187</v>
      </c>
      <c r="C1519" s="12"/>
      <c r="D1519" s="12"/>
      <c r="E1519" s="12"/>
      <c r="F1519" s="12" t="s">
        <v>265</v>
      </c>
      <c r="G1519" s="33">
        <v>2</v>
      </c>
      <c r="H1519" s="33">
        <v>9</v>
      </c>
      <c r="I1519" s="12" t="s">
        <v>2340</v>
      </c>
      <c r="J1519" s="12" t="s">
        <v>74</v>
      </c>
      <c r="K1519" s="73" t="s">
        <v>29</v>
      </c>
      <c r="L1519" s="13">
        <v>1975</v>
      </c>
      <c r="M1519" s="13">
        <v>1359</v>
      </c>
      <c r="N1519" s="13">
        <v>504</v>
      </c>
      <c r="O1519" s="13">
        <v>387</v>
      </c>
      <c r="P1519" s="13">
        <v>325</v>
      </c>
      <c r="Q1519" s="13">
        <v>1589</v>
      </c>
      <c r="R1519" s="13">
        <v>37</v>
      </c>
      <c r="S1519" s="13">
        <v>0</v>
      </c>
      <c r="T1519" s="13">
        <v>0</v>
      </c>
      <c r="U1519" s="12" t="str">
        <f t="shared" si="92"/>
        <v>Privado Nacional</v>
      </c>
      <c r="V1519" s="14">
        <f t="shared" si="93"/>
        <v>0.68810126582278486</v>
      </c>
      <c r="W1519" s="14">
        <f t="shared" si="94"/>
        <v>2.3285084959093771E-2</v>
      </c>
      <c r="X1519" s="12" t="str">
        <f t="shared" si="95"/>
        <v>Média/Pequena</v>
      </c>
      <c r="Y1519" s="122" t="str" cm="1">
        <f t="array" ref="Y1519">_xlfn.IFS(ISNUMBER(W1519)=FALSE,"Sem dado",W1519&gt;0.075,"Excelente",W1519&gt;0.04,"Bom",W1519&gt;0,"Fraco",TRUE,"Prejuízo")</f>
        <v>Fraco</v>
      </c>
    </row>
    <row r="1520" spans="1:25" ht="15" customHeight="1" x14ac:dyDescent="0.2">
      <c r="A1520" s="15" t="s">
        <v>3251</v>
      </c>
      <c r="B1520" s="60">
        <v>7327045</v>
      </c>
      <c r="C1520" s="15" t="s">
        <v>3252</v>
      </c>
      <c r="D1520" s="15"/>
      <c r="E1520" s="15" t="s">
        <v>3253</v>
      </c>
      <c r="F1520" s="15" t="s">
        <v>65</v>
      </c>
      <c r="G1520" s="34">
        <v>2</v>
      </c>
      <c r="H1520" s="34">
        <v>43</v>
      </c>
      <c r="I1520" s="15" t="s">
        <v>400</v>
      </c>
      <c r="J1520" s="15" t="s">
        <v>401</v>
      </c>
      <c r="K1520" s="74" t="s">
        <v>29</v>
      </c>
      <c r="L1520" s="16">
        <v>1949</v>
      </c>
      <c r="M1520" s="16">
        <v>1474</v>
      </c>
      <c r="N1520" s="16">
        <v>383</v>
      </c>
      <c r="O1520" s="16">
        <v>62</v>
      </c>
      <c r="P1520" s="16">
        <v>0</v>
      </c>
      <c r="Q1520" s="16">
        <v>1886</v>
      </c>
      <c r="R1520" s="16">
        <v>219</v>
      </c>
      <c r="S1520" s="16">
        <v>2</v>
      </c>
      <c r="T1520" s="16">
        <v>0</v>
      </c>
      <c r="U1520" s="15" t="str">
        <f t="shared" si="92"/>
        <v>Privado Nacional</v>
      </c>
      <c r="V1520" s="17">
        <f t="shared" si="93"/>
        <v>0.75628527449974348</v>
      </c>
      <c r="W1520" s="17">
        <f t="shared" si="94"/>
        <v>0.11611876988335101</v>
      </c>
      <c r="X1520" s="15" t="str">
        <f t="shared" si="95"/>
        <v>Média/Pequena</v>
      </c>
      <c r="Y1520" s="121" t="str" cm="1">
        <f t="array" ref="Y1520">_xlfn.IFS(ISNUMBER(W1520)=FALSE,"Sem dado",W1520&gt;0.075,"Excelente",W1520&gt;0.04,"Bom",W1520&gt;0,"Fraco",TRUE,"Prejuízo")</f>
        <v>Excelente</v>
      </c>
    </row>
    <row r="1521" spans="1:25" ht="15" customHeight="1" x14ac:dyDescent="0.2">
      <c r="A1521" s="12" t="s">
        <v>3254</v>
      </c>
      <c r="B1521" s="56">
        <v>6942423</v>
      </c>
      <c r="C1521" s="12"/>
      <c r="D1521" s="12"/>
      <c r="E1521" s="12"/>
      <c r="F1521" s="12" t="s">
        <v>265</v>
      </c>
      <c r="G1521" s="33">
        <v>2</v>
      </c>
      <c r="H1521" s="33">
        <v>9</v>
      </c>
      <c r="I1521" s="12" t="s">
        <v>228</v>
      </c>
      <c r="J1521" s="12" t="s">
        <v>229</v>
      </c>
      <c r="K1521" s="73" t="s">
        <v>29</v>
      </c>
      <c r="L1521" s="13">
        <v>1890</v>
      </c>
      <c r="M1521" s="13">
        <v>637</v>
      </c>
      <c r="N1521" s="13">
        <v>1196</v>
      </c>
      <c r="O1521" s="13">
        <v>76</v>
      </c>
      <c r="P1521" s="13">
        <v>0</v>
      </c>
      <c r="Q1521" s="13">
        <v>1813</v>
      </c>
      <c r="R1521" s="13">
        <v>48</v>
      </c>
      <c r="S1521" s="13">
        <v>0</v>
      </c>
      <c r="T1521" s="13">
        <v>0</v>
      </c>
      <c r="U1521" s="12" t="str">
        <f t="shared" si="92"/>
        <v>Privado Nacional</v>
      </c>
      <c r="V1521" s="14">
        <f t="shared" si="93"/>
        <v>0.33703703703703702</v>
      </c>
      <c r="W1521" s="14">
        <f t="shared" si="94"/>
        <v>2.6475455046883617E-2</v>
      </c>
      <c r="X1521" s="12" t="str">
        <f t="shared" si="95"/>
        <v>Média/Pequena</v>
      </c>
      <c r="Y1521" s="122" t="str" cm="1">
        <f t="array" ref="Y1521">_xlfn.IFS(ISNUMBER(W1521)=FALSE,"Sem dado",W1521&gt;0.075,"Excelente",W1521&gt;0.04,"Bom",W1521&gt;0,"Fraco",TRUE,"Prejuízo")</f>
        <v>Fraco</v>
      </c>
    </row>
    <row r="1522" spans="1:25" ht="15" customHeight="1" x14ac:dyDescent="0.2">
      <c r="A1522" s="15" t="s">
        <v>3255</v>
      </c>
      <c r="B1522" s="60">
        <v>58006471</v>
      </c>
      <c r="C1522" s="15" t="s">
        <v>2691</v>
      </c>
      <c r="D1522" s="15" t="s">
        <v>2692</v>
      </c>
      <c r="E1522" s="15" t="s">
        <v>2693</v>
      </c>
      <c r="F1522" s="15" t="s">
        <v>98</v>
      </c>
      <c r="G1522" s="34">
        <v>2</v>
      </c>
      <c r="H1522" s="34">
        <v>16</v>
      </c>
      <c r="I1522" s="15" t="s">
        <v>73</v>
      </c>
      <c r="J1522" s="15" t="s">
        <v>74</v>
      </c>
      <c r="K1522" s="74" t="s">
        <v>29</v>
      </c>
      <c r="L1522" s="16">
        <v>1888</v>
      </c>
      <c r="M1522" s="16">
        <v>0</v>
      </c>
      <c r="N1522" s="16">
        <v>143</v>
      </c>
      <c r="O1522" s="16">
        <v>341</v>
      </c>
      <c r="P1522" s="16">
        <v>0</v>
      </c>
      <c r="Q1522" s="16">
        <v>1547</v>
      </c>
      <c r="R1522" s="16">
        <v>-1042</v>
      </c>
      <c r="S1522" s="16">
        <v>2</v>
      </c>
      <c r="T1522" s="16">
        <v>0</v>
      </c>
      <c r="U1522" s="15" t="str">
        <f t="shared" si="92"/>
        <v>Privado Nacional</v>
      </c>
      <c r="V1522" s="17">
        <f t="shared" si="93"/>
        <v>0</v>
      </c>
      <c r="W1522" s="17">
        <f t="shared" si="94"/>
        <v>-0.67356173238526185</v>
      </c>
      <c r="X1522" s="15" t="str">
        <f t="shared" si="95"/>
        <v>Média/Pequena</v>
      </c>
      <c r="Y1522" s="121" t="str" cm="1">
        <f t="array" ref="Y1522">_xlfn.IFS(ISNUMBER(W1522)=FALSE,"Sem dado",W1522&gt;0.075,"Excelente",W1522&gt;0.04,"Bom",W1522&gt;0,"Fraco",TRUE,"Prejuízo")</f>
        <v>Prejuízo</v>
      </c>
    </row>
    <row r="1523" spans="1:25" ht="15" customHeight="1" x14ac:dyDescent="0.2">
      <c r="A1523" s="12" t="s">
        <v>3256</v>
      </c>
      <c r="B1523" s="56">
        <v>18340695</v>
      </c>
      <c r="C1523" s="12"/>
      <c r="D1523" s="12"/>
      <c r="E1523" s="12"/>
      <c r="F1523" s="12" t="s">
        <v>265</v>
      </c>
      <c r="G1523" s="33">
        <v>2</v>
      </c>
      <c r="H1523" s="33">
        <v>9</v>
      </c>
      <c r="I1523" s="12" t="s">
        <v>3150</v>
      </c>
      <c r="J1523" s="12" t="s">
        <v>120</v>
      </c>
      <c r="K1523" s="73" t="s">
        <v>29</v>
      </c>
      <c r="L1523" s="13">
        <v>1874</v>
      </c>
      <c r="M1523" s="13">
        <v>1344</v>
      </c>
      <c r="N1523" s="13">
        <v>210</v>
      </c>
      <c r="O1523" s="13">
        <v>193</v>
      </c>
      <c r="P1523" s="13">
        <v>0</v>
      </c>
      <c r="Q1523" s="13">
        <v>1682</v>
      </c>
      <c r="R1523" s="13">
        <v>23</v>
      </c>
      <c r="S1523" s="13">
        <v>0</v>
      </c>
      <c r="T1523" s="13">
        <v>0</v>
      </c>
      <c r="U1523" s="12" t="str">
        <f t="shared" si="92"/>
        <v>Privado Nacional</v>
      </c>
      <c r="V1523" s="14">
        <f t="shared" si="93"/>
        <v>0.71718249733191031</v>
      </c>
      <c r="W1523" s="14">
        <f t="shared" si="94"/>
        <v>1.3674197384066587E-2</v>
      </c>
      <c r="X1523" s="12" t="str">
        <f t="shared" si="95"/>
        <v>Média/Pequena</v>
      </c>
      <c r="Y1523" s="122" t="str" cm="1">
        <f t="array" ref="Y1523">_xlfn.IFS(ISNUMBER(W1523)=FALSE,"Sem dado",W1523&gt;0.075,"Excelente",W1523&gt;0.04,"Bom",W1523&gt;0,"Fraco",TRUE,"Prejuízo")</f>
        <v>Fraco</v>
      </c>
    </row>
    <row r="1524" spans="1:25" ht="15" customHeight="1" x14ac:dyDescent="0.2">
      <c r="A1524" s="15" t="s">
        <v>3257</v>
      </c>
      <c r="B1524" s="60">
        <v>52137361</v>
      </c>
      <c r="C1524" s="15"/>
      <c r="D1524" s="15"/>
      <c r="E1524" s="15"/>
      <c r="F1524" s="15" t="s">
        <v>265</v>
      </c>
      <c r="G1524" s="34">
        <v>2</v>
      </c>
      <c r="H1524" s="34">
        <v>9</v>
      </c>
      <c r="I1524" s="15" t="s">
        <v>2515</v>
      </c>
      <c r="J1524" s="15" t="s">
        <v>39</v>
      </c>
      <c r="K1524" s="74" t="s">
        <v>29</v>
      </c>
      <c r="L1524" s="16">
        <v>1869</v>
      </c>
      <c r="M1524" s="16">
        <v>1502</v>
      </c>
      <c r="N1524" s="16">
        <v>287</v>
      </c>
      <c r="O1524" s="16">
        <v>50</v>
      </c>
      <c r="P1524" s="16">
        <v>0</v>
      </c>
      <c r="Q1524" s="16">
        <v>1819</v>
      </c>
      <c r="R1524" s="16">
        <v>57</v>
      </c>
      <c r="S1524" s="16">
        <v>0</v>
      </c>
      <c r="T1524" s="16">
        <v>0</v>
      </c>
      <c r="U1524" s="15" t="str">
        <f t="shared" si="92"/>
        <v>Privado Nacional</v>
      </c>
      <c r="V1524" s="17">
        <f t="shared" si="93"/>
        <v>0.80363830925628676</v>
      </c>
      <c r="W1524" s="17">
        <f t="shared" si="94"/>
        <v>3.1335898845519516E-2</v>
      </c>
      <c r="X1524" s="15" t="str">
        <f t="shared" si="95"/>
        <v>Média/Pequena</v>
      </c>
      <c r="Y1524" s="121" t="str" cm="1">
        <f t="array" ref="Y1524">_xlfn.IFS(ISNUMBER(W1524)=FALSE,"Sem dado",W1524&gt;0.075,"Excelente",W1524&gt;0.04,"Bom",W1524&gt;0,"Fraco",TRUE,"Prejuízo")</f>
        <v>Fraco</v>
      </c>
    </row>
    <row r="1525" spans="1:25" ht="15" customHeight="1" x14ac:dyDescent="0.2">
      <c r="A1525" s="12" t="s">
        <v>3258</v>
      </c>
      <c r="B1525" s="56">
        <v>32820711</v>
      </c>
      <c r="C1525" s="12" t="s">
        <v>3259</v>
      </c>
      <c r="D1525" s="12"/>
      <c r="E1525" s="12" t="s">
        <v>3260</v>
      </c>
      <c r="F1525" s="12" t="s">
        <v>84</v>
      </c>
      <c r="G1525" s="33">
        <v>2</v>
      </c>
      <c r="H1525" s="33">
        <v>41</v>
      </c>
      <c r="I1525" s="12" t="s">
        <v>38</v>
      </c>
      <c r="J1525" s="12" t="s">
        <v>39</v>
      </c>
      <c r="K1525" s="73" t="s">
        <v>29</v>
      </c>
      <c r="L1525" s="13">
        <v>1839</v>
      </c>
      <c r="M1525" s="13">
        <v>0</v>
      </c>
      <c r="N1525" s="13">
        <v>314</v>
      </c>
      <c r="O1525" s="13">
        <v>641</v>
      </c>
      <c r="P1525" s="13">
        <v>0</v>
      </c>
      <c r="Q1525" s="13">
        <v>1198</v>
      </c>
      <c r="R1525" s="13">
        <v>984</v>
      </c>
      <c r="S1525" s="13">
        <v>1</v>
      </c>
      <c r="T1525" s="13">
        <v>0</v>
      </c>
      <c r="U1525" s="12" t="str">
        <f t="shared" si="92"/>
        <v>Privado Nacional</v>
      </c>
      <c r="V1525" s="14">
        <f t="shared" si="93"/>
        <v>0</v>
      </c>
      <c r="W1525" s="14">
        <f t="shared" si="94"/>
        <v>0.82136894824707851</v>
      </c>
      <c r="X1525" s="12" t="str">
        <f t="shared" si="95"/>
        <v>Média/Pequena</v>
      </c>
      <c r="Y1525" s="122" t="str" cm="1">
        <f t="array" ref="Y1525">_xlfn.IFS(ISNUMBER(W1525)=FALSE,"Sem dado",W1525&gt;0.075,"Excelente",W1525&gt;0.04,"Bom",W1525&gt;0,"Fraco",TRUE,"Prejuízo")</f>
        <v>Excelente</v>
      </c>
    </row>
    <row r="1526" spans="1:25" ht="15" customHeight="1" x14ac:dyDescent="0.2">
      <c r="A1526" s="15" t="s">
        <v>3261</v>
      </c>
      <c r="B1526" s="60">
        <v>34139916</v>
      </c>
      <c r="C1526" s="15" t="s">
        <v>3262</v>
      </c>
      <c r="D1526" s="15"/>
      <c r="E1526" s="15" t="s">
        <v>3263</v>
      </c>
      <c r="F1526" s="15" t="s">
        <v>65</v>
      </c>
      <c r="G1526" s="34">
        <v>2</v>
      </c>
      <c r="H1526" s="34">
        <v>44</v>
      </c>
      <c r="I1526" s="15" t="s">
        <v>119</v>
      </c>
      <c r="J1526" s="15" t="s">
        <v>120</v>
      </c>
      <c r="K1526" s="74" t="s">
        <v>29</v>
      </c>
      <c r="L1526" s="16">
        <v>1792</v>
      </c>
      <c r="M1526" s="16">
        <v>0</v>
      </c>
      <c r="N1526" s="16">
        <v>336</v>
      </c>
      <c r="O1526" s="16">
        <v>199</v>
      </c>
      <c r="P1526" s="16">
        <v>0</v>
      </c>
      <c r="Q1526" s="16">
        <v>1593</v>
      </c>
      <c r="R1526" s="16">
        <v>5</v>
      </c>
      <c r="S1526" s="16">
        <v>2</v>
      </c>
      <c r="T1526" s="16">
        <v>0</v>
      </c>
      <c r="U1526" s="15" t="str">
        <f t="shared" si="92"/>
        <v>Privado Nacional</v>
      </c>
      <c r="V1526" s="17">
        <f t="shared" si="93"/>
        <v>0</v>
      </c>
      <c r="W1526" s="17">
        <f t="shared" si="94"/>
        <v>3.1387319522912741E-3</v>
      </c>
      <c r="X1526" s="15" t="str">
        <f t="shared" si="95"/>
        <v>Média/Pequena</v>
      </c>
      <c r="Y1526" s="121" t="str" cm="1">
        <f t="array" ref="Y1526">_xlfn.IFS(ISNUMBER(W1526)=FALSE,"Sem dado",W1526&gt;0.075,"Excelente",W1526&gt;0.04,"Bom",W1526&gt;0,"Fraco",TRUE,"Prejuízo")</f>
        <v>Fraco</v>
      </c>
    </row>
    <row r="1527" spans="1:25" ht="15" customHeight="1" x14ac:dyDescent="0.2">
      <c r="A1527" s="12" t="s">
        <v>3264</v>
      </c>
      <c r="B1527" s="56">
        <v>4152107</v>
      </c>
      <c r="C1527" s="12"/>
      <c r="D1527" s="12"/>
      <c r="E1527" s="12"/>
      <c r="F1527" s="12" t="s">
        <v>265</v>
      </c>
      <c r="G1527" s="33">
        <v>2</v>
      </c>
      <c r="H1527" s="33">
        <v>9</v>
      </c>
      <c r="I1527" s="12" t="s">
        <v>3265</v>
      </c>
      <c r="J1527" s="12" t="s">
        <v>39</v>
      </c>
      <c r="K1527" s="73" t="s">
        <v>29</v>
      </c>
      <c r="L1527" s="13">
        <v>1781</v>
      </c>
      <c r="M1527" s="13">
        <v>1088</v>
      </c>
      <c r="N1527" s="13">
        <v>521</v>
      </c>
      <c r="O1527" s="13">
        <v>653</v>
      </c>
      <c r="P1527" s="13">
        <v>0</v>
      </c>
      <c r="Q1527" s="13">
        <v>1127</v>
      </c>
      <c r="R1527" s="13">
        <v>59</v>
      </c>
      <c r="S1527" s="13">
        <v>0</v>
      </c>
      <c r="T1527" s="13">
        <v>0</v>
      </c>
      <c r="U1527" s="12" t="str">
        <f t="shared" si="92"/>
        <v>Privado Nacional</v>
      </c>
      <c r="V1527" s="14">
        <f t="shared" si="93"/>
        <v>0.61089275687815836</v>
      </c>
      <c r="W1527" s="14">
        <f t="shared" si="94"/>
        <v>5.2351375332741791E-2</v>
      </c>
      <c r="X1527" s="12" t="str">
        <f t="shared" si="95"/>
        <v>Média/Pequena</v>
      </c>
      <c r="Y1527" s="122" t="str" cm="1">
        <f t="array" ref="Y1527">_xlfn.IFS(ISNUMBER(W1527)=FALSE,"Sem dado",W1527&gt;0.075,"Excelente",W1527&gt;0.04,"Bom",W1527&gt;0,"Fraco",TRUE,"Prejuízo")</f>
        <v>Bom</v>
      </c>
    </row>
    <row r="1528" spans="1:25" ht="15" customHeight="1" x14ac:dyDescent="0.2">
      <c r="A1528" s="15" t="s">
        <v>3266</v>
      </c>
      <c r="B1528" s="60">
        <v>10548608</v>
      </c>
      <c r="C1528" s="15"/>
      <c r="D1528" s="15"/>
      <c r="E1528" s="15"/>
      <c r="F1528" s="15" t="s">
        <v>265</v>
      </c>
      <c r="G1528" s="34">
        <v>2</v>
      </c>
      <c r="H1528" s="34">
        <v>9</v>
      </c>
      <c r="I1528" s="15" t="s">
        <v>3267</v>
      </c>
      <c r="J1528" s="15" t="s">
        <v>211</v>
      </c>
      <c r="K1528" s="74" t="s">
        <v>29</v>
      </c>
      <c r="L1528" s="16">
        <v>1693</v>
      </c>
      <c r="M1528" s="16">
        <v>1310</v>
      </c>
      <c r="N1528" s="16">
        <v>323</v>
      </c>
      <c r="O1528" s="16">
        <v>33</v>
      </c>
      <c r="P1528" s="16">
        <v>0</v>
      </c>
      <c r="Q1528" s="16">
        <v>1660</v>
      </c>
      <c r="R1528" s="16">
        <v>27</v>
      </c>
      <c r="S1528" s="16">
        <v>0</v>
      </c>
      <c r="T1528" s="16">
        <v>0</v>
      </c>
      <c r="U1528" s="15" t="str">
        <f t="shared" si="92"/>
        <v>Privado Nacional</v>
      </c>
      <c r="V1528" s="17">
        <f t="shared" si="93"/>
        <v>0.77377436503248676</v>
      </c>
      <c r="W1528" s="17">
        <f t="shared" si="94"/>
        <v>1.6265060240963854E-2</v>
      </c>
      <c r="X1528" s="15" t="str">
        <f t="shared" si="95"/>
        <v>Média/Pequena</v>
      </c>
      <c r="Y1528" s="121" t="str" cm="1">
        <f t="array" ref="Y1528">_xlfn.IFS(ISNUMBER(W1528)=FALSE,"Sem dado",W1528&gt;0.075,"Excelente",W1528&gt;0.04,"Bom",W1528&gt;0,"Fraco",TRUE,"Prejuízo")</f>
        <v>Fraco</v>
      </c>
    </row>
    <row r="1529" spans="1:25" ht="15" customHeight="1" x14ac:dyDescent="0.2">
      <c r="A1529" s="12" t="s">
        <v>3268</v>
      </c>
      <c r="B1529" s="56">
        <v>40819834</v>
      </c>
      <c r="C1529" s="12" t="s">
        <v>3269</v>
      </c>
      <c r="D1529" s="12"/>
      <c r="E1529" s="12" t="s">
        <v>3270</v>
      </c>
      <c r="F1529" s="12" t="s">
        <v>65</v>
      </c>
      <c r="G1529" s="33">
        <v>2</v>
      </c>
      <c r="H1529" s="33">
        <v>44</v>
      </c>
      <c r="I1529" s="12" t="s">
        <v>27</v>
      </c>
      <c r="J1529" s="12" t="s">
        <v>28</v>
      </c>
      <c r="K1529" s="73" t="s">
        <v>29</v>
      </c>
      <c r="L1529" s="13">
        <v>1639</v>
      </c>
      <c r="M1529" s="13">
        <v>0</v>
      </c>
      <c r="N1529" s="13">
        <v>0</v>
      </c>
      <c r="O1529" s="13">
        <v>1944</v>
      </c>
      <c r="P1529" s="13">
        <v>0</v>
      </c>
      <c r="Q1529" s="13">
        <v>-305</v>
      </c>
      <c r="R1529" s="13">
        <v>336</v>
      </c>
      <c r="S1529" s="13">
        <v>2</v>
      </c>
      <c r="T1529" s="13">
        <v>0</v>
      </c>
      <c r="U1529" s="12" t="str">
        <f t="shared" si="92"/>
        <v>Privado Nacional</v>
      </c>
      <c r="V1529" s="14">
        <f t="shared" si="93"/>
        <v>0</v>
      </c>
      <c r="W1529" s="14" t="str">
        <f t="shared" si="94"/>
        <v>n.d.</v>
      </c>
      <c r="X1529" s="12" t="str">
        <f t="shared" si="95"/>
        <v>Média/Pequena</v>
      </c>
      <c r="Y1529" s="122" t="str" cm="1">
        <f t="array" ref="Y1529">_xlfn.IFS(ISNUMBER(W1529)=FALSE,"Sem dado",W1529&gt;0.075,"Excelente",W1529&gt;0.04,"Bom",W1529&gt;0,"Fraco",TRUE,"Prejuízo")</f>
        <v>Sem dado</v>
      </c>
    </row>
    <row r="1530" spans="1:25" ht="15" customHeight="1" x14ac:dyDescent="0.2">
      <c r="A1530" s="15" t="s">
        <v>3271</v>
      </c>
      <c r="B1530" s="60">
        <v>51982600</v>
      </c>
      <c r="C1530" s="15" t="s">
        <v>3272</v>
      </c>
      <c r="D1530" s="15"/>
      <c r="E1530" s="15" t="s">
        <v>3273</v>
      </c>
      <c r="F1530" s="15" t="s">
        <v>84</v>
      </c>
      <c r="G1530" s="34">
        <v>2</v>
      </c>
      <c r="H1530" s="34">
        <v>41</v>
      </c>
      <c r="I1530" s="15" t="s">
        <v>38</v>
      </c>
      <c r="J1530" s="15" t="s">
        <v>39</v>
      </c>
      <c r="K1530" s="74" t="s">
        <v>29</v>
      </c>
      <c r="L1530" s="16">
        <v>1617</v>
      </c>
      <c r="M1530" s="16">
        <v>0</v>
      </c>
      <c r="N1530" s="16">
        <v>412</v>
      </c>
      <c r="O1530" s="16">
        <v>5</v>
      </c>
      <c r="P1530" s="16">
        <v>0</v>
      </c>
      <c r="Q1530" s="16">
        <v>1611</v>
      </c>
      <c r="R1530" s="16">
        <v>-10</v>
      </c>
      <c r="S1530" s="16">
        <v>1</v>
      </c>
      <c r="T1530" s="16">
        <v>0</v>
      </c>
      <c r="U1530" s="15" t="str">
        <f t="shared" si="92"/>
        <v>Privado Nacional</v>
      </c>
      <c r="V1530" s="17">
        <f t="shared" si="93"/>
        <v>0</v>
      </c>
      <c r="W1530" s="17">
        <f t="shared" si="94"/>
        <v>-6.2073246430788334E-3</v>
      </c>
      <c r="X1530" s="15" t="str">
        <f t="shared" si="95"/>
        <v>Média/Pequena</v>
      </c>
      <c r="Y1530" s="121" t="str" cm="1">
        <f t="array" ref="Y1530">_xlfn.IFS(ISNUMBER(W1530)=FALSE,"Sem dado",W1530&gt;0.075,"Excelente",W1530&gt;0.04,"Bom",W1530&gt;0,"Fraco",TRUE,"Prejuízo")</f>
        <v>Prejuízo</v>
      </c>
    </row>
    <row r="1531" spans="1:25" ht="15" customHeight="1" x14ac:dyDescent="0.2">
      <c r="A1531" s="12" t="s">
        <v>3274</v>
      </c>
      <c r="B1531" s="56">
        <v>16854999</v>
      </c>
      <c r="C1531" s="12" t="s">
        <v>3275</v>
      </c>
      <c r="D1531" s="12"/>
      <c r="E1531" s="12" t="s">
        <v>3276</v>
      </c>
      <c r="F1531" s="12" t="s">
        <v>98</v>
      </c>
      <c r="G1531" s="33">
        <v>2</v>
      </c>
      <c r="H1531" s="33">
        <v>21</v>
      </c>
      <c r="I1531" s="12" t="s">
        <v>305</v>
      </c>
      <c r="J1531" s="12" t="s">
        <v>229</v>
      </c>
      <c r="K1531" s="73" t="s">
        <v>29</v>
      </c>
      <c r="L1531" s="13">
        <v>1581</v>
      </c>
      <c r="M1531" s="13">
        <v>0</v>
      </c>
      <c r="N1531" s="13">
        <v>0</v>
      </c>
      <c r="O1531" s="13">
        <v>155</v>
      </c>
      <c r="P1531" s="13">
        <v>0</v>
      </c>
      <c r="Q1531" s="13">
        <v>1425</v>
      </c>
      <c r="R1531" s="13">
        <v>27</v>
      </c>
      <c r="S1531" s="13">
        <v>2</v>
      </c>
      <c r="T1531" s="13">
        <v>0</v>
      </c>
      <c r="U1531" s="12" t="str">
        <f t="shared" si="92"/>
        <v>Privado Nacional</v>
      </c>
      <c r="V1531" s="14">
        <f t="shared" si="93"/>
        <v>0</v>
      </c>
      <c r="W1531" s="14">
        <f t="shared" si="94"/>
        <v>1.8947368421052633E-2</v>
      </c>
      <c r="X1531" s="12" t="str">
        <f t="shared" si="95"/>
        <v>Média/Pequena</v>
      </c>
      <c r="Y1531" s="122" t="str" cm="1">
        <f t="array" ref="Y1531">_xlfn.IFS(ISNUMBER(W1531)=FALSE,"Sem dado",W1531&gt;0.075,"Excelente",W1531&gt;0.04,"Bom",W1531&gt;0,"Fraco",TRUE,"Prejuízo")</f>
        <v>Fraco</v>
      </c>
    </row>
    <row r="1532" spans="1:25" ht="15" customHeight="1" x14ac:dyDescent="0.2">
      <c r="A1532" s="15" t="s">
        <v>3277</v>
      </c>
      <c r="B1532" s="60">
        <v>63436443</v>
      </c>
      <c r="C1532" s="15" t="s">
        <v>3278</v>
      </c>
      <c r="D1532" s="15"/>
      <c r="E1532" s="15" t="s">
        <v>3279</v>
      </c>
      <c r="F1532" s="15" t="s">
        <v>98</v>
      </c>
      <c r="G1532" s="34">
        <v>2</v>
      </c>
      <c r="H1532" s="34">
        <v>21</v>
      </c>
      <c r="I1532" s="15" t="s">
        <v>38</v>
      </c>
      <c r="J1532" s="15" t="s">
        <v>39</v>
      </c>
      <c r="K1532" s="74" t="s">
        <v>29</v>
      </c>
      <c r="L1532" s="16">
        <v>1566</v>
      </c>
      <c r="M1532" s="16">
        <v>0</v>
      </c>
      <c r="N1532" s="16">
        <v>0</v>
      </c>
      <c r="O1532" s="16">
        <v>766</v>
      </c>
      <c r="P1532" s="16">
        <v>0</v>
      </c>
      <c r="Q1532" s="16">
        <v>800</v>
      </c>
      <c r="R1532" s="16">
        <v>-619</v>
      </c>
      <c r="S1532" s="16">
        <v>2</v>
      </c>
      <c r="T1532" s="16">
        <v>0</v>
      </c>
      <c r="U1532" s="15" t="str">
        <f t="shared" si="92"/>
        <v>Privado Nacional</v>
      </c>
      <c r="V1532" s="17">
        <f t="shared" si="93"/>
        <v>0</v>
      </c>
      <c r="W1532" s="17">
        <f t="shared" si="94"/>
        <v>-0.77375000000000005</v>
      </c>
      <c r="X1532" s="15" t="str">
        <f t="shared" si="95"/>
        <v>Média/Pequena</v>
      </c>
      <c r="Y1532" s="121" t="str" cm="1">
        <f t="array" ref="Y1532">_xlfn.IFS(ISNUMBER(W1532)=FALSE,"Sem dado",W1532&gt;0.075,"Excelente",W1532&gt;0.04,"Bom",W1532&gt;0,"Fraco",TRUE,"Prejuízo")</f>
        <v>Prejuízo</v>
      </c>
    </row>
    <row r="1533" spans="1:25" ht="15" customHeight="1" x14ac:dyDescent="0.2">
      <c r="A1533" s="12" t="s">
        <v>3280</v>
      </c>
      <c r="B1533" s="56">
        <v>27348513</v>
      </c>
      <c r="C1533" s="12" t="s">
        <v>3281</v>
      </c>
      <c r="D1533" s="12"/>
      <c r="E1533" s="12" t="s">
        <v>3282</v>
      </c>
      <c r="F1533" s="12" t="s">
        <v>65</v>
      </c>
      <c r="G1533" s="33">
        <v>2</v>
      </c>
      <c r="H1533" s="33">
        <v>10</v>
      </c>
      <c r="I1533" s="12" t="s">
        <v>404</v>
      </c>
      <c r="J1533" s="12" t="s">
        <v>401</v>
      </c>
      <c r="K1533" s="73" t="s">
        <v>29</v>
      </c>
      <c r="L1533" s="13">
        <v>1541</v>
      </c>
      <c r="M1533" s="13">
        <v>1304</v>
      </c>
      <c r="N1533" s="13">
        <v>11</v>
      </c>
      <c r="O1533" s="13">
        <v>76</v>
      </c>
      <c r="P1533" s="13">
        <v>0</v>
      </c>
      <c r="Q1533" s="13">
        <v>1465</v>
      </c>
      <c r="R1533" s="13">
        <v>2</v>
      </c>
      <c r="S1533" s="13">
        <v>2</v>
      </c>
      <c r="T1533" s="13">
        <v>0</v>
      </c>
      <c r="U1533" s="12" t="str">
        <f t="shared" si="92"/>
        <v>Privado Nacional</v>
      </c>
      <c r="V1533" s="14">
        <f t="shared" si="93"/>
        <v>0.84620376378974693</v>
      </c>
      <c r="W1533" s="14">
        <f t="shared" si="94"/>
        <v>1.3651877133105802E-3</v>
      </c>
      <c r="X1533" s="12" t="str">
        <f t="shared" si="95"/>
        <v>Média/Pequena</v>
      </c>
      <c r="Y1533" s="122" t="str" cm="1">
        <f t="array" ref="Y1533">_xlfn.IFS(ISNUMBER(W1533)=FALSE,"Sem dado",W1533&gt;0.075,"Excelente",W1533&gt;0.04,"Bom",W1533&gt;0,"Fraco",TRUE,"Prejuízo")</f>
        <v>Fraco</v>
      </c>
    </row>
    <row r="1534" spans="1:25" ht="15" customHeight="1" x14ac:dyDescent="0.2">
      <c r="A1534" s="15" t="s">
        <v>3283</v>
      </c>
      <c r="B1534" s="60">
        <v>20177390</v>
      </c>
      <c r="C1534" s="15"/>
      <c r="D1534" s="15"/>
      <c r="E1534" s="15"/>
      <c r="F1534" s="15" t="s">
        <v>265</v>
      </c>
      <c r="G1534" s="34">
        <v>2</v>
      </c>
      <c r="H1534" s="34">
        <v>9</v>
      </c>
      <c r="I1534" s="15" t="s">
        <v>1211</v>
      </c>
      <c r="J1534" s="15" t="s">
        <v>120</v>
      </c>
      <c r="K1534" s="74" t="s">
        <v>29</v>
      </c>
      <c r="L1534" s="16">
        <v>1514</v>
      </c>
      <c r="M1534" s="16">
        <v>898</v>
      </c>
      <c r="N1534" s="16">
        <v>378</v>
      </c>
      <c r="O1534" s="16">
        <v>173</v>
      </c>
      <c r="P1534" s="16">
        <v>0</v>
      </c>
      <c r="Q1534" s="16">
        <v>1341</v>
      </c>
      <c r="R1534" s="16">
        <v>32</v>
      </c>
      <c r="S1534" s="16">
        <v>0</v>
      </c>
      <c r="T1534" s="16">
        <v>0</v>
      </c>
      <c r="U1534" s="15" t="str">
        <f t="shared" si="92"/>
        <v>Privado Nacional</v>
      </c>
      <c r="V1534" s="17">
        <f t="shared" si="93"/>
        <v>0.59313077939233816</v>
      </c>
      <c r="W1534" s="17">
        <f t="shared" si="94"/>
        <v>2.3862788963460103E-2</v>
      </c>
      <c r="X1534" s="15" t="str">
        <f t="shared" si="95"/>
        <v>Média/Pequena</v>
      </c>
      <c r="Y1534" s="121" t="str" cm="1">
        <f t="array" ref="Y1534">_xlfn.IFS(ISNUMBER(W1534)=FALSE,"Sem dado",W1534&gt;0.075,"Excelente",W1534&gt;0.04,"Bom",W1534&gt;0,"Fraco",TRUE,"Prejuízo")</f>
        <v>Fraco</v>
      </c>
    </row>
    <row r="1535" spans="1:25" ht="15" customHeight="1" x14ac:dyDescent="0.2">
      <c r="A1535" s="12" t="s">
        <v>3284</v>
      </c>
      <c r="B1535" s="56">
        <v>8931800</v>
      </c>
      <c r="C1535" s="12"/>
      <c r="D1535" s="12"/>
      <c r="E1535" s="12"/>
      <c r="F1535" s="12" t="s">
        <v>265</v>
      </c>
      <c r="G1535" s="33">
        <v>2</v>
      </c>
      <c r="H1535" s="33">
        <v>9</v>
      </c>
      <c r="I1535" s="12" t="s">
        <v>3285</v>
      </c>
      <c r="J1535" s="12" t="s">
        <v>1078</v>
      </c>
      <c r="K1535" s="73" t="s">
        <v>29</v>
      </c>
      <c r="L1535" s="13">
        <v>1483</v>
      </c>
      <c r="M1535" s="13">
        <v>573</v>
      </c>
      <c r="N1535" s="13">
        <v>838</v>
      </c>
      <c r="O1535" s="13">
        <v>43</v>
      </c>
      <c r="P1535" s="13">
        <v>0</v>
      </c>
      <c r="Q1535" s="13">
        <v>1440</v>
      </c>
      <c r="R1535" s="13">
        <v>-54</v>
      </c>
      <c r="S1535" s="13">
        <v>0</v>
      </c>
      <c r="T1535" s="13">
        <v>0</v>
      </c>
      <c r="U1535" s="12" t="str">
        <f t="shared" si="92"/>
        <v>Privado Nacional</v>
      </c>
      <c r="V1535" s="14">
        <f t="shared" si="93"/>
        <v>0.38637896156439649</v>
      </c>
      <c r="W1535" s="14">
        <f t="shared" si="94"/>
        <v>-3.7499999999999999E-2</v>
      </c>
      <c r="X1535" s="12" t="str">
        <f t="shared" si="95"/>
        <v>Média/Pequena</v>
      </c>
      <c r="Y1535" s="122" t="str" cm="1">
        <f t="array" ref="Y1535">_xlfn.IFS(ISNUMBER(W1535)=FALSE,"Sem dado",W1535&gt;0.075,"Excelente",W1535&gt;0.04,"Bom",W1535&gt;0,"Fraco",TRUE,"Prejuízo")</f>
        <v>Prejuízo</v>
      </c>
    </row>
    <row r="1536" spans="1:25" ht="15" customHeight="1" x14ac:dyDescent="0.2">
      <c r="A1536" s="15" t="s">
        <v>3286</v>
      </c>
      <c r="B1536" s="60">
        <v>29985421</v>
      </c>
      <c r="C1536" s="15"/>
      <c r="D1536" s="15"/>
      <c r="E1536" s="15"/>
      <c r="F1536" s="15" t="s">
        <v>265</v>
      </c>
      <c r="G1536" s="34">
        <v>2</v>
      </c>
      <c r="H1536" s="34">
        <v>9</v>
      </c>
      <c r="I1536" s="15" t="s">
        <v>182</v>
      </c>
      <c r="J1536" s="15" t="s">
        <v>183</v>
      </c>
      <c r="K1536" s="74" t="s">
        <v>29</v>
      </c>
      <c r="L1536" s="16">
        <v>1449</v>
      </c>
      <c r="M1536" s="16">
        <v>598</v>
      </c>
      <c r="N1536" s="16">
        <v>491</v>
      </c>
      <c r="O1536" s="16">
        <v>22</v>
      </c>
      <c r="P1536" s="16">
        <v>0</v>
      </c>
      <c r="Q1536" s="16">
        <v>1427</v>
      </c>
      <c r="R1536" s="16">
        <v>6</v>
      </c>
      <c r="S1536" s="16">
        <v>0</v>
      </c>
      <c r="T1536" s="16">
        <v>0</v>
      </c>
      <c r="U1536" s="15" t="str">
        <f t="shared" si="92"/>
        <v>Privado Nacional</v>
      </c>
      <c r="V1536" s="17">
        <f t="shared" si="93"/>
        <v>0.41269841269841268</v>
      </c>
      <c r="W1536" s="17">
        <f t="shared" si="94"/>
        <v>4.2046250875963564E-3</v>
      </c>
      <c r="X1536" s="15" t="str">
        <f t="shared" si="95"/>
        <v>Média/Pequena</v>
      </c>
      <c r="Y1536" s="121" t="str" cm="1">
        <f t="array" ref="Y1536">_xlfn.IFS(ISNUMBER(W1536)=FALSE,"Sem dado",W1536&gt;0.075,"Excelente",W1536&gt;0.04,"Bom",W1536&gt;0,"Fraco",TRUE,"Prejuízo")</f>
        <v>Fraco</v>
      </c>
    </row>
    <row r="1537" spans="1:25" ht="15" customHeight="1" x14ac:dyDescent="0.2">
      <c r="A1537" s="12" t="s">
        <v>3287</v>
      </c>
      <c r="B1537" s="56">
        <v>6369729</v>
      </c>
      <c r="C1537" s="12"/>
      <c r="D1537" s="12"/>
      <c r="E1537" s="12"/>
      <c r="F1537" s="12" t="s">
        <v>265</v>
      </c>
      <c r="G1537" s="33">
        <v>2</v>
      </c>
      <c r="H1537" s="33">
        <v>9</v>
      </c>
      <c r="I1537" s="12" t="s">
        <v>3288</v>
      </c>
      <c r="J1537" s="12" t="s">
        <v>217</v>
      </c>
      <c r="K1537" s="73" t="s">
        <v>29</v>
      </c>
      <c r="L1537" s="13">
        <v>1443</v>
      </c>
      <c r="M1537" s="13">
        <v>1059</v>
      </c>
      <c r="N1537" s="13">
        <v>54</v>
      </c>
      <c r="O1537" s="13">
        <v>628</v>
      </c>
      <c r="P1537" s="13">
        <v>615</v>
      </c>
      <c r="Q1537" s="13">
        <v>814</v>
      </c>
      <c r="R1537" s="13">
        <v>84</v>
      </c>
      <c r="S1537" s="13">
        <v>0</v>
      </c>
      <c r="T1537" s="13">
        <v>0</v>
      </c>
      <c r="U1537" s="12" t="str">
        <f t="shared" si="92"/>
        <v>Privado Nacional</v>
      </c>
      <c r="V1537" s="14">
        <f t="shared" si="93"/>
        <v>0.73388773388773387</v>
      </c>
      <c r="W1537" s="14">
        <f t="shared" si="94"/>
        <v>0.10319410319410319</v>
      </c>
      <c r="X1537" s="12" t="str">
        <f t="shared" si="95"/>
        <v>Média/Pequena</v>
      </c>
      <c r="Y1537" s="122" t="str" cm="1">
        <f t="array" ref="Y1537">_xlfn.IFS(ISNUMBER(W1537)=FALSE,"Sem dado",W1537&gt;0.075,"Excelente",W1537&gt;0.04,"Bom",W1537&gt;0,"Fraco",TRUE,"Prejuízo")</f>
        <v>Excelente</v>
      </c>
    </row>
    <row r="1538" spans="1:25" ht="15" customHeight="1" x14ac:dyDescent="0.2">
      <c r="A1538" s="15" t="s">
        <v>3289</v>
      </c>
      <c r="B1538" s="60">
        <v>61971803</v>
      </c>
      <c r="C1538" s="15" t="s">
        <v>3290</v>
      </c>
      <c r="D1538" s="15"/>
      <c r="E1538" s="15" t="s">
        <v>3291</v>
      </c>
      <c r="F1538" s="15" t="s">
        <v>65</v>
      </c>
      <c r="G1538" s="34">
        <v>2</v>
      </c>
      <c r="H1538" s="34">
        <v>43</v>
      </c>
      <c r="I1538" s="15" t="s">
        <v>73</v>
      </c>
      <c r="J1538" s="15" t="s">
        <v>74</v>
      </c>
      <c r="K1538" s="74" t="s">
        <v>29</v>
      </c>
      <c r="L1538" s="16">
        <v>1435</v>
      </c>
      <c r="M1538" s="16">
        <v>1311</v>
      </c>
      <c r="N1538" s="16">
        <v>0</v>
      </c>
      <c r="O1538" s="16">
        <v>134</v>
      </c>
      <c r="P1538" s="16">
        <v>0</v>
      </c>
      <c r="Q1538" s="16">
        <v>1301</v>
      </c>
      <c r="R1538" s="16">
        <v>-540</v>
      </c>
      <c r="S1538" s="16">
        <v>2</v>
      </c>
      <c r="T1538" s="16">
        <v>0</v>
      </c>
      <c r="U1538" s="15" t="str">
        <f t="shared" si="92"/>
        <v>Privado Nacional</v>
      </c>
      <c r="V1538" s="17">
        <f t="shared" si="93"/>
        <v>0.91358885017421598</v>
      </c>
      <c r="W1538" s="17">
        <f t="shared" si="94"/>
        <v>-0.41506533435818599</v>
      </c>
      <c r="X1538" s="15" t="str">
        <f t="shared" si="95"/>
        <v>Média/Pequena</v>
      </c>
      <c r="Y1538" s="121" t="str" cm="1">
        <f t="array" ref="Y1538">_xlfn.IFS(ISNUMBER(W1538)=FALSE,"Sem dado",W1538&gt;0.075,"Excelente",W1538&gt;0.04,"Bom",W1538&gt;0,"Fraco",TRUE,"Prejuízo")</f>
        <v>Prejuízo</v>
      </c>
    </row>
    <row r="1539" spans="1:25" ht="15" customHeight="1" x14ac:dyDescent="0.2">
      <c r="A1539" s="12" t="s">
        <v>3292</v>
      </c>
      <c r="B1539" s="56">
        <v>42258376</v>
      </c>
      <c r="C1539" s="12"/>
      <c r="D1539" s="12"/>
      <c r="E1539" s="12"/>
      <c r="F1539" s="12" t="s">
        <v>265</v>
      </c>
      <c r="G1539" s="33">
        <v>2</v>
      </c>
      <c r="H1539" s="33">
        <v>9</v>
      </c>
      <c r="I1539" s="12" t="s">
        <v>53</v>
      </c>
      <c r="J1539" s="12" t="s">
        <v>54</v>
      </c>
      <c r="K1539" s="73" t="s">
        <v>29</v>
      </c>
      <c r="L1539" s="13">
        <v>1431</v>
      </c>
      <c r="M1539" s="13">
        <v>1055</v>
      </c>
      <c r="N1539" s="13">
        <v>13</v>
      </c>
      <c r="O1539" s="13">
        <v>30</v>
      </c>
      <c r="P1539" s="13">
        <v>0</v>
      </c>
      <c r="Q1539" s="13">
        <v>1402</v>
      </c>
      <c r="R1539" s="13">
        <v>45</v>
      </c>
      <c r="S1539" s="13">
        <v>0</v>
      </c>
      <c r="T1539" s="13">
        <v>0</v>
      </c>
      <c r="U1539" s="12" t="str">
        <f t="shared" si="92"/>
        <v>Privado Nacional</v>
      </c>
      <c r="V1539" s="14">
        <f t="shared" si="93"/>
        <v>0.7372466806429071</v>
      </c>
      <c r="W1539" s="14">
        <f t="shared" si="94"/>
        <v>3.209700427960057E-2</v>
      </c>
      <c r="X1539" s="12" t="str">
        <f t="shared" si="95"/>
        <v>Média/Pequena</v>
      </c>
      <c r="Y1539" s="122" t="str" cm="1">
        <f t="array" ref="Y1539">_xlfn.IFS(ISNUMBER(W1539)=FALSE,"Sem dado",W1539&gt;0.075,"Excelente",W1539&gt;0.04,"Bom",W1539&gt;0,"Fraco",TRUE,"Prejuízo")</f>
        <v>Fraco</v>
      </c>
    </row>
    <row r="1540" spans="1:25" ht="15" customHeight="1" x14ac:dyDescent="0.2">
      <c r="A1540" s="15" t="s">
        <v>3293</v>
      </c>
      <c r="B1540" s="60">
        <v>3657230</v>
      </c>
      <c r="C1540" s="15"/>
      <c r="D1540" s="15"/>
      <c r="E1540" s="15"/>
      <c r="F1540" s="15" t="s">
        <v>265</v>
      </c>
      <c r="G1540" s="34">
        <v>2</v>
      </c>
      <c r="H1540" s="34">
        <v>9</v>
      </c>
      <c r="I1540" s="15" t="s">
        <v>2506</v>
      </c>
      <c r="J1540" s="15" t="s">
        <v>39</v>
      </c>
      <c r="K1540" s="74" t="s">
        <v>29</v>
      </c>
      <c r="L1540" s="16">
        <v>1380</v>
      </c>
      <c r="M1540" s="16">
        <v>555</v>
      </c>
      <c r="N1540" s="16">
        <v>645</v>
      </c>
      <c r="O1540" s="16">
        <v>10</v>
      </c>
      <c r="P1540" s="16">
        <v>0</v>
      </c>
      <c r="Q1540" s="16">
        <v>1369</v>
      </c>
      <c r="R1540" s="16">
        <v>16</v>
      </c>
      <c r="S1540" s="16">
        <v>0</v>
      </c>
      <c r="T1540" s="16">
        <v>0</v>
      </c>
      <c r="U1540" s="15" t="str">
        <f t="shared" si="92"/>
        <v>Privado Nacional</v>
      </c>
      <c r="V1540" s="17">
        <f t="shared" si="93"/>
        <v>0.40217391304347827</v>
      </c>
      <c r="W1540" s="17">
        <f t="shared" si="94"/>
        <v>1.168736303871439E-2</v>
      </c>
      <c r="X1540" s="15" t="str">
        <f t="shared" si="95"/>
        <v>Média/Pequena</v>
      </c>
      <c r="Y1540" s="121" t="str" cm="1">
        <f t="array" ref="Y1540">_xlfn.IFS(ISNUMBER(W1540)=FALSE,"Sem dado",W1540&gt;0.075,"Excelente",W1540&gt;0.04,"Bom",W1540&gt;0,"Fraco",TRUE,"Prejuízo")</f>
        <v>Fraco</v>
      </c>
    </row>
    <row r="1541" spans="1:25" ht="15" customHeight="1" x14ac:dyDescent="0.2">
      <c r="A1541" s="12" t="s">
        <v>3294</v>
      </c>
      <c r="B1541" s="56">
        <v>42627615</v>
      </c>
      <c r="C1541" s="12" t="s">
        <v>3295</v>
      </c>
      <c r="D1541" s="12"/>
      <c r="E1541" s="12" t="s">
        <v>3296</v>
      </c>
      <c r="F1541" s="12" t="s">
        <v>65</v>
      </c>
      <c r="G1541" s="33">
        <v>2</v>
      </c>
      <c r="H1541" s="33">
        <v>43</v>
      </c>
      <c r="I1541" s="12" t="s">
        <v>38</v>
      </c>
      <c r="J1541" s="12" t="s">
        <v>39</v>
      </c>
      <c r="K1541" s="73" t="s">
        <v>29</v>
      </c>
      <c r="L1541" s="13">
        <v>1378</v>
      </c>
      <c r="M1541" s="13">
        <v>0</v>
      </c>
      <c r="N1541" s="13">
        <v>1229</v>
      </c>
      <c r="O1541" s="13">
        <v>320</v>
      </c>
      <c r="P1541" s="13">
        <v>0</v>
      </c>
      <c r="Q1541" s="13">
        <v>1058</v>
      </c>
      <c r="R1541" s="13">
        <v>18</v>
      </c>
      <c r="S1541" s="13">
        <v>2</v>
      </c>
      <c r="T1541" s="13">
        <v>0</v>
      </c>
      <c r="U1541" s="12" t="str">
        <f t="shared" ref="U1541:U1602" si="96">IFERROR(CHOOSE(G1541,"Público","Privado Nacional","Privado Estrangeiro"),"n.d.")</f>
        <v>Privado Nacional</v>
      </c>
      <c r="V1541" s="14">
        <f t="shared" ref="V1541:V1602" si="97">IF(AND(ISNUMBER(M1541),ISNUMBER(L1541)),IF(L1541&gt;0,M1541/L1541,"n.d."),"NI")</f>
        <v>0</v>
      </c>
      <c r="W1541" s="14">
        <f t="shared" ref="W1541:W1602" si="98">IF(AND(ISNUMBER(R1541),ISNUMBER(Q1541)),IF(Q1541&gt;0,R1541/Q1541,"n.d."),"NI")</f>
        <v>1.7013232514177693E-2</v>
      </c>
      <c r="X1541" s="12" t="str">
        <f t="shared" ref="X1541:X1604" si="99">IF(ISNUMBER(L1541),IF(L1541&gt;100000000,"Grande","Média/Pequena"),"Sem dado")</f>
        <v>Média/Pequena</v>
      </c>
      <c r="Y1541" s="122" t="str" cm="1">
        <f t="array" ref="Y1541">_xlfn.IFS(ISNUMBER(W1541)=FALSE,"Sem dado",W1541&gt;0.075,"Excelente",W1541&gt;0.04,"Bom",W1541&gt;0,"Fraco",TRUE,"Prejuízo")</f>
        <v>Fraco</v>
      </c>
    </row>
    <row r="1542" spans="1:25" ht="15" customHeight="1" x14ac:dyDescent="0.2">
      <c r="A1542" s="15" t="s">
        <v>3297</v>
      </c>
      <c r="B1542" s="60">
        <v>45597546</v>
      </c>
      <c r="C1542" s="15" t="s">
        <v>2024</v>
      </c>
      <c r="D1542" s="15"/>
      <c r="E1542" s="15" t="s">
        <v>2025</v>
      </c>
      <c r="F1542" s="15" t="s">
        <v>65</v>
      </c>
      <c r="G1542" s="34">
        <v>3</v>
      </c>
      <c r="H1542" s="34">
        <v>43</v>
      </c>
      <c r="I1542" s="15" t="s">
        <v>38</v>
      </c>
      <c r="J1542" s="15" t="s">
        <v>39</v>
      </c>
      <c r="K1542" s="74" t="s">
        <v>29</v>
      </c>
      <c r="L1542" s="16">
        <v>1351</v>
      </c>
      <c r="M1542" s="16">
        <v>18</v>
      </c>
      <c r="N1542" s="16">
        <v>1286</v>
      </c>
      <c r="O1542" s="16">
        <v>249</v>
      </c>
      <c r="P1542" s="16">
        <v>0</v>
      </c>
      <c r="Q1542" s="16">
        <v>1102</v>
      </c>
      <c r="R1542" s="16">
        <v>-202</v>
      </c>
      <c r="S1542" s="16">
        <v>2</v>
      </c>
      <c r="T1542" s="16">
        <v>0</v>
      </c>
      <c r="U1542" s="15" t="str">
        <f t="shared" si="96"/>
        <v>Privado Estrangeiro</v>
      </c>
      <c r="V1542" s="17">
        <f t="shared" si="97"/>
        <v>1.3323464100666173E-2</v>
      </c>
      <c r="W1542" s="17">
        <f t="shared" si="98"/>
        <v>-0.18330308529945555</v>
      </c>
      <c r="X1542" s="15" t="str">
        <f t="shared" si="99"/>
        <v>Média/Pequena</v>
      </c>
      <c r="Y1542" s="121" t="str" cm="1">
        <f t="array" ref="Y1542">_xlfn.IFS(ISNUMBER(W1542)=FALSE,"Sem dado",W1542&gt;0.075,"Excelente",W1542&gt;0.04,"Bom",W1542&gt;0,"Fraco",TRUE,"Prejuízo")</f>
        <v>Prejuízo</v>
      </c>
    </row>
    <row r="1543" spans="1:25" ht="15" customHeight="1" x14ac:dyDescent="0.2">
      <c r="A1543" s="12" t="s">
        <v>3298</v>
      </c>
      <c r="B1543" s="56">
        <v>60057265</v>
      </c>
      <c r="C1543" s="12" t="s">
        <v>1280</v>
      </c>
      <c r="D1543" s="12"/>
      <c r="E1543" s="12" t="s">
        <v>1281</v>
      </c>
      <c r="F1543" s="12" t="s">
        <v>65</v>
      </c>
      <c r="G1543" s="33">
        <v>2</v>
      </c>
      <c r="H1543" s="33">
        <v>43</v>
      </c>
      <c r="I1543" s="12" t="s">
        <v>38</v>
      </c>
      <c r="J1543" s="12" t="s">
        <v>39</v>
      </c>
      <c r="K1543" s="73" t="s">
        <v>29</v>
      </c>
      <c r="L1543" s="13">
        <v>1307</v>
      </c>
      <c r="M1543" s="13">
        <v>4</v>
      </c>
      <c r="N1543" s="13">
        <v>0</v>
      </c>
      <c r="O1543" s="13">
        <v>0</v>
      </c>
      <c r="P1543" s="13">
        <v>0</v>
      </c>
      <c r="Q1543" s="13">
        <v>1307</v>
      </c>
      <c r="R1543" s="13">
        <v>0</v>
      </c>
      <c r="S1543" s="13">
        <v>2</v>
      </c>
      <c r="T1543" s="13">
        <v>0</v>
      </c>
      <c r="U1543" s="12" t="str">
        <f t="shared" si="96"/>
        <v>Privado Nacional</v>
      </c>
      <c r="V1543" s="14">
        <f t="shared" si="97"/>
        <v>3.06044376434583E-3</v>
      </c>
      <c r="W1543" s="14">
        <f t="shared" si="98"/>
        <v>0</v>
      </c>
      <c r="X1543" s="12" t="str">
        <f t="shared" si="99"/>
        <v>Média/Pequena</v>
      </c>
      <c r="Y1543" s="122" t="str" cm="1">
        <f t="array" ref="Y1543">_xlfn.IFS(ISNUMBER(W1543)=FALSE,"Sem dado",W1543&gt;0.075,"Excelente",W1543&gt;0.04,"Bom",W1543&gt;0,"Fraco",TRUE,"Prejuízo")</f>
        <v>Prejuízo</v>
      </c>
    </row>
    <row r="1544" spans="1:25" ht="15" customHeight="1" x14ac:dyDescent="0.2">
      <c r="A1544" s="15" t="s">
        <v>3299</v>
      </c>
      <c r="B1544" s="60">
        <v>15122605</v>
      </c>
      <c r="C1544" s="15" t="s">
        <v>3300</v>
      </c>
      <c r="D1544" s="15"/>
      <c r="E1544" s="15" t="s">
        <v>3301</v>
      </c>
      <c r="F1544" s="15" t="s">
        <v>98</v>
      </c>
      <c r="G1544" s="34">
        <v>2</v>
      </c>
      <c r="H1544" s="34">
        <v>21</v>
      </c>
      <c r="I1544" s="15" t="s">
        <v>210</v>
      </c>
      <c r="J1544" s="15" t="s">
        <v>211</v>
      </c>
      <c r="K1544" s="74" t="s">
        <v>29</v>
      </c>
      <c r="L1544" s="16">
        <v>1249</v>
      </c>
      <c r="M1544" s="16">
        <v>0</v>
      </c>
      <c r="N1544" s="16">
        <v>0</v>
      </c>
      <c r="O1544" s="16">
        <v>334</v>
      </c>
      <c r="P1544" s="16">
        <v>0</v>
      </c>
      <c r="Q1544" s="16">
        <v>916</v>
      </c>
      <c r="R1544" s="16">
        <v>-238</v>
      </c>
      <c r="S1544" s="16">
        <v>2</v>
      </c>
      <c r="T1544" s="16">
        <v>0</v>
      </c>
      <c r="U1544" s="15" t="str">
        <f t="shared" si="96"/>
        <v>Privado Nacional</v>
      </c>
      <c r="V1544" s="17">
        <f t="shared" si="97"/>
        <v>0</v>
      </c>
      <c r="W1544" s="17">
        <f t="shared" si="98"/>
        <v>-0.25982532751091703</v>
      </c>
      <c r="X1544" s="15" t="str">
        <f t="shared" si="99"/>
        <v>Média/Pequena</v>
      </c>
      <c r="Y1544" s="121" t="str" cm="1">
        <f t="array" ref="Y1544">_xlfn.IFS(ISNUMBER(W1544)=FALSE,"Sem dado",W1544&gt;0.075,"Excelente",W1544&gt;0.04,"Bom",W1544&gt;0,"Fraco",TRUE,"Prejuízo")</f>
        <v>Prejuízo</v>
      </c>
    </row>
    <row r="1545" spans="1:25" ht="15" customHeight="1" x14ac:dyDescent="0.2">
      <c r="A1545" s="12" t="s">
        <v>3302</v>
      </c>
      <c r="B1545" s="56">
        <v>34831910</v>
      </c>
      <c r="C1545" s="12" t="s">
        <v>1189</v>
      </c>
      <c r="D1545" s="12" t="s">
        <v>1190</v>
      </c>
      <c r="E1545" s="12" t="s">
        <v>1190</v>
      </c>
      <c r="F1545" s="12" t="s">
        <v>65</v>
      </c>
      <c r="G1545" s="33">
        <v>2</v>
      </c>
      <c r="H1545" s="33">
        <v>44</v>
      </c>
      <c r="I1545" s="12" t="s">
        <v>38</v>
      </c>
      <c r="J1545" s="12" t="s">
        <v>39</v>
      </c>
      <c r="K1545" s="73" t="s">
        <v>29</v>
      </c>
      <c r="L1545" s="13">
        <v>1248</v>
      </c>
      <c r="M1545" s="13">
        <v>0</v>
      </c>
      <c r="N1545" s="13">
        <v>0</v>
      </c>
      <c r="O1545" s="13">
        <v>130</v>
      </c>
      <c r="P1545" s="13">
        <v>0</v>
      </c>
      <c r="Q1545" s="13">
        <v>1118</v>
      </c>
      <c r="R1545" s="13">
        <v>15</v>
      </c>
      <c r="S1545" s="13">
        <v>2</v>
      </c>
      <c r="T1545" s="13">
        <v>0</v>
      </c>
      <c r="U1545" s="12" t="str">
        <f t="shared" si="96"/>
        <v>Privado Nacional</v>
      </c>
      <c r="V1545" s="14">
        <f t="shared" si="97"/>
        <v>0</v>
      </c>
      <c r="W1545" s="14">
        <f t="shared" si="98"/>
        <v>1.3416815742397137E-2</v>
      </c>
      <c r="X1545" s="12" t="str">
        <f t="shared" si="99"/>
        <v>Média/Pequena</v>
      </c>
      <c r="Y1545" s="122" t="str" cm="1">
        <f t="array" ref="Y1545">_xlfn.IFS(ISNUMBER(W1545)=FALSE,"Sem dado",W1545&gt;0.075,"Excelente",W1545&gt;0.04,"Bom",W1545&gt;0,"Fraco",TRUE,"Prejuízo")</f>
        <v>Fraco</v>
      </c>
    </row>
    <row r="1546" spans="1:25" ht="15" customHeight="1" x14ac:dyDescent="0.2">
      <c r="A1546" s="15" t="s">
        <v>3303</v>
      </c>
      <c r="B1546" s="60">
        <v>43438662</v>
      </c>
      <c r="C1546" s="15"/>
      <c r="D1546" s="15"/>
      <c r="E1546" s="15"/>
      <c r="F1546" s="15" t="s">
        <v>265</v>
      </c>
      <c r="G1546" s="34">
        <v>2</v>
      </c>
      <c r="H1546" s="34">
        <v>9</v>
      </c>
      <c r="I1546" s="15" t="s">
        <v>38</v>
      </c>
      <c r="J1546" s="15" t="s">
        <v>39</v>
      </c>
      <c r="K1546" s="74" t="s">
        <v>29</v>
      </c>
      <c r="L1546" s="16">
        <v>1247</v>
      </c>
      <c r="M1546" s="16">
        <v>1166</v>
      </c>
      <c r="N1546" s="16">
        <v>0</v>
      </c>
      <c r="O1546" s="16">
        <v>1034</v>
      </c>
      <c r="P1546" s="16">
        <v>0</v>
      </c>
      <c r="Q1546" s="16">
        <v>213</v>
      </c>
      <c r="R1546" s="16">
        <v>-244</v>
      </c>
      <c r="S1546" s="16">
        <v>0</v>
      </c>
      <c r="T1546" s="16">
        <v>0</v>
      </c>
      <c r="U1546" s="15" t="str">
        <f t="shared" si="96"/>
        <v>Privado Nacional</v>
      </c>
      <c r="V1546" s="17">
        <f t="shared" si="97"/>
        <v>0.93504410585404973</v>
      </c>
      <c r="W1546" s="17">
        <f t="shared" si="98"/>
        <v>-1.1455399061032865</v>
      </c>
      <c r="X1546" s="15" t="str">
        <f t="shared" si="99"/>
        <v>Média/Pequena</v>
      </c>
      <c r="Y1546" s="121" t="str" cm="1">
        <f t="array" ref="Y1546">_xlfn.IFS(ISNUMBER(W1546)=FALSE,"Sem dado",W1546&gt;0.075,"Excelente",W1546&gt;0.04,"Bom",W1546&gt;0,"Fraco",TRUE,"Prejuízo")</f>
        <v>Prejuízo</v>
      </c>
    </row>
    <row r="1547" spans="1:25" ht="15" customHeight="1" x14ac:dyDescent="0.2">
      <c r="A1547" s="12" t="s">
        <v>3304</v>
      </c>
      <c r="B1547" s="56">
        <v>57987273</v>
      </c>
      <c r="C1547" s="12"/>
      <c r="D1547" s="12"/>
      <c r="E1547" s="12"/>
      <c r="F1547" s="12" t="s">
        <v>265</v>
      </c>
      <c r="G1547" s="33">
        <v>2</v>
      </c>
      <c r="H1547" s="33">
        <v>9</v>
      </c>
      <c r="I1547" s="12" t="s">
        <v>262</v>
      </c>
      <c r="J1547" s="12" t="s">
        <v>39</v>
      </c>
      <c r="K1547" s="73" t="s">
        <v>29</v>
      </c>
      <c r="L1547" s="13">
        <v>1235</v>
      </c>
      <c r="M1547" s="13">
        <v>573</v>
      </c>
      <c r="N1547" s="13">
        <v>599</v>
      </c>
      <c r="O1547" s="13">
        <v>136</v>
      </c>
      <c r="P1547" s="13">
        <v>0</v>
      </c>
      <c r="Q1547" s="13">
        <v>1099</v>
      </c>
      <c r="R1547" s="13">
        <v>14</v>
      </c>
      <c r="S1547" s="13">
        <v>0</v>
      </c>
      <c r="T1547" s="13">
        <v>0</v>
      </c>
      <c r="U1547" s="12" t="str">
        <f t="shared" si="96"/>
        <v>Privado Nacional</v>
      </c>
      <c r="V1547" s="14">
        <f t="shared" si="97"/>
        <v>0.46396761133603237</v>
      </c>
      <c r="W1547" s="14">
        <f t="shared" si="98"/>
        <v>1.2738853503184714E-2</v>
      </c>
      <c r="X1547" s="12" t="str">
        <f t="shared" si="99"/>
        <v>Média/Pequena</v>
      </c>
      <c r="Y1547" s="122" t="str" cm="1">
        <f t="array" ref="Y1547">_xlfn.IFS(ISNUMBER(W1547)=FALSE,"Sem dado",W1547&gt;0.075,"Excelente",W1547&gt;0.04,"Bom",W1547&gt;0,"Fraco",TRUE,"Prejuízo")</f>
        <v>Fraco</v>
      </c>
    </row>
    <row r="1548" spans="1:25" ht="15" customHeight="1" x14ac:dyDescent="0.2">
      <c r="A1548" s="15" t="s">
        <v>3305</v>
      </c>
      <c r="B1548" s="60">
        <v>30138226</v>
      </c>
      <c r="C1548" s="15"/>
      <c r="D1548" s="15"/>
      <c r="E1548" s="15"/>
      <c r="F1548" s="15" t="s">
        <v>265</v>
      </c>
      <c r="G1548" s="34">
        <v>2</v>
      </c>
      <c r="H1548" s="34">
        <v>9</v>
      </c>
      <c r="I1548" s="15" t="s">
        <v>3306</v>
      </c>
      <c r="J1548" s="15" t="s">
        <v>54</v>
      </c>
      <c r="K1548" s="74" t="s">
        <v>29</v>
      </c>
      <c r="L1548" s="16">
        <v>1194</v>
      </c>
      <c r="M1548" s="16">
        <v>921</v>
      </c>
      <c r="N1548" s="16">
        <v>52</v>
      </c>
      <c r="O1548" s="16">
        <v>80</v>
      </c>
      <c r="P1548" s="16">
        <v>0</v>
      </c>
      <c r="Q1548" s="16">
        <v>1114</v>
      </c>
      <c r="R1548" s="16">
        <v>-6</v>
      </c>
      <c r="S1548" s="16">
        <v>0</v>
      </c>
      <c r="T1548" s="16">
        <v>0</v>
      </c>
      <c r="U1548" s="15" t="str">
        <f t="shared" si="96"/>
        <v>Privado Nacional</v>
      </c>
      <c r="V1548" s="17">
        <f t="shared" si="97"/>
        <v>0.77135678391959794</v>
      </c>
      <c r="W1548" s="17">
        <f t="shared" si="98"/>
        <v>-5.3859964093357273E-3</v>
      </c>
      <c r="X1548" s="15" t="str">
        <f t="shared" si="99"/>
        <v>Média/Pequena</v>
      </c>
      <c r="Y1548" s="121" t="str" cm="1">
        <f t="array" ref="Y1548">_xlfn.IFS(ISNUMBER(W1548)=FALSE,"Sem dado",W1548&gt;0.075,"Excelente",W1548&gt;0.04,"Bom",W1548&gt;0,"Fraco",TRUE,"Prejuízo")</f>
        <v>Prejuízo</v>
      </c>
    </row>
    <row r="1549" spans="1:25" ht="15" customHeight="1" x14ac:dyDescent="0.2">
      <c r="A1549" s="12" t="s">
        <v>3307</v>
      </c>
      <c r="B1549" s="56">
        <v>45056494</v>
      </c>
      <c r="C1549" s="12" t="s">
        <v>3308</v>
      </c>
      <c r="D1549" s="12"/>
      <c r="E1549" s="12" t="s">
        <v>3309</v>
      </c>
      <c r="F1549" s="12" t="s">
        <v>98</v>
      </c>
      <c r="G1549" s="33">
        <v>2</v>
      </c>
      <c r="H1549" s="33">
        <v>21</v>
      </c>
      <c r="I1549" s="12" t="s">
        <v>38</v>
      </c>
      <c r="J1549" s="12" t="s">
        <v>39</v>
      </c>
      <c r="K1549" s="73" t="s">
        <v>29</v>
      </c>
      <c r="L1549" s="13">
        <v>1179</v>
      </c>
      <c r="M1549" s="13">
        <v>0</v>
      </c>
      <c r="N1549" s="13">
        <v>353</v>
      </c>
      <c r="O1549" s="13">
        <v>382</v>
      </c>
      <c r="P1549" s="13">
        <v>0</v>
      </c>
      <c r="Q1549" s="13">
        <v>798</v>
      </c>
      <c r="R1549" s="13">
        <v>267</v>
      </c>
      <c r="S1549" s="13">
        <v>2</v>
      </c>
      <c r="T1549" s="13">
        <v>0</v>
      </c>
      <c r="U1549" s="12" t="str">
        <f t="shared" si="96"/>
        <v>Privado Nacional</v>
      </c>
      <c r="V1549" s="14">
        <f t="shared" si="97"/>
        <v>0</v>
      </c>
      <c r="W1549" s="14">
        <f t="shared" si="98"/>
        <v>0.33458646616541354</v>
      </c>
      <c r="X1549" s="12" t="str">
        <f t="shared" si="99"/>
        <v>Média/Pequena</v>
      </c>
      <c r="Y1549" s="122" t="str" cm="1">
        <f t="array" ref="Y1549">_xlfn.IFS(ISNUMBER(W1549)=FALSE,"Sem dado",W1549&gt;0.075,"Excelente",W1549&gt;0.04,"Bom",W1549&gt;0,"Fraco",TRUE,"Prejuízo")</f>
        <v>Excelente</v>
      </c>
    </row>
    <row r="1550" spans="1:25" ht="15" customHeight="1" x14ac:dyDescent="0.2">
      <c r="A1550" s="15" t="s">
        <v>3310</v>
      </c>
      <c r="B1550" s="60">
        <v>5591437</v>
      </c>
      <c r="C1550" s="15"/>
      <c r="D1550" s="15"/>
      <c r="E1550" s="15"/>
      <c r="F1550" s="15" t="s">
        <v>265</v>
      </c>
      <c r="G1550" s="34">
        <v>2</v>
      </c>
      <c r="H1550" s="34">
        <v>9</v>
      </c>
      <c r="I1550" s="15" t="s">
        <v>73</v>
      </c>
      <c r="J1550" s="15" t="s">
        <v>74</v>
      </c>
      <c r="K1550" s="74" t="s">
        <v>29</v>
      </c>
      <c r="L1550" s="16">
        <v>1170</v>
      </c>
      <c r="M1550" s="16">
        <v>679</v>
      </c>
      <c r="N1550" s="16">
        <v>0</v>
      </c>
      <c r="O1550" s="16">
        <v>775</v>
      </c>
      <c r="P1550" s="16">
        <v>0</v>
      </c>
      <c r="Q1550" s="16">
        <v>395</v>
      </c>
      <c r="R1550" s="16">
        <v>-384</v>
      </c>
      <c r="S1550" s="16">
        <v>0</v>
      </c>
      <c r="T1550" s="16">
        <v>0</v>
      </c>
      <c r="U1550" s="15" t="str">
        <f t="shared" si="96"/>
        <v>Privado Nacional</v>
      </c>
      <c r="V1550" s="17">
        <f t="shared" si="97"/>
        <v>0.58034188034188039</v>
      </c>
      <c r="W1550" s="17">
        <f t="shared" si="98"/>
        <v>-0.97215189873417718</v>
      </c>
      <c r="X1550" s="15" t="str">
        <f t="shared" si="99"/>
        <v>Média/Pequena</v>
      </c>
      <c r="Y1550" s="121" t="str" cm="1">
        <f t="array" ref="Y1550">_xlfn.IFS(ISNUMBER(W1550)=FALSE,"Sem dado",W1550&gt;0.075,"Excelente",W1550&gt;0.04,"Bom",W1550&gt;0,"Fraco",TRUE,"Prejuízo")</f>
        <v>Prejuízo</v>
      </c>
    </row>
    <row r="1551" spans="1:25" ht="15" customHeight="1" x14ac:dyDescent="0.2">
      <c r="A1551" s="12" t="s">
        <v>3311</v>
      </c>
      <c r="B1551" s="56">
        <v>28435685</v>
      </c>
      <c r="C1551" s="12"/>
      <c r="D1551" s="12"/>
      <c r="E1551" s="12"/>
      <c r="F1551" s="12" t="s">
        <v>265</v>
      </c>
      <c r="G1551" s="33">
        <v>2</v>
      </c>
      <c r="H1551" s="33">
        <v>9</v>
      </c>
      <c r="I1551" s="12" t="s">
        <v>119</v>
      </c>
      <c r="J1551" s="12" t="s">
        <v>120</v>
      </c>
      <c r="K1551" s="73" t="s">
        <v>29</v>
      </c>
      <c r="L1551" s="13">
        <v>1167</v>
      </c>
      <c r="M1551" s="13">
        <v>997</v>
      </c>
      <c r="N1551" s="13">
        <v>0</v>
      </c>
      <c r="O1551" s="13">
        <v>44</v>
      </c>
      <c r="P1551" s="13">
        <v>0</v>
      </c>
      <c r="Q1551" s="13">
        <v>1122</v>
      </c>
      <c r="R1551" s="13">
        <v>82</v>
      </c>
      <c r="S1551" s="13">
        <v>0</v>
      </c>
      <c r="T1551" s="13">
        <v>0</v>
      </c>
      <c r="U1551" s="12" t="str">
        <f t="shared" si="96"/>
        <v>Privado Nacional</v>
      </c>
      <c r="V1551" s="14">
        <f t="shared" si="97"/>
        <v>0.85432733504712943</v>
      </c>
      <c r="W1551" s="14">
        <f t="shared" si="98"/>
        <v>7.3083778966131913E-2</v>
      </c>
      <c r="X1551" s="12" t="str">
        <f t="shared" si="99"/>
        <v>Média/Pequena</v>
      </c>
      <c r="Y1551" s="122" t="str" cm="1">
        <f t="array" ref="Y1551">_xlfn.IFS(ISNUMBER(W1551)=FALSE,"Sem dado",W1551&gt;0.075,"Excelente",W1551&gt;0.04,"Bom",W1551&gt;0,"Fraco",TRUE,"Prejuízo")</f>
        <v>Bom</v>
      </c>
    </row>
    <row r="1552" spans="1:25" ht="15" customHeight="1" x14ac:dyDescent="0.2">
      <c r="A1552" s="15" t="s">
        <v>3312</v>
      </c>
      <c r="B1552" s="60">
        <v>59855096</v>
      </c>
      <c r="C1552" s="15" t="s">
        <v>3313</v>
      </c>
      <c r="D1552" s="15"/>
      <c r="E1552" s="15" t="s">
        <v>3314</v>
      </c>
      <c r="F1552" s="15" t="s">
        <v>65</v>
      </c>
      <c r="G1552" s="34">
        <v>2</v>
      </c>
      <c r="H1552" s="34">
        <v>43</v>
      </c>
      <c r="I1552" s="15" t="s">
        <v>38</v>
      </c>
      <c r="J1552" s="15" t="s">
        <v>39</v>
      </c>
      <c r="K1552" s="74" t="s">
        <v>29</v>
      </c>
      <c r="L1552" s="16">
        <v>1113</v>
      </c>
      <c r="M1552" s="16">
        <v>661</v>
      </c>
      <c r="N1552" s="16">
        <v>45</v>
      </c>
      <c r="O1552" s="16">
        <v>29</v>
      </c>
      <c r="P1552" s="16">
        <v>0</v>
      </c>
      <c r="Q1552" s="16">
        <v>1084</v>
      </c>
      <c r="R1552" s="16">
        <v>-242</v>
      </c>
      <c r="S1552" s="16">
        <v>2</v>
      </c>
      <c r="T1552" s="16">
        <v>0</v>
      </c>
      <c r="U1552" s="15" t="str">
        <f t="shared" si="96"/>
        <v>Privado Nacional</v>
      </c>
      <c r="V1552" s="17">
        <f t="shared" si="97"/>
        <v>0.59389038634321656</v>
      </c>
      <c r="W1552" s="17">
        <f t="shared" si="98"/>
        <v>-0.22324723247232472</v>
      </c>
      <c r="X1552" s="15" t="str">
        <f t="shared" si="99"/>
        <v>Média/Pequena</v>
      </c>
      <c r="Y1552" s="121" t="str" cm="1">
        <f t="array" ref="Y1552">_xlfn.IFS(ISNUMBER(W1552)=FALSE,"Sem dado",W1552&gt;0.075,"Excelente",W1552&gt;0.04,"Bom",W1552&gt;0,"Fraco",TRUE,"Prejuízo")</f>
        <v>Prejuízo</v>
      </c>
    </row>
    <row r="1553" spans="1:25" ht="15" customHeight="1" x14ac:dyDescent="0.2">
      <c r="A1553" s="12" t="s">
        <v>3315</v>
      </c>
      <c r="B1553" s="56">
        <v>45341994</v>
      </c>
      <c r="C1553" s="12" t="s">
        <v>3316</v>
      </c>
      <c r="D1553" s="12"/>
      <c r="E1553" s="12" t="s">
        <v>3317</v>
      </c>
      <c r="F1553" s="12" t="s">
        <v>65</v>
      </c>
      <c r="G1553" s="33">
        <v>2</v>
      </c>
      <c r="H1553" s="33">
        <v>43</v>
      </c>
      <c r="I1553" s="12" t="s">
        <v>388</v>
      </c>
      <c r="J1553" s="12" t="s">
        <v>389</v>
      </c>
      <c r="K1553" s="73" t="s">
        <v>29</v>
      </c>
      <c r="L1553" s="13">
        <v>1100</v>
      </c>
      <c r="M1553" s="13">
        <v>32</v>
      </c>
      <c r="N1553" s="13">
        <v>1019</v>
      </c>
      <c r="O1553" s="13">
        <v>29</v>
      </c>
      <c r="P1553" s="13">
        <v>0</v>
      </c>
      <c r="Q1553" s="13">
        <v>1071</v>
      </c>
      <c r="R1553" s="13">
        <v>-48</v>
      </c>
      <c r="S1553" s="13">
        <v>2</v>
      </c>
      <c r="T1553" s="13">
        <v>0</v>
      </c>
      <c r="U1553" s="12" t="str">
        <f t="shared" si="96"/>
        <v>Privado Nacional</v>
      </c>
      <c r="V1553" s="14">
        <f t="shared" si="97"/>
        <v>2.9090909090909091E-2</v>
      </c>
      <c r="W1553" s="14">
        <f t="shared" si="98"/>
        <v>-4.4817927170868348E-2</v>
      </c>
      <c r="X1553" s="12" t="str">
        <f t="shared" si="99"/>
        <v>Média/Pequena</v>
      </c>
      <c r="Y1553" s="122" t="str" cm="1">
        <f t="array" ref="Y1553">_xlfn.IFS(ISNUMBER(W1553)=FALSE,"Sem dado",W1553&gt;0.075,"Excelente",W1553&gt;0.04,"Bom",W1553&gt;0,"Fraco",TRUE,"Prejuízo")</f>
        <v>Prejuízo</v>
      </c>
    </row>
    <row r="1554" spans="1:25" ht="15" customHeight="1" x14ac:dyDescent="0.2">
      <c r="A1554" s="15" t="s">
        <v>3318</v>
      </c>
      <c r="B1554" s="60">
        <v>41560568</v>
      </c>
      <c r="C1554" s="15" t="s">
        <v>3319</v>
      </c>
      <c r="D1554" s="15"/>
      <c r="E1554" s="15" t="s">
        <v>3320</v>
      </c>
      <c r="F1554" s="15" t="s">
        <v>98</v>
      </c>
      <c r="G1554" s="34">
        <v>2</v>
      </c>
      <c r="H1554" s="34">
        <v>21</v>
      </c>
      <c r="I1554" s="15" t="s">
        <v>228</v>
      </c>
      <c r="J1554" s="15" t="s">
        <v>229</v>
      </c>
      <c r="K1554" s="74" t="s">
        <v>29</v>
      </c>
      <c r="L1554" s="16">
        <v>1087</v>
      </c>
      <c r="M1554" s="16">
        <v>0</v>
      </c>
      <c r="N1554" s="16">
        <v>843</v>
      </c>
      <c r="O1554" s="16">
        <v>9</v>
      </c>
      <c r="P1554" s="16">
        <v>0</v>
      </c>
      <c r="Q1554" s="16">
        <v>1078</v>
      </c>
      <c r="R1554" s="16">
        <v>-30</v>
      </c>
      <c r="S1554" s="16">
        <v>2</v>
      </c>
      <c r="T1554" s="16">
        <v>0</v>
      </c>
      <c r="U1554" s="15" t="str">
        <f t="shared" si="96"/>
        <v>Privado Nacional</v>
      </c>
      <c r="V1554" s="17">
        <f t="shared" si="97"/>
        <v>0</v>
      </c>
      <c r="W1554" s="17">
        <f t="shared" si="98"/>
        <v>-2.7829313543599257E-2</v>
      </c>
      <c r="X1554" s="15" t="str">
        <f t="shared" si="99"/>
        <v>Média/Pequena</v>
      </c>
      <c r="Y1554" s="121" t="str" cm="1">
        <f t="array" ref="Y1554">_xlfn.IFS(ISNUMBER(W1554)=FALSE,"Sem dado",W1554&gt;0.075,"Excelente",W1554&gt;0.04,"Bom",W1554&gt;0,"Fraco",TRUE,"Prejuízo")</f>
        <v>Prejuízo</v>
      </c>
    </row>
    <row r="1555" spans="1:25" ht="15" customHeight="1" x14ac:dyDescent="0.2">
      <c r="A1555" s="12" t="s">
        <v>3321</v>
      </c>
      <c r="B1555" s="56">
        <v>968834</v>
      </c>
      <c r="C1555" s="12"/>
      <c r="D1555" s="12"/>
      <c r="E1555" s="12"/>
      <c r="F1555" s="12" t="s">
        <v>265</v>
      </c>
      <c r="G1555" s="33">
        <v>2</v>
      </c>
      <c r="H1555" s="33">
        <v>9</v>
      </c>
      <c r="I1555" s="12" t="s">
        <v>3322</v>
      </c>
      <c r="J1555" s="12" t="s">
        <v>389</v>
      </c>
      <c r="K1555" s="73" t="s">
        <v>29</v>
      </c>
      <c r="L1555" s="13">
        <v>1080</v>
      </c>
      <c r="M1555" s="13">
        <v>556</v>
      </c>
      <c r="N1555" s="13">
        <v>151</v>
      </c>
      <c r="O1555" s="13">
        <v>63</v>
      </c>
      <c r="P1555" s="13">
        <v>0</v>
      </c>
      <c r="Q1555" s="13">
        <v>1017</v>
      </c>
      <c r="R1555" s="13">
        <v>39</v>
      </c>
      <c r="S1555" s="13">
        <v>0</v>
      </c>
      <c r="T1555" s="13">
        <v>0</v>
      </c>
      <c r="U1555" s="12" t="str">
        <f t="shared" si="96"/>
        <v>Privado Nacional</v>
      </c>
      <c r="V1555" s="14">
        <f t="shared" si="97"/>
        <v>0.51481481481481484</v>
      </c>
      <c r="W1555" s="14">
        <f t="shared" si="98"/>
        <v>3.8348082595870206E-2</v>
      </c>
      <c r="X1555" s="12" t="str">
        <f t="shared" si="99"/>
        <v>Média/Pequena</v>
      </c>
      <c r="Y1555" s="122" t="str" cm="1">
        <f t="array" ref="Y1555">_xlfn.IFS(ISNUMBER(W1555)=FALSE,"Sem dado",W1555&gt;0.075,"Excelente",W1555&gt;0.04,"Bom",W1555&gt;0,"Fraco",TRUE,"Prejuízo")</f>
        <v>Fraco</v>
      </c>
    </row>
    <row r="1556" spans="1:25" ht="15" customHeight="1" x14ac:dyDescent="0.2">
      <c r="A1556" s="15" t="s">
        <v>3323</v>
      </c>
      <c r="B1556" s="60">
        <v>41349521</v>
      </c>
      <c r="C1556" s="15" t="s">
        <v>3324</v>
      </c>
      <c r="D1556" s="15"/>
      <c r="E1556" s="15" t="s">
        <v>3325</v>
      </c>
      <c r="F1556" s="15" t="s">
        <v>65</v>
      </c>
      <c r="G1556" s="34">
        <v>2</v>
      </c>
      <c r="H1556" s="34">
        <v>44</v>
      </c>
      <c r="I1556" s="15" t="s">
        <v>73</v>
      </c>
      <c r="J1556" s="15" t="s">
        <v>74</v>
      </c>
      <c r="K1556" s="74" t="s">
        <v>29</v>
      </c>
      <c r="L1556" s="16">
        <v>1074</v>
      </c>
      <c r="M1556" s="16">
        <v>0</v>
      </c>
      <c r="N1556" s="16">
        <v>965</v>
      </c>
      <c r="O1556" s="16">
        <v>91</v>
      </c>
      <c r="P1556" s="16">
        <v>0</v>
      </c>
      <c r="Q1556" s="16">
        <v>983</v>
      </c>
      <c r="R1556" s="16">
        <v>-40</v>
      </c>
      <c r="S1556" s="16">
        <v>2</v>
      </c>
      <c r="T1556" s="16">
        <v>0</v>
      </c>
      <c r="U1556" s="15" t="str">
        <f t="shared" si="96"/>
        <v>Privado Nacional</v>
      </c>
      <c r="V1556" s="17">
        <f t="shared" si="97"/>
        <v>0</v>
      </c>
      <c r="W1556" s="17">
        <f t="shared" si="98"/>
        <v>-4.0691759918616482E-2</v>
      </c>
      <c r="X1556" s="15" t="str">
        <f t="shared" si="99"/>
        <v>Média/Pequena</v>
      </c>
      <c r="Y1556" s="121" t="str" cm="1">
        <f t="array" ref="Y1556">_xlfn.IFS(ISNUMBER(W1556)=FALSE,"Sem dado",W1556&gt;0.075,"Excelente",W1556&gt;0.04,"Bom",W1556&gt;0,"Fraco",TRUE,"Prejuízo")</f>
        <v>Prejuízo</v>
      </c>
    </row>
    <row r="1557" spans="1:25" ht="15" customHeight="1" x14ac:dyDescent="0.2">
      <c r="A1557" s="12" t="s">
        <v>3326</v>
      </c>
      <c r="B1557" s="56">
        <v>10280601</v>
      </c>
      <c r="C1557" s="12" t="s">
        <v>3327</v>
      </c>
      <c r="D1557" s="12"/>
      <c r="E1557" s="12" t="s">
        <v>3328</v>
      </c>
      <c r="F1557" s="12" t="s">
        <v>98</v>
      </c>
      <c r="G1557" s="33">
        <v>2</v>
      </c>
      <c r="H1557" s="33">
        <v>16</v>
      </c>
      <c r="I1557" s="12" t="s">
        <v>119</v>
      </c>
      <c r="J1557" s="12" t="s">
        <v>120</v>
      </c>
      <c r="K1557" s="73" t="s">
        <v>29</v>
      </c>
      <c r="L1557" s="13">
        <v>1070</v>
      </c>
      <c r="M1557" s="13">
        <v>0</v>
      </c>
      <c r="N1557" s="13">
        <v>704</v>
      </c>
      <c r="O1557" s="13">
        <v>111</v>
      </c>
      <c r="P1557" s="13">
        <v>0</v>
      </c>
      <c r="Q1557" s="13">
        <v>960</v>
      </c>
      <c r="R1557" s="13">
        <v>317</v>
      </c>
      <c r="S1557" s="13">
        <v>2</v>
      </c>
      <c r="T1557" s="13">
        <v>0</v>
      </c>
      <c r="U1557" s="12" t="str">
        <f t="shared" si="96"/>
        <v>Privado Nacional</v>
      </c>
      <c r="V1557" s="14">
        <f t="shared" si="97"/>
        <v>0</v>
      </c>
      <c r="W1557" s="14">
        <f t="shared" si="98"/>
        <v>0.33020833333333333</v>
      </c>
      <c r="X1557" s="12" t="str">
        <f t="shared" si="99"/>
        <v>Média/Pequena</v>
      </c>
      <c r="Y1557" s="122" t="str" cm="1">
        <f t="array" ref="Y1557">_xlfn.IFS(ISNUMBER(W1557)=FALSE,"Sem dado",W1557&gt;0.075,"Excelente",W1557&gt;0.04,"Bom",W1557&gt;0,"Fraco",TRUE,"Prejuízo")</f>
        <v>Excelente</v>
      </c>
    </row>
    <row r="1558" spans="1:25" ht="15" customHeight="1" x14ac:dyDescent="0.2">
      <c r="A1558" s="15" t="s">
        <v>3329</v>
      </c>
      <c r="B1558" s="60">
        <v>80202872</v>
      </c>
      <c r="C1558" s="15" t="s">
        <v>3330</v>
      </c>
      <c r="D1558" s="15"/>
      <c r="E1558" s="15" t="s">
        <v>3331</v>
      </c>
      <c r="F1558" s="15" t="s">
        <v>98</v>
      </c>
      <c r="G1558" s="34">
        <v>2</v>
      </c>
      <c r="H1558" s="34">
        <v>21</v>
      </c>
      <c r="I1558" s="15" t="s">
        <v>3183</v>
      </c>
      <c r="J1558" s="15" t="s">
        <v>229</v>
      </c>
      <c r="K1558" s="74" t="s">
        <v>29</v>
      </c>
      <c r="L1558" s="16">
        <v>1022</v>
      </c>
      <c r="M1558" s="16">
        <v>0</v>
      </c>
      <c r="N1558" s="16">
        <v>450</v>
      </c>
      <c r="O1558" s="16">
        <v>257</v>
      </c>
      <c r="P1558" s="16">
        <v>0</v>
      </c>
      <c r="Q1558" s="16">
        <v>765</v>
      </c>
      <c r="R1558" s="16">
        <v>-140</v>
      </c>
      <c r="S1558" s="16">
        <v>2</v>
      </c>
      <c r="T1558" s="16">
        <v>0</v>
      </c>
      <c r="U1558" s="15" t="str">
        <f t="shared" si="96"/>
        <v>Privado Nacional</v>
      </c>
      <c r="V1558" s="17">
        <f t="shared" si="97"/>
        <v>0</v>
      </c>
      <c r="W1558" s="17">
        <f t="shared" si="98"/>
        <v>-0.18300653594771241</v>
      </c>
      <c r="X1558" s="15" t="str">
        <f t="shared" si="99"/>
        <v>Média/Pequena</v>
      </c>
      <c r="Y1558" s="121" t="str" cm="1">
        <f t="array" ref="Y1558">_xlfn.IFS(ISNUMBER(W1558)=FALSE,"Sem dado",W1558&gt;0.075,"Excelente",W1558&gt;0.04,"Bom",W1558&gt;0,"Fraco",TRUE,"Prejuízo")</f>
        <v>Prejuízo</v>
      </c>
    </row>
    <row r="1559" spans="1:25" ht="15" customHeight="1" x14ac:dyDescent="0.2">
      <c r="A1559" s="12" t="s">
        <v>3332</v>
      </c>
      <c r="B1559" s="56">
        <v>41146382</v>
      </c>
      <c r="C1559" s="12"/>
      <c r="D1559" s="12"/>
      <c r="E1559" s="12"/>
      <c r="F1559" s="12" t="s">
        <v>265</v>
      </c>
      <c r="G1559" s="33">
        <v>2</v>
      </c>
      <c r="H1559" s="33">
        <v>9</v>
      </c>
      <c r="I1559" s="12" t="s">
        <v>577</v>
      </c>
      <c r="J1559" s="12" t="s">
        <v>578</v>
      </c>
      <c r="K1559" s="73" t="s">
        <v>29</v>
      </c>
      <c r="L1559" s="13">
        <v>1001</v>
      </c>
      <c r="M1559" s="13">
        <v>374</v>
      </c>
      <c r="N1559" s="13">
        <v>0</v>
      </c>
      <c r="O1559" s="13">
        <v>1072</v>
      </c>
      <c r="P1559" s="13">
        <v>0</v>
      </c>
      <c r="Q1559" s="13">
        <v>-71</v>
      </c>
      <c r="R1559" s="13">
        <v>-307</v>
      </c>
      <c r="S1559" s="13">
        <v>0</v>
      </c>
      <c r="T1559" s="13">
        <v>0</v>
      </c>
      <c r="U1559" s="12" t="str">
        <f t="shared" si="96"/>
        <v>Privado Nacional</v>
      </c>
      <c r="V1559" s="14">
        <f t="shared" si="97"/>
        <v>0.37362637362637363</v>
      </c>
      <c r="W1559" s="14" t="str">
        <f t="shared" si="98"/>
        <v>n.d.</v>
      </c>
      <c r="X1559" s="12" t="str">
        <f t="shared" si="99"/>
        <v>Média/Pequena</v>
      </c>
      <c r="Y1559" s="122" t="str" cm="1">
        <f t="array" ref="Y1559">_xlfn.IFS(ISNUMBER(W1559)=FALSE,"Sem dado",W1559&gt;0.075,"Excelente",W1559&gt;0.04,"Bom",W1559&gt;0,"Fraco",TRUE,"Prejuízo")</f>
        <v>Sem dado</v>
      </c>
    </row>
    <row r="1560" spans="1:25" ht="15" customHeight="1" x14ac:dyDescent="0.2">
      <c r="A1560" s="15" t="s">
        <v>3333</v>
      </c>
      <c r="B1560" s="60">
        <v>55841657</v>
      </c>
      <c r="C1560" s="15" t="s">
        <v>3334</v>
      </c>
      <c r="D1560" s="15"/>
      <c r="E1560" s="15" t="s">
        <v>3335</v>
      </c>
      <c r="F1560" s="15" t="s">
        <v>65</v>
      </c>
      <c r="G1560" s="34">
        <v>2</v>
      </c>
      <c r="H1560" s="34">
        <v>43</v>
      </c>
      <c r="I1560" s="15" t="s">
        <v>1912</v>
      </c>
      <c r="J1560" s="15" t="s">
        <v>217</v>
      </c>
      <c r="K1560" s="74" t="s">
        <v>29</v>
      </c>
      <c r="L1560" s="16">
        <v>990</v>
      </c>
      <c r="M1560" s="16">
        <v>0</v>
      </c>
      <c r="N1560" s="16">
        <v>0</v>
      </c>
      <c r="O1560" s="16">
        <v>1</v>
      </c>
      <c r="P1560" s="16">
        <v>0</v>
      </c>
      <c r="Q1560" s="16">
        <v>989</v>
      </c>
      <c r="R1560" s="16">
        <v>-78</v>
      </c>
      <c r="S1560" s="16">
        <v>2</v>
      </c>
      <c r="T1560" s="16">
        <v>0</v>
      </c>
      <c r="U1560" s="15" t="str">
        <f t="shared" si="96"/>
        <v>Privado Nacional</v>
      </c>
      <c r="V1560" s="17">
        <f t="shared" si="97"/>
        <v>0</v>
      </c>
      <c r="W1560" s="17">
        <f t="shared" si="98"/>
        <v>-7.8867542972699697E-2</v>
      </c>
      <c r="X1560" s="15" t="str">
        <f t="shared" si="99"/>
        <v>Média/Pequena</v>
      </c>
      <c r="Y1560" s="121" t="str" cm="1">
        <f t="array" ref="Y1560">_xlfn.IFS(ISNUMBER(W1560)=FALSE,"Sem dado",W1560&gt;0.075,"Excelente",W1560&gt;0.04,"Bom",W1560&gt;0,"Fraco",TRUE,"Prejuízo")</f>
        <v>Prejuízo</v>
      </c>
    </row>
    <row r="1561" spans="1:25" ht="15" customHeight="1" x14ac:dyDescent="0.2">
      <c r="A1561" s="12" t="s">
        <v>3336</v>
      </c>
      <c r="B1561" s="56">
        <v>5669150</v>
      </c>
      <c r="C1561" s="12" t="s">
        <v>3337</v>
      </c>
      <c r="D1561" s="12"/>
      <c r="E1561" s="12" t="s">
        <v>3338</v>
      </c>
      <c r="F1561" s="12" t="s">
        <v>65</v>
      </c>
      <c r="G1561" s="33">
        <v>2</v>
      </c>
      <c r="H1561" s="33">
        <v>10</v>
      </c>
      <c r="I1561" s="12" t="s">
        <v>528</v>
      </c>
      <c r="J1561" s="12" t="s">
        <v>217</v>
      </c>
      <c r="K1561" s="73" t="s">
        <v>29</v>
      </c>
      <c r="L1561" s="13">
        <v>938</v>
      </c>
      <c r="M1561" s="13">
        <v>463</v>
      </c>
      <c r="N1561" s="13">
        <v>0</v>
      </c>
      <c r="O1561" s="13">
        <v>9</v>
      </c>
      <c r="P1561" s="13">
        <v>0</v>
      </c>
      <c r="Q1561" s="13">
        <v>928</v>
      </c>
      <c r="R1561" s="13">
        <v>-98</v>
      </c>
      <c r="S1561" s="13">
        <v>2</v>
      </c>
      <c r="T1561" s="13">
        <v>0</v>
      </c>
      <c r="U1561" s="12" t="str">
        <f t="shared" si="96"/>
        <v>Privado Nacional</v>
      </c>
      <c r="V1561" s="14">
        <f t="shared" si="97"/>
        <v>0.49360341151385928</v>
      </c>
      <c r="W1561" s="14">
        <f t="shared" si="98"/>
        <v>-0.10560344827586207</v>
      </c>
      <c r="X1561" s="12" t="str">
        <f t="shared" si="99"/>
        <v>Média/Pequena</v>
      </c>
      <c r="Y1561" s="122" t="str" cm="1">
        <f t="array" ref="Y1561">_xlfn.IFS(ISNUMBER(W1561)=FALSE,"Sem dado",W1561&gt;0.075,"Excelente",W1561&gt;0.04,"Bom",W1561&gt;0,"Fraco",TRUE,"Prejuízo")</f>
        <v>Prejuízo</v>
      </c>
    </row>
    <row r="1562" spans="1:25" ht="15" customHeight="1" x14ac:dyDescent="0.2">
      <c r="A1562" s="15" t="s">
        <v>3339</v>
      </c>
      <c r="B1562" s="60">
        <v>90560434</v>
      </c>
      <c r="C1562" s="15"/>
      <c r="D1562" s="15"/>
      <c r="E1562" s="15"/>
      <c r="F1562" s="15" t="s">
        <v>265</v>
      </c>
      <c r="G1562" s="34">
        <v>2</v>
      </c>
      <c r="H1562" s="34">
        <v>9</v>
      </c>
      <c r="I1562" s="15" t="s">
        <v>1292</v>
      </c>
      <c r="J1562" s="15" t="s">
        <v>74</v>
      </c>
      <c r="K1562" s="74" t="s">
        <v>29</v>
      </c>
      <c r="L1562" s="16">
        <v>913</v>
      </c>
      <c r="M1562" s="16">
        <v>743</v>
      </c>
      <c r="N1562" s="16">
        <v>0</v>
      </c>
      <c r="O1562" s="16">
        <v>15</v>
      </c>
      <c r="P1562" s="16">
        <v>0</v>
      </c>
      <c r="Q1562" s="16">
        <v>898</v>
      </c>
      <c r="R1562" s="16">
        <v>-19</v>
      </c>
      <c r="S1562" s="16">
        <v>0</v>
      </c>
      <c r="T1562" s="16">
        <v>0</v>
      </c>
      <c r="U1562" s="15" t="str">
        <f t="shared" si="96"/>
        <v>Privado Nacional</v>
      </c>
      <c r="V1562" s="17">
        <f t="shared" si="97"/>
        <v>0.81380065717415118</v>
      </c>
      <c r="W1562" s="17">
        <f t="shared" si="98"/>
        <v>-2.1158129175946547E-2</v>
      </c>
      <c r="X1562" s="15" t="str">
        <f t="shared" si="99"/>
        <v>Média/Pequena</v>
      </c>
      <c r="Y1562" s="121" t="str" cm="1">
        <f t="array" ref="Y1562">_xlfn.IFS(ISNUMBER(W1562)=FALSE,"Sem dado",W1562&gt;0.075,"Excelente",W1562&gt;0.04,"Bom",W1562&gt;0,"Fraco",TRUE,"Prejuízo")</f>
        <v>Prejuízo</v>
      </c>
    </row>
    <row r="1563" spans="1:25" ht="15" customHeight="1" x14ac:dyDescent="0.2">
      <c r="A1563" s="12" t="s">
        <v>3340</v>
      </c>
      <c r="B1563" s="56">
        <v>5424088</v>
      </c>
      <c r="C1563" s="12"/>
      <c r="D1563" s="12"/>
      <c r="E1563" s="12"/>
      <c r="F1563" s="12" t="s">
        <v>265</v>
      </c>
      <c r="G1563" s="33">
        <v>2</v>
      </c>
      <c r="H1563" s="33">
        <v>9</v>
      </c>
      <c r="I1563" s="12" t="s">
        <v>2934</v>
      </c>
      <c r="J1563" s="12" t="s">
        <v>54</v>
      </c>
      <c r="K1563" s="73" t="s">
        <v>29</v>
      </c>
      <c r="L1563" s="13">
        <v>832</v>
      </c>
      <c r="M1563" s="13">
        <v>321</v>
      </c>
      <c r="N1563" s="13">
        <v>257</v>
      </c>
      <c r="O1563" s="13">
        <v>18</v>
      </c>
      <c r="P1563" s="13">
        <v>0</v>
      </c>
      <c r="Q1563" s="13">
        <v>814</v>
      </c>
      <c r="R1563" s="13">
        <v>-34</v>
      </c>
      <c r="S1563" s="13">
        <v>0</v>
      </c>
      <c r="T1563" s="13">
        <v>0</v>
      </c>
      <c r="U1563" s="12" t="str">
        <f t="shared" si="96"/>
        <v>Privado Nacional</v>
      </c>
      <c r="V1563" s="14">
        <f t="shared" si="97"/>
        <v>0.38581730769230771</v>
      </c>
      <c r="W1563" s="14">
        <f t="shared" si="98"/>
        <v>-4.1769041769041768E-2</v>
      </c>
      <c r="X1563" s="12" t="str">
        <f t="shared" si="99"/>
        <v>Média/Pequena</v>
      </c>
      <c r="Y1563" s="122" t="str" cm="1">
        <f t="array" ref="Y1563">_xlfn.IFS(ISNUMBER(W1563)=FALSE,"Sem dado",W1563&gt;0.075,"Excelente",W1563&gt;0.04,"Bom",W1563&gt;0,"Fraco",TRUE,"Prejuízo")</f>
        <v>Prejuízo</v>
      </c>
    </row>
    <row r="1564" spans="1:25" ht="15" customHeight="1" x14ac:dyDescent="0.2">
      <c r="A1564" s="15" t="s">
        <v>3341</v>
      </c>
      <c r="B1564" s="60">
        <v>71502181</v>
      </c>
      <c r="C1564" s="15"/>
      <c r="D1564" s="15"/>
      <c r="E1564" s="15"/>
      <c r="F1564" s="15" t="s">
        <v>265</v>
      </c>
      <c r="G1564" s="34">
        <v>2</v>
      </c>
      <c r="H1564" s="34">
        <v>9</v>
      </c>
      <c r="I1564" s="15" t="s">
        <v>119</v>
      </c>
      <c r="J1564" s="15" t="s">
        <v>120</v>
      </c>
      <c r="K1564" s="74" t="s">
        <v>29</v>
      </c>
      <c r="L1564" s="16">
        <v>804</v>
      </c>
      <c r="M1564" s="16">
        <v>714</v>
      </c>
      <c r="N1564" s="16">
        <v>37</v>
      </c>
      <c r="O1564" s="16">
        <v>47</v>
      </c>
      <c r="P1564" s="16">
        <v>0</v>
      </c>
      <c r="Q1564" s="16">
        <v>757</v>
      </c>
      <c r="R1564" s="16">
        <v>11</v>
      </c>
      <c r="S1564" s="16">
        <v>0</v>
      </c>
      <c r="T1564" s="16">
        <v>0</v>
      </c>
      <c r="U1564" s="15" t="str">
        <f t="shared" si="96"/>
        <v>Privado Nacional</v>
      </c>
      <c r="V1564" s="17">
        <f t="shared" si="97"/>
        <v>0.88805970149253732</v>
      </c>
      <c r="W1564" s="17">
        <f t="shared" si="98"/>
        <v>1.4531043593130779E-2</v>
      </c>
      <c r="X1564" s="15" t="str">
        <f t="shared" si="99"/>
        <v>Média/Pequena</v>
      </c>
      <c r="Y1564" s="121" t="str" cm="1">
        <f t="array" ref="Y1564">_xlfn.IFS(ISNUMBER(W1564)=FALSE,"Sem dado",W1564&gt;0.075,"Excelente",W1564&gt;0.04,"Bom",W1564&gt;0,"Fraco",TRUE,"Prejuízo")</f>
        <v>Fraco</v>
      </c>
    </row>
    <row r="1565" spans="1:25" ht="15" customHeight="1" x14ac:dyDescent="0.2">
      <c r="A1565" s="12" t="s">
        <v>3342</v>
      </c>
      <c r="B1565" s="56">
        <v>43561343</v>
      </c>
      <c r="C1565" s="12" t="s">
        <v>3343</v>
      </c>
      <c r="D1565" s="12"/>
      <c r="E1565" s="12" t="s">
        <v>3344</v>
      </c>
      <c r="F1565" s="12" t="s">
        <v>84</v>
      </c>
      <c r="G1565" s="33">
        <v>2</v>
      </c>
      <c r="H1565" s="33">
        <v>41</v>
      </c>
      <c r="I1565" s="12" t="s">
        <v>107</v>
      </c>
      <c r="J1565" s="12" t="s">
        <v>39</v>
      </c>
      <c r="K1565" s="73" t="s">
        <v>29</v>
      </c>
      <c r="L1565" s="13">
        <v>687</v>
      </c>
      <c r="M1565" s="13">
        <v>0</v>
      </c>
      <c r="N1565" s="13">
        <v>63</v>
      </c>
      <c r="O1565" s="13">
        <v>0</v>
      </c>
      <c r="P1565" s="13">
        <v>0</v>
      </c>
      <c r="Q1565" s="13">
        <v>687</v>
      </c>
      <c r="R1565" s="13">
        <v>-105</v>
      </c>
      <c r="S1565" s="13">
        <v>1</v>
      </c>
      <c r="T1565" s="13">
        <v>0</v>
      </c>
      <c r="U1565" s="12" t="str">
        <f t="shared" si="96"/>
        <v>Privado Nacional</v>
      </c>
      <c r="V1565" s="14">
        <f t="shared" si="97"/>
        <v>0</v>
      </c>
      <c r="W1565" s="14">
        <f t="shared" si="98"/>
        <v>-0.15283842794759825</v>
      </c>
      <c r="X1565" s="12" t="str">
        <f t="shared" si="99"/>
        <v>Média/Pequena</v>
      </c>
      <c r="Y1565" s="122" t="str" cm="1">
        <f t="array" ref="Y1565">_xlfn.IFS(ISNUMBER(W1565)=FALSE,"Sem dado",W1565&gt;0.075,"Excelente",W1565&gt;0.04,"Bom",W1565&gt;0,"Fraco",TRUE,"Prejuízo")</f>
        <v>Prejuízo</v>
      </c>
    </row>
    <row r="1566" spans="1:25" ht="15" customHeight="1" x14ac:dyDescent="0.2">
      <c r="A1566" s="15" t="s">
        <v>3345</v>
      </c>
      <c r="B1566" s="60">
        <v>129753</v>
      </c>
      <c r="C1566" s="15"/>
      <c r="D1566" s="15"/>
      <c r="E1566" s="15"/>
      <c r="F1566" s="15" t="s">
        <v>265</v>
      </c>
      <c r="G1566" s="34">
        <v>2</v>
      </c>
      <c r="H1566" s="34">
        <v>9</v>
      </c>
      <c r="I1566" s="15" t="s">
        <v>3346</v>
      </c>
      <c r="J1566" s="15" t="s">
        <v>120</v>
      </c>
      <c r="K1566" s="74" t="s">
        <v>29</v>
      </c>
      <c r="L1566" s="16">
        <v>598</v>
      </c>
      <c r="M1566" s="16">
        <v>13</v>
      </c>
      <c r="N1566" s="16">
        <v>500</v>
      </c>
      <c r="O1566" s="16">
        <v>297</v>
      </c>
      <c r="P1566" s="16">
        <v>0</v>
      </c>
      <c r="Q1566" s="16">
        <v>301</v>
      </c>
      <c r="R1566" s="16">
        <v>-44</v>
      </c>
      <c r="S1566" s="16">
        <v>0</v>
      </c>
      <c r="T1566" s="16">
        <v>0</v>
      </c>
      <c r="U1566" s="15" t="str">
        <f t="shared" si="96"/>
        <v>Privado Nacional</v>
      </c>
      <c r="V1566" s="17">
        <f t="shared" si="97"/>
        <v>2.1739130434782608E-2</v>
      </c>
      <c r="W1566" s="17">
        <f t="shared" si="98"/>
        <v>-0.1461794019933555</v>
      </c>
      <c r="X1566" s="15" t="str">
        <f t="shared" si="99"/>
        <v>Média/Pequena</v>
      </c>
      <c r="Y1566" s="121" t="str" cm="1">
        <f t="array" ref="Y1566">_xlfn.IFS(ISNUMBER(W1566)=FALSE,"Sem dado",W1566&gt;0.075,"Excelente",W1566&gt;0.04,"Bom",W1566&gt;0,"Fraco",TRUE,"Prejuízo")</f>
        <v>Prejuízo</v>
      </c>
    </row>
    <row r="1567" spans="1:25" ht="15" customHeight="1" x14ac:dyDescent="0.2">
      <c r="A1567" s="12" t="s">
        <v>3347</v>
      </c>
      <c r="B1567" s="56">
        <v>2447184</v>
      </c>
      <c r="C1567" s="12"/>
      <c r="D1567" s="12"/>
      <c r="E1567" s="12"/>
      <c r="F1567" s="12" t="s">
        <v>265</v>
      </c>
      <c r="G1567" s="33">
        <v>2</v>
      </c>
      <c r="H1567" s="33">
        <v>9</v>
      </c>
      <c r="I1567" s="12" t="s">
        <v>53</v>
      </c>
      <c r="J1567" s="12" t="s">
        <v>54</v>
      </c>
      <c r="K1567" s="73" t="s">
        <v>29</v>
      </c>
      <c r="L1567" s="13">
        <v>595</v>
      </c>
      <c r="M1567" s="13">
        <v>433</v>
      </c>
      <c r="N1567" s="13">
        <v>3</v>
      </c>
      <c r="O1567" s="13">
        <v>143</v>
      </c>
      <c r="P1567" s="13">
        <v>0</v>
      </c>
      <c r="Q1567" s="13">
        <v>453</v>
      </c>
      <c r="R1567" s="13">
        <v>-68</v>
      </c>
      <c r="S1567" s="13">
        <v>0</v>
      </c>
      <c r="T1567" s="13">
        <v>0</v>
      </c>
      <c r="U1567" s="12" t="str">
        <f t="shared" si="96"/>
        <v>Privado Nacional</v>
      </c>
      <c r="V1567" s="14">
        <f t="shared" si="97"/>
        <v>0.72773109243697476</v>
      </c>
      <c r="W1567" s="14">
        <f t="shared" si="98"/>
        <v>-0.15011037527593818</v>
      </c>
      <c r="X1567" s="12" t="str">
        <f t="shared" si="99"/>
        <v>Média/Pequena</v>
      </c>
      <c r="Y1567" s="122" t="str" cm="1">
        <f t="array" ref="Y1567">_xlfn.IFS(ISNUMBER(W1567)=FALSE,"Sem dado",W1567&gt;0.075,"Excelente",W1567&gt;0.04,"Bom",W1567&gt;0,"Fraco",TRUE,"Prejuízo")</f>
        <v>Prejuízo</v>
      </c>
    </row>
    <row r="1568" spans="1:25" ht="15" customHeight="1" x14ac:dyDescent="0.2">
      <c r="A1568" s="15" t="s">
        <v>3348</v>
      </c>
      <c r="B1568" s="60">
        <v>3219207</v>
      </c>
      <c r="C1568" s="15"/>
      <c r="D1568" s="15"/>
      <c r="E1568" s="15"/>
      <c r="F1568" s="15" t="s">
        <v>265</v>
      </c>
      <c r="G1568" s="34">
        <v>2</v>
      </c>
      <c r="H1568" s="34">
        <v>9</v>
      </c>
      <c r="I1568" s="15" t="s">
        <v>3349</v>
      </c>
      <c r="J1568" s="15" t="s">
        <v>39</v>
      </c>
      <c r="K1568" s="74" t="s">
        <v>29</v>
      </c>
      <c r="L1568" s="16">
        <v>562</v>
      </c>
      <c r="M1568" s="16">
        <v>176</v>
      </c>
      <c r="N1568" s="16">
        <v>0</v>
      </c>
      <c r="O1568" s="16">
        <v>12</v>
      </c>
      <c r="P1568" s="16">
        <v>0</v>
      </c>
      <c r="Q1568" s="16">
        <v>549</v>
      </c>
      <c r="R1568" s="16">
        <v>5</v>
      </c>
      <c r="S1568" s="16">
        <v>0</v>
      </c>
      <c r="T1568" s="16">
        <v>0</v>
      </c>
      <c r="U1568" s="15" t="str">
        <f t="shared" si="96"/>
        <v>Privado Nacional</v>
      </c>
      <c r="V1568" s="17">
        <f t="shared" si="97"/>
        <v>0.31316725978647686</v>
      </c>
      <c r="W1568" s="17">
        <f t="shared" si="98"/>
        <v>9.1074681238615673E-3</v>
      </c>
      <c r="X1568" s="15" t="str">
        <f t="shared" si="99"/>
        <v>Média/Pequena</v>
      </c>
      <c r="Y1568" s="121" t="str" cm="1">
        <f t="array" ref="Y1568">_xlfn.IFS(ISNUMBER(W1568)=FALSE,"Sem dado",W1568&gt;0.075,"Excelente",W1568&gt;0.04,"Bom",W1568&gt;0,"Fraco",TRUE,"Prejuízo")</f>
        <v>Fraco</v>
      </c>
    </row>
    <row r="1569" spans="1:25" ht="15" customHeight="1" x14ac:dyDescent="0.2">
      <c r="A1569" s="12" t="s">
        <v>3350</v>
      </c>
      <c r="B1569" s="56">
        <v>89784367</v>
      </c>
      <c r="C1569" s="12" t="s">
        <v>3351</v>
      </c>
      <c r="D1569" s="12"/>
      <c r="E1569" s="12" t="s">
        <v>3352</v>
      </c>
      <c r="F1569" s="12" t="s">
        <v>98</v>
      </c>
      <c r="G1569" s="33">
        <v>2</v>
      </c>
      <c r="H1569" s="33">
        <v>16</v>
      </c>
      <c r="I1569" s="12" t="s">
        <v>228</v>
      </c>
      <c r="J1569" s="12" t="s">
        <v>229</v>
      </c>
      <c r="K1569" s="73" t="s">
        <v>29</v>
      </c>
      <c r="L1569" s="13">
        <v>557</v>
      </c>
      <c r="M1569" s="13">
        <v>0</v>
      </c>
      <c r="N1569" s="13">
        <v>373</v>
      </c>
      <c r="O1569" s="13">
        <v>5</v>
      </c>
      <c r="P1569" s="13">
        <v>0</v>
      </c>
      <c r="Q1569" s="13">
        <v>552</v>
      </c>
      <c r="R1569" s="13">
        <v>-84</v>
      </c>
      <c r="S1569" s="13">
        <v>2</v>
      </c>
      <c r="T1569" s="13">
        <v>0</v>
      </c>
      <c r="U1569" s="12" t="str">
        <f t="shared" si="96"/>
        <v>Privado Nacional</v>
      </c>
      <c r="V1569" s="14">
        <f t="shared" si="97"/>
        <v>0</v>
      </c>
      <c r="W1569" s="14">
        <f t="shared" si="98"/>
        <v>-0.15217391304347827</v>
      </c>
      <c r="X1569" s="12" t="str">
        <f t="shared" si="99"/>
        <v>Média/Pequena</v>
      </c>
      <c r="Y1569" s="122" t="str" cm="1">
        <f t="array" ref="Y1569">_xlfn.IFS(ISNUMBER(W1569)=FALSE,"Sem dado",W1569&gt;0.075,"Excelente",W1569&gt;0.04,"Bom",W1569&gt;0,"Fraco",TRUE,"Prejuízo")</f>
        <v>Prejuízo</v>
      </c>
    </row>
    <row r="1570" spans="1:25" ht="15" customHeight="1" x14ac:dyDescent="0.2">
      <c r="A1570" s="15" t="s">
        <v>3353</v>
      </c>
      <c r="B1570" s="60">
        <v>3443143</v>
      </c>
      <c r="C1570" s="15" t="s">
        <v>3354</v>
      </c>
      <c r="D1570" s="15"/>
      <c r="E1570" s="15" t="s">
        <v>3355</v>
      </c>
      <c r="F1570" s="15" t="s">
        <v>98</v>
      </c>
      <c r="G1570" s="34">
        <v>2</v>
      </c>
      <c r="H1570" s="34">
        <v>21</v>
      </c>
      <c r="I1570" s="15" t="s">
        <v>53</v>
      </c>
      <c r="J1570" s="15" t="s">
        <v>54</v>
      </c>
      <c r="K1570" s="74" t="s">
        <v>29</v>
      </c>
      <c r="L1570" s="16">
        <v>557</v>
      </c>
      <c r="M1570" s="16">
        <v>0</v>
      </c>
      <c r="N1570" s="16">
        <v>403</v>
      </c>
      <c r="O1570" s="16">
        <v>7</v>
      </c>
      <c r="P1570" s="16">
        <v>0</v>
      </c>
      <c r="Q1570" s="16">
        <v>550</v>
      </c>
      <c r="R1570" s="16">
        <v>-51</v>
      </c>
      <c r="S1570" s="16">
        <v>2</v>
      </c>
      <c r="T1570" s="16">
        <v>0</v>
      </c>
      <c r="U1570" s="15" t="str">
        <f t="shared" si="96"/>
        <v>Privado Nacional</v>
      </c>
      <c r="V1570" s="17">
        <f t="shared" si="97"/>
        <v>0</v>
      </c>
      <c r="W1570" s="17">
        <f t="shared" si="98"/>
        <v>-9.2727272727272728E-2</v>
      </c>
      <c r="X1570" s="15" t="str">
        <f t="shared" si="99"/>
        <v>Média/Pequena</v>
      </c>
      <c r="Y1570" s="121" t="str" cm="1">
        <f t="array" ref="Y1570">_xlfn.IFS(ISNUMBER(W1570)=FALSE,"Sem dado",W1570&gt;0.075,"Excelente",W1570&gt;0.04,"Bom",W1570&gt;0,"Fraco",TRUE,"Prejuízo")</f>
        <v>Prejuízo</v>
      </c>
    </row>
    <row r="1571" spans="1:25" ht="15" customHeight="1" x14ac:dyDescent="0.2">
      <c r="A1571" s="12" t="s">
        <v>3356</v>
      </c>
      <c r="B1571" s="56">
        <v>3165497</v>
      </c>
      <c r="C1571" s="12"/>
      <c r="D1571" s="12"/>
      <c r="E1571" s="12"/>
      <c r="F1571" s="12" t="s">
        <v>265</v>
      </c>
      <c r="G1571" s="33">
        <v>2</v>
      </c>
      <c r="H1571" s="33">
        <v>9</v>
      </c>
      <c r="I1571" s="12" t="s">
        <v>971</v>
      </c>
      <c r="J1571" s="12" t="s">
        <v>229</v>
      </c>
      <c r="K1571" s="73" t="s">
        <v>29</v>
      </c>
      <c r="L1571" s="13">
        <v>535</v>
      </c>
      <c r="M1571" s="13">
        <v>312</v>
      </c>
      <c r="N1571" s="13">
        <v>209</v>
      </c>
      <c r="O1571" s="13">
        <v>32</v>
      </c>
      <c r="P1571" s="13">
        <v>0</v>
      </c>
      <c r="Q1571" s="13">
        <v>502</v>
      </c>
      <c r="R1571" s="13">
        <v>-26</v>
      </c>
      <c r="S1571" s="13">
        <v>0</v>
      </c>
      <c r="T1571" s="13">
        <v>0</v>
      </c>
      <c r="U1571" s="12" t="str">
        <f t="shared" si="96"/>
        <v>Privado Nacional</v>
      </c>
      <c r="V1571" s="14">
        <f t="shared" si="97"/>
        <v>0.58317757009345794</v>
      </c>
      <c r="W1571" s="14">
        <f t="shared" si="98"/>
        <v>-5.1792828685258967E-2</v>
      </c>
      <c r="X1571" s="12" t="str">
        <f t="shared" si="99"/>
        <v>Média/Pequena</v>
      </c>
      <c r="Y1571" s="122" t="str" cm="1">
        <f t="array" ref="Y1571">_xlfn.IFS(ISNUMBER(W1571)=FALSE,"Sem dado",W1571&gt;0.075,"Excelente",W1571&gt;0.04,"Bom",W1571&gt;0,"Fraco",TRUE,"Prejuízo")</f>
        <v>Prejuízo</v>
      </c>
    </row>
    <row r="1572" spans="1:25" ht="15" customHeight="1" x14ac:dyDescent="0.2">
      <c r="A1572" s="15" t="s">
        <v>3357</v>
      </c>
      <c r="B1572" s="60">
        <v>4158581</v>
      </c>
      <c r="C1572" s="15"/>
      <c r="D1572" s="15"/>
      <c r="E1572" s="15"/>
      <c r="F1572" s="15" t="s">
        <v>265</v>
      </c>
      <c r="G1572" s="34">
        <v>2</v>
      </c>
      <c r="H1572" s="34">
        <v>9</v>
      </c>
      <c r="I1572" s="15" t="s">
        <v>3150</v>
      </c>
      <c r="J1572" s="15" t="s">
        <v>120</v>
      </c>
      <c r="K1572" s="74" t="s">
        <v>29</v>
      </c>
      <c r="L1572" s="16">
        <v>493</v>
      </c>
      <c r="M1572" s="16">
        <v>251</v>
      </c>
      <c r="N1572" s="16">
        <v>0</v>
      </c>
      <c r="O1572" s="16">
        <v>25</v>
      </c>
      <c r="P1572" s="16">
        <v>0</v>
      </c>
      <c r="Q1572" s="16">
        <v>469</v>
      </c>
      <c r="R1572" s="16">
        <v>0</v>
      </c>
      <c r="S1572" s="16">
        <v>0</v>
      </c>
      <c r="T1572" s="16">
        <v>0</v>
      </c>
      <c r="U1572" s="15" t="str">
        <f t="shared" si="96"/>
        <v>Privado Nacional</v>
      </c>
      <c r="V1572" s="17">
        <f t="shared" si="97"/>
        <v>0.50912778904665312</v>
      </c>
      <c r="W1572" s="17">
        <f t="shared" si="98"/>
        <v>0</v>
      </c>
      <c r="X1572" s="15" t="str">
        <f t="shared" si="99"/>
        <v>Média/Pequena</v>
      </c>
      <c r="Y1572" s="121" t="str" cm="1">
        <f t="array" ref="Y1572">_xlfn.IFS(ISNUMBER(W1572)=FALSE,"Sem dado",W1572&gt;0.075,"Excelente",W1572&gt;0.04,"Bom",W1572&gt;0,"Fraco",TRUE,"Prejuízo")</f>
        <v>Prejuízo</v>
      </c>
    </row>
    <row r="1573" spans="1:25" ht="15" customHeight="1" x14ac:dyDescent="0.2">
      <c r="A1573" s="12" t="s">
        <v>3358</v>
      </c>
      <c r="B1573" s="56">
        <v>71491609</v>
      </c>
      <c r="C1573" s="12"/>
      <c r="D1573" s="12"/>
      <c r="E1573" s="12"/>
      <c r="F1573" s="12" t="s">
        <v>265</v>
      </c>
      <c r="G1573" s="33">
        <v>2</v>
      </c>
      <c r="H1573" s="33">
        <v>9</v>
      </c>
      <c r="I1573" s="12" t="s">
        <v>770</v>
      </c>
      <c r="J1573" s="12" t="s">
        <v>39</v>
      </c>
      <c r="K1573" s="73" t="s">
        <v>29</v>
      </c>
      <c r="L1573" s="13">
        <v>436</v>
      </c>
      <c r="M1573" s="13">
        <v>191</v>
      </c>
      <c r="N1573" s="13">
        <v>174</v>
      </c>
      <c r="O1573" s="13">
        <v>100</v>
      </c>
      <c r="P1573" s="13">
        <v>0</v>
      </c>
      <c r="Q1573" s="13">
        <v>336</v>
      </c>
      <c r="R1573" s="13">
        <v>30</v>
      </c>
      <c r="S1573" s="13">
        <v>0</v>
      </c>
      <c r="T1573" s="13">
        <v>0</v>
      </c>
      <c r="U1573" s="12" t="str">
        <f t="shared" si="96"/>
        <v>Privado Nacional</v>
      </c>
      <c r="V1573" s="14">
        <f t="shared" si="97"/>
        <v>0.43807339449541283</v>
      </c>
      <c r="W1573" s="14">
        <f t="shared" si="98"/>
        <v>8.9285714285714288E-2</v>
      </c>
      <c r="X1573" s="12" t="str">
        <f t="shared" si="99"/>
        <v>Média/Pequena</v>
      </c>
      <c r="Y1573" s="122" t="str" cm="1">
        <f t="array" ref="Y1573">_xlfn.IFS(ISNUMBER(W1573)=FALSE,"Sem dado",W1573&gt;0.075,"Excelente",W1573&gt;0.04,"Bom",W1573&gt;0,"Fraco",TRUE,"Prejuízo")</f>
        <v>Excelente</v>
      </c>
    </row>
    <row r="1574" spans="1:25" ht="15" customHeight="1" x14ac:dyDescent="0.2">
      <c r="A1574" s="15" t="s">
        <v>3359</v>
      </c>
      <c r="B1574" s="60">
        <v>72556996</v>
      </c>
      <c r="C1574" s="15" t="s">
        <v>3360</v>
      </c>
      <c r="D1574" s="15"/>
      <c r="E1574" s="15" t="s">
        <v>3361</v>
      </c>
      <c r="F1574" s="15" t="s">
        <v>98</v>
      </c>
      <c r="G1574" s="34">
        <v>2</v>
      </c>
      <c r="H1574" s="34">
        <v>21</v>
      </c>
      <c r="I1574" s="15" t="s">
        <v>228</v>
      </c>
      <c r="J1574" s="15" t="s">
        <v>229</v>
      </c>
      <c r="K1574" s="74" t="s">
        <v>29</v>
      </c>
      <c r="L1574" s="16">
        <v>401</v>
      </c>
      <c r="M1574" s="16">
        <v>0</v>
      </c>
      <c r="N1574" s="16">
        <v>0</v>
      </c>
      <c r="O1574" s="16">
        <v>5</v>
      </c>
      <c r="P1574" s="16">
        <v>0</v>
      </c>
      <c r="Q1574" s="16">
        <v>396</v>
      </c>
      <c r="R1574" s="16">
        <v>26</v>
      </c>
      <c r="S1574" s="16">
        <v>2</v>
      </c>
      <c r="T1574" s="16">
        <v>0</v>
      </c>
      <c r="U1574" s="15" t="str">
        <f t="shared" si="96"/>
        <v>Privado Nacional</v>
      </c>
      <c r="V1574" s="17">
        <f t="shared" si="97"/>
        <v>0</v>
      </c>
      <c r="W1574" s="17">
        <f t="shared" si="98"/>
        <v>6.5656565656565663E-2</v>
      </c>
      <c r="X1574" s="15" t="str">
        <f t="shared" si="99"/>
        <v>Média/Pequena</v>
      </c>
      <c r="Y1574" s="121" t="str" cm="1">
        <f t="array" ref="Y1574">_xlfn.IFS(ISNUMBER(W1574)=FALSE,"Sem dado",W1574&gt;0.075,"Excelente",W1574&gt;0.04,"Bom",W1574&gt;0,"Fraco",TRUE,"Prejuízo")</f>
        <v>Bom</v>
      </c>
    </row>
    <row r="1575" spans="1:25" ht="15" customHeight="1" x14ac:dyDescent="0.2">
      <c r="A1575" s="12" t="s">
        <v>3362</v>
      </c>
      <c r="B1575" s="56">
        <v>15168152</v>
      </c>
      <c r="C1575" s="12" t="s">
        <v>3363</v>
      </c>
      <c r="D1575" s="12"/>
      <c r="E1575" s="12" t="s">
        <v>3364</v>
      </c>
      <c r="F1575" s="12" t="s">
        <v>98</v>
      </c>
      <c r="G1575" s="33">
        <v>2</v>
      </c>
      <c r="H1575" s="33">
        <v>21</v>
      </c>
      <c r="I1575" s="12" t="s">
        <v>38</v>
      </c>
      <c r="J1575" s="12" t="s">
        <v>39</v>
      </c>
      <c r="K1575" s="73" t="s">
        <v>29</v>
      </c>
      <c r="L1575" s="13">
        <v>365</v>
      </c>
      <c r="M1575" s="13">
        <v>0</v>
      </c>
      <c r="N1575" s="13">
        <v>333</v>
      </c>
      <c r="O1575" s="13">
        <v>143</v>
      </c>
      <c r="P1575" s="13">
        <v>0</v>
      </c>
      <c r="Q1575" s="13">
        <v>222</v>
      </c>
      <c r="R1575" s="13">
        <v>-178</v>
      </c>
      <c r="S1575" s="13">
        <v>2</v>
      </c>
      <c r="T1575" s="13">
        <v>0</v>
      </c>
      <c r="U1575" s="12" t="str">
        <f t="shared" si="96"/>
        <v>Privado Nacional</v>
      </c>
      <c r="V1575" s="14">
        <f t="shared" si="97"/>
        <v>0</v>
      </c>
      <c r="W1575" s="14">
        <f t="shared" si="98"/>
        <v>-0.80180180180180183</v>
      </c>
      <c r="X1575" s="12" t="str">
        <f t="shared" si="99"/>
        <v>Média/Pequena</v>
      </c>
      <c r="Y1575" s="122" t="str" cm="1">
        <f t="array" ref="Y1575">_xlfn.IFS(ISNUMBER(W1575)=FALSE,"Sem dado",W1575&gt;0.075,"Excelente",W1575&gt;0.04,"Bom",W1575&gt;0,"Fraco",TRUE,"Prejuízo")</f>
        <v>Prejuízo</v>
      </c>
    </row>
    <row r="1576" spans="1:25" ht="15" customHeight="1" x14ac:dyDescent="0.2">
      <c r="A1576" s="15" t="s">
        <v>3365</v>
      </c>
      <c r="B1576" s="60">
        <v>208</v>
      </c>
      <c r="C1576" s="15" t="s">
        <v>2145</v>
      </c>
      <c r="D1576" s="15" t="s">
        <v>2146</v>
      </c>
      <c r="E1576" s="15" t="s">
        <v>2147</v>
      </c>
      <c r="F1576" s="15" t="s">
        <v>26</v>
      </c>
      <c r="G1576" s="34">
        <v>1</v>
      </c>
      <c r="H1576" s="34">
        <v>8</v>
      </c>
      <c r="I1576" s="15" t="s">
        <v>27</v>
      </c>
      <c r="J1576" s="15" t="s">
        <v>28</v>
      </c>
      <c r="K1576" s="74" t="s">
        <v>29</v>
      </c>
      <c r="L1576" s="16" t="s">
        <v>3366</v>
      </c>
      <c r="M1576" s="16" t="s">
        <v>3366</v>
      </c>
      <c r="N1576" s="16" t="s">
        <v>3366</v>
      </c>
      <c r="O1576" s="16" t="s">
        <v>3366</v>
      </c>
      <c r="P1576" s="16" t="s">
        <v>3366</v>
      </c>
      <c r="Q1576" s="16" t="s">
        <v>3366</v>
      </c>
      <c r="R1576" s="16" t="s">
        <v>3366</v>
      </c>
      <c r="S1576" s="16">
        <v>64</v>
      </c>
      <c r="T1576" s="16">
        <v>201</v>
      </c>
      <c r="U1576" s="15" t="str">
        <f t="shared" si="96"/>
        <v>Público</v>
      </c>
      <c r="V1576" s="17" t="str">
        <f t="shared" si="97"/>
        <v>NI</v>
      </c>
      <c r="W1576" s="17" t="str">
        <f t="shared" si="98"/>
        <v>NI</v>
      </c>
      <c r="X1576" s="15" t="str">
        <f t="shared" si="99"/>
        <v>Sem dado</v>
      </c>
      <c r="Y1576" s="121" t="str" cm="1">
        <f t="array" ref="Y1576">_xlfn.IFS(ISNUMBER(W1576)=FALSE,"Sem dado",W1576&gt;0.075,"Excelente",W1576&gt;0.04,"Bom",W1576&gt;0,"Fraco",TRUE,"Prejuízo")</f>
        <v>Sem dado</v>
      </c>
    </row>
    <row r="1577" spans="1:25" ht="15" customHeight="1" x14ac:dyDescent="0.2">
      <c r="A1577" s="12" t="s">
        <v>3367</v>
      </c>
      <c r="B1577" s="56">
        <v>204963</v>
      </c>
      <c r="C1577" s="12"/>
      <c r="D1577" s="12"/>
      <c r="E1577" s="12"/>
      <c r="F1577" s="12" t="s">
        <v>265</v>
      </c>
      <c r="G1577" s="33">
        <v>2</v>
      </c>
      <c r="H1577" s="33">
        <v>9</v>
      </c>
      <c r="I1577" s="12" t="s">
        <v>3368</v>
      </c>
      <c r="J1577" s="12" t="s">
        <v>217</v>
      </c>
      <c r="K1577" s="73" t="s">
        <v>29</v>
      </c>
      <c r="L1577" s="13" t="s">
        <v>3366</v>
      </c>
      <c r="M1577" s="13" t="s">
        <v>3366</v>
      </c>
      <c r="N1577" s="13" t="s">
        <v>3366</v>
      </c>
      <c r="O1577" s="13" t="s">
        <v>3366</v>
      </c>
      <c r="P1577" s="13" t="s">
        <v>3366</v>
      </c>
      <c r="Q1577" s="13" t="s">
        <v>3366</v>
      </c>
      <c r="R1577" s="13" t="s">
        <v>3366</v>
      </c>
      <c r="S1577" s="13">
        <v>0</v>
      </c>
      <c r="T1577" s="13">
        <v>5</v>
      </c>
      <c r="U1577" s="12" t="str">
        <f t="shared" si="96"/>
        <v>Privado Nacional</v>
      </c>
      <c r="V1577" s="14" t="str">
        <f t="shared" si="97"/>
        <v>NI</v>
      </c>
      <c r="W1577" s="14" t="str">
        <f t="shared" si="98"/>
        <v>NI</v>
      </c>
      <c r="X1577" s="12" t="str">
        <f t="shared" si="99"/>
        <v>Sem dado</v>
      </c>
      <c r="Y1577" s="122" t="str" cm="1">
        <f t="array" ref="Y1577">_xlfn.IFS(ISNUMBER(W1577)=FALSE,"Sem dado",W1577&gt;0.075,"Excelente",W1577&gt;0.04,"Bom",W1577&gt;0,"Fraco",TRUE,"Prejuízo")</f>
        <v>Sem dado</v>
      </c>
    </row>
    <row r="1578" spans="1:25" ht="15" customHeight="1" x14ac:dyDescent="0.2">
      <c r="A1578" s="15" t="s">
        <v>3369</v>
      </c>
      <c r="B1578" s="60">
        <v>548980</v>
      </c>
      <c r="C1578" s="15"/>
      <c r="D1578" s="15"/>
      <c r="E1578" s="15"/>
      <c r="F1578" s="15" t="s">
        <v>265</v>
      </c>
      <c r="G1578" s="34">
        <v>2</v>
      </c>
      <c r="H1578" s="34">
        <v>9</v>
      </c>
      <c r="I1578" s="15" t="s">
        <v>119</v>
      </c>
      <c r="J1578" s="15" t="s">
        <v>120</v>
      </c>
      <c r="K1578" s="74" t="s">
        <v>29</v>
      </c>
      <c r="L1578" s="16" t="s">
        <v>3366</v>
      </c>
      <c r="M1578" s="16" t="s">
        <v>3366</v>
      </c>
      <c r="N1578" s="16" t="s">
        <v>3366</v>
      </c>
      <c r="O1578" s="16" t="s">
        <v>3366</v>
      </c>
      <c r="P1578" s="16" t="s">
        <v>3366</v>
      </c>
      <c r="Q1578" s="16" t="s">
        <v>3366</v>
      </c>
      <c r="R1578" s="16" t="s">
        <v>3366</v>
      </c>
      <c r="S1578" s="16">
        <v>0</v>
      </c>
      <c r="T1578" s="16">
        <v>0</v>
      </c>
      <c r="U1578" s="15" t="str">
        <f t="shared" si="96"/>
        <v>Privado Nacional</v>
      </c>
      <c r="V1578" s="17" t="str">
        <f t="shared" si="97"/>
        <v>NI</v>
      </c>
      <c r="W1578" s="17" t="str">
        <f t="shared" si="98"/>
        <v>NI</v>
      </c>
      <c r="X1578" s="15" t="str">
        <f t="shared" si="99"/>
        <v>Sem dado</v>
      </c>
      <c r="Y1578" s="121" t="str" cm="1">
        <f t="array" ref="Y1578">_xlfn.IFS(ISNUMBER(W1578)=FALSE,"Sem dado",W1578&gt;0.075,"Excelente",W1578&gt;0.04,"Bom",W1578&gt;0,"Fraco",TRUE,"Prejuízo")</f>
        <v>Sem dado</v>
      </c>
    </row>
    <row r="1579" spans="1:25" ht="15" customHeight="1" x14ac:dyDescent="0.2">
      <c r="A1579" s="12" t="s">
        <v>3370</v>
      </c>
      <c r="B1579" s="56">
        <v>1301541</v>
      </c>
      <c r="C1579" s="12"/>
      <c r="D1579" s="12"/>
      <c r="E1579" s="12"/>
      <c r="F1579" s="12" t="s">
        <v>265</v>
      </c>
      <c r="G1579" s="33">
        <v>2</v>
      </c>
      <c r="H1579" s="33">
        <v>9</v>
      </c>
      <c r="I1579" s="12" t="s">
        <v>564</v>
      </c>
      <c r="J1579" s="12" t="s">
        <v>120</v>
      </c>
      <c r="K1579" s="73" t="s">
        <v>29</v>
      </c>
      <c r="L1579" s="13" t="s">
        <v>3366</v>
      </c>
      <c r="M1579" s="13" t="s">
        <v>3366</v>
      </c>
      <c r="N1579" s="13" t="s">
        <v>3366</v>
      </c>
      <c r="O1579" s="13" t="s">
        <v>3366</v>
      </c>
      <c r="P1579" s="13" t="s">
        <v>3366</v>
      </c>
      <c r="Q1579" s="13" t="s">
        <v>3366</v>
      </c>
      <c r="R1579" s="13" t="s">
        <v>3366</v>
      </c>
      <c r="S1579" s="13">
        <v>0</v>
      </c>
      <c r="T1579" s="13">
        <v>0</v>
      </c>
      <c r="U1579" s="12" t="str">
        <f t="shared" si="96"/>
        <v>Privado Nacional</v>
      </c>
      <c r="V1579" s="14" t="str">
        <f t="shared" si="97"/>
        <v>NI</v>
      </c>
      <c r="W1579" s="14" t="str">
        <f t="shared" si="98"/>
        <v>NI</v>
      </c>
      <c r="X1579" s="12" t="str">
        <f t="shared" si="99"/>
        <v>Sem dado</v>
      </c>
      <c r="Y1579" s="122" t="str" cm="1">
        <f t="array" ref="Y1579">_xlfn.IFS(ISNUMBER(W1579)=FALSE,"Sem dado",W1579&gt;0.075,"Excelente",W1579&gt;0.04,"Bom",W1579&gt;0,"Fraco",TRUE,"Prejuízo")</f>
        <v>Sem dado</v>
      </c>
    </row>
    <row r="1580" spans="1:25" ht="15" customHeight="1" x14ac:dyDescent="0.2">
      <c r="A1580" s="15" t="s">
        <v>3371</v>
      </c>
      <c r="B1580" s="60">
        <v>3058464</v>
      </c>
      <c r="C1580" s="15" t="s">
        <v>3372</v>
      </c>
      <c r="D1580" s="15"/>
      <c r="E1580" s="15" t="s">
        <v>3373</v>
      </c>
      <c r="F1580" s="15" t="s">
        <v>65</v>
      </c>
      <c r="G1580" s="34">
        <v>1</v>
      </c>
      <c r="H1580" s="34">
        <v>30</v>
      </c>
      <c r="I1580" s="15" t="s">
        <v>3374</v>
      </c>
      <c r="J1580" s="15" t="s">
        <v>3375</v>
      </c>
      <c r="K1580" s="74" t="s">
        <v>29</v>
      </c>
      <c r="L1580" s="16" t="s">
        <v>3366</v>
      </c>
      <c r="M1580" s="16" t="s">
        <v>3366</v>
      </c>
      <c r="N1580" s="16" t="s">
        <v>3366</v>
      </c>
      <c r="O1580" s="16" t="s">
        <v>3366</v>
      </c>
      <c r="P1580" s="16" t="s">
        <v>3366</v>
      </c>
      <c r="Q1580" s="16" t="s">
        <v>3366</v>
      </c>
      <c r="R1580" s="16" t="s">
        <v>3366</v>
      </c>
      <c r="S1580" s="16">
        <v>2</v>
      </c>
      <c r="T1580" s="16">
        <v>0</v>
      </c>
      <c r="U1580" s="15" t="str">
        <f t="shared" si="96"/>
        <v>Público</v>
      </c>
      <c r="V1580" s="17" t="str">
        <f t="shared" si="97"/>
        <v>NI</v>
      </c>
      <c r="W1580" s="17" t="str">
        <f t="shared" si="98"/>
        <v>NI</v>
      </c>
      <c r="X1580" s="15" t="str">
        <f t="shared" si="99"/>
        <v>Sem dado</v>
      </c>
      <c r="Y1580" s="121" t="str" cm="1">
        <f t="array" ref="Y1580">_xlfn.IFS(ISNUMBER(W1580)=FALSE,"Sem dado",W1580&gt;0.075,"Excelente",W1580&gt;0.04,"Bom",W1580&gt;0,"Fraco",TRUE,"Prejuízo")</f>
        <v>Sem dado</v>
      </c>
    </row>
    <row r="1581" spans="1:25" ht="15" customHeight="1" x14ac:dyDescent="0.2">
      <c r="A1581" s="12" t="s">
        <v>3376</v>
      </c>
      <c r="B1581" s="56">
        <v>3400651</v>
      </c>
      <c r="C1581" s="12"/>
      <c r="D1581" s="12"/>
      <c r="E1581" s="12"/>
      <c r="F1581" s="12" t="s">
        <v>265</v>
      </c>
      <c r="G1581" s="33">
        <v>2</v>
      </c>
      <c r="H1581" s="33">
        <v>9</v>
      </c>
      <c r="I1581" s="12" t="s">
        <v>3377</v>
      </c>
      <c r="J1581" s="12" t="s">
        <v>39</v>
      </c>
      <c r="K1581" s="73" t="s">
        <v>29</v>
      </c>
      <c r="L1581" s="13" t="s">
        <v>3366</v>
      </c>
      <c r="M1581" s="13" t="s">
        <v>3366</v>
      </c>
      <c r="N1581" s="13" t="s">
        <v>3366</v>
      </c>
      <c r="O1581" s="13" t="s">
        <v>3366</v>
      </c>
      <c r="P1581" s="13" t="s">
        <v>3366</v>
      </c>
      <c r="Q1581" s="13" t="s">
        <v>3366</v>
      </c>
      <c r="R1581" s="13" t="s">
        <v>3366</v>
      </c>
      <c r="S1581" s="13">
        <v>0</v>
      </c>
      <c r="T1581" s="13">
        <v>0</v>
      </c>
      <c r="U1581" s="12" t="str">
        <f t="shared" si="96"/>
        <v>Privado Nacional</v>
      </c>
      <c r="V1581" s="14" t="str">
        <f t="shared" si="97"/>
        <v>NI</v>
      </c>
      <c r="W1581" s="14" t="str">
        <f t="shared" si="98"/>
        <v>NI</v>
      </c>
      <c r="X1581" s="12" t="str">
        <f t="shared" si="99"/>
        <v>Sem dado</v>
      </c>
      <c r="Y1581" s="122" t="str" cm="1">
        <f t="array" ref="Y1581">_xlfn.IFS(ISNUMBER(W1581)=FALSE,"Sem dado",W1581&gt;0.075,"Excelente",W1581&gt;0.04,"Bom",W1581&gt;0,"Fraco",TRUE,"Prejuízo")</f>
        <v>Sem dado</v>
      </c>
    </row>
    <row r="1582" spans="1:25" ht="15" customHeight="1" x14ac:dyDescent="0.2">
      <c r="A1582" s="15" t="s">
        <v>3378</v>
      </c>
      <c r="B1582" s="60">
        <v>3844699</v>
      </c>
      <c r="C1582" s="15"/>
      <c r="D1582" s="15"/>
      <c r="E1582" s="15"/>
      <c r="F1582" s="15" t="s">
        <v>265</v>
      </c>
      <c r="G1582" s="34">
        <v>2</v>
      </c>
      <c r="H1582" s="34">
        <v>9</v>
      </c>
      <c r="I1582" s="15" t="s">
        <v>182</v>
      </c>
      <c r="J1582" s="15" t="s">
        <v>183</v>
      </c>
      <c r="K1582" s="74" t="s">
        <v>29</v>
      </c>
      <c r="L1582" s="16" t="s">
        <v>3366</v>
      </c>
      <c r="M1582" s="16" t="s">
        <v>3366</v>
      </c>
      <c r="N1582" s="16" t="s">
        <v>3366</v>
      </c>
      <c r="O1582" s="16" t="s">
        <v>3366</v>
      </c>
      <c r="P1582" s="16" t="s">
        <v>3366</v>
      </c>
      <c r="Q1582" s="16" t="s">
        <v>3366</v>
      </c>
      <c r="R1582" s="16" t="s">
        <v>3366</v>
      </c>
      <c r="S1582" s="16">
        <v>0</v>
      </c>
      <c r="T1582" s="16">
        <v>0</v>
      </c>
      <c r="U1582" s="15" t="str">
        <f t="shared" si="96"/>
        <v>Privado Nacional</v>
      </c>
      <c r="V1582" s="17" t="str">
        <f t="shared" si="97"/>
        <v>NI</v>
      </c>
      <c r="W1582" s="17" t="str">
        <f t="shared" si="98"/>
        <v>NI</v>
      </c>
      <c r="X1582" s="15" t="str">
        <f t="shared" si="99"/>
        <v>Sem dado</v>
      </c>
      <c r="Y1582" s="121" t="str" cm="1">
        <f t="array" ref="Y1582">_xlfn.IFS(ISNUMBER(W1582)=FALSE,"Sem dado",W1582&gt;0.075,"Excelente",W1582&gt;0.04,"Bom",W1582&gt;0,"Fraco",TRUE,"Prejuízo")</f>
        <v>Sem dado</v>
      </c>
    </row>
    <row r="1583" spans="1:25" ht="15" customHeight="1" x14ac:dyDescent="0.2">
      <c r="A1583" s="12" t="s">
        <v>3379</v>
      </c>
      <c r="B1583" s="56">
        <v>5607266</v>
      </c>
      <c r="C1583" s="12" t="s">
        <v>3380</v>
      </c>
      <c r="D1583" s="12"/>
      <c r="E1583" s="12" t="s">
        <v>3381</v>
      </c>
      <c r="F1583" s="12" t="s">
        <v>84</v>
      </c>
      <c r="G1583" s="33">
        <v>2</v>
      </c>
      <c r="H1583" s="33">
        <v>41</v>
      </c>
      <c r="I1583" s="12" t="s">
        <v>38</v>
      </c>
      <c r="J1583" s="12" t="s">
        <v>39</v>
      </c>
      <c r="K1583" s="73" t="s">
        <v>29</v>
      </c>
      <c r="L1583" s="13" t="s">
        <v>3366</v>
      </c>
      <c r="M1583" s="13" t="s">
        <v>3366</v>
      </c>
      <c r="N1583" s="13" t="s">
        <v>3366</v>
      </c>
      <c r="O1583" s="13" t="s">
        <v>3366</v>
      </c>
      <c r="P1583" s="13" t="s">
        <v>3366</v>
      </c>
      <c r="Q1583" s="13" t="s">
        <v>3366</v>
      </c>
      <c r="R1583" s="13" t="s">
        <v>3366</v>
      </c>
      <c r="S1583" s="13">
        <v>1</v>
      </c>
      <c r="T1583" s="13">
        <v>0</v>
      </c>
      <c r="U1583" s="12" t="str">
        <f t="shared" si="96"/>
        <v>Privado Nacional</v>
      </c>
      <c r="V1583" s="14" t="str">
        <f t="shared" si="97"/>
        <v>NI</v>
      </c>
      <c r="W1583" s="14" t="str">
        <f t="shared" si="98"/>
        <v>NI</v>
      </c>
      <c r="X1583" s="12" t="str">
        <f t="shared" si="99"/>
        <v>Sem dado</v>
      </c>
      <c r="Y1583" s="122" t="str" cm="1">
        <f t="array" ref="Y1583">_xlfn.IFS(ISNUMBER(W1583)=FALSE,"Sem dado",W1583&gt;0.075,"Excelente",W1583&gt;0.04,"Bom",W1583&gt;0,"Fraco",TRUE,"Prejuízo")</f>
        <v>Sem dado</v>
      </c>
    </row>
    <row r="1584" spans="1:25" ht="15" customHeight="1" x14ac:dyDescent="0.2">
      <c r="A1584" s="15" t="s">
        <v>3382</v>
      </c>
      <c r="B1584" s="60">
        <v>5969937</v>
      </c>
      <c r="C1584" s="15"/>
      <c r="D1584" s="15"/>
      <c r="E1584" s="15"/>
      <c r="F1584" s="15" t="s">
        <v>265</v>
      </c>
      <c r="G1584" s="34">
        <v>2</v>
      </c>
      <c r="H1584" s="34">
        <v>9</v>
      </c>
      <c r="I1584" s="15" t="s">
        <v>266</v>
      </c>
      <c r="J1584" s="15" t="s">
        <v>39</v>
      </c>
      <c r="K1584" s="74" t="s">
        <v>29</v>
      </c>
      <c r="L1584" s="16" t="s">
        <v>3366</v>
      </c>
      <c r="M1584" s="16" t="s">
        <v>3366</v>
      </c>
      <c r="N1584" s="16" t="s">
        <v>3366</v>
      </c>
      <c r="O1584" s="16" t="s">
        <v>3366</v>
      </c>
      <c r="P1584" s="16" t="s">
        <v>3366</v>
      </c>
      <c r="Q1584" s="16" t="s">
        <v>3366</v>
      </c>
      <c r="R1584" s="16" t="s">
        <v>3366</v>
      </c>
      <c r="S1584" s="16">
        <v>0</v>
      </c>
      <c r="T1584" s="16">
        <v>0</v>
      </c>
      <c r="U1584" s="15" t="str">
        <f t="shared" si="96"/>
        <v>Privado Nacional</v>
      </c>
      <c r="V1584" s="17" t="str">
        <f t="shared" si="97"/>
        <v>NI</v>
      </c>
      <c r="W1584" s="17" t="str">
        <f t="shared" si="98"/>
        <v>NI</v>
      </c>
      <c r="X1584" s="15" t="str">
        <f t="shared" si="99"/>
        <v>Sem dado</v>
      </c>
      <c r="Y1584" s="121" t="str" cm="1">
        <f t="array" ref="Y1584">_xlfn.IFS(ISNUMBER(W1584)=FALSE,"Sem dado",W1584&gt;0.075,"Excelente",W1584&gt;0.04,"Bom",W1584&gt;0,"Fraco",TRUE,"Prejuízo")</f>
        <v>Sem dado</v>
      </c>
    </row>
    <row r="1585" spans="1:25" ht="15" customHeight="1" x14ac:dyDescent="0.2">
      <c r="A1585" s="12" t="s">
        <v>3383</v>
      </c>
      <c r="B1585" s="56">
        <v>7333726</v>
      </c>
      <c r="C1585" s="12" t="s">
        <v>3384</v>
      </c>
      <c r="D1585" s="12"/>
      <c r="E1585" s="12" t="s">
        <v>3385</v>
      </c>
      <c r="F1585" s="12" t="s">
        <v>98</v>
      </c>
      <c r="G1585" s="33">
        <v>2</v>
      </c>
      <c r="H1585" s="33">
        <v>21</v>
      </c>
      <c r="I1585" s="12" t="s">
        <v>73</v>
      </c>
      <c r="J1585" s="12" t="s">
        <v>74</v>
      </c>
      <c r="K1585" s="73" t="s">
        <v>29</v>
      </c>
      <c r="L1585" s="13" t="s">
        <v>3366</v>
      </c>
      <c r="M1585" s="13" t="s">
        <v>3366</v>
      </c>
      <c r="N1585" s="13" t="s">
        <v>3366</v>
      </c>
      <c r="O1585" s="13" t="s">
        <v>3366</v>
      </c>
      <c r="P1585" s="13" t="s">
        <v>3366</v>
      </c>
      <c r="Q1585" s="13" t="s">
        <v>3366</v>
      </c>
      <c r="R1585" s="13" t="s">
        <v>3366</v>
      </c>
      <c r="S1585" s="13">
        <v>2</v>
      </c>
      <c r="T1585" s="13">
        <v>0</v>
      </c>
      <c r="U1585" s="12" t="str">
        <f t="shared" si="96"/>
        <v>Privado Nacional</v>
      </c>
      <c r="V1585" s="14" t="str">
        <f t="shared" si="97"/>
        <v>NI</v>
      </c>
      <c r="W1585" s="14" t="str">
        <f t="shared" si="98"/>
        <v>NI</v>
      </c>
      <c r="X1585" s="12" t="str">
        <f t="shared" si="99"/>
        <v>Sem dado</v>
      </c>
      <c r="Y1585" s="122" t="str" cm="1">
        <f t="array" ref="Y1585">_xlfn.IFS(ISNUMBER(W1585)=FALSE,"Sem dado",W1585&gt;0.075,"Excelente",W1585&gt;0.04,"Bom",W1585&gt;0,"Fraco",TRUE,"Prejuízo")</f>
        <v>Sem dado</v>
      </c>
    </row>
    <row r="1586" spans="1:25" ht="15" customHeight="1" x14ac:dyDescent="0.2">
      <c r="A1586" s="15" t="s">
        <v>3386</v>
      </c>
      <c r="B1586" s="60">
        <v>8482873</v>
      </c>
      <c r="C1586" s="15"/>
      <c r="D1586" s="15"/>
      <c r="E1586" s="15"/>
      <c r="F1586" s="15" t="s">
        <v>265</v>
      </c>
      <c r="G1586" s="34">
        <v>2</v>
      </c>
      <c r="H1586" s="34">
        <v>9</v>
      </c>
      <c r="I1586" s="15" t="s">
        <v>3387</v>
      </c>
      <c r="J1586" s="15" t="s">
        <v>819</v>
      </c>
      <c r="K1586" s="74" t="s">
        <v>29</v>
      </c>
      <c r="L1586" s="16" t="s">
        <v>3366</v>
      </c>
      <c r="M1586" s="16" t="s">
        <v>3366</v>
      </c>
      <c r="N1586" s="16" t="s">
        <v>3366</v>
      </c>
      <c r="O1586" s="16" t="s">
        <v>3366</v>
      </c>
      <c r="P1586" s="16" t="s">
        <v>3366</v>
      </c>
      <c r="Q1586" s="16" t="s">
        <v>3366</v>
      </c>
      <c r="R1586" s="16" t="s">
        <v>3366</v>
      </c>
      <c r="S1586" s="16">
        <v>0</v>
      </c>
      <c r="T1586" s="16">
        <v>0</v>
      </c>
      <c r="U1586" s="15" t="str">
        <f t="shared" si="96"/>
        <v>Privado Nacional</v>
      </c>
      <c r="V1586" s="17" t="str">
        <f t="shared" si="97"/>
        <v>NI</v>
      </c>
      <c r="W1586" s="17" t="str">
        <f t="shared" si="98"/>
        <v>NI</v>
      </c>
      <c r="X1586" s="15" t="str">
        <f t="shared" si="99"/>
        <v>Sem dado</v>
      </c>
      <c r="Y1586" s="121" t="str" cm="1">
        <f t="array" ref="Y1586">_xlfn.IFS(ISNUMBER(W1586)=FALSE,"Sem dado",W1586&gt;0.075,"Excelente",W1586&gt;0.04,"Bom",W1586&gt;0,"Fraco",TRUE,"Prejuízo")</f>
        <v>Sem dado</v>
      </c>
    </row>
    <row r="1587" spans="1:25" ht="15" customHeight="1" x14ac:dyDescent="0.2">
      <c r="A1587" s="12" t="s">
        <v>3388</v>
      </c>
      <c r="B1587" s="56">
        <v>8520517</v>
      </c>
      <c r="C1587" s="12" t="s">
        <v>3389</v>
      </c>
      <c r="D1587" s="12"/>
      <c r="E1587" s="12" t="s">
        <v>3390</v>
      </c>
      <c r="F1587" s="12" t="s">
        <v>98</v>
      </c>
      <c r="G1587" s="33">
        <v>2</v>
      </c>
      <c r="H1587" s="33">
        <v>21</v>
      </c>
      <c r="I1587" s="12" t="s">
        <v>821</v>
      </c>
      <c r="J1587" s="12" t="s">
        <v>822</v>
      </c>
      <c r="K1587" s="73" t="s">
        <v>29</v>
      </c>
      <c r="L1587" s="13" t="s">
        <v>3366</v>
      </c>
      <c r="M1587" s="13" t="s">
        <v>3366</v>
      </c>
      <c r="N1587" s="13" t="s">
        <v>3366</v>
      </c>
      <c r="O1587" s="13" t="s">
        <v>3366</v>
      </c>
      <c r="P1587" s="13" t="s">
        <v>3366</v>
      </c>
      <c r="Q1587" s="13" t="s">
        <v>3366</v>
      </c>
      <c r="R1587" s="13" t="s">
        <v>3366</v>
      </c>
      <c r="S1587" s="13">
        <v>2</v>
      </c>
      <c r="T1587" s="13">
        <v>0</v>
      </c>
      <c r="U1587" s="12" t="str">
        <f t="shared" si="96"/>
        <v>Privado Nacional</v>
      </c>
      <c r="V1587" s="14" t="str">
        <f t="shared" si="97"/>
        <v>NI</v>
      </c>
      <c r="W1587" s="14" t="str">
        <f t="shared" si="98"/>
        <v>NI</v>
      </c>
      <c r="X1587" s="12" t="str">
        <f t="shared" si="99"/>
        <v>Sem dado</v>
      </c>
      <c r="Y1587" s="122" t="str" cm="1">
        <f t="array" ref="Y1587">_xlfn.IFS(ISNUMBER(W1587)=FALSE,"Sem dado",W1587&gt;0.075,"Excelente",W1587&gt;0.04,"Bom",W1587&gt;0,"Fraco",TRUE,"Prejuízo")</f>
        <v>Sem dado</v>
      </c>
    </row>
    <row r="1588" spans="1:25" ht="15" customHeight="1" x14ac:dyDescent="0.2">
      <c r="A1588" s="15" t="s">
        <v>3391</v>
      </c>
      <c r="B1588" s="60">
        <v>10808037</v>
      </c>
      <c r="C1588" s="15"/>
      <c r="D1588" s="15"/>
      <c r="E1588" s="15"/>
      <c r="F1588" s="15" t="s">
        <v>265</v>
      </c>
      <c r="G1588" s="34">
        <v>2</v>
      </c>
      <c r="H1588" s="34">
        <v>9</v>
      </c>
      <c r="I1588" s="15" t="s">
        <v>1585</v>
      </c>
      <c r="J1588" s="15" t="s">
        <v>1586</v>
      </c>
      <c r="K1588" s="74" t="s">
        <v>29</v>
      </c>
      <c r="L1588" s="16" t="s">
        <v>3366</v>
      </c>
      <c r="M1588" s="16" t="s">
        <v>3366</v>
      </c>
      <c r="N1588" s="16" t="s">
        <v>3366</v>
      </c>
      <c r="O1588" s="16" t="s">
        <v>3366</v>
      </c>
      <c r="P1588" s="16" t="s">
        <v>3366</v>
      </c>
      <c r="Q1588" s="16" t="s">
        <v>3366</v>
      </c>
      <c r="R1588" s="16" t="s">
        <v>3366</v>
      </c>
      <c r="S1588" s="16">
        <v>0</v>
      </c>
      <c r="T1588" s="16">
        <v>0</v>
      </c>
      <c r="U1588" s="15" t="str">
        <f t="shared" si="96"/>
        <v>Privado Nacional</v>
      </c>
      <c r="V1588" s="17" t="str">
        <f t="shared" si="97"/>
        <v>NI</v>
      </c>
      <c r="W1588" s="17" t="str">
        <f t="shared" si="98"/>
        <v>NI</v>
      </c>
      <c r="X1588" s="15" t="str">
        <f t="shared" si="99"/>
        <v>Sem dado</v>
      </c>
      <c r="Y1588" s="121" t="str" cm="1">
        <f t="array" ref="Y1588">_xlfn.IFS(ISNUMBER(W1588)=FALSE,"Sem dado",W1588&gt;0.075,"Excelente",W1588&gt;0.04,"Bom",W1588&gt;0,"Fraco",TRUE,"Prejuízo")</f>
        <v>Sem dado</v>
      </c>
    </row>
    <row r="1589" spans="1:25" ht="15" customHeight="1" x14ac:dyDescent="0.2">
      <c r="A1589" s="12" t="s">
        <v>3392</v>
      </c>
      <c r="B1589" s="56">
        <v>11271860</v>
      </c>
      <c r="C1589" s="12" t="s">
        <v>3393</v>
      </c>
      <c r="D1589" s="12"/>
      <c r="E1589" s="12" t="s">
        <v>3394</v>
      </c>
      <c r="F1589" s="12" t="s">
        <v>65</v>
      </c>
      <c r="G1589" s="33">
        <v>2</v>
      </c>
      <c r="H1589" s="33">
        <v>14</v>
      </c>
      <c r="I1589" s="12" t="s">
        <v>3395</v>
      </c>
      <c r="J1589" s="12" t="s">
        <v>74</v>
      </c>
      <c r="K1589" s="73" t="s">
        <v>29</v>
      </c>
      <c r="L1589" s="13" t="s">
        <v>3366</v>
      </c>
      <c r="M1589" s="13" t="s">
        <v>3366</v>
      </c>
      <c r="N1589" s="13" t="s">
        <v>3366</v>
      </c>
      <c r="O1589" s="13" t="s">
        <v>3366</v>
      </c>
      <c r="P1589" s="13" t="s">
        <v>3366</v>
      </c>
      <c r="Q1589" s="13" t="s">
        <v>3366</v>
      </c>
      <c r="R1589" s="13" t="s">
        <v>3366</v>
      </c>
      <c r="S1589" s="13">
        <v>2</v>
      </c>
      <c r="T1589" s="13">
        <v>0</v>
      </c>
      <c r="U1589" s="12" t="str">
        <f t="shared" si="96"/>
        <v>Privado Nacional</v>
      </c>
      <c r="V1589" s="14" t="str">
        <f t="shared" si="97"/>
        <v>NI</v>
      </c>
      <c r="W1589" s="14" t="str">
        <f t="shared" si="98"/>
        <v>NI</v>
      </c>
      <c r="X1589" s="12" t="str">
        <f t="shared" si="99"/>
        <v>Sem dado</v>
      </c>
      <c r="Y1589" s="122" t="str" cm="1">
        <f t="array" ref="Y1589">_xlfn.IFS(ISNUMBER(W1589)=FALSE,"Sem dado",W1589&gt;0.075,"Excelente",W1589&gt;0.04,"Bom",W1589&gt;0,"Fraco",TRUE,"Prejuízo")</f>
        <v>Sem dado</v>
      </c>
    </row>
    <row r="1590" spans="1:25" ht="15" customHeight="1" x14ac:dyDescent="0.2">
      <c r="A1590" s="15" t="s">
        <v>3396</v>
      </c>
      <c r="B1590" s="60">
        <v>11356599</v>
      </c>
      <c r="C1590" s="15"/>
      <c r="D1590" s="15"/>
      <c r="E1590" s="15"/>
      <c r="F1590" s="15" t="s">
        <v>265</v>
      </c>
      <c r="G1590" s="34">
        <v>2</v>
      </c>
      <c r="H1590" s="34">
        <v>9</v>
      </c>
      <c r="I1590" s="15" t="s">
        <v>1133</v>
      </c>
      <c r="J1590" s="15" t="s">
        <v>1078</v>
      </c>
      <c r="K1590" s="74" t="s">
        <v>29</v>
      </c>
      <c r="L1590" s="16" t="s">
        <v>3366</v>
      </c>
      <c r="M1590" s="16" t="s">
        <v>3366</v>
      </c>
      <c r="N1590" s="16" t="s">
        <v>3366</v>
      </c>
      <c r="O1590" s="16" t="s">
        <v>3366</v>
      </c>
      <c r="P1590" s="16" t="s">
        <v>3366</v>
      </c>
      <c r="Q1590" s="16" t="s">
        <v>3366</v>
      </c>
      <c r="R1590" s="16" t="s">
        <v>3366</v>
      </c>
      <c r="S1590" s="16">
        <v>0</v>
      </c>
      <c r="T1590" s="16">
        <v>0</v>
      </c>
      <c r="U1590" s="15" t="str">
        <f t="shared" si="96"/>
        <v>Privado Nacional</v>
      </c>
      <c r="V1590" s="17" t="str">
        <f t="shared" si="97"/>
        <v>NI</v>
      </c>
      <c r="W1590" s="17" t="str">
        <f t="shared" si="98"/>
        <v>NI</v>
      </c>
      <c r="X1590" s="15" t="str">
        <f t="shared" si="99"/>
        <v>Sem dado</v>
      </c>
      <c r="Y1590" s="121" t="str" cm="1">
        <f t="array" ref="Y1590">_xlfn.IFS(ISNUMBER(W1590)=FALSE,"Sem dado",W1590&gt;0.075,"Excelente",W1590&gt;0.04,"Bom",W1590&gt;0,"Fraco",TRUE,"Prejuízo")</f>
        <v>Sem dado</v>
      </c>
    </row>
    <row r="1591" spans="1:25" ht="15" customHeight="1" x14ac:dyDescent="0.2">
      <c r="A1591" s="12" t="s">
        <v>3397</v>
      </c>
      <c r="B1591" s="56">
        <v>12473687</v>
      </c>
      <c r="C1591" s="12" t="s">
        <v>3398</v>
      </c>
      <c r="D1591" s="12"/>
      <c r="E1591" s="12" t="s">
        <v>3399</v>
      </c>
      <c r="F1591" s="12" t="s">
        <v>84</v>
      </c>
      <c r="G1591" s="33">
        <v>2</v>
      </c>
      <c r="H1591" s="33">
        <v>41</v>
      </c>
      <c r="I1591" s="12" t="s">
        <v>107</v>
      </c>
      <c r="J1591" s="12" t="s">
        <v>39</v>
      </c>
      <c r="K1591" s="73" t="s">
        <v>29</v>
      </c>
      <c r="L1591" s="13" t="s">
        <v>3366</v>
      </c>
      <c r="M1591" s="13" t="s">
        <v>3366</v>
      </c>
      <c r="N1591" s="13" t="s">
        <v>3366</v>
      </c>
      <c r="O1591" s="13" t="s">
        <v>3366</v>
      </c>
      <c r="P1591" s="13" t="s">
        <v>3366</v>
      </c>
      <c r="Q1591" s="13" t="s">
        <v>3366</v>
      </c>
      <c r="R1591" s="13" t="s">
        <v>3366</v>
      </c>
      <c r="S1591" s="13">
        <v>1</v>
      </c>
      <c r="T1591" s="13">
        <v>0</v>
      </c>
      <c r="U1591" s="12" t="str">
        <f t="shared" si="96"/>
        <v>Privado Nacional</v>
      </c>
      <c r="V1591" s="14" t="str">
        <f t="shared" si="97"/>
        <v>NI</v>
      </c>
      <c r="W1591" s="14" t="str">
        <f t="shared" si="98"/>
        <v>NI</v>
      </c>
      <c r="X1591" s="12" t="str">
        <f t="shared" si="99"/>
        <v>Sem dado</v>
      </c>
      <c r="Y1591" s="122" t="str" cm="1">
        <f t="array" ref="Y1591">_xlfn.IFS(ISNUMBER(W1591)=FALSE,"Sem dado",W1591&gt;0.075,"Excelente",W1591&gt;0.04,"Bom",W1591&gt;0,"Fraco",TRUE,"Prejuízo")</f>
        <v>Sem dado</v>
      </c>
    </row>
    <row r="1592" spans="1:25" ht="15" customHeight="1" x14ac:dyDescent="0.2">
      <c r="A1592" s="15" t="s">
        <v>3400</v>
      </c>
      <c r="B1592" s="60">
        <v>13935893</v>
      </c>
      <c r="C1592" s="15" t="s">
        <v>2015</v>
      </c>
      <c r="D1592" s="15"/>
      <c r="E1592" s="15" t="s">
        <v>2016</v>
      </c>
      <c r="F1592" s="15" t="s">
        <v>84</v>
      </c>
      <c r="G1592" s="34">
        <v>3</v>
      </c>
      <c r="H1592" s="34">
        <v>41</v>
      </c>
      <c r="I1592" s="15" t="s">
        <v>107</v>
      </c>
      <c r="J1592" s="15" t="s">
        <v>39</v>
      </c>
      <c r="K1592" s="74" t="s">
        <v>29</v>
      </c>
      <c r="L1592" s="16" t="s">
        <v>3366</v>
      </c>
      <c r="M1592" s="16" t="s">
        <v>3366</v>
      </c>
      <c r="N1592" s="16" t="s">
        <v>3366</v>
      </c>
      <c r="O1592" s="16" t="s">
        <v>3366</v>
      </c>
      <c r="P1592" s="16" t="s">
        <v>3366</v>
      </c>
      <c r="Q1592" s="16" t="s">
        <v>3366</v>
      </c>
      <c r="R1592" s="16" t="s">
        <v>3366</v>
      </c>
      <c r="S1592" s="16">
        <v>1</v>
      </c>
      <c r="T1592" s="16">
        <v>0</v>
      </c>
      <c r="U1592" s="15" t="str">
        <f t="shared" si="96"/>
        <v>Privado Estrangeiro</v>
      </c>
      <c r="V1592" s="17" t="str">
        <f t="shared" si="97"/>
        <v>NI</v>
      </c>
      <c r="W1592" s="17" t="str">
        <f t="shared" si="98"/>
        <v>NI</v>
      </c>
      <c r="X1592" s="15" t="str">
        <f t="shared" si="99"/>
        <v>Sem dado</v>
      </c>
      <c r="Y1592" s="121" t="str" cm="1">
        <f t="array" ref="Y1592">_xlfn.IFS(ISNUMBER(W1592)=FALSE,"Sem dado",W1592&gt;0.075,"Excelente",W1592&gt;0.04,"Bom",W1592&gt;0,"Fraco",TRUE,"Prejuízo")</f>
        <v>Sem dado</v>
      </c>
    </row>
    <row r="1593" spans="1:25" ht="15" customHeight="1" x14ac:dyDescent="0.2">
      <c r="A1593" s="12" t="s">
        <v>3401</v>
      </c>
      <c r="B1593" s="56">
        <v>16651002</v>
      </c>
      <c r="C1593" s="12"/>
      <c r="D1593" s="12"/>
      <c r="E1593" s="12"/>
      <c r="F1593" s="12" t="s">
        <v>265</v>
      </c>
      <c r="G1593" s="33">
        <v>2</v>
      </c>
      <c r="H1593" s="33">
        <v>9</v>
      </c>
      <c r="I1593" s="12" t="s">
        <v>3402</v>
      </c>
      <c r="J1593" s="12" t="s">
        <v>120</v>
      </c>
      <c r="K1593" s="73" t="s">
        <v>29</v>
      </c>
      <c r="L1593" s="13" t="s">
        <v>3366</v>
      </c>
      <c r="M1593" s="13" t="s">
        <v>3366</v>
      </c>
      <c r="N1593" s="13" t="s">
        <v>3366</v>
      </c>
      <c r="O1593" s="13" t="s">
        <v>3366</v>
      </c>
      <c r="P1593" s="13" t="s">
        <v>3366</v>
      </c>
      <c r="Q1593" s="13" t="s">
        <v>3366</v>
      </c>
      <c r="R1593" s="13" t="s">
        <v>3366</v>
      </c>
      <c r="S1593" s="13">
        <v>0</v>
      </c>
      <c r="T1593" s="13">
        <v>0</v>
      </c>
      <c r="U1593" s="12" t="str">
        <f t="shared" si="96"/>
        <v>Privado Nacional</v>
      </c>
      <c r="V1593" s="14" t="str">
        <f t="shared" si="97"/>
        <v>NI</v>
      </c>
      <c r="W1593" s="14" t="str">
        <f t="shared" si="98"/>
        <v>NI</v>
      </c>
      <c r="X1593" s="12" t="str">
        <f t="shared" si="99"/>
        <v>Sem dado</v>
      </c>
      <c r="Y1593" s="122" t="str" cm="1">
        <f t="array" ref="Y1593">_xlfn.IFS(ISNUMBER(W1593)=FALSE,"Sem dado",W1593&gt;0.075,"Excelente",W1593&gt;0.04,"Bom",W1593&gt;0,"Fraco",TRUE,"Prejuízo")</f>
        <v>Sem dado</v>
      </c>
    </row>
    <row r="1594" spans="1:25" ht="15" customHeight="1" x14ac:dyDescent="0.2">
      <c r="A1594" s="15" t="s">
        <v>3403</v>
      </c>
      <c r="B1594" s="60">
        <v>18287740</v>
      </c>
      <c r="C1594" s="15" t="s">
        <v>3404</v>
      </c>
      <c r="D1594" s="15"/>
      <c r="E1594" s="15" t="s">
        <v>3405</v>
      </c>
      <c r="F1594" s="15" t="s">
        <v>98</v>
      </c>
      <c r="G1594" s="34">
        <v>2</v>
      </c>
      <c r="H1594" s="34">
        <v>21</v>
      </c>
      <c r="I1594" s="15" t="s">
        <v>38</v>
      </c>
      <c r="J1594" s="15" t="s">
        <v>39</v>
      </c>
      <c r="K1594" s="74" t="s">
        <v>29</v>
      </c>
      <c r="L1594" s="16" t="s">
        <v>3366</v>
      </c>
      <c r="M1594" s="16" t="s">
        <v>3366</v>
      </c>
      <c r="N1594" s="16" t="s">
        <v>3366</v>
      </c>
      <c r="O1594" s="16" t="s">
        <v>3366</v>
      </c>
      <c r="P1594" s="16" t="s">
        <v>3366</v>
      </c>
      <c r="Q1594" s="16" t="s">
        <v>3366</v>
      </c>
      <c r="R1594" s="16" t="s">
        <v>3366</v>
      </c>
      <c r="S1594" s="16">
        <v>2</v>
      </c>
      <c r="T1594" s="16">
        <v>0</v>
      </c>
      <c r="U1594" s="15" t="str">
        <f t="shared" si="96"/>
        <v>Privado Nacional</v>
      </c>
      <c r="V1594" s="17" t="str">
        <f t="shared" si="97"/>
        <v>NI</v>
      </c>
      <c r="W1594" s="17" t="str">
        <f t="shared" si="98"/>
        <v>NI</v>
      </c>
      <c r="X1594" s="15" t="str">
        <f t="shared" si="99"/>
        <v>Sem dado</v>
      </c>
      <c r="Y1594" s="121" t="str" cm="1">
        <f t="array" ref="Y1594">_xlfn.IFS(ISNUMBER(W1594)=FALSE,"Sem dado",W1594&gt;0.075,"Excelente",W1594&gt;0.04,"Bom",W1594&gt;0,"Fraco",TRUE,"Prejuízo")</f>
        <v>Sem dado</v>
      </c>
    </row>
    <row r="1595" spans="1:25" ht="15" customHeight="1" x14ac:dyDescent="0.2">
      <c r="A1595" s="12" t="s">
        <v>3406</v>
      </c>
      <c r="B1595" s="56">
        <v>20251847</v>
      </c>
      <c r="C1595" s="12" t="s">
        <v>3407</v>
      </c>
      <c r="D1595" s="12"/>
      <c r="E1595" s="12" t="s">
        <v>3408</v>
      </c>
      <c r="F1595" s="12" t="s">
        <v>65</v>
      </c>
      <c r="G1595" s="33">
        <v>2</v>
      </c>
      <c r="H1595" s="33">
        <v>43</v>
      </c>
      <c r="I1595" s="12" t="s">
        <v>228</v>
      </c>
      <c r="J1595" s="12" t="s">
        <v>229</v>
      </c>
      <c r="K1595" s="73" t="s">
        <v>29</v>
      </c>
      <c r="L1595" s="13" t="s">
        <v>3366</v>
      </c>
      <c r="M1595" s="13" t="s">
        <v>3366</v>
      </c>
      <c r="N1595" s="13" t="s">
        <v>3366</v>
      </c>
      <c r="O1595" s="13" t="s">
        <v>3366</v>
      </c>
      <c r="P1595" s="13" t="s">
        <v>3366</v>
      </c>
      <c r="Q1595" s="13" t="s">
        <v>3366</v>
      </c>
      <c r="R1595" s="13" t="s">
        <v>3366</v>
      </c>
      <c r="S1595" s="13">
        <v>2</v>
      </c>
      <c r="T1595" s="13">
        <v>0</v>
      </c>
      <c r="U1595" s="12" t="str">
        <f t="shared" si="96"/>
        <v>Privado Nacional</v>
      </c>
      <c r="V1595" s="14" t="str">
        <f t="shared" si="97"/>
        <v>NI</v>
      </c>
      <c r="W1595" s="14" t="str">
        <f t="shared" si="98"/>
        <v>NI</v>
      </c>
      <c r="X1595" s="12" t="str">
        <f t="shared" si="99"/>
        <v>Sem dado</v>
      </c>
      <c r="Y1595" s="122" t="str" cm="1">
        <f t="array" ref="Y1595">_xlfn.IFS(ISNUMBER(W1595)=FALSE,"Sem dado",W1595&gt;0.075,"Excelente",W1595&gt;0.04,"Bom",W1595&gt;0,"Fraco",TRUE,"Prejuízo")</f>
        <v>Sem dado</v>
      </c>
    </row>
    <row r="1596" spans="1:25" ht="15" customHeight="1" x14ac:dyDescent="0.2">
      <c r="A1596" s="15" t="s">
        <v>3409</v>
      </c>
      <c r="B1596" s="60">
        <v>20443996</v>
      </c>
      <c r="C1596" s="15" t="s">
        <v>3410</v>
      </c>
      <c r="D1596" s="15"/>
      <c r="E1596" s="15" t="s">
        <v>3411</v>
      </c>
      <c r="F1596" s="15" t="s">
        <v>65</v>
      </c>
      <c r="G1596" s="34">
        <v>2</v>
      </c>
      <c r="H1596" s="34">
        <v>14</v>
      </c>
      <c r="I1596" s="15" t="s">
        <v>3412</v>
      </c>
      <c r="J1596" s="15" t="s">
        <v>74</v>
      </c>
      <c r="K1596" s="74" t="s">
        <v>29</v>
      </c>
      <c r="L1596" s="16" t="s">
        <v>3366</v>
      </c>
      <c r="M1596" s="16" t="s">
        <v>3366</v>
      </c>
      <c r="N1596" s="16" t="s">
        <v>3366</v>
      </c>
      <c r="O1596" s="16" t="s">
        <v>3366</v>
      </c>
      <c r="P1596" s="16" t="s">
        <v>3366</v>
      </c>
      <c r="Q1596" s="16" t="s">
        <v>3366</v>
      </c>
      <c r="R1596" s="16" t="s">
        <v>3366</v>
      </c>
      <c r="S1596" s="16">
        <v>2</v>
      </c>
      <c r="T1596" s="16">
        <v>0</v>
      </c>
      <c r="U1596" s="15" t="str">
        <f t="shared" si="96"/>
        <v>Privado Nacional</v>
      </c>
      <c r="V1596" s="17" t="str">
        <f t="shared" si="97"/>
        <v>NI</v>
      </c>
      <c r="W1596" s="17" t="str">
        <f t="shared" si="98"/>
        <v>NI</v>
      </c>
      <c r="X1596" s="15" t="str">
        <f t="shared" si="99"/>
        <v>Sem dado</v>
      </c>
      <c r="Y1596" s="121" t="str" cm="1">
        <f t="array" ref="Y1596">_xlfn.IFS(ISNUMBER(W1596)=FALSE,"Sem dado",W1596&gt;0.075,"Excelente",W1596&gt;0.04,"Bom",W1596&gt;0,"Fraco",TRUE,"Prejuízo")</f>
        <v>Sem dado</v>
      </c>
    </row>
    <row r="1597" spans="1:25" ht="15" customHeight="1" x14ac:dyDescent="0.2">
      <c r="A1597" s="12" t="s">
        <v>3413</v>
      </c>
      <c r="B1597" s="56">
        <v>20833992</v>
      </c>
      <c r="C1597" s="12"/>
      <c r="D1597" s="12"/>
      <c r="E1597" s="12"/>
      <c r="F1597" s="12" t="s">
        <v>265</v>
      </c>
      <c r="G1597" s="33">
        <v>2</v>
      </c>
      <c r="H1597" s="33">
        <v>9</v>
      </c>
      <c r="I1597" s="12" t="s">
        <v>119</v>
      </c>
      <c r="J1597" s="12" t="s">
        <v>120</v>
      </c>
      <c r="K1597" s="73" t="s">
        <v>29</v>
      </c>
      <c r="L1597" s="13" t="s">
        <v>3366</v>
      </c>
      <c r="M1597" s="13" t="s">
        <v>3366</v>
      </c>
      <c r="N1597" s="13" t="s">
        <v>3366</v>
      </c>
      <c r="O1597" s="13" t="s">
        <v>3366</v>
      </c>
      <c r="P1597" s="13" t="s">
        <v>3366</v>
      </c>
      <c r="Q1597" s="13" t="s">
        <v>3366</v>
      </c>
      <c r="R1597" s="13" t="s">
        <v>3366</v>
      </c>
      <c r="S1597" s="13">
        <v>0</v>
      </c>
      <c r="T1597" s="13">
        <v>0</v>
      </c>
      <c r="U1597" s="12" t="str">
        <f t="shared" si="96"/>
        <v>Privado Nacional</v>
      </c>
      <c r="V1597" s="14" t="str">
        <f t="shared" si="97"/>
        <v>NI</v>
      </c>
      <c r="W1597" s="14" t="str">
        <f t="shared" si="98"/>
        <v>NI</v>
      </c>
      <c r="X1597" s="12" t="str">
        <f t="shared" si="99"/>
        <v>Sem dado</v>
      </c>
      <c r="Y1597" s="122" t="str" cm="1">
        <f t="array" ref="Y1597">_xlfn.IFS(ISNUMBER(W1597)=FALSE,"Sem dado",W1597&gt;0.075,"Excelente",W1597&gt;0.04,"Bom",W1597&gt;0,"Fraco",TRUE,"Prejuízo")</f>
        <v>Sem dado</v>
      </c>
    </row>
    <row r="1598" spans="1:25" ht="15" customHeight="1" x14ac:dyDescent="0.2">
      <c r="A1598" s="15" t="s">
        <v>3414</v>
      </c>
      <c r="B1598" s="60">
        <v>26615279</v>
      </c>
      <c r="C1598" s="15" t="s">
        <v>3415</v>
      </c>
      <c r="D1598" s="15"/>
      <c r="E1598" s="15" t="s">
        <v>3416</v>
      </c>
      <c r="F1598" s="15" t="s">
        <v>84</v>
      </c>
      <c r="G1598" s="34">
        <v>2</v>
      </c>
      <c r="H1598" s="34">
        <v>41</v>
      </c>
      <c r="I1598" s="15" t="s">
        <v>228</v>
      </c>
      <c r="J1598" s="15" t="s">
        <v>229</v>
      </c>
      <c r="K1598" s="74" t="s">
        <v>29</v>
      </c>
      <c r="L1598" s="16" t="s">
        <v>3366</v>
      </c>
      <c r="M1598" s="16" t="s">
        <v>3366</v>
      </c>
      <c r="N1598" s="16" t="s">
        <v>3366</v>
      </c>
      <c r="O1598" s="16" t="s">
        <v>3366</v>
      </c>
      <c r="P1598" s="16" t="s">
        <v>3366</v>
      </c>
      <c r="Q1598" s="16" t="s">
        <v>3366</v>
      </c>
      <c r="R1598" s="16" t="s">
        <v>3366</v>
      </c>
      <c r="S1598" s="16">
        <v>1</v>
      </c>
      <c r="T1598" s="16">
        <v>0</v>
      </c>
      <c r="U1598" s="15" t="str">
        <f t="shared" si="96"/>
        <v>Privado Nacional</v>
      </c>
      <c r="V1598" s="17" t="str">
        <f t="shared" si="97"/>
        <v>NI</v>
      </c>
      <c r="W1598" s="17" t="str">
        <f t="shared" si="98"/>
        <v>NI</v>
      </c>
      <c r="X1598" s="15" t="str">
        <f t="shared" si="99"/>
        <v>Sem dado</v>
      </c>
      <c r="Y1598" s="121" t="str" cm="1">
        <f t="array" ref="Y1598">_xlfn.IFS(ISNUMBER(W1598)=FALSE,"Sem dado",W1598&gt;0.075,"Excelente",W1598&gt;0.04,"Bom",W1598&gt;0,"Fraco",TRUE,"Prejuízo")</f>
        <v>Sem dado</v>
      </c>
    </row>
    <row r="1599" spans="1:25" ht="15" customHeight="1" x14ac:dyDescent="0.2">
      <c r="A1599" s="12" t="s">
        <v>3417</v>
      </c>
      <c r="B1599" s="56">
        <v>27302181</v>
      </c>
      <c r="C1599" s="12"/>
      <c r="D1599" s="12"/>
      <c r="E1599" s="12"/>
      <c r="F1599" s="12" t="s">
        <v>265</v>
      </c>
      <c r="G1599" s="33">
        <v>2</v>
      </c>
      <c r="H1599" s="33">
        <v>9</v>
      </c>
      <c r="I1599" s="12" t="s">
        <v>182</v>
      </c>
      <c r="J1599" s="12" t="s">
        <v>183</v>
      </c>
      <c r="K1599" s="73" t="s">
        <v>29</v>
      </c>
      <c r="L1599" s="13" t="s">
        <v>3366</v>
      </c>
      <c r="M1599" s="13" t="s">
        <v>3366</v>
      </c>
      <c r="N1599" s="13" t="s">
        <v>3366</v>
      </c>
      <c r="O1599" s="13" t="s">
        <v>3366</v>
      </c>
      <c r="P1599" s="13" t="s">
        <v>3366</v>
      </c>
      <c r="Q1599" s="13" t="s">
        <v>3366</v>
      </c>
      <c r="R1599" s="13" t="s">
        <v>3366</v>
      </c>
      <c r="S1599" s="13">
        <v>0</v>
      </c>
      <c r="T1599" s="13">
        <v>4</v>
      </c>
      <c r="U1599" s="12" t="str">
        <f t="shared" si="96"/>
        <v>Privado Nacional</v>
      </c>
      <c r="V1599" s="14" t="str">
        <f t="shared" si="97"/>
        <v>NI</v>
      </c>
      <c r="W1599" s="14" t="str">
        <f t="shared" si="98"/>
        <v>NI</v>
      </c>
      <c r="X1599" s="12" t="str">
        <f t="shared" si="99"/>
        <v>Sem dado</v>
      </c>
      <c r="Y1599" s="122" t="str" cm="1">
        <f t="array" ref="Y1599">_xlfn.IFS(ISNUMBER(W1599)=FALSE,"Sem dado",W1599&gt;0.075,"Excelente",W1599&gt;0.04,"Bom",W1599&gt;0,"Fraco",TRUE,"Prejuízo")</f>
        <v>Sem dado</v>
      </c>
    </row>
    <row r="1600" spans="1:25" ht="15" customHeight="1" x14ac:dyDescent="0.2">
      <c r="A1600" s="15" t="s">
        <v>3418</v>
      </c>
      <c r="B1600" s="60">
        <v>29341260</v>
      </c>
      <c r="C1600" s="15"/>
      <c r="D1600" s="15"/>
      <c r="E1600" s="15"/>
      <c r="F1600" s="15" t="s">
        <v>265</v>
      </c>
      <c r="G1600" s="34">
        <v>2</v>
      </c>
      <c r="H1600" s="34">
        <v>9</v>
      </c>
      <c r="I1600" s="15" t="s">
        <v>53</v>
      </c>
      <c r="J1600" s="15" t="s">
        <v>54</v>
      </c>
      <c r="K1600" s="74" t="s">
        <v>29</v>
      </c>
      <c r="L1600" s="16" t="s">
        <v>3366</v>
      </c>
      <c r="M1600" s="16" t="s">
        <v>3366</v>
      </c>
      <c r="N1600" s="16" t="s">
        <v>3366</v>
      </c>
      <c r="O1600" s="16" t="s">
        <v>3366</v>
      </c>
      <c r="P1600" s="16" t="s">
        <v>3366</v>
      </c>
      <c r="Q1600" s="16" t="s">
        <v>3366</v>
      </c>
      <c r="R1600" s="16" t="s">
        <v>3366</v>
      </c>
      <c r="S1600" s="16">
        <v>0</v>
      </c>
      <c r="T1600" s="16">
        <v>0</v>
      </c>
      <c r="U1600" s="15" t="str">
        <f t="shared" si="96"/>
        <v>Privado Nacional</v>
      </c>
      <c r="V1600" s="17" t="str">
        <f t="shared" si="97"/>
        <v>NI</v>
      </c>
      <c r="W1600" s="17" t="str">
        <f t="shared" si="98"/>
        <v>NI</v>
      </c>
      <c r="X1600" s="15" t="str">
        <f t="shared" si="99"/>
        <v>Sem dado</v>
      </c>
      <c r="Y1600" s="121" t="str" cm="1">
        <f t="array" ref="Y1600">_xlfn.IFS(ISNUMBER(W1600)=FALSE,"Sem dado",W1600&gt;0.075,"Excelente",W1600&gt;0.04,"Bom",W1600&gt;0,"Fraco",TRUE,"Prejuízo")</f>
        <v>Sem dado</v>
      </c>
    </row>
    <row r="1601" spans="1:25" ht="15" customHeight="1" x14ac:dyDescent="0.2">
      <c r="A1601" s="12" t="s">
        <v>3419</v>
      </c>
      <c r="B1601" s="56">
        <v>31818873</v>
      </c>
      <c r="C1601" s="12" t="s">
        <v>3420</v>
      </c>
      <c r="D1601" s="12"/>
      <c r="E1601" s="12" t="s">
        <v>3421</v>
      </c>
      <c r="F1601" s="12" t="s">
        <v>84</v>
      </c>
      <c r="G1601" s="33">
        <v>2</v>
      </c>
      <c r="H1601" s="33">
        <v>41</v>
      </c>
      <c r="I1601" s="12" t="s">
        <v>2156</v>
      </c>
      <c r="J1601" s="12" t="s">
        <v>120</v>
      </c>
      <c r="K1601" s="73" t="s">
        <v>29</v>
      </c>
      <c r="L1601" s="13" t="s">
        <v>3366</v>
      </c>
      <c r="M1601" s="13" t="s">
        <v>3366</v>
      </c>
      <c r="N1601" s="13" t="s">
        <v>3366</v>
      </c>
      <c r="O1601" s="13" t="s">
        <v>3366</v>
      </c>
      <c r="P1601" s="13" t="s">
        <v>3366</v>
      </c>
      <c r="Q1601" s="13" t="s">
        <v>3366</v>
      </c>
      <c r="R1601" s="13" t="s">
        <v>3366</v>
      </c>
      <c r="S1601" s="13">
        <v>1</v>
      </c>
      <c r="T1601" s="13">
        <v>0</v>
      </c>
      <c r="U1601" s="12" t="str">
        <f t="shared" si="96"/>
        <v>Privado Nacional</v>
      </c>
      <c r="V1601" s="14" t="str">
        <f t="shared" si="97"/>
        <v>NI</v>
      </c>
      <c r="W1601" s="14" t="str">
        <f t="shared" si="98"/>
        <v>NI</v>
      </c>
      <c r="X1601" s="12" t="str">
        <f t="shared" si="99"/>
        <v>Sem dado</v>
      </c>
      <c r="Y1601" s="122" t="str" cm="1">
        <f t="array" ref="Y1601">_xlfn.IFS(ISNUMBER(W1601)=FALSE,"Sem dado",W1601&gt;0.075,"Excelente",W1601&gt;0.04,"Bom",W1601&gt;0,"Fraco",TRUE,"Prejuízo")</f>
        <v>Sem dado</v>
      </c>
    </row>
    <row r="1602" spans="1:25" ht="15" customHeight="1" x14ac:dyDescent="0.2">
      <c r="A1602" s="15" t="s">
        <v>3422</v>
      </c>
      <c r="B1602" s="60">
        <v>31880826</v>
      </c>
      <c r="C1602" s="15" t="s">
        <v>3423</v>
      </c>
      <c r="D1602" s="15"/>
      <c r="E1602" s="15" t="s">
        <v>3424</v>
      </c>
      <c r="F1602" s="15" t="s">
        <v>26</v>
      </c>
      <c r="G1602" s="34">
        <v>2</v>
      </c>
      <c r="H1602" s="34">
        <v>8</v>
      </c>
      <c r="I1602" s="15" t="s">
        <v>53</v>
      </c>
      <c r="J1602" s="15" t="s">
        <v>54</v>
      </c>
      <c r="K1602" s="74" t="s">
        <v>29</v>
      </c>
      <c r="L1602" s="16" t="s">
        <v>3366</v>
      </c>
      <c r="M1602" s="16" t="s">
        <v>3366</v>
      </c>
      <c r="N1602" s="16" t="s">
        <v>3366</v>
      </c>
      <c r="O1602" s="16" t="s">
        <v>3366</v>
      </c>
      <c r="P1602" s="16" t="s">
        <v>3366</v>
      </c>
      <c r="Q1602" s="16" t="s">
        <v>3366</v>
      </c>
      <c r="R1602" s="16" t="s">
        <v>3366</v>
      </c>
      <c r="S1602" s="16">
        <v>3</v>
      </c>
      <c r="T1602" s="16">
        <v>0</v>
      </c>
      <c r="U1602" s="15" t="str">
        <f t="shared" si="96"/>
        <v>Privado Nacional</v>
      </c>
      <c r="V1602" s="17" t="str">
        <f t="shared" si="97"/>
        <v>NI</v>
      </c>
      <c r="W1602" s="17" t="str">
        <f t="shared" si="98"/>
        <v>NI</v>
      </c>
      <c r="X1602" s="15" t="str">
        <f t="shared" si="99"/>
        <v>Sem dado</v>
      </c>
      <c r="Y1602" s="121" t="str" cm="1">
        <f t="array" ref="Y1602">_xlfn.IFS(ISNUMBER(W1602)=FALSE,"Sem dado",W1602&gt;0.075,"Excelente",W1602&gt;0.04,"Bom",W1602&gt;0,"Fraco",TRUE,"Prejuízo")</f>
        <v>Sem dado</v>
      </c>
    </row>
    <row r="1603" spans="1:25" ht="15" customHeight="1" x14ac:dyDescent="0.2">
      <c r="A1603" s="12" t="s">
        <v>3425</v>
      </c>
      <c r="B1603" s="56">
        <v>33136888</v>
      </c>
      <c r="C1603" s="12" t="s">
        <v>2145</v>
      </c>
      <c r="D1603" s="12" t="s">
        <v>2146</v>
      </c>
      <c r="E1603" s="12" t="s">
        <v>2147</v>
      </c>
      <c r="F1603" s="12" t="s">
        <v>65</v>
      </c>
      <c r="G1603" s="33">
        <v>1</v>
      </c>
      <c r="H1603" s="33">
        <v>14</v>
      </c>
      <c r="I1603" s="12" t="s">
        <v>27</v>
      </c>
      <c r="J1603" s="12" t="s">
        <v>28</v>
      </c>
      <c r="K1603" s="73" t="s">
        <v>29</v>
      </c>
      <c r="L1603" s="13" t="s">
        <v>3366</v>
      </c>
      <c r="M1603" s="13" t="s">
        <v>3366</v>
      </c>
      <c r="N1603" s="13" t="s">
        <v>3366</v>
      </c>
      <c r="O1603" s="13" t="s">
        <v>3366</v>
      </c>
      <c r="P1603" s="13" t="s">
        <v>3366</v>
      </c>
      <c r="Q1603" s="13" t="s">
        <v>3366</v>
      </c>
      <c r="R1603" s="13" t="s">
        <v>3366</v>
      </c>
      <c r="S1603" s="13">
        <v>2</v>
      </c>
      <c r="T1603" s="13">
        <v>0</v>
      </c>
      <c r="U1603" s="12" t="str">
        <f t="shared" ref="U1603:U1604" si="100">IFERROR(CHOOSE(G1603,"Público","Privado Nacional","Privado Estrangeiro"),"n.d.")</f>
        <v>Público</v>
      </c>
      <c r="V1603" s="14" t="str">
        <f t="shared" ref="V1603:V1604" si="101">IF(AND(ISNUMBER(M1603),ISNUMBER(L1603)),IF(L1603&gt;0,M1603/L1603,"n.d."),"NI")</f>
        <v>NI</v>
      </c>
      <c r="W1603" s="14" t="str">
        <f t="shared" ref="W1603:W1604" si="102">IF(AND(ISNUMBER(R1603),ISNUMBER(Q1603)),IF(Q1603&gt;0,R1603/Q1603,"n.d."),"NI")</f>
        <v>NI</v>
      </c>
      <c r="X1603" s="12" t="str">
        <f t="shared" si="99"/>
        <v>Sem dado</v>
      </c>
      <c r="Y1603" s="122" t="str" cm="1">
        <f t="array" ref="Y1603">_xlfn.IFS(ISNUMBER(W1603)=FALSE,"Sem dado",W1603&gt;0.075,"Excelente",W1603&gt;0.04,"Bom",W1603&gt;0,"Fraco",TRUE,"Prejuízo")</f>
        <v>Sem dado</v>
      </c>
    </row>
    <row r="1604" spans="1:25" ht="15" customHeight="1" x14ac:dyDescent="0.2">
      <c r="A1604" s="15" t="s">
        <v>3426</v>
      </c>
      <c r="B1604" s="60">
        <v>33444505</v>
      </c>
      <c r="C1604" s="15" t="s">
        <v>3427</v>
      </c>
      <c r="D1604" s="15"/>
      <c r="E1604" s="15" t="s">
        <v>3428</v>
      </c>
      <c r="F1604" s="15" t="s">
        <v>84</v>
      </c>
      <c r="G1604" s="34">
        <v>2</v>
      </c>
      <c r="H1604" s="34">
        <v>41</v>
      </c>
      <c r="I1604" s="15" t="s">
        <v>38</v>
      </c>
      <c r="J1604" s="15" t="s">
        <v>39</v>
      </c>
      <c r="K1604" s="74" t="s">
        <v>29</v>
      </c>
      <c r="L1604" s="16" t="s">
        <v>3366</v>
      </c>
      <c r="M1604" s="16" t="s">
        <v>3366</v>
      </c>
      <c r="N1604" s="16" t="s">
        <v>3366</v>
      </c>
      <c r="O1604" s="16" t="s">
        <v>3366</v>
      </c>
      <c r="P1604" s="16" t="s">
        <v>3366</v>
      </c>
      <c r="Q1604" s="16" t="s">
        <v>3366</v>
      </c>
      <c r="R1604" s="16" t="s">
        <v>3366</v>
      </c>
      <c r="S1604" s="16">
        <v>1</v>
      </c>
      <c r="T1604" s="16">
        <v>0</v>
      </c>
      <c r="U1604" s="15" t="str">
        <f t="shared" si="100"/>
        <v>Privado Nacional</v>
      </c>
      <c r="V1604" s="17" t="str">
        <f t="shared" si="101"/>
        <v>NI</v>
      </c>
      <c r="W1604" s="17" t="str">
        <f t="shared" si="102"/>
        <v>NI</v>
      </c>
      <c r="X1604" s="15" t="str">
        <f t="shared" si="99"/>
        <v>Sem dado</v>
      </c>
      <c r="Y1604" s="121" t="str" cm="1">
        <f t="array" ref="Y1604">_xlfn.IFS(ISNUMBER(W1604)=FALSE,"Sem dado",W1604&gt;0.075,"Excelente",W1604&gt;0.04,"Bom",W1604&gt;0,"Fraco",TRUE,"Prejuízo")</f>
        <v>Sem dado</v>
      </c>
    </row>
    <row r="1605" spans="1:25" ht="15" customHeight="1" x14ac:dyDescent="0.2">
      <c r="A1605" s="12" t="s">
        <v>3429</v>
      </c>
      <c r="B1605" s="56">
        <v>34254279</v>
      </c>
      <c r="C1605" s="12" t="s">
        <v>3430</v>
      </c>
      <c r="D1605" s="12"/>
      <c r="E1605" s="12" t="s">
        <v>3431</v>
      </c>
      <c r="F1605" s="12" t="s">
        <v>65</v>
      </c>
      <c r="G1605" s="33">
        <v>2</v>
      </c>
      <c r="H1605" s="33">
        <v>44</v>
      </c>
      <c r="I1605" s="12" t="s">
        <v>38</v>
      </c>
      <c r="J1605" s="12" t="s">
        <v>39</v>
      </c>
      <c r="K1605" s="73" t="s">
        <v>29</v>
      </c>
      <c r="L1605" s="13" t="s">
        <v>3366</v>
      </c>
      <c r="M1605" s="13" t="s">
        <v>3366</v>
      </c>
      <c r="N1605" s="13" t="s">
        <v>3366</v>
      </c>
      <c r="O1605" s="13" t="s">
        <v>3366</v>
      </c>
      <c r="P1605" s="13" t="s">
        <v>3366</v>
      </c>
      <c r="Q1605" s="13" t="s">
        <v>3366</v>
      </c>
      <c r="R1605" s="13" t="s">
        <v>3366</v>
      </c>
      <c r="S1605" s="13">
        <v>2</v>
      </c>
      <c r="T1605" s="13">
        <v>0</v>
      </c>
      <c r="U1605" s="12" t="str">
        <f t="shared" ref="U1605:U1626" si="103">IFERROR(CHOOSE(G1605,"Público","Privado Nacional","Privado Estrangeiro"),"n.d.")</f>
        <v>Privado Nacional</v>
      </c>
      <c r="V1605" s="14" t="str">
        <f t="shared" ref="V1605:V1626" si="104">IF(AND(ISNUMBER(M1605),ISNUMBER(L1605)),IF(L1605&gt;0,M1605/L1605,"n.d."),"NI")</f>
        <v>NI</v>
      </c>
      <c r="W1605" s="14" t="str">
        <f t="shared" ref="W1605:W1626" si="105">IF(AND(ISNUMBER(R1605),ISNUMBER(Q1605)),IF(Q1605&gt;0,R1605/Q1605,"n.d."),"NI")</f>
        <v>NI</v>
      </c>
      <c r="X1605" s="12" t="str">
        <f t="shared" ref="X1605:X1626" si="106">IF(ISNUMBER(L1605),IF(L1605&gt;100000000,"Grande","Média/Pequena"),"Sem dado")</f>
        <v>Sem dado</v>
      </c>
      <c r="Y1605" s="122" t="str" cm="1">
        <f t="array" ref="Y1605">_xlfn.IFS(ISNUMBER(W1605)=FALSE,"Sem dado",W1605&gt;0.075,"Excelente",W1605&gt;0.04,"Bom",W1605&gt;0,"Fraco",TRUE,"Prejuízo")</f>
        <v>Sem dado</v>
      </c>
    </row>
    <row r="1606" spans="1:25" ht="15" customHeight="1" x14ac:dyDescent="0.2">
      <c r="A1606" s="15" t="s">
        <v>3432</v>
      </c>
      <c r="B1606" s="60">
        <v>34669130</v>
      </c>
      <c r="C1606" s="15" t="s">
        <v>3433</v>
      </c>
      <c r="D1606" s="15"/>
      <c r="E1606" s="15" t="s">
        <v>3434</v>
      </c>
      <c r="F1606" s="15" t="s">
        <v>84</v>
      </c>
      <c r="G1606" s="34">
        <v>3</v>
      </c>
      <c r="H1606" s="34">
        <v>41</v>
      </c>
      <c r="I1606" s="15" t="s">
        <v>165</v>
      </c>
      <c r="J1606" s="15" t="s">
        <v>39</v>
      </c>
      <c r="K1606" s="74" t="s">
        <v>29</v>
      </c>
      <c r="L1606" s="16" t="s">
        <v>3366</v>
      </c>
      <c r="M1606" s="16" t="s">
        <v>3366</v>
      </c>
      <c r="N1606" s="16" t="s">
        <v>3366</v>
      </c>
      <c r="O1606" s="16" t="s">
        <v>3366</v>
      </c>
      <c r="P1606" s="16" t="s">
        <v>3366</v>
      </c>
      <c r="Q1606" s="16" t="s">
        <v>3366</v>
      </c>
      <c r="R1606" s="16" t="s">
        <v>3366</v>
      </c>
      <c r="S1606" s="16">
        <v>1</v>
      </c>
      <c r="T1606" s="16">
        <v>0</v>
      </c>
      <c r="U1606" s="15" t="str">
        <f t="shared" si="103"/>
        <v>Privado Estrangeiro</v>
      </c>
      <c r="V1606" s="17" t="str">
        <f t="shared" si="104"/>
        <v>NI</v>
      </c>
      <c r="W1606" s="17" t="str">
        <f t="shared" si="105"/>
        <v>NI</v>
      </c>
      <c r="X1606" s="15" t="str">
        <f t="shared" si="106"/>
        <v>Sem dado</v>
      </c>
      <c r="Y1606" s="121" t="str" cm="1">
        <f t="array" ref="Y1606">_xlfn.IFS(ISNUMBER(W1606)=FALSE,"Sem dado",W1606&gt;0.075,"Excelente",W1606&gt;0.04,"Bom",W1606&gt;0,"Fraco",TRUE,"Prejuízo")</f>
        <v>Sem dado</v>
      </c>
    </row>
    <row r="1607" spans="1:25" ht="15" customHeight="1" x14ac:dyDescent="0.2">
      <c r="A1607" s="12" t="s">
        <v>3435</v>
      </c>
      <c r="B1607" s="56">
        <v>35810871</v>
      </c>
      <c r="C1607" s="12" t="s">
        <v>3436</v>
      </c>
      <c r="D1607" s="12"/>
      <c r="E1607" s="12" t="s">
        <v>3437</v>
      </c>
      <c r="F1607" s="12" t="s">
        <v>84</v>
      </c>
      <c r="G1607" s="33">
        <v>3</v>
      </c>
      <c r="H1607" s="33">
        <v>41</v>
      </c>
      <c r="I1607" s="12" t="s">
        <v>38</v>
      </c>
      <c r="J1607" s="12" t="s">
        <v>39</v>
      </c>
      <c r="K1607" s="73" t="s">
        <v>29</v>
      </c>
      <c r="L1607" s="13" t="s">
        <v>3366</v>
      </c>
      <c r="M1607" s="13" t="s">
        <v>3366</v>
      </c>
      <c r="N1607" s="13" t="s">
        <v>3366</v>
      </c>
      <c r="O1607" s="13" t="s">
        <v>3366</v>
      </c>
      <c r="P1607" s="13" t="s">
        <v>3366</v>
      </c>
      <c r="Q1607" s="13" t="s">
        <v>3366</v>
      </c>
      <c r="R1607" s="13" t="s">
        <v>3366</v>
      </c>
      <c r="S1607" s="13">
        <v>1</v>
      </c>
      <c r="T1607" s="13">
        <v>0</v>
      </c>
      <c r="U1607" s="12" t="str">
        <f t="shared" si="103"/>
        <v>Privado Estrangeiro</v>
      </c>
      <c r="V1607" s="14" t="str">
        <f t="shared" si="104"/>
        <v>NI</v>
      </c>
      <c r="W1607" s="14" t="str">
        <f t="shared" si="105"/>
        <v>NI</v>
      </c>
      <c r="X1607" s="12" t="str">
        <f t="shared" si="106"/>
        <v>Sem dado</v>
      </c>
      <c r="Y1607" s="122" t="str" cm="1">
        <f t="array" ref="Y1607">_xlfn.IFS(ISNUMBER(W1607)=FALSE,"Sem dado",W1607&gt;0.075,"Excelente",W1607&gt;0.04,"Bom",W1607&gt;0,"Fraco",TRUE,"Prejuízo")</f>
        <v>Sem dado</v>
      </c>
    </row>
    <row r="1608" spans="1:25" ht="15" customHeight="1" x14ac:dyDescent="0.2">
      <c r="A1608" s="15" t="s">
        <v>3438</v>
      </c>
      <c r="B1608" s="60">
        <v>36010822</v>
      </c>
      <c r="C1608" s="15" t="s">
        <v>3439</v>
      </c>
      <c r="D1608" s="15"/>
      <c r="E1608" s="15" t="s">
        <v>3440</v>
      </c>
      <c r="F1608" s="15" t="s">
        <v>84</v>
      </c>
      <c r="G1608" s="34">
        <v>2</v>
      </c>
      <c r="H1608" s="34">
        <v>41</v>
      </c>
      <c r="I1608" s="15" t="s">
        <v>119</v>
      </c>
      <c r="J1608" s="15" t="s">
        <v>120</v>
      </c>
      <c r="K1608" s="74" t="s">
        <v>29</v>
      </c>
      <c r="L1608" s="16" t="s">
        <v>3366</v>
      </c>
      <c r="M1608" s="16" t="s">
        <v>3366</v>
      </c>
      <c r="N1608" s="16" t="s">
        <v>3366</v>
      </c>
      <c r="O1608" s="16" t="s">
        <v>3366</v>
      </c>
      <c r="P1608" s="16" t="s">
        <v>3366</v>
      </c>
      <c r="Q1608" s="16" t="s">
        <v>3366</v>
      </c>
      <c r="R1608" s="16" t="s">
        <v>3366</v>
      </c>
      <c r="S1608" s="16">
        <v>1</v>
      </c>
      <c r="T1608" s="16">
        <v>0</v>
      </c>
      <c r="U1608" s="15" t="str">
        <f t="shared" si="103"/>
        <v>Privado Nacional</v>
      </c>
      <c r="V1608" s="17" t="str">
        <f t="shared" si="104"/>
        <v>NI</v>
      </c>
      <c r="W1608" s="17" t="str">
        <f t="shared" si="105"/>
        <v>NI</v>
      </c>
      <c r="X1608" s="15" t="str">
        <f t="shared" si="106"/>
        <v>Sem dado</v>
      </c>
      <c r="Y1608" s="121" t="str" cm="1">
        <f t="array" ref="Y1608">_xlfn.IFS(ISNUMBER(W1608)=FALSE,"Sem dado",W1608&gt;0.075,"Excelente",W1608&gt;0.04,"Bom",W1608&gt;0,"Fraco",TRUE,"Prejuízo")</f>
        <v>Sem dado</v>
      </c>
    </row>
    <row r="1609" spans="1:25" ht="15" customHeight="1" x14ac:dyDescent="0.2">
      <c r="A1609" s="12" t="s">
        <v>3441</v>
      </c>
      <c r="B1609" s="56">
        <v>42064545</v>
      </c>
      <c r="C1609" s="12" t="s">
        <v>3442</v>
      </c>
      <c r="D1609" s="12"/>
      <c r="E1609" s="12" t="s">
        <v>3443</v>
      </c>
      <c r="F1609" s="12" t="s">
        <v>84</v>
      </c>
      <c r="G1609" s="33">
        <v>2</v>
      </c>
      <c r="H1609" s="33">
        <v>41</v>
      </c>
      <c r="I1609" s="12" t="s">
        <v>38</v>
      </c>
      <c r="J1609" s="12" t="s">
        <v>39</v>
      </c>
      <c r="K1609" s="73" t="s">
        <v>29</v>
      </c>
      <c r="L1609" s="13" t="s">
        <v>3366</v>
      </c>
      <c r="M1609" s="13" t="s">
        <v>3366</v>
      </c>
      <c r="N1609" s="13" t="s">
        <v>3366</v>
      </c>
      <c r="O1609" s="13" t="s">
        <v>3366</v>
      </c>
      <c r="P1609" s="13" t="s">
        <v>3366</v>
      </c>
      <c r="Q1609" s="13" t="s">
        <v>3366</v>
      </c>
      <c r="R1609" s="13" t="s">
        <v>3366</v>
      </c>
      <c r="S1609" s="13">
        <v>1</v>
      </c>
      <c r="T1609" s="13">
        <v>0</v>
      </c>
      <c r="U1609" s="12" t="str">
        <f t="shared" si="103"/>
        <v>Privado Nacional</v>
      </c>
      <c r="V1609" s="14" t="str">
        <f t="shared" si="104"/>
        <v>NI</v>
      </c>
      <c r="W1609" s="14" t="str">
        <f t="shared" si="105"/>
        <v>NI</v>
      </c>
      <c r="X1609" s="12" t="str">
        <f t="shared" si="106"/>
        <v>Sem dado</v>
      </c>
      <c r="Y1609" s="122" t="str" cm="1">
        <f t="array" ref="Y1609">_xlfn.IFS(ISNUMBER(W1609)=FALSE,"Sem dado",W1609&gt;0.075,"Excelente",W1609&gt;0.04,"Bom",W1609&gt;0,"Fraco",TRUE,"Prejuízo")</f>
        <v>Sem dado</v>
      </c>
    </row>
    <row r="1610" spans="1:25" ht="15" customHeight="1" x14ac:dyDescent="0.2">
      <c r="A1610" s="15" t="s">
        <v>3444</v>
      </c>
      <c r="B1610" s="60">
        <v>42622791</v>
      </c>
      <c r="C1610" s="15" t="s">
        <v>3445</v>
      </c>
      <c r="D1610" s="15"/>
      <c r="E1610" s="15" t="s">
        <v>3446</v>
      </c>
      <c r="F1610" s="15" t="s">
        <v>65</v>
      </c>
      <c r="G1610" s="34">
        <v>3</v>
      </c>
      <c r="H1610" s="34">
        <v>43</v>
      </c>
      <c r="I1610" s="15" t="s">
        <v>38</v>
      </c>
      <c r="J1610" s="15" t="s">
        <v>39</v>
      </c>
      <c r="K1610" s="74" t="s">
        <v>29</v>
      </c>
      <c r="L1610" s="16" t="s">
        <v>3366</v>
      </c>
      <c r="M1610" s="16" t="s">
        <v>3366</v>
      </c>
      <c r="N1610" s="16" t="s">
        <v>3366</v>
      </c>
      <c r="O1610" s="16" t="s">
        <v>3366</v>
      </c>
      <c r="P1610" s="16" t="s">
        <v>3366</v>
      </c>
      <c r="Q1610" s="16" t="s">
        <v>3366</v>
      </c>
      <c r="R1610" s="16" t="s">
        <v>3366</v>
      </c>
      <c r="S1610" s="16">
        <v>2</v>
      </c>
      <c r="T1610" s="16">
        <v>0</v>
      </c>
      <c r="U1610" s="15" t="str">
        <f t="shared" si="103"/>
        <v>Privado Estrangeiro</v>
      </c>
      <c r="V1610" s="17" t="str">
        <f t="shared" si="104"/>
        <v>NI</v>
      </c>
      <c r="W1610" s="17" t="str">
        <f t="shared" si="105"/>
        <v>NI</v>
      </c>
      <c r="X1610" s="15" t="str">
        <f t="shared" si="106"/>
        <v>Sem dado</v>
      </c>
      <c r="Y1610" s="121" t="str" cm="1">
        <f t="array" ref="Y1610">_xlfn.IFS(ISNUMBER(W1610)=FALSE,"Sem dado",W1610&gt;0.075,"Excelente",W1610&gt;0.04,"Bom",W1610&gt;0,"Fraco",TRUE,"Prejuízo")</f>
        <v>Sem dado</v>
      </c>
    </row>
    <row r="1611" spans="1:25" ht="15" customHeight="1" x14ac:dyDescent="0.2">
      <c r="A1611" s="12" t="s">
        <v>3447</v>
      </c>
      <c r="B1611" s="56">
        <v>42926025</v>
      </c>
      <c r="C1611" s="12" t="s">
        <v>3448</v>
      </c>
      <c r="D1611" s="12"/>
      <c r="E1611" s="12" t="s">
        <v>3449</v>
      </c>
      <c r="F1611" s="12" t="s">
        <v>84</v>
      </c>
      <c r="G1611" s="33">
        <v>2</v>
      </c>
      <c r="H1611" s="33">
        <v>41</v>
      </c>
      <c r="I1611" s="12" t="s">
        <v>53</v>
      </c>
      <c r="J1611" s="12" t="s">
        <v>54</v>
      </c>
      <c r="K1611" s="73" t="s">
        <v>29</v>
      </c>
      <c r="L1611" s="13" t="s">
        <v>3366</v>
      </c>
      <c r="M1611" s="13" t="s">
        <v>3366</v>
      </c>
      <c r="N1611" s="13" t="s">
        <v>3366</v>
      </c>
      <c r="O1611" s="13" t="s">
        <v>3366</v>
      </c>
      <c r="P1611" s="13" t="s">
        <v>3366</v>
      </c>
      <c r="Q1611" s="13" t="s">
        <v>3366</v>
      </c>
      <c r="R1611" s="13" t="s">
        <v>3366</v>
      </c>
      <c r="S1611" s="13">
        <v>1</v>
      </c>
      <c r="T1611" s="13">
        <v>0</v>
      </c>
      <c r="U1611" s="12" t="str">
        <f t="shared" si="103"/>
        <v>Privado Nacional</v>
      </c>
      <c r="V1611" s="14" t="str">
        <f t="shared" si="104"/>
        <v>NI</v>
      </c>
      <c r="W1611" s="14" t="str">
        <f t="shared" si="105"/>
        <v>NI</v>
      </c>
      <c r="X1611" s="12" t="str">
        <f t="shared" si="106"/>
        <v>Sem dado</v>
      </c>
      <c r="Y1611" s="122" t="str" cm="1">
        <f t="array" ref="Y1611">_xlfn.IFS(ISNUMBER(W1611)=FALSE,"Sem dado",W1611&gt;0.075,"Excelente",W1611&gt;0.04,"Bom",W1611&gt;0,"Fraco",TRUE,"Prejuízo")</f>
        <v>Sem dado</v>
      </c>
    </row>
    <row r="1612" spans="1:25" ht="15" customHeight="1" x14ac:dyDescent="0.2">
      <c r="A1612" s="15" t="s">
        <v>3450</v>
      </c>
      <c r="B1612" s="60">
        <v>43010260</v>
      </c>
      <c r="C1612" s="15" t="s">
        <v>3451</v>
      </c>
      <c r="D1612" s="15"/>
      <c r="E1612" s="15" t="s">
        <v>3452</v>
      </c>
      <c r="F1612" s="15" t="s">
        <v>84</v>
      </c>
      <c r="G1612" s="34">
        <v>3</v>
      </c>
      <c r="H1612" s="34">
        <v>41</v>
      </c>
      <c r="I1612" s="15" t="s">
        <v>38</v>
      </c>
      <c r="J1612" s="15" t="s">
        <v>39</v>
      </c>
      <c r="K1612" s="74" t="s">
        <v>29</v>
      </c>
      <c r="L1612" s="16" t="s">
        <v>3366</v>
      </c>
      <c r="M1612" s="16" t="s">
        <v>3366</v>
      </c>
      <c r="N1612" s="16" t="s">
        <v>3366</v>
      </c>
      <c r="O1612" s="16" t="s">
        <v>3366</v>
      </c>
      <c r="P1612" s="16" t="s">
        <v>3366</v>
      </c>
      <c r="Q1612" s="16" t="s">
        <v>3366</v>
      </c>
      <c r="R1612" s="16" t="s">
        <v>3366</v>
      </c>
      <c r="S1612" s="16">
        <v>1</v>
      </c>
      <c r="T1612" s="16">
        <v>0</v>
      </c>
      <c r="U1612" s="15" t="str">
        <f t="shared" si="103"/>
        <v>Privado Estrangeiro</v>
      </c>
      <c r="V1612" s="17" t="str">
        <f t="shared" si="104"/>
        <v>NI</v>
      </c>
      <c r="W1612" s="17" t="str">
        <f t="shared" si="105"/>
        <v>NI</v>
      </c>
      <c r="X1612" s="15" t="str">
        <f t="shared" si="106"/>
        <v>Sem dado</v>
      </c>
      <c r="Y1612" s="121" t="str" cm="1">
        <f t="array" ref="Y1612">_xlfn.IFS(ISNUMBER(W1612)=FALSE,"Sem dado",W1612&gt;0.075,"Excelente",W1612&gt;0.04,"Bom",W1612&gt;0,"Fraco",TRUE,"Prejuízo")</f>
        <v>Sem dado</v>
      </c>
    </row>
    <row r="1613" spans="1:25" ht="15" customHeight="1" x14ac:dyDescent="0.2">
      <c r="A1613" s="12" t="s">
        <v>3453</v>
      </c>
      <c r="B1613" s="56">
        <v>43268960</v>
      </c>
      <c r="C1613" s="12"/>
      <c r="D1613" s="12"/>
      <c r="E1613" s="12"/>
      <c r="F1613" s="12" t="s">
        <v>265</v>
      </c>
      <c r="G1613" s="33">
        <v>2</v>
      </c>
      <c r="H1613" s="33">
        <v>9</v>
      </c>
      <c r="I1613" s="12" t="s">
        <v>2549</v>
      </c>
      <c r="J1613" s="12" t="s">
        <v>39</v>
      </c>
      <c r="K1613" s="73" t="s">
        <v>29</v>
      </c>
      <c r="L1613" s="13" t="s">
        <v>3366</v>
      </c>
      <c r="M1613" s="13" t="s">
        <v>3366</v>
      </c>
      <c r="N1613" s="13" t="s">
        <v>3366</v>
      </c>
      <c r="O1613" s="13" t="s">
        <v>3366</v>
      </c>
      <c r="P1613" s="13" t="s">
        <v>3366</v>
      </c>
      <c r="Q1613" s="13" t="s">
        <v>3366</v>
      </c>
      <c r="R1613" s="13" t="s">
        <v>3366</v>
      </c>
      <c r="S1613" s="13">
        <v>0</v>
      </c>
      <c r="T1613" s="13">
        <v>0</v>
      </c>
      <c r="U1613" s="12" t="str">
        <f t="shared" si="103"/>
        <v>Privado Nacional</v>
      </c>
      <c r="V1613" s="14" t="str">
        <f t="shared" si="104"/>
        <v>NI</v>
      </c>
      <c r="W1613" s="14" t="str">
        <f t="shared" si="105"/>
        <v>NI</v>
      </c>
      <c r="X1613" s="12" t="str">
        <f t="shared" si="106"/>
        <v>Sem dado</v>
      </c>
      <c r="Y1613" s="122" t="str" cm="1">
        <f t="array" ref="Y1613">_xlfn.IFS(ISNUMBER(W1613)=FALSE,"Sem dado",W1613&gt;0.075,"Excelente",W1613&gt;0.04,"Bom",W1613&gt;0,"Fraco",TRUE,"Prejuízo")</f>
        <v>Sem dado</v>
      </c>
    </row>
    <row r="1614" spans="1:25" ht="15" customHeight="1" x14ac:dyDescent="0.2">
      <c r="A1614" s="15" t="s">
        <v>3454</v>
      </c>
      <c r="B1614" s="60">
        <v>44019481</v>
      </c>
      <c r="C1614" s="15" t="s">
        <v>3455</v>
      </c>
      <c r="D1614" s="15"/>
      <c r="E1614" s="15" t="s">
        <v>3456</v>
      </c>
      <c r="F1614" s="15" t="s">
        <v>65</v>
      </c>
      <c r="G1614" s="34">
        <v>2</v>
      </c>
      <c r="H1614" s="34">
        <v>44</v>
      </c>
      <c r="I1614" s="15" t="s">
        <v>38</v>
      </c>
      <c r="J1614" s="15" t="s">
        <v>39</v>
      </c>
      <c r="K1614" s="74" t="s">
        <v>29</v>
      </c>
      <c r="L1614" s="16" t="s">
        <v>3366</v>
      </c>
      <c r="M1614" s="16" t="s">
        <v>3366</v>
      </c>
      <c r="N1614" s="16" t="s">
        <v>3366</v>
      </c>
      <c r="O1614" s="16" t="s">
        <v>3366</v>
      </c>
      <c r="P1614" s="16" t="s">
        <v>3366</v>
      </c>
      <c r="Q1614" s="16" t="s">
        <v>3366</v>
      </c>
      <c r="R1614" s="16" t="s">
        <v>3366</v>
      </c>
      <c r="S1614" s="16">
        <v>2</v>
      </c>
      <c r="T1614" s="16">
        <v>0</v>
      </c>
      <c r="U1614" s="15" t="str">
        <f t="shared" si="103"/>
        <v>Privado Nacional</v>
      </c>
      <c r="V1614" s="17" t="str">
        <f t="shared" si="104"/>
        <v>NI</v>
      </c>
      <c r="W1614" s="17" t="str">
        <f t="shared" si="105"/>
        <v>NI</v>
      </c>
      <c r="X1614" s="15" t="str">
        <f t="shared" si="106"/>
        <v>Sem dado</v>
      </c>
      <c r="Y1614" s="121" t="str" cm="1">
        <f t="array" ref="Y1614">_xlfn.IFS(ISNUMBER(W1614)=FALSE,"Sem dado",W1614&gt;0.075,"Excelente",W1614&gt;0.04,"Bom",W1614&gt;0,"Fraco",TRUE,"Prejuízo")</f>
        <v>Sem dado</v>
      </c>
    </row>
    <row r="1615" spans="1:25" ht="15" customHeight="1" x14ac:dyDescent="0.2">
      <c r="A1615" s="12" t="s">
        <v>3457</v>
      </c>
      <c r="B1615" s="56">
        <v>44064068</v>
      </c>
      <c r="C1615" s="12" t="s">
        <v>3458</v>
      </c>
      <c r="D1615" s="12"/>
      <c r="E1615" s="12" t="s">
        <v>3459</v>
      </c>
      <c r="F1615" s="12" t="s">
        <v>65</v>
      </c>
      <c r="G1615" s="33">
        <v>2</v>
      </c>
      <c r="H1615" s="33">
        <v>44</v>
      </c>
      <c r="I1615" s="12" t="s">
        <v>27</v>
      </c>
      <c r="J1615" s="12" t="s">
        <v>28</v>
      </c>
      <c r="K1615" s="73" t="s">
        <v>29</v>
      </c>
      <c r="L1615" s="13" t="s">
        <v>3366</v>
      </c>
      <c r="M1615" s="13" t="s">
        <v>3366</v>
      </c>
      <c r="N1615" s="13" t="s">
        <v>3366</v>
      </c>
      <c r="O1615" s="13" t="s">
        <v>3366</v>
      </c>
      <c r="P1615" s="13" t="s">
        <v>3366</v>
      </c>
      <c r="Q1615" s="13" t="s">
        <v>3366</v>
      </c>
      <c r="R1615" s="13" t="s">
        <v>3366</v>
      </c>
      <c r="S1615" s="13">
        <v>2</v>
      </c>
      <c r="T1615" s="13">
        <v>0</v>
      </c>
      <c r="U1615" s="12" t="str">
        <f t="shared" si="103"/>
        <v>Privado Nacional</v>
      </c>
      <c r="V1615" s="14" t="str">
        <f t="shared" si="104"/>
        <v>NI</v>
      </c>
      <c r="W1615" s="14" t="str">
        <f t="shared" si="105"/>
        <v>NI</v>
      </c>
      <c r="X1615" s="12" t="str">
        <f t="shared" si="106"/>
        <v>Sem dado</v>
      </c>
      <c r="Y1615" s="122" t="str" cm="1">
        <f t="array" ref="Y1615">_xlfn.IFS(ISNUMBER(W1615)=FALSE,"Sem dado",W1615&gt;0.075,"Excelente",W1615&gt;0.04,"Bom",W1615&gt;0,"Fraco",TRUE,"Prejuízo")</f>
        <v>Sem dado</v>
      </c>
    </row>
    <row r="1616" spans="1:25" ht="15" customHeight="1" x14ac:dyDescent="0.2">
      <c r="A1616" s="15" t="s">
        <v>3460</v>
      </c>
      <c r="B1616" s="60">
        <v>44704839</v>
      </c>
      <c r="C1616" s="15" t="s">
        <v>3461</v>
      </c>
      <c r="D1616" s="15"/>
      <c r="E1616" s="15" t="s">
        <v>3462</v>
      </c>
      <c r="F1616" s="15" t="s">
        <v>84</v>
      </c>
      <c r="G1616" s="34">
        <v>3</v>
      </c>
      <c r="H1616" s="34">
        <v>41</v>
      </c>
      <c r="I1616" s="15" t="s">
        <v>38</v>
      </c>
      <c r="J1616" s="15" t="s">
        <v>39</v>
      </c>
      <c r="K1616" s="74" t="s">
        <v>29</v>
      </c>
      <c r="L1616" s="16" t="s">
        <v>3366</v>
      </c>
      <c r="M1616" s="16" t="s">
        <v>3366</v>
      </c>
      <c r="N1616" s="16" t="s">
        <v>3366</v>
      </c>
      <c r="O1616" s="16" t="s">
        <v>3366</v>
      </c>
      <c r="P1616" s="16" t="s">
        <v>3366</v>
      </c>
      <c r="Q1616" s="16" t="s">
        <v>3366</v>
      </c>
      <c r="R1616" s="16" t="s">
        <v>3366</v>
      </c>
      <c r="S1616" s="16">
        <v>1</v>
      </c>
      <c r="T1616" s="16">
        <v>0</v>
      </c>
      <c r="U1616" s="15" t="str">
        <f t="shared" si="103"/>
        <v>Privado Estrangeiro</v>
      </c>
      <c r="V1616" s="17" t="str">
        <f t="shared" si="104"/>
        <v>NI</v>
      </c>
      <c r="W1616" s="17" t="str">
        <f t="shared" si="105"/>
        <v>NI</v>
      </c>
      <c r="X1616" s="15" t="str">
        <f t="shared" si="106"/>
        <v>Sem dado</v>
      </c>
      <c r="Y1616" s="121" t="str" cm="1">
        <f t="array" ref="Y1616">_xlfn.IFS(ISNUMBER(W1616)=FALSE,"Sem dado",W1616&gt;0.075,"Excelente",W1616&gt;0.04,"Bom",W1616&gt;0,"Fraco",TRUE,"Prejuízo")</f>
        <v>Sem dado</v>
      </c>
    </row>
    <row r="1617" spans="1:25" ht="15" customHeight="1" x14ac:dyDescent="0.2">
      <c r="A1617" s="12" t="s">
        <v>3463</v>
      </c>
      <c r="B1617" s="56">
        <v>50626276</v>
      </c>
      <c r="C1617" s="12" t="s">
        <v>3464</v>
      </c>
      <c r="D1617" s="12"/>
      <c r="E1617" s="12" t="s">
        <v>3465</v>
      </c>
      <c r="F1617" s="12" t="s">
        <v>65</v>
      </c>
      <c r="G1617" s="33">
        <v>2</v>
      </c>
      <c r="H1617" s="33">
        <v>43</v>
      </c>
      <c r="I1617" s="12" t="s">
        <v>38</v>
      </c>
      <c r="J1617" s="12" t="s">
        <v>39</v>
      </c>
      <c r="K1617" s="73" t="s">
        <v>29</v>
      </c>
      <c r="L1617" s="13" t="s">
        <v>3366</v>
      </c>
      <c r="M1617" s="13" t="s">
        <v>3366</v>
      </c>
      <c r="N1617" s="13" t="s">
        <v>3366</v>
      </c>
      <c r="O1617" s="13" t="s">
        <v>3366</v>
      </c>
      <c r="P1617" s="13" t="s">
        <v>3366</v>
      </c>
      <c r="Q1617" s="13" t="s">
        <v>3366</v>
      </c>
      <c r="R1617" s="13" t="s">
        <v>3366</v>
      </c>
      <c r="S1617" s="13">
        <v>2</v>
      </c>
      <c r="T1617" s="13">
        <v>0</v>
      </c>
      <c r="U1617" s="12" t="str">
        <f t="shared" si="103"/>
        <v>Privado Nacional</v>
      </c>
      <c r="V1617" s="14" t="str">
        <f t="shared" si="104"/>
        <v>NI</v>
      </c>
      <c r="W1617" s="14" t="str">
        <f t="shared" si="105"/>
        <v>NI</v>
      </c>
      <c r="X1617" s="12" t="str">
        <f t="shared" si="106"/>
        <v>Sem dado</v>
      </c>
      <c r="Y1617" s="122" t="str" cm="1">
        <f t="array" ref="Y1617">_xlfn.IFS(ISNUMBER(W1617)=FALSE,"Sem dado",W1617&gt;0.075,"Excelente",W1617&gt;0.04,"Bom",W1617&gt;0,"Fraco",TRUE,"Prejuízo")</f>
        <v>Sem dado</v>
      </c>
    </row>
    <row r="1618" spans="1:25" ht="15" customHeight="1" x14ac:dyDescent="0.2">
      <c r="A1618" s="15" t="s">
        <v>3466</v>
      </c>
      <c r="B1618" s="60">
        <v>50946592</v>
      </c>
      <c r="C1618" s="15" t="s">
        <v>3467</v>
      </c>
      <c r="D1618" s="15"/>
      <c r="E1618" s="15" t="s">
        <v>3468</v>
      </c>
      <c r="F1618" s="15" t="s">
        <v>65</v>
      </c>
      <c r="G1618" s="34">
        <v>2</v>
      </c>
      <c r="H1618" s="34">
        <v>43</v>
      </c>
      <c r="I1618" s="15" t="s">
        <v>216</v>
      </c>
      <c r="J1618" s="15" t="s">
        <v>217</v>
      </c>
      <c r="K1618" s="74" t="s">
        <v>29</v>
      </c>
      <c r="L1618" s="16" t="s">
        <v>3366</v>
      </c>
      <c r="M1618" s="16" t="s">
        <v>3366</v>
      </c>
      <c r="N1618" s="16" t="s">
        <v>3366</v>
      </c>
      <c r="O1618" s="16" t="s">
        <v>3366</v>
      </c>
      <c r="P1618" s="16" t="s">
        <v>3366</v>
      </c>
      <c r="Q1618" s="16" t="s">
        <v>3366</v>
      </c>
      <c r="R1618" s="16" t="s">
        <v>3366</v>
      </c>
      <c r="S1618" s="16">
        <v>2</v>
      </c>
      <c r="T1618" s="16">
        <v>0</v>
      </c>
      <c r="U1618" s="15" t="str">
        <f t="shared" si="103"/>
        <v>Privado Nacional</v>
      </c>
      <c r="V1618" s="17" t="str">
        <f t="shared" si="104"/>
        <v>NI</v>
      </c>
      <c r="W1618" s="17" t="str">
        <f t="shared" si="105"/>
        <v>NI</v>
      </c>
      <c r="X1618" s="15" t="str">
        <f t="shared" si="106"/>
        <v>Sem dado</v>
      </c>
      <c r="Y1618" s="121" t="str" cm="1">
        <f t="array" ref="Y1618">_xlfn.IFS(ISNUMBER(W1618)=FALSE,"Sem dado",W1618&gt;0.075,"Excelente",W1618&gt;0.04,"Bom",W1618&gt;0,"Fraco",TRUE,"Prejuízo")</f>
        <v>Sem dado</v>
      </c>
    </row>
    <row r="1619" spans="1:25" ht="15" customHeight="1" x14ac:dyDescent="0.2">
      <c r="A1619" s="12" t="s">
        <v>3469</v>
      </c>
      <c r="B1619" s="56">
        <v>53841911</v>
      </c>
      <c r="C1619" s="12"/>
      <c r="D1619" s="12"/>
      <c r="E1619" s="12"/>
      <c r="F1619" s="12" t="s">
        <v>265</v>
      </c>
      <c r="G1619" s="33">
        <v>2</v>
      </c>
      <c r="H1619" s="33">
        <v>9</v>
      </c>
      <c r="I1619" s="12" t="s">
        <v>608</v>
      </c>
      <c r="J1619" s="12" t="s">
        <v>217</v>
      </c>
      <c r="K1619" s="73" t="s">
        <v>29</v>
      </c>
      <c r="L1619" s="13" t="s">
        <v>3366</v>
      </c>
      <c r="M1619" s="13" t="s">
        <v>3366</v>
      </c>
      <c r="N1619" s="13" t="s">
        <v>3366</v>
      </c>
      <c r="O1619" s="13" t="s">
        <v>3366</v>
      </c>
      <c r="P1619" s="13" t="s">
        <v>3366</v>
      </c>
      <c r="Q1619" s="13" t="s">
        <v>3366</v>
      </c>
      <c r="R1619" s="13" t="s">
        <v>3366</v>
      </c>
      <c r="S1619" s="13">
        <v>0</v>
      </c>
      <c r="T1619" s="13">
        <v>2</v>
      </c>
      <c r="U1619" s="12" t="str">
        <f t="shared" si="103"/>
        <v>Privado Nacional</v>
      </c>
      <c r="V1619" s="14" t="str">
        <f t="shared" si="104"/>
        <v>NI</v>
      </c>
      <c r="W1619" s="14" t="str">
        <f t="shared" si="105"/>
        <v>NI</v>
      </c>
      <c r="X1619" s="12" t="str">
        <f t="shared" si="106"/>
        <v>Sem dado</v>
      </c>
      <c r="Y1619" s="122" t="str" cm="1">
        <f t="array" ref="Y1619">_xlfn.IFS(ISNUMBER(W1619)=FALSE,"Sem dado",W1619&gt;0.075,"Excelente",W1619&gt;0.04,"Bom",W1619&gt;0,"Fraco",TRUE,"Prejuízo")</f>
        <v>Sem dado</v>
      </c>
    </row>
    <row r="1620" spans="1:25" ht="15" customHeight="1" x14ac:dyDescent="0.2">
      <c r="A1620" s="15" t="s">
        <v>3470</v>
      </c>
      <c r="B1620" s="60">
        <v>58859402</v>
      </c>
      <c r="C1620" s="15" t="s">
        <v>3471</v>
      </c>
      <c r="D1620" s="15"/>
      <c r="E1620" s="15" t="s">
        <v>3472</v>
      </c>
      <c r="F1620" s="15" t="s">
        <v>65</v>
      </c>
      <c r="G1620" s="34">
        <v>2</v>
      </c>
      <c r="H1620" s="34">
        <v>43</v>
      </c>
      <c r="I1620" s="15" t="s">
        <v>2546</v>
      </c>
      <c r="J1620" s="15" t="s">
        <v>183</v>
      </c>
      <c r="K1620" s="74" t="s">
        <v>29</v>
      </c>
      <c r="L1620" s="16" t="s">
        <v>3366</v>
      </c>
      <c r="M1620" s="16" t="s">
        <v>3366</v>
      </c>
      <c r="N1620" s="16" t="s">
        <v>3366</v>
      </c>
      <c r="O1620" s="16" t="s">
        <v>3366</v>
      </c>
      <c r="P1620" s="16" t="s">
        <v>3366</v>
      </c>
      <c r="Q1620" s="16" t="s">
        <v>3366</v>
      </c>
      <c r="R1620" s="16" t="s">
        <v>3366</v>
      </c>
      <c r="S1620" s="16">
        <v>2</v>
      </c>
      <c r="T1620" s="16">
        <v>0</v>
      </c>
      <c r="U1620" s="15" t="str">
        <f t="shared" si="103"/>
        <v>Privado Nacional</v>
      </c>
      <c r="V1620" s="17" t="str">
        <f t="shared" si="104"/>
        <v>NI</v>
      </c>
      <c r="W1620" s="17" t="str">
        <f t="shared" si="105"/>
        <v>NI</v>
      </c>
      <c r="X1620" s="15" t="str">
        <f t="shared" si="106"/>
        <v>Sem dado</v>
      </c>
      <c r="Y1620" s="121" t="str" cm="1">
        <f t="array" ref="Y1620">_xlfn.IFS(ISNUMBER(W1620)=FALSE,"Sem dado",W1620&gt;0.075,"Excelente",W1620&gt;0.04,"Bom",W1620&gt;0,"Fraco",TRUE,"Prejuízo")</f>
        <v>Sem dado</v>
      </c>
    </row>
    <row r="1621" spans="1:25" ht="15" customHeight="1" x14ac:dyDescent="0.2">
      <c r="A1621" s="12" t="s">
        <v>3473</v>
      </c>
      <c r="B1621" s="56">
        <v>62223733</v>
      </c>
      <c r="C1621" s="12"/>
      <c r="D1621" s="12"/>
      <c r="E1621" s="12"/>
      <c r="F1621" s="12" t="s">
        <v>265</v>
      </c>
      <c r="G1621" s="33">
        <v>2</v>
      </c>
      <c r="H1621" s="33">
        <v>9</v>
      </c>
      <c r="I1621" s="12" t="s">
        <v>210</v>
      </c>
      <c r="J1621" s="12" t="s">
        <v>211</v>
      </c>
      <c r="K1621" s="73" t="s">
        <v>29</v>
      </c>
      <c r="L1621" s="13" t="s">
        <v>3366</v>
      </c>
      <c r="M1621" s="13" t="s">
        <v>3366</v>
      </c>
      <c r="N1621" s="13" t="s">
        <v>3366</v>
      </c>
      <c r="O1621" s="13" t="s">
        <v>3366</v>
      </c>
      <c r="P1621" s="13" t="s">
        <v>3366</v>
      </c>
      <c r="Q1621" s="13" t="s">
        <v>3366</v>
      </c>
      <c r="R1621" s="13" t="s">
        <v>3366</v>
      </c>
      <c r="S1621" s="13">
        <v>0</v>
      </c>
      <c r="T1621" s="13">
        <v>0</v>
      </c>
      <c r="U1621" s="12" t="str">
        <f t="shared" si="103"/>
        <v>Privado Nacional</v>
      </c>
      <c r="V1621" s="14" t="str">
        <f t="shared" si="104"/>
        <v>NI</v>
      </c>
      <c r="W1621" s="14" t="str">
        <f t="shared" si="105"/>
        <v>NI</v>
      </c>
      <c r="X1621" s="12" t="str">
        <f t="shared" si="106"/>
        <v>Sem dado</v>
      </c>
      <c r="Y1621" s="122" t="str" cm="1">
        <f t="array" ref="Y1621">_xlfn.IFS(ISNUMBER(W1621)=FALSE,"Sem dado",W1621&gt;0.075,"Excelente",W1621&gt;0.04,"Bom",W1621&gt;0,"Fraco",TRUE,"Prejuízo")</f>
        <v>Sem dado</v>
      </c>
    </row>
    <row r="1622" spans="1:25" ht="15" customHeight="1" x14ac:dyDescent="0.2">
      <c r="A1622" s="15" t="s">
        <v>3474</v>
      </c>
      <c r="B1622" s="60">
        <v>62605290</v>
      </c>
      <c r="C1622" s="15"/>
      <c r="D1622" s="15"/>
      <c r="E1622" s="15"/>
      <c r="F1622" s="15" t="s">
        <v>265</v>
      </c>
      <c r="G1622" s="34">
        <v>2</v>
      </c>
      <c r="H1622" s="34">
        <v>9</v>
      </c>
      <c r="I1622" s="15" t="s">
        <v>2628</v>
      </c>
      <c r="J1622" s="15" t="s">
        <v>120</v>
      </c>
      <c r="K1622" s="74" t="s">
        <v>29</v>
      </c>
      <c r="L1622" s="16" t="s">
        <v>3366</v>
      </c>
      <c r="M1622" s="16" t="s">
        <v>3366</v>
      </c>
      <c r="N1622" s="16" t="s">
        <v>3366</v>
      </c>
      <c r="O1622" s="16" t="s">
        <v>3366</v>
      </c>
      <c r="P1622" s="16" t="s">
        <v>3366</v>
      </c>
      <c r="Q1622" s="16" t="s">
        <v>3366</v>
      </c>
      <c r="R1622" s="16" t="s">
        <v>3366</v>
      </c>
      <c r="S1622" s="16">
        <v>0</v>
      </c>
      <c r="T1622" s="16">
        <v>0</v>
      </c>
      <c r="U1622" s="15" t="str">
        <f t="shared" si="103"/>
        <v>Privado Nacional</v>
      </c>
      <c r="V1622" s="17" t="str">
        <f t="shared" si="104"/>
        <v>NI</v>
      </c>
      <c r="W1622" s="17" t="str">
        <f t="shared" si="105"/>
        <v>NI</v>
      </c>
      <c r="X1622" s="15" t="str">
        <f t="shared" si="106"/>
        <v>Sem dado</v>
      </c>
      <c r="Y1622" s="121" t="str" cm="1">
        <f t="array" ref="Y1622">_xlfn.IFS(ISNUMBER(W1622)=FALSE,"Sem dado",W1622&gt;0.075,"Excelente",W1622&gt;0.04,"Bom",W1622&gt;0,"Fraco",TRUE,"Prejuízo")</f>
        <v>Sem dado</v>
      </c>
    </row>
    <row r="1623" spans="1:25" ht="15" customHeight="1" x14ac:dyDescent="0.2">
      <c r="A1623" s="12" t="s">
        <v>3475</v>
      </c>
      <c r="B1623" s="56">
        <v>65635377</v>
      </c>
      <c r="C1623" s="12" t="s">
        <v>3476</v>
      </c>
      <c r="D1623" s="12"/>
      <c r="E1623" s="12" t="s">
        <v>3477</v>
      </c>
      <c r="F1623" s="12" t="s">
        <v>98</v>
      </c>
      <c r="G1623" s="33">
        <v>2</v>
      </c>
      <c r="H1623" s="33">
        <v>21</v>
      </c>
      <c r="I1623" s="12" t="s">
        <v>38</v>
      </c>
      <c r="J1623" s="12" t="s">
        <v>39</v>
      </c>
      <c r="K1623" s="73" t="s">
        <v>29</v>
      </c>
      <c r="L1623" s="13" t="s">
        <v>3366</v>
      </c>
      <c r="M1623" s="13" t="s">
        <v>3366</v>
      </c>
      <c r="N1623" s="13" t="s">
        <v>3366</v>
      </c>
      <c r="O1623" s="13" t="s">
        <v>3366</v>
      </c>
      <c r="P1623" s="13" t="s">
        <v>3366</v>
      </c>
      <c r="Q1623" s="13" t="s">
        <v>3366</v>
      </c>
      <c r="R1623" s="13" t="s">
        <v>3366</v>
      </c>
      <c r="S1623" s="13">
        <v>2</v>
      </c>
      <c r="T1623" s="13">
        <v>0</v>
      </c>
      <c r="U1623" s="12" t="str">
        <f t="shared" si="103"/>
        <v>Privado Nacional</v>
      </c>
      <c r="V1623" s="14" t="str">
        <f t="shared" si="104"/>
        <v>NI</v>
      </c>
      <c r="W1623" s="14" t="str">
        <f t="shared" si="105"/>
        <v>NI</v>
      </c>
      <c r="X1623" s="12" t="str">
        <f t="shared" si="106"/>
        <v>Sem dado</v>
      </c>
      <c r="Y1623" s="122" t="str" cm="1">
        <f t="array" ref="Y1623">_xlfn.IFS(ISNUMBER(W1623)=FALSE,"Sem dado",W1623&gt;0.075,"Excelente",W1623&gt;0.04,"Bom",W1623&gt;0,"Fraco",TRUE,"Prejuízo")</f>
        <v>Sem dado</v>
      </c>
    </row>
    <row r="1624" spans="1:25" ht="15" customHeight="1" x14ac:dyDescent="0.2">
      <c r="A1624" s="15" t="s">
        <v>3478</v>
      </c>
      <c r="B1624" s="60">
        <v>75174953</v>
      </c>
      <c r="C1624" s="15"/>
      <c r="D1624" s="15"/>
      <c r="E1624" s="15"/>
      <c r="F1624" s="15" t="s">
        <v>265</v>
      </c>
      <c r="G1624" s="34">
        <v>2</v>
      </c>
      <c r="H1624" s="34">
        <v>9</v>
      </c>
      <c r="I1624" s="15" t="s">
        <v>3479</v>
      </c>
      <c r="J1624" s="15" t="s">
        <v>229</v>
      </c>
      <c r="K1624" s="74" t="s">
        <v>29</v>
      </c>
      <c r="L1624" s="16" t="s">
        <v>3366</v>
      </c>
      <c r="M1624" s="16" t="s">
        <v>3366</v>
      </c>
      <c r="N1624" s="16" t="s">
        <v>3366</v>
      </c>
      <c r="O1624" s="16" t="s">
        <v>3366</v>
      </c>
      <c r="P1624" s="16" t="s">
        <v>3366</v>
      </c>
      <c r="Q1624" s="16" t="s">
        <v>3366</v>
      </c>
      <c r="R1624" s="16" t="s">
        <v>3366</v>
      </c>
      <c r="S1624" s="16">
        <v>0</v>
      </c>
      <c r="T1624" s="16">
        <v>0</v>
      </c>
      <c r="U1624" s="15" t="str">
        <f t="shared" si="103"/>
        <v>Privado Nacional</v>
      </c>
      <c r="V1624" s="17" t="str">
        <f t="shared" si="104"/>
        <v>NI</v>
      </c>
      <c r="W1624" s="17" t="str">
        <f t="shared" si="105"/>
        <v>NI</v>
      </c>
      <c r="X1624" s="15" t="str">
        <f t="shared" si="106"/>
        <v>Sem dado</v>
      </c>
      <c r="Y1624" s="121" t="str" cm="1">
        <f t="array" ref="Y1624">_xlfn.IFS(ISNUMBER(W1624)=FALSE,"Sem dado",W1624&gt;0.075,"Excelente",W1624&gt;0.04,"Bom",W1624&gt;0,"Fraco",TRUE,"Prejuízo")</f>
        <v>Sem dado</v>
      </c>
    </row>
    <row r="1625" spans="1:25" ht="15" customHeight="1" x14ac:dyDescent="0.2">
      <c r="A1625" s="12" t="s">
        <v>3480</v>
      </c>
      <c r="B1625" s="56">
        <v>89960090</v>
      </c>
      <c r="C1625" s="12" t="s">
        <v>3481</v>
      </c>
      <c r="D1625" s="12"/>
      <c r="E1625" s="12" t="s">
        <v>3482</v>
      </c>
      <c r="F1625" s="12" t="s">
        <v>98</v>
      </c>
      <c r="G1625" s="33">
        <v>2</v>
      </c>
      <c r="H1625" s="33">
        <v>16</v>
      </c>
      <c r="I1625" s="12" t="s">
        <v>38</v>
      </c>
      <c r="J1625" s="12" t="s">
        <v>39</v>
      </c>
      <c r="K1625" s="73" t="s">
        <v>29</v>
      </c>
      <c r="L1625" s="13" t="s">
        <v>3366</v>
      </c>
      <c r="M1625" s="13" t="s">
        <v>3366</v>
      </c>
      <c r="N1625" s="13" t="s">
        <v>3366</v>
      </c>
      <c r="O1625" s="13" t="s">
        <v>3366</v>
      </c>
      <c r="P1625" s="13" t="s">
        <v>3366</v>
      </c>
      <c r="Q1625" s="13" t="s">
        <v>3366</v>
      </c>
      <c r="R1625" s="13" t="s">
        <v>3366</v>
      </c>
      <c r="S1625" s="13">
        <v>2</v>
      </c>
      <c r="T1625" s="13">
        <v>0</v>
      </c>
      <c r="U1625" s="12" t="str">
        <f t="shared" si="103"/>
        <v>Privado Nacional</v>
      </c>
      <c r="V1625" s="14" t="str">
        <f t="shared" si="104"/>
        <v>NI</v>
      </c>
      <c r="W1625" s="14" t="str">
        <f t="shared" si="105"/>
        <v>NI</v>
      </c>
      <c r="X1625" s="12" t="str">
        <f t="shared" si="106"/>
        <v>Sem dado</v>
      </c>
      <c r="Y1625" s="122" t="str" cm="1">
        <f t="array" ref="Y1625">_xlfn.IFS(ISNUMBER(W1625)=FALSE,"Sem dado",W1625&gt;0.075,"Excelente",W1625&gt;0.04,"Bom",W1625&gt;0,"Fraco",TRUE,"Prejuízo")</f>
        <v>Sem dado</v>
      </c>
    </row>
    <row r="1626" spans="1:25" ht="15" customHeight="1" x14ac:dyDescent="0.2">
      <c r="A1626" s="15" t="s">
        <v>3483</v>
      </c>
      <c r="B1626" s="60">
        <v>92825397</v>
      </c>
      <c r="C1626" s="15"/>
      <c r="D1626" s="15"/>
      <c r="E1626" s="15"/>
      <c r="F1626" s="15" t="s">
        <v>265</v>
      </c>
      <c r="G1626" s="34">
        <v>2</v>
      </c>
      <c r="H1626" s="34">
        <v>9</v>
      </c>
      <c r="I1626" s="15" t="s">
        <v>73</v>
      </c>
      <c r="J1626" s="15" t="s">
        <v>74</v>
      </c>
      <c r="K1626" s="74" t="s">
        <v>29</v>
      </c>
      <c r="L1626" s="16" t="s">
        <v>3366</v>
      </c>
      <c r="M1626" s="16" t="s">
        <v>3366</v>
      </c>
      <c r="N1626" s="16" t="s">
        <v>3366</v>
      </c>
      <c r="O1626" s="16" t="s">
        <v>3366</v>
      </c>
      <c r="P1626" s="16" t="s">
        <v>3366</v>
      </c>
      <c r="Q1626" s="16" t="s">
        <v>3366</v>
      </c>
      <c r="R1626" s="16" t="s">
        <v>3366</v>
      </c>
      <c r="S1626" s="16">
        <v>0</v>
      </c>
      <c r="T1626" s="16">
        <v>1</v>
      </c>
      <c r="U1626" s="15" t="str">
        <f t="shared" si="103"/>
        <v>Privado Nacional</v>
      </c>
      <c r="V1626" s="17" t="str">
        <f t="shared" si="104"/>
        <v>NI</v>
      </c>
      <c r="W1626" s="17" t="str">
        <f t="shared" si="105"/>
        <v>NI</v>
      </c>
      <c r="X1626" s="15" t="str">
        <f t="shared" si="106"/>
        <v>Sem dado</v>
      </c>
      <c r="Y1626" s="121" t="str" cm="1">
        <f t="array" ref="Y1626">_xlfn.IFS(ISNUMBER(W1626)=FALSE,"Sem dado",W1626&gt;0.075,"Excelente",W1626&gt;0.04,"Bom",W1626&gt;0,"Fraco",TRUE,"Prejuízo")</f>
        <v>Sem dado</v>
      </c>
    </row>
    <row r="1627" spans="1:25" x14ac:dyDescent="0.2">
      <c r="A1627" s="1"/>
      <c r="B1627" s="2"/>
      <c r="C1627" s="1"/>
      <c r="D1627" s="1"/>
      <c r="E1627" s="1"/>
      <c r="F1627" s="3"/>
      <c r="G1627" s="3"/>
      <c r="H1627" s="3"/>
      <c r="I1627" s="1"/>
      <c r="J1627" s="3"/>
      <c r="K1627" s="3"/>
      <c r="L1627" s="4"/>
      <c r="M1627" s="4"/>
      <c r="N1627" s="4"/>
      <c r="O1627" s="4"/>
      <c r="P1627" s="4"/>
      <c r="Q1627" s="4"/>
      <c r="R1627" s="4"/>
      <c r="S1627" s="4"/>
      <c r="T1627" s="4"/>
      <c r="U1627" s="3"/>
      <c r="V1627" s="5"/>
      <c r="W1627" s="5"/>
      <c r="X1627" s="7"/>
      <c r="Y1627" s="79"/>
    </row>
  </sheetData>
  <mergeCells count="3">
    <mergeCell ref="A2:W2"/>
    <mergeCell ref="A3:W3"/>
    <mergeCell ref="A1:T1"/>
  </mergeCells>
  <conditionalFormatting sqref="A5:W1626">
    <cfRule type="expression" dxfId="10" priority="11">
      <formula>MOD(ROW(),2)=0</formula>
    </cfRule>
  </conditionalFormatting>
  <conditionalFormatting sqref="G5:G1626">
    <cfRule type="expression" dxfId="9" priority="1">
      <formula>G5=1</formula>
    </cfRule>
    <cfRule type="expression" dxfId="8" priority="2">
      <formula>G5=2</formula>
    </cfRule>
    <cfRule type="expression" dxfId="7" priority="3">
      <formula>G5=3</formula>
    </cfRule>
  </conditionalFormatting>
  <conditionalFormatting sqref="L5:W1626">
    <cfRule type="cellIs" dxfId="6" priority="7" operator="equal">
      <formula>"NI"</formula>
    </cfRule>
    <cfRule type="cellIs" dxfId="5" priority="8" operator="equal">
      <formula>"n.d."</formula>
    </cfRule>
  </conditionalFormatting>
  <conditionalFormatting sqref="Q5:R1626">
    <cfRule type="cellIs" dxfId="4" priority="9" operator="lessThan">
      <formula>0</formula>
    </cfRule>
  </conditionalFormatting>
  <conditionalFormatting sqref="U5:U1626">
    <cfRule type="cellIs" dxfId="3" priority="4" operator="equal">
      <formula>"Público"</formula>
    </cfRule>
    <cfRule type="cellIs" dxfId="2" priority="5" operator="equal">
      <formula>"Privado Nacional"</formula>
    </cfRule>
    <cfRule type="cellIs" dxfId="1" priority="6" operator="equal">
      <formula>"Privado Estrangeiro"</formula>
    </cfRule>
  </conditionalFormatting>
  <conditionalFormatting sqref="V5:W1626">
    <cfRule type="cellIs" dxfId="0" priority="10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F67F-0AE5-DD43-9267-3CC0073DE361}">
  <sheetPr>
    <tabColor rgb="FF1D1B10"/>
  </sheetPr>
  <dimension ref="A1:L99"/>
  <sheetViews>
    <sheetView showGridLines="0" workbookViewId="0">
      <pane ySplit="5" topLeftCell="A6" activePane="bottomLeft" state="frozen"/>
      <selection pane="bottomLeft" activeCell="A2" sqref="A2:L2"/>
    </sheetView>
  </sheetViews>
  <sheetFormatPr baseColWidth="10" defaultRowHeight="15" x14ac:dyDescent="0.2"/>
  <cols>
    <col min="1" max="1" width="9" customWidth="1"/>
    <col min="2" max="2" width="50" customWidth="1"/>
    <col min="3" max="3" width="12.5" customWidth="1"/>
    <col min="4" max="4" width="14.6640625" customWidth="1"/>
    <col min="5" max="5" width="14.5" customWidth="1"/>
    <col min="6" max="6" width="17.6640625" customWidth="1"/>
    <col min="7" max="7" width="15.1640625" customWidth="1"/>
    <col min="8" max="8" width="14.6640625" customWidth="1"/>
    <col min="9" max="9" width="17.5" customWidth="1"/>
    <col min="10" max="10" width="13.33203125" customWidth="1"/>
    <col min="11" max="11" width="10.83203125" customWidth="1"/>
    <col min="12" max="12" width="12.33203125" customWidth="1"/>
  </cols>
  <sheetData>
    <row r="1" spans="1:12" ht="31.5" customHeight="1" x14ac:dyDescent="0.2">
      <c r="A1" s="152" t="s">
        <v>3815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</row>
    <row r="2" spans="1:12" ht="27.75" customHeight="1" x14ac:dyDescent="0.2">
      <c r="A2" s="156" t="s">
        <v>3816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</row>
    <row r="3" spans="1:12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21.75" customHeight="1" x14ac:dyDescent="0.2">
      <c r="A4" s="154" t="s">
        <v>3708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5"/>
    </row>
    <row r="5" spans="1:12" ht="40" customHeight="1" x14ac:dyDescent="0.2">
      <c r="A5" s="80" t="s">
        <v>1</v>
      </c>
      <c r="B5" s="80" t="s">
        <v>3582</v>
      </c>
      <c r="C5" s="80" t="s">
        <v>3709</v>
      </c>
      <c r="D5" s="123" t="s">
        <v>10</v>
      </c>
      <c r="E5" s="123" t="s">
        <v>11</v>
      </c>
      <c r="F5" s="123" t="s">
        <v>12</v>
      </c>
      <c r="G5" s="123" t="s">
        <v>13</v>
      </c>
      <c r="H5" s="123" t="s">
        <v>14</v>
      </c>
      <c r="I5" s="123" t="s">
        <v>15</v>
      </c>
      <c r="J5" s="123" t="s">
        <v>16</v>
      </c>
      <c r="K5" s="123" t="s">
        <v>17</v>
      </c>
      <c r="L5" s="124" t="s">
        <v>18</v>
      </c>
    </row>
    <row r="6" spans="1:12" ht="15" customHeight="1" x14ac:dyDescent="0.2">
      <c r="A6" s="26" t="s">
        <v>26</v>
      </c>
      <c r="B6" s="12" t="s">
        <v>3585</v>
      </c>
      <c r="C6" s="12" t="s">
        <v>3710</v>
      </c>
      <c r="D6" s="13">
        <v>14285826209</v>
      </c>
      <c r="E6" s="13">
        <v>5511754811</v>
      </c>
      <c r="F6" s="13">
        <v>3518123267</v>
      </c>
      <c r="G6" s="13">
        <v>13157506808</v>
      </c>
      <c r="H6" s="13">
        <v>11469908861</v>
      </c>
      <c r="I6" s="13">
        <v>1128319401</v>
      </c>
      <c r="J6" s="13">
        <v>80608469</v>
      </c>
      <c r="K6" s="13">
        <v>13386</v>
      </c>
      <c r="L6" s="81">
        <v>8067</v>
      </c>
    </row>
    <row r="7" spans="1:12" ht="15" customHeight="1" x14ac:dyDescent="0.2">
      <c r="A7" s="27" t="s">
        <v>26</v>
      </c>
      <c r="B7" s="15" t="s">
        <v>3585</v>
      </c>
      <c r="C7" s="15" t="s">
        <v>3711</v>
      </c>
      <c r="D7" s="28">
        <v>0.73270000000000002</v>
      </c>
      <c r="E7" s="28">
        <v>0.74619999999999997</v>
      </c>
      <c r="F7" s="28">
        <v>0.79500000000000004</v>
      </c>
      <c r="G7" s="28">
        <v>0.75370000000000004</v>
      </c>
      <c r="H7" s="28">
        <v>0.81110000000000004</v>
      </c>
      <c r="I7" s="28">
        <v>0.55289999999999995</v>
      </c>
      <c r="J7" s="28">
        <v>0.5252</v>
      </c>
      <c r="K7" s="28">
        <v>0.89710000000000001</v>
      </c>
      <c r="L7" s="82">
        <v>0.4476</v>
      </c>
    </row>
    <row r="8" spans="1:12" ht="15" customHeight="1" x14ac:dyDescent="0.2">
      <c r="A8" s="26" t="s">
        <v>60</v>
      </c>
      <c r="B8" s="12" t="s">
        <v>3586</v>
      </c>
      <c r="C8" s="12" t="s">
        <v>3710</v>
      </c>
      <c r="D8" s="13">
        <v>931799121</v>
      </c>
      <c r="E8" s="13">
        <v>430091463</v>
      </c>
      <c r="F8" s="13">
        <v>108094396</v>
      </c>
      <c r="G8" s="13">
        <v>650002745</v>
      </c>
      <c r="H8" s="13">
        <v>408314941</v>
      </c>
      <c r="I8" s="13">
        <v>281796376</v>
      </c>
      <c r="J8" s="13">
        <v>27442035</v>
      </c>
      <c r="K8" s="13">
        <v>108</v>
      </c>
      <c r="L8" s="81">
        <v>7</v>
      </c>
    </row>
    <row r="9" spans="1:12" ht="15" customHeight="1" x14ac:dyDescent="0.2">
      <c r="A9" s="27" t="s">
        <v>60</v>
      </c>
      <c r="B9" s="15" t="s">
        <v>3586</v>
      </c>
      <c r="C9" s="15" t="s">
        <v>3711</v>
      </c>
      <c r="D9" s="28">
        <v>4.7800000000000002E-2</v>
      </c>
      <c r="E9" s="28">
        <v>5.8200000000000002E-2</v>
      </c>
      <c r="F9" s="28">
        <v>2.4400000000000002E-2</v>
      </c>
      <c r="G9" s="28">
        <v>3.7199999999999997E-2</v>
      </c>
      <c r="H9" s="28">
        <v>2.8899999999999999E-2</v>
      </c>
      <c r="I9" s="28">
        <v>0.1381</v>
      </c>
      <c r="J9" s="28">
        <v>0.17879999999999999</v>
      </c>
      <c r="K9" s="28">
        <v>7.1999999999999998E-3</v>
      </c>
      <c r="L9" s="82">
        <v>4.0000000000000002E-4</v>
      </c>
    </row>
    <row r="10" spans="1:12" ht="15" customHeight="1" x14ac:dyDescent="0.2">
      <c r="A10" s="26" t="s">
        <v>265</v>
      </c>
      <c r="B10" s="12" t="s">
        <v>3712</v>
      </c>
      <c r="C10" s="12" t="s">
        <v>3710</v>
      </c>
      <c r="D10" s="13">
        <v>992158871</v>
      </c>
      <c r="E10" s="13">
        <v>534336219</v>
      </c>
      <c r="F10" s="13">
        <v>185424312</v>
      </c>
      <c r="G10" s="13">
        <v>852161871</v>
      </c>
      <c r="H10" s="13">
        <v>676043108</v>
      </c>
      <c r="I10" s="13">
        <v>139996999</v>
      </c>
      <c r="J10" s="13">
        <v>8584458</v>
      </c>
      <c r="K10" s="13">
        <v>0</v>
      </c>
      <c r="L10" s="81">
        <v>9928</v>
      </c>
    </row>
    <row r="11" spans="1:12" ht="15" customHeight="1" x14ac:dyDescent="0.2">
      <c r="A11" s="27" t="s">
        <v>265</v>
      </c>
      <c r="B11" s="15" t="s">
        <v>3712</v>
      </c>
      <c r="C11" s="15" t="s">
        <v>3711</v>
      </c>
      <c r="D11" s="28">
        <v>5.0900000000000001E-2</v>
      </c>
      <c r="E11" s="28">
        <v>7.2300000000000003E-2</v>
      </c>
      <c r="F11" s="28">
        <v>4.19E-2</v>
      </c>
      <c r="G11" s="28">
        <v>4.8800000000000003E-2</v>
      </c>
      <c r="H11" s="28">
        <v>4.7800000000000002E-2</v>
      </c>
      <c r="I11" s="28">
        <v>6.8599999999999994E-2</v>
      </c>
      <c r="J11" s="28">
        <v>5.5899999999999998E-2</v>
      </c>
      <c r="K11" s="28">
        <v>0</v>
      </c>
      <c r="L11" s="82">
        <v>0.55089999999999995</v>
      </c>
    </row>
    <row r="12" spans="1:12" ht="15" customHeight="1" x14ac:dyDescent="0.2">
      <c r="A12" s="26" t="s">
        <v>199</v>
      </c>
      <c r="B12" s="12" t="s">
        <v>3588</v>
      </c>
      <c r="C12" s="12" t="s">
        <v>3710</v>
      </c>
      <c r="D12" s="13">
        <v>254740242</v>
      </c>
      <c r="E12" s="13">
        <v>2759784</v>
      </c>
      <c r="F12" s="13">
        <v>98467430</v>
      </c>
      <c r="G12" s="13">
        <v>235183278</v>
      </c>
      <c r="H12" s="13">
        <v>26776352</v>
      </c>
      <c r="I12" s="13">
        <v>19556964</v>
      </c>
      <c r="J12" s="13">
        <v>677772</v>
      </c>
      <c r="K12" s="13">
        <v>0</v>
      </c>
      <c r="L12" s="81">
        <v>11</v>
      </c>
    </row>
    <row r="13" spans="1:12" ht="15" customHeight="1" x14ac:dyDescent="0.2">
      <c r="A13" s="27" t="s">
        <v>199</v>
      </c>
      <c r="B13" s="15" t="s">
        <v>3588</v>
      </c>
      <c r="C13" s="15" t="s">
        <v>3711</v>
      </c>
      <c r="D13" s="28">
        <v>1.3100000000000001E-2</v>
      </c>
      <c r="E13" s="28">
        <v>4.0000000000000002E-4</v>
      </c>
      <c r="F13" s="28">
        <v>2.23E-2</v>
      </c>
      <c r="G13" s="28">
        <v>1.35E-2</v>
      </c>
      <c r="H13" s="28">
        <v>1.9E-3</v>
      </c>
      <c r="I13" s="28">
        <v>9.5999999999999992E-3</v>
      </c>
      <c r="J13" s="28">
        <v>4.4000000000000003E-3</v>
      </c>
      <c r="K13" s="28">
        <v>0</v>
      </c>
      <c r="L13" s="82">
        <v>5.9999999999999995E-4</v>
      </c>
    </row>
    <row r="14" spans="1:12" ht="15" customHeight="1" x14ac:dyDescent="0.2">
      <c r="A14" s="26" t="s">
        <v>52</v>
      </c>
      <c r="B14" s="12" t="s">
        <v>3589</v>
      </c>
      <c r="C14" s="12" t="s">
        <v>3710</v>
      </c>
      <c r="D14" s="13">
        <v>1121980384</v>
      </c>
      <c r="E14" s="13">
        <v>410286392</v>
      </c>
      <c r="F14" s="13">
        <v>219674537</v>
      </c>
      <c r="G14" s="13">
        <v>932408406</v>
      </c>
      <c r="H14" s="13">
        <v>697618375</v>
      </c>
      <c r="I14" s="13">
        <v>189571978</v>
      </c>
      <c r="J14" s="13">
        <v>11549205</v>
      </c>
      <c r="K14" s="13">
        <v>13</v>
      </c>
      <c r="L14" s="81">
        <v>0</v>
      </c>
    </row>
    <row r="15" spans="1:12" ht="15" customHeight="1" x14ac:dyDescent="0.2">
      <c r="A15" s="27" t="s">
        <v>52</v>
      </c>
      <c r="B15" s="15" t="s">
        <v>3589</v>
      </c>
      <c r="C15" s="15" t="s">
        <v>3711</v>
      </c>
      <c r="D15" s="28">
        <v>5.7500000000000002E-2</v>
      </c>
      <c r="E15" s="28">
        <v>5.5500000000000001E-2</v>
      </c>
      <c r="F15" s="28">
        <v>4.9599999999999998E-2</v>
      </c>
      <c r="G15" s="28">
        <v>5.3400000000000003E-2</v>
      </c>
      <c r="H15" s="28">
        <v>4.9299999999999997E-2</v>
      </c>
      <c r="I15" s="28">
        <v>9.2899999999999996E-2</v>
      </c>
      <c r="J15" s="28">
        <v>7.5300000000000006E-2</v>
      </c>
      <c r="K15" s="28">
        <v>8.9999999999999998E-4</v>
      </c>
      <c r="L15" s="82">
        <v>0</v>
      </c>
    </row>
    <row r="16" spans="1:12" ht="15" customHeight="1" x14ac:dyDescent="0.2">
      <c r="A16" s="26" t="s">
        <v>65</v>
      </c>
      <c r="B16" s="12" t="s">
        <v>3590</v>
      </c>
      <c r="C16" s="12" t="s">
        <v>3710</v>
      </c>
      <c r="D16" s="13">
        <v>734344385</v>
      </c>
      <c r="E16" s="13">
        <v>384887710</v>
      </c>
      <c r="F16" s="13">
        <v>143337276</v>
      </c>
      <c r="G16" s="13">
        <v>624999723</v>
      </c>
      <c r="H16" s="13">
        <v>522307010</v>
      </c>
      <c r="I16" s="13">
        <v>109344662</v>
      </c>
      <c r="J16" s="13">
        <v>9405391</v>
      </c>
      <c r="K16" s="13">
        <v>656</v>
      </c>
      <c r="L16" s="81">
        <v>0</v>
      </c>
    </row>
    <row r="17" spans="1:12" ht="15" customHeight="1" x14ac:dyDescent="0.2">
      <c r="A17" s="27" t="s">
        <v>65</v>
      </c>
      <c r="B17" s="15" t="s">
        <v>3590</v>
      </c>
      <c r="C17" s="15" t="s">
        <v>3711</v>
      </c>
      <c r="D17" s="28">
        <v>3.7699999999999997E-2</v>
      </c>
      <c r="E17" s="28">
        <v>5.21E-2</v>
      </c>
      <c r="F17" s="28">
        <v>3.2399999999999998E-2</v>
      </c>
      <c r="G17" s="28">
        <v>3.5799999999999998E-2</v>
      </c>
      <c r="H17" s="28">
        <v>3.6900000000000002E-2</v>
      </c>
      <c r="I17" s="28">
        <v>5.3600000000000002E-2</v>
      </c>
      <c r="J17" s="28">
        <v>6.13E-2</v>
      </c>
      <c r="K17" s="28">
        <v>4.3999999999999997E-2</v>
      </c>
      <c r="L17" s="82">
        <v>0</v>
      </c>
    </row>
    <row r="18" spans="1:12" ht="15" customHeight="1" x14ac:dyDescent="0.2">
      <c r="A18" s="26" t="s">
        <v>98</v>
      </c>
      <c r="B18" s="12" t="s">
        <v>3591</v>
      </c>
      <c r="C18" s="12" t="s">
        <v>3710</v>
      </c>
      <c r="D18" s="13">
        <v>261394666</v>
      </c>
      <c r="E18" s="13">
        <v>176917</v>
      </c>
      <c r="F18" s="13">
        <v>61482630</v>
      </c>
      <c r="G18" s="13">
        <v>212583258</v>
      </c>
      <c r="H18" s="13">
        <v>129611207</v>
      </c>
      <c r="I18" s="13">
        <v>48811408</v>
      </c>
      <c r="J18" s="13">
        <v>4805470</v>
      </c>
      <c r="K18" s="13">
        <v>563</v>
      </c>
      <c r="L18" s="81">
        <v>10</v>
      </c>
    </row>
    <row r="19" spans="1:12" ht="15" customHeight="1" x14ac:dyDescent="0.2">
      <c r="A19" s="27" t="s">
        <v>98</v>
      </c>
      <c r="B19" s="15" t="s">
        <v>3591</v>
      </c>
      <c r="C19" s="15" t="s">
        <v>3711</v>
      </c>
      <c r="D19" s="28">
        <v>1.34E-2</v>
      </c>
      <c r="E19" s="28">
        <v>0</v>
      </c>
      <c r="F19" s="28">
        <v>1.3899999999999999E-2</v>
      </c>
      <c r="G19" s="28">
        <v>1.2200000000000001E-2</v>
      </c>
      <c r="H19" s="28">
        <v>9.1999999999999998E-3</v>
      </c>
      <c r="I19" s="28">
        <v>2.3900000000000001E-2</v>
      </c>
      <c r="J19" s="28">
        <v>3.1300000000000001E-2</v>
      </c>
      <c r="K19" s="28">
        <v>3.7699999999999997E-2</v>
      </c>
      <c r="L19" s="82">
        <v>5.9999999999999995E-4</v>
      </c>
    </row>
    <row r="20" spans="1:12" ht="15" customHeight="1" x14ac:dyDescent="0.2">
      <c r="A20" s="26" t="s">
        <v>84</v>
      </c>
      <c r="B20" s="12" t="s">
        <v>3592</v>
      </c>
      <c r="C20" s="12" t="s">
        <v>3710</v>
      </c>
      <c r="D20" s="13">
        <v>915508275</v>
      </c>
      <c r="E20" s="13">
        <v>111875192</v>
      </c>
      <c r="F20" s="13">
        <v>90763168</v>
      </c>
      <c r="G20" s="13">
        <v>792249120</v>
      </c>
      <c r="H20" s="13">
        <v>210361138</v>
      </c>
      <c r="I20" s="13">
        <v>123259155</v>
      </c>
      <c r="J20" s="13">
        <v>10394368</v>
      </c>
      <c r="K20" s="13">
        <v>196</v>
      </c>
      <c r="L20" s="81">
        <v>0</v>
      </c>
    </row>
    <row r="21" spans="1:12" ht="15" customHeight="1" x14ac:dyDescent="0.2">
      <c r="A21" s="27" t="s">
        <v>84</v>
      </c>
      <c r="B21" s="15" t="s">
        <v>3592</v>
      </c>
      <c r="C21" s="15" t="s">
        <v>3711</v>
      </c>
      <c r="D21" s="28">
        <v>4.7E-2</v>
      </c>
      <c r="E21" s="28">
        <v>1.5100000000000001E-2</v>
      </c>
      <c r="F21" s="28">
        <v>2.0500000000000001E-2</v>
      </c>
      <c r="G21" s="28">
        <v>4.5400000000000003E-2</v>
      </c>
      <c r="H21" s="28">
        <v>1.49E-2</v>
      </c>
      <c r="I21" s="28">
        <v>6.0400000000000002E-2</v>
      </c>
      <c r="J21" s="28">
        <v>6.7699999999999996E-2</v>
      </c>
      <c r="K21" s="28">
        <v>1.3100000000000001E-2</v>
      </c>
      <c r="L21" s="82">
        <v>0</v>
      </c>
    </row>
    <row r="22" spans="1:12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78"/>
    </row>
    <row r="23" spans="1:12" ht="21.75" customHeight="1" x14ac:dyDescent="0.2">
      <c r="A23" s="154" t="s">
        <v>3713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5"/>
    </row>
    <row r="24" spans="1:12" ht="40" customHeight="1" x14ac:dyDescent="0.2">
      <c r="A24" s="80" t="s">
        <v>1</v>
      </c>
      <c r="B24" s="80" t="s">
        <v>3582</v>
      </c>
      <c r="C24" s="80" t="s">
        <v>3709</v>
      </c>
      <c r="D24" s="123" t="s">
        <v>10</v>
      </c>
      <c r="E24" s="123" t="s">
        <v>11</v>
      </c>
      <c r="F24" s="123" t="s">
        <v>12</v>
      </c>
      <c r="G24" s="123" t="s">
        <v>13</v>
      </c>
      <c r="H24" s="123" t="s">
        <v>14</v>
      </c>
      <c r="I24" s="123" t="s">
        <v>15</v>
      </c>
      <c r="J24" s="123" t="s">
        <v>16</v>
      </c>
      <c r="K24" s="123" t="s">
        <v>17</v>
      </c>
      <c r="L24" s="124" t="s">
        <v>18</v>
      </c>
    </row>
    <row r="25" spans="1:12" ht="15" customHeight="1" x14ac:dyDescent="0.2">
      <c r="A25" s="26" t="s">
        <v>3707</v>
      </c>
      <c r="B25" s="12" t="s">
        <v>3594</v>
      </c>
      <c r="C25" s="12" t="s">
        <v>3710</v>
      </c>
      <c r="D25" s="13">
        <v>6391175338</v>
      </c>
      <c r="E25" s="13">
        <v>2999719019</v>
      </c>
      <c r="F25" s="13">
        <v>1569544736</v>
      </c>
      <c r="G25" s="13">
        <v>5837080041</v>
      </c>
      <c r="H25" s="13">
        <v>5003609740</v>
      </c>
      <c r="I25" s="13">
        <v>554095297</v>
      </c>
      <c r="J25" s="13">
        <v>29620371</v>
      </c>
      <c r="K25" s="13">
        <v>8291</v>
      </c>
      <c r="L25" s="81">
        <v>1527</v>
      </c>
    </row>
    <row r="26" spans="1:12" ht="15" customHeight="1" x14ac:dyDescent="0.2">
      <c r="A26" s="27" t="s">
        <v>3707</v>
      </c>
      <c r="B26" s="15" t="s">
        <v>3594</v>
      </c>
      <c r="C26" s="15" t="s">
        <v>3711</v>
      </c>
      <c r="D26" s="28">
        <v>0.32779999999999998</v>
      </c>
      <c r="E26" s="28">
        <v>0.40610000000000002</v>
      </c>
      <c r="F26" s="28">
        <v>0.35470000000000002</v>
      </c>
      <c r="G26" s="28">
        <v>0.33439999999999998</v>
      </c>
      <c r="H26" s="28">
        <v>0.3538</v>
      </c>
      <c r="I26" s="28">
        <v>0.27150000000000002</v>
      </c>
      <c r="J26" s="28">
        <v>0.193</v>
      </c>
      <c r="K26" s="28">
        <v>0.55559999999999998</v>
      </c>
      <c r="L26" s="82">
        <v>8.4699999999999998E-2</v>
      </c>
    </row>
    <row r="27" spans="1:12" ht="15" customHeight="1" x14ac:dyDescent="0.2">
      <c r="A27" s="26" t="s">
        <v>3714</v>
      </c>
      <c r="B27" s="12" t="s">
        <v>3595</v>
      </c>
      <c r="C27" s="12" t="s">
        <v>3710</v>
      </c>
      <c r="D27" s="13">
        <v>9761967937</v>
      </c>
      <c r="E27" s="13">
        <v>3260463203</v>
      </c>
      <c r="F27" s="13">
        <v>2123358155</v>
      </c>
      <c r="G27" s="13">
        <v>8626395920</v>
      </c>
      <c r="H27" s="13">
        <v>6808625220</v>
      </c>
      <c r="I27" s="13">
        <v>1135572016</v>
      </c>
      <c r="J27" s="13">
        <v>96755434</v>
      </c>
      <c r="K27" s="13">
        <v>4917</v>
      </c>
      <c r="L27" s="81">
        <v>13628</v>
      </c>
    </row>
    <row r="28" spans="1:12" ht="15" customHeight="1" x14ac:dyDescent="0.2">
      <c r="A28" s="27" t="s">
        <v>3714</v>
      </c>
      <c r="B28" s="15" t="s">
        <v>3595</v>
      </c>
      <c r="C28" s="15" t="s">
        <v>3711</v>
      </c>
      <c r="D28" s="28">
        <v>0.50070000000000003</v>
      </c>
      <c r="E28" s="28">
        <v>0.44140000000000001</v>
      </c>
      <c r="F28" s="28">
        <v>0.4798</v>
      </c>
      <c r="G28" s="28">
        <v>0.49409999999999998</v>
      </c>
      <c r="H28" s="28">
        <v>0.48149999999999998</v>
      </c>
      <c r="I28" s="28">
        <v>0.55649999999999999</v>
      </c>
      <c r="J28" s="28">
        <v>0.63049999999999995</v>
      </c>
      <c r="K28" s="28">
        <v>0.32950000000000002</v>
      </c>
      <c r="L28" s="82">
        <v>0.75609999999999999</v>
      </c>
    </row>
    <row r="29" spans="1:12" ht="15" customHeight="1" x14ac:dyDescent="0.2">
      <c r="A29" s="26" t="s">
        <v>3715</v>
      </c>
      <c r="B29" s="12" t="s">
        <v>3596</v>
      </c>
      <c r="C29" s="12" t="s">
        <v>3710</v>
      </c>
      <c r="D29" s="13">
        <v>3344608879</v>
      </c>
      <c r="E29" s="13">
        <v>1125986266</v>
      </c>
      <c r="F29" s="13">
        <v>732464125</v>
      </c>
      <c r="G29" s="13">
        <v>2993619249</v>
      </c>
      <c r="H29" s="13">
        <v>2328706032</v>
      </c>
      <c r="I29" s="13">
        <v>350989630</v>
      </c>
      <c r="J29" s="13">
        <v>27091362</v>
      </c>
      <c r="K29" s="13">
        <v>1714</v>
      </c>
      <c r="L29" s="81">
        <v>2868</v>
      </c>
    </row>
    <row r="30" spans="1:12" ht="15" customHeight="1" x14ac:dyDescent="0.2">
      <c r="A30" s="27" t="s">
        <v>3715</v>
      </c>
      <c r="B30" s="15" t="s">
        <v>3596</v>
      </c>
      <c r="C30" s="15" t="s">
        <v>3711</v>
      </c>
      <c r="D30" s="28">
        <v>0.17150000000000001</v>
      </c>
      <c r="E30" s="28">
        <v>0.15240000000000001</v>
      </c>
      <c r="F30" s="28">
        <v>0.16550000000000001</v>
      </c>
      <c r="G30" s="28">
        <v>0.17150000000000001</v>
      </c>
      <c r="H30" s="28">
        <v>0.16470000000000001</v>
      </c>
      <c r="I30" s="28">
        <v>0.17199999999999999</v>
      </c>
      <c r="J30" s="28">
        <v>0.17649999999999999</v>
      </c>
      <c r="K30" s="28">
        <v>0.1149</v>
      </c>
      <c r="L30" s="82">
        <v>0.15909999999999999</v>
      </c>
    </row>
    <row r="31" spans="1:1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78"/>
    </row>
    <row r="32" spans="1:12" ht="21.75" customHeight="1" x14ac:dyDescent="0.2">
      <c r="A32" s="154" t="s">
        <v>3716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5"/>
    </row>
    <row r="33" spans="1:12" ht="40" customHeight="1" x14ac:dyDescent="0.2">
      <c r="A33" s="123" t="s">
        <v>1</v>
      </c>
      <c r="B33" s="123" t="s">
        <v>3582</v>
      </c>
      <c r="C33" s="123" t="s">
        <v>3709</v>
      </c>
      <c r="D33" s="123" t="s">
        <v>10</v>
      </c>
      <c r="E33" s="123" t="s">
        <v>11</v>
      </c>
      <c r="F33" s="123" t="s">
        <v>12</v>
      </c>
      <c r="G33" s="123" t="s">
        <v>13</v>
      </c>
      <c r="H33" s="123" t="s">
        <v>14</v>
      </c>
      <c r="I33" s="123" t="s">
        <v>15</v>
      </c>
      <c r="J33" s="123" t="s">
        <v>16</v>
      </c>
      <c r="K33" s="123" t="s">
        <v>17</v>
      </c>
      <c r="L33" s="124" t="s">
        <v>18</v>
      </c>
    </row>
    <row r="34" spans="1:12" ht="15" customHeight="1" x14ac:dyDescent="0.2">
      <c r="A34" s="26" t="s">
        <v>3707</v>
      </c>
      <c r="B34" s="12" t="s">
        <v>3598</v>
      </c>
      <c r="C34" s="12" t="s">
        <v>3710</v>
      </c>
      <c r="D34" s="13">
        <v>2461086914</v>
      </c>
      <c r="E34" s="13">
        <v>1065710905</v>
      </c>
      <c r="F34" s="13">
        <v>714731784</v>
      </c>
      <c r="G34" s="13">
        <v>2279753810</v>
      </c>
      <c r="H34" s="13">
        <v>1974660924</v>
      </c>
      <c r="I34" s="13">
        <v>181333105</v>
      </c>
      <c r="J34" s="13">
        <v>6216056</v>
      </c>
      <c r="K34" s="13">
        <v>3932</v>
      </c>
      <c r="L34" s="81">
        <v>309</v>
      </c>
    </row>
    <row r="35" spans="1:12" ht="15" customHeight="1" x14ac:dyDescent="0.2">
      <c r="A35" s="27" t="s">
        <v>3707</v>
      </c>
      <c r="B35" s="15" t="s">
        <v>3598</v>
      </c>
      <c r="C35" s="15" t="s">
        <v>3711</v>
      </c>
      <c r="D35" s="28">
        <v>0.12620000000000001</v>
      </c>
      <c r="E35" s="28">
        <v>0.14430000000000001</v>
      </c>
      <c r="F35" s="28">
        <v>0.1615</v>
      </c>
      <c r="G35" s="28">
        <v>0.13059999999999999</v>
      </c>
      <c r="H35" s="28">
        <v>0.1396</v>
      </c>
      <c r="I35" s="28">
        <v>8.8900000000000007E-2</v>
      </c>
      <c r="J35" s="28">
        <v>4.0500000000000001E-2</v>
      </c>
      <c r="K35" s="28">
        <v>0.26350000000000001</v>
      </c>
      <c r="L35" s="82">
        <v>1.7100000000000001E-2</v>
      </c>
    </row>
    <row r="36" spans="1:12" ht="15" customHeight="1" x14ac:dyDescent="0.2">
      <c r="A36" s="26" t="s">
        <v>3714</v>
      </c>
      <c r="B36" s="12" t="s">
        <v>3599</v>
      </c>
      <c r="C36" s="12" t="s">
        <v>3710</v>
      </c>
      <c r="D36" s="13">
        <v>135301188</v>
      </c>
      <c r="E36" s="13">
        <v>77746731</v>
      </c>
      <c r="F36" s="13">
        <v>34673576</v>
      </c>
      <c r="G36" s="13">
        <v>121581570</v>
      </c>
      <c r="H36" s="13">
        <v>58147454</v>
      </c>
      <c r="I36" s="13">
        <v>13719618</v>
      </c>
      <c r="J36" s="13">
        <v>734878</v>
      </c>
      <c r="K36" s="13">
        <v>158</v>
      </c>
      <c r="L36" s="81">
        <v>1535</v>
      </c>
    </row>
    <row r="37" spans="1:12" ht="15" customHeight="1" x14ac:dyDescent="0.2">
      <c r="A37" s="27" t="s">
        <v>3714</v>
      </c>
      <c r="B37" s="15" t="s">
        <v>3599</v>
      </c>
      <c r="C37" s="15" t="s">
        <v>3711</v>
      </c>
      <c r="D37" s="28">
        <v>6.8999999999999999E-3</v>
      </c>
      <c r="E37" s="28">
        <v>1.0500000000000001E-2</v>
      </c>
      <c r="F37" s="28">
        <v>7.7999999999999996E-3</v>
      </c>
      <c r="G37" s="28">
        <v>7.0000000000000001E-3</v>
      </c>
      <c r="H37" s="28">
        <v>4.1000000000000003E-3</v>
      </c>
      <c r="I37" s="28">
        <v>6.7000000000000002E-3</v>
      </c>
      <c r="J37" s="28">
        <v>4.7999999999999996E-3</v>
      </c>
      <c r="K37" s="28">
        <v>1.06E-2</v>
      </c>
      <c r="L37" s="82">
        <v>8.5199999999999998E-2</v>
      </c>
    </row>
    <row r="38" spans="1:12" ht="15" customHeight="1" x14ac:dyDescent="0.2">
      <c r="A38" s="26" t="s">
        <v>3715</v>
      </c>
      <c r="B38" s="12" t="s">
        <v>3600</v>
      </c>
      <c r="C38" s="12" t="s">
        <v>3710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81">
        <v>0</v>
      </c>
    </row>
    <row r="39" spans="1:12" ht="15" customHeight="1" x14ac:dyDescent="0.2">
      <c r="A39" s="27" t="s">
        <v>3715</v>
      </c>
      <c r="B39" s="15" t="s">
        <v>3600</v>
      </c>
      <c r="C39" s="15" t="s">
        <v>3711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82">
        <v>0</v>
      </c>
    </row>
    <row r="40" spans="1:12" ht="15" customHeight="1" x14ac:dyDescent="0.2">
      <c r="A40" s="26" t="s">
        <v>3717</v>
      </c>
      <c r="B40" s="12" t="s">
        <v>3601</v>
      </c>
      <c r="C40" s="12" t="s">
        <v>3710</v>
      </c>
      <c r="D40" s="13">
        <v>1073403746</v>
      </c>
      <c r="E40" s="13">
        <v>375703869</v>
      </c>
      <c r="F40" s="13">
        <v>209161034</v>
      </c>
      <c r="G40" s="13">
        <v>892700475</v>
      </c>
      <c r="H40" s="13">
        <v>661452493</v>
      </c>
      <c r="I40" s="13">
        <v>180703272</v>
      </c>
      <c r="J40" s="13">
        <v>11153448</v>
      </c>
      <c r="K40" s="13">
        <v>5</v>
      </c>
      <c r="L40" s="81">
        <v>0</v>
      </c>
    </row>
    <row r="41" spans="1:12" ht="15" customHeight="1" x14ac:dyDescent="0.2">
      <c r="A41" s="27" t="s">
        <v>3717</v>
      </c>
      <c r="B41" s="15" t="s">
        <v>3601</v>
      </c>
      <c r="C41" s="15" t="s">
        <v>3711</v>
      </c>
      <c r="D41" s="28">
        <v>5.5100000000000003E-2</v>
      </c>
      <c r="E41" s="28">
        <v>5.0900000000000001E-2</v>
      </c>
      <c r="F41" s="28">
        <v>4.7300000000000002E-2</v>
      </c>
      <c r="G41" s="28">
        <v>5.11E-2</v>
      </c>
      <c r="H41" s="28">
        <v>4.6800000000000001E-2</v>
      </c>
      <c r="I41" s="28">
        <v>8.8599999999999998E-2</v>
      </c>
      <c r="J41" s="28">
        <v>7.2700000000000001E-2</v>
      </c>
      <c r="K41" s="28">
        <v>2.9999999999999997E-4</v>
      </c>
      <c r="L41" s="82">
        <v>0</v>
      </c>
    </row>
    <row r="42" spans="1:12" ht="15" customHeight="1" x14ac:dyDescent="0.2">
      <c r="A42" s="26" t="s">
        <v>3718</v>
      </c>
      <c r="B42" s="12" t="s">
        <v>3589</v>
      </c>
      <c r="C42" s="12" t="s">
        <v>3710</v>
      </c>
      <c r="D42" s="13">
        <v>48576638</v>
      </c>
      <c r="E42" s="13">
        <v>34582523</v>
      </c>
      <c r="F42" s="13">
        <v>10513503</v>
      </c>
      <c r="G42" s="13">
        <v>39707932</v>
      </c>
      <c r="H42" s="13">
        <v>36165882</v>
      </c>
      <c r="I42" s="13">
        <v>8868706</v>
      </c>
      <c r="J42" s="13">
        <v>395757</v>
      </c>
      <c r="K42" s="13">
        <v>8</v>
      </c>
      <c r="L42" s="81">
        <v>0</v>
      </c>
    </row>
    <row r="43" spans="1:12" ht="15" customHeight="1" x14ac:dyDescent="0.2">
      <c r="A43" s="27" t="s">
        <v>3718</v>
      </c>
      <c r="B43" s="15" t="s">
        <v>3589</v>
      </c>
      <c r="C43" s="15" t="s">
        <v>3711</v>
      </c>
      <c r="D43" s="28">
        <v>2.5000000000000001E-3</v>
      </c>
      <c r="E43" s="28">
        <v>4.7000000000000002E-3</v>
      </c>
      <c r="F43" s="28">
        <v>2.3999999999999998E-3</v>
      </c>
      <c r="G43" s="28">
        <v>2.3E-3</v>
      </c>
      <c r="H43" s="28">
        <v>2.5999999999999999E-3</v>
      </c>
      <c r="I43" s="28">
        <v>4.3E-3</v>
      </c>
      <c r="J43" s="28">
        <v>2.5999999999999999E-3</v>
      </c>
      <c r="K43" s="28">
        <v>5.0000000000000001E-4</v>
      </c>
      <c r="L43" s="82">
        <v>0</v>
      </c>
    </row>
    <row r="44" spans="1:12" ht="15" customHeight="1" x14ac:dyDescent="0.2">
      <c r="A44" s="26" t="s">
        <v>3719</v>
      </c>
      <c r="B44" s="12" t="s">
        <v>3602</v>
      </c>
      <c r="C44" s="12" t="s">
        <v>3710</v>
      </c>
      <c r="D44" s="13">
        <v>2368147225</v>
      </c>
      <c r="E44" s="13">
        <v>1362330927</v>
      </c>
      <c r="F44" s="13">
        <v>452416774</v>
      </c>
      <c r="G44" s="13">
        <v>2249779433</v>
      </c>
      <c r="H44" s="13">
        <v>2063880327</v>
      </c>
      <c r="I44" s="13">
        <v>118367792</v>
      </c>
      <c r="J44" s="13">
        <v>6585794</v>
      </c>
      <c r="K44" s="13">
        <v>3000</v>
      </c>
      <c r="L44" s="81">
        <v>868</v>
      </c>
    </row>
    <row r="45" spans="1:12" ht="15" customHeight="1" x14ac:dyDescent="0.2">
      <c r="A45" s="27" t="s">
        <v>3719</v>
      </c>
      <c r="B45" s="15" t="s">
        <v>3602</v>
      </c>
      <c r="C45" s="15" t="s">
        <v>3711</v>
      </c>
      <c r="D45" s="28">
        <v>0.1215</v>
      </c>
      <c r="E45" s="28">
        <v>0.18440000000000001</v>
      </c>
      <c r="F45" s="28">
        <v>0.1022</v>
      </c>
      <c r="G45" s="28">
        <v>0.12889999999999999</v>
      </c>
      <c r="H45" s="28">
        <v>0.14599999999999999</v>
      </c>
      <c r="I45" s="28">
        <v>5.8000000000000003E-2</v>
      </c>
      <c r="J45" s="28">
        <v>4.2900000000000001E-2</v>
      </c>
      <c r="K45" s="28">
        <v>0.20100000000000001</v>
      </c>
      <c r="L45" s="82">
        <v>4.82E-2</v>
      </c>
    </row>
    <row r="46" spans="1:12" ht="15" customHeight="1" x14ac:dyDescent="0.2">
      <c r="A46" s="26" t="s">
        <v>3720</v>
      </c>
      <c r="B46" s="12" t="s">
        <v>3603</v>
      </c>
      <c r="C46" s="12" t="s">
        <v>3710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81">
        <v>0</v>
      </c>
    </row>
    <row r="47" spans="1:12" ht="15" customHeight="1" x14ac:dyDescent="0.2">
      <c r="A47" s="27" t="s">
        <v>3720</v>
      </c>
      <c r="B47" s="15" t="s">
        <v>3603</v>
      </c>
      <c r="C47" s="15" t="s">
        <v>3711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82">
        <v>0</v>
      </c>
    </row>
    <row r="48" spans="1:12" ht="15" customHeight="1" x14ac:dyDescent="0.2">
      <c r="A48" s="26" t="s">
        <v>3721</v>
      </c>
      <c r="B48" s="12" t="s">
        <v>3604</v>
      </c>
      <c r="C48" s="12" t="s">
        <v>3710</v>
      </c>
      <c r="D48" s="13">
        <v>9715530679</v>
      </c>
      <c r="E48" s="13">
        <v>3335116953</v>
      </c>
      <c r="F48" s="13">
        <v>2273885199</v>
      </c>
      <c r="G48" s="13">
        <v>8647668106</v>
      </c>
      <c r="H48" s="13">
        <v>7338817227</v>
      </c>
      <c r="I48" s="13">
        <v>1067862573</v>
      </c>
      <c r="J48" s="13">
        <v>93564571</v>
      </c>
      <c r="K48" s="13">
        <v>6344</v>
      </c>
      <c r="L48" s="81">
        <v>5362</v>
      </c>
    </row>
    <row r="49" spans="1:12" ht="15" customHeight="1" x14ac:dyDescent="0.2">
      <c r="A49" s="27" t="s">
        <v>3721</v>
      </c>
      <c r="B49" s="15" t="s">
        <v>3604</v>
      </c>
      <c r="C49" s="15" t="s">
        <v>3711</v>
      </c>
      <c r="D49" s="28">
        <v>0.49830000000000002</v>
      </c>
      <c r="E49" s="28">
        <v>0.45150000000000001</v>
      </c>
      <c r="F49" s="28">
        <v>0.51380000000000003</v>
      </c>
      <c r="G49" s="28">
        <v>0.49540000000000001</v>
      </c>
      <c r="H49" s="28">
        <v>0.51900000000000002</v>
      </c>
      <c r="I49" s="28">
        <v>0.52329999999999999</v>
      </c>
      <c r="J49" s="28">
        <v>0.60970000000000002</v>
      </c>
      <c r="K49" s="28">
        <v>0.42509999999999998</v>
      </c>
      <c r="L49" s="82">
        <v>0.29749999999999999</v>
      </c>
    </row>
    <row r="50" spans="1:12" ht="15" customHeight="1" x14ac:dyDescent="0.2">
      <c r="A50" s="26" t="s">
        <v>3722</v>
      </c>
      <c r="B50" s="12" t="s">
        <v>3605</v>
      </c>
      <c r="C50" s="12" t="s">
        <v>3710</v>
      </c>
      <c r="D50" s="13">
        <v>1246899112</v>
      </c>
      <c r="E50" s="13">
        <v>537096002</v>
      </c>
      <c r="F50" s="13">
        <v>283891742</v>
      </c>
      <c r="G50" s="13">
        <v>1087345149</v>
      </c>
      <c r="H50" s="13">
        <v>702819461</v>
      </c>
      <c r="I50" s="13">
        <v>159553963</v>
      </c>
      <c r="J50" s="13">
        <v>9262230</v>
      </c>
      <c r="K50" s="13">
        <v>0</v>
      </c>
      <c r="L50" s="81">
        <v>9939</v>
      </c>
    </row>
    <row r="51" spans="1:12" ht="15" customHeight="1" x14ac:dyDescent="0.2">
      <c r="A51" s="27" t="s">
        <v>3722</v>
      </c>
      <c r="B51" s="15" t="s">
        <v>3605</v>
      </c>
      <c r="C51" s="15" t="s">
        <v>3711</v>
      </c>
      <c r="D51" s="28">
        <v>6.4000000000000001E-2</v>
      </c>
      <c r="E51" s="28">
        <v>7.2700000000000001E-2</v>
      </c>
      <c r="F51" s="28">
        <v>6.4199999999999993E-2</v>
      </c>
      <c r="G51" s="28">
        <v>6.2300000000000001E-2</v>
      </c>
      <c r="H51" s="28">
        <v>4.9700000000000001E-2</v>
      </c>
      <c r="I51" s="28">
        <v>7.8200000000000006E-2</v>
      </c>
      <c r="J51" s="28">
        <v>6.0400000000000002E-2</v>
      </c>
      <c r="K51" s="28">
        <v>0</v>
      </c>
      <c r="L51" s="82">
        <v>0.55149999999999999</v>
      </c>
    </row>
    <row r="52" spans="1:12" ht="15" customHeight="1" x14ac:dyDescent="0.2">
      <c r="A52" s="26" t="s">
        <v>3723</v>
      </c>
      <c r="B52" s="12" t="s">
        <v>3606</v>
      </c>
      <c r="C52" s="12" t="s">
        <v>3710</v>
      </c>
      <c r="D52" s="13">
        <v>2515061</v>
      </c>
      <c r="E52" s="13">
        <v>229598</v>
      </c>
      <c r="F52" s="13">
        <v>76632</v>
      </c>
      <c r="G52" s="13">
        <v>2130699</v>
      </c>
      <c r="H52" s="13">
        <v>1730745</v>
      </c>
      <c r="I52" s="13">
        <v>384362</v>
      </c>
      <c r="J52" s="13">
        <v>19428</v>
      </c>
      <c r="K52" s="13">
        <v>43</v>
      </c>
      <c r="L52" s="81">
        <v>0</v>
      </c>
    </row>
    <row r="53" spans="1:12" ht="15" customHeight="1" x14ac:dyDescent="0.2">
      <c r="A53" s="27" t="s">
        <v>3723</v>
      </c>
      <c r="B53" s="15" t="s">
        <v>3606</v>
      </c>
      <c r="C53" s="15" t="s">
        <v>3711</v>
      </c>
      <c r="D53" s="28">
        <v>1E-4</v>
      </c>
      <c r="E53" s="28">
        <v>0</v>
      </c>
      <c r="F53" s="28">
        <v>0</v>
      </c>
      <c r="G53" s="28">
        <v>1E-4</v>
      </c>
      <c r="H53" s="28">
        <v>1E-4</v>
      </c>
      <c r="I53" s="28">
        <v>2.0000000000000001E-4</v>
      </c>
      <c r="J53" s="28">
        <v>1E-4</v>
      </c>
      <c r="K53" s="28">
        <v>2.8999999999999998E-3</v>
      </c>
      <c r="L53" s="82">
        <v>0</v>
      </c>
    </row>
    <row r="54" spans="1:12" ht="15" customHeight="1" x14ac:dyDescent="0.2">
      <c r="A54" s="26" t="s">
        <v>3724</v>
      </c>
      <c r="B54" s="12" t="s">
        <v>3607</v>
      </c>
      <c r="C54" s="12" t="s">
        <v>3710</v>
      </c>
      <c r="D54" s="13">
        <v>457565486</v>
      </c>
      <c r="E54" s="13">
        <v>95176273</v>
      </c>
      <c r="F54" s="13">
        <v>117691243</v>
      </c>
      <c r="G54" s="13">
        <v>445100813</v>
      </c>
      <c r="H54" s="13">
        <v>390292786</v>
      </c>
      <c r="I54" s="13">
        <v>12464672</v>
      </c>
      <c r="J54" s="13">
        <v>621560</v>
      </c>
      <c r="K54" s="13">
        <v>11</v>
      </c>
      <c r="L54" s="81">
        <v>0</v>
      </c>
    </row>
    <row r="55" spans="1:12" ht="15" customHeight="1" x14ac:dyDescent="0.2">
      <c r="A55" s="27" t="s">
        <v>3724</v>
      </c>
      <c r="B55" s="15" t="s">
        <v>3607</v>
      </c>
      <c r="C55" s="15" t="s">
        <v>3711</v>
      </c>
      <c r="D55" s="28">
        <v>2.35E-2</v>
      </c>
      <c r="E55" s="28">
        <v>1.29E-2</v>
      </c>
      <c r="F55" s="28">
        <v>2.6599999999999999E-2</v>
      </c>
      <c r="G55" s="28">
        <v>2.5499999999999998E-2</v>
      </c>
      <c r="H55" s="28">
        <v>2.76E-2</v>
      </c>
      <c r="I55" s="28">
        <v>6.1000000000000004E-3</v>
      </c>
      <c r="J55" s="28">
        <v>4.1000000000000003E-3</v>
      </c>
      <c r="K55" s="28">
        <v>6.9999999999999999E-4</v>
      </c>
      <c r="L55" s="82">
        <v>0</v>
      </c>
    </row>
    <row r="56" spans="1:12" ht="15" customHeight="1" x14ac:dyDescent="0.2">
      <c r="A56" s="26" t="s">
        <v>3725</v>
      </c>
      <c r="B56" s="12" t="s">
        <v>3608</v>
      </c>
      <c r="C56" s="12" t="s">
        <v>3710</v>
      </c>
      <c r="D56" s="13">
        <v>51598636</v>
      </c>
      <c r="E56" s="13">
        <v>5672748</v>
      </c>
      <c r="F56" s="13">
        <v>30191518</v>
      </c>
      <c r="G56" s="13">
        <v>41568082</v>
      </c>
      <c r="H56" s="13">
        <v>36606999</v>
      </c>
      <c r="I56" s="13">
        <v>10030554</v>
      </c>
      <c r="J56" s="13">
        <v>-54904</v>
      </c>
      <c r="K56" s="13">
        <v>32</v>
      </c>
      <c r="L56" s="81">
        <v>0</v>
      </c>
    </row>
    <row r="57" spans="1:12" ht="15" customHeight="1" x14ac:dyDescent="0.2">
      <c r="A57" s="27" t="s">
        <v>3725</v>
      </c>
      <c r="B57" s="15" t="s">
        <v>3608</v>
      </c>
      <c r="C57" s="15" t="s">
        <v>3711</v>
      </c>
      <c r="D57" s="28">
        <v>2.5999999999999999E-3</v>
      </c>
      <c r="E57" s="28">
        <v>8.0000000000000004E-4</v>
      </c>
      <c r="F57" s="28">
        <v>6.7999999999999996E-3</v>
      </c>
      <c r="G57" s="28">
        <v>2.3999999999999998E-3</v>
      </c>
      <c r="H57" s="28">
        <v>2.5999999999999999E-3</v>
      </c>
      <c r="I57" s="28">
        <v>4.8999999999999998E-3</v>
      </c>
      <c r="J57" s="28">
        <v>-4.0000000000000002E-4</v>
      </c>
      <c r="K57" s="28">
        <v>2.0999999999999999E-3</v>
      </c>
      <c r="L57" s="82">
        <v>0</v>
      </c>
    </row>
    <row r="58" spans="1:12" ht="15" customHeight="1" x14ac:dyDescent="0.2">
      <c r="A58" s="26" t="s">
        <v>3726</v>
      </c>
      <c r="B58" s="12" t="s">
        <v>3609</v>
      </c>
      <c r="C58" s="12" t="s">
        <v>3710</v>
      </c>
      <c r="D58" s="13">
        <v>627964116</v>
      </c>
      <c r="E58" s="13">
        <v>343474987</v>
      </c>
      <c r="F58" s="13">
        <v>115157585</v>
      </c>
      <c r="G58" s="13">
        <v>572288417</v>
      </c>
      <c r="H58" s="13">
        <v>480389385</v>
      </c>
      <c r="I58" s="13">
        <v>55675698</v>
      </c>
      <c r="J58" s="13">
        <v>6869603</v>
      </c>
      <c r="K58" s="13">
        <v>183</v>
      </c>
      <c r="L58" s="81">
        <v>0</v>
      </c>
    </row>
    <row r="59" spans="1:12" ht="15" customHeight="1" x14ac:dyDescent="0.2">
      <c r="A59" s="27" t="s">
        <v>3726</v>
      </c>
      <c r="B59" s="15" t="s">
        <v>3609</v>
      </c>
      <c r="C59" s="15" t="s">
        <v>3711</v>
      </c>
      <c r="D59" s="28">
        <v>3.2199999999999999E-2</v>
      </c>
      <c r="E59" s="28">
        <v>4.65E-2</v>
      </c>
      <c r="F59" s="28">
        <v>2.5999999999999999E-2</v>
      </c>
      <c r="G59" s="28">
        <v>3.2800000000000003E-2</v>
      </c>
      <c r="H59" s="28">
        <v>3.4000000000000002E-2</v>
      </c>
      <c r="I59" s="28">
        <v>2.7300000000000001E-2</v>
      </c>
      <c r="J59" s="28">
        <v>4.48E-2</v>
      </c>
      <c r="K59" s="28">
        <v>1.23E-2</v>
      </c>
      <c r="L59" s="82">
        <v>0</v>
      </c>
    </row>
    <row r="60" spans="1:12" ht="15" customHeight="1" x14ac:dyDescent="0.2">
      <c r="A60" s="26" t="s">
        <v>3727</v>
      </c>
      <c r="B60" s="12" t="s">
        <v>3610</v>
      </c>
      <c r="C60" s="12" t="s">
        <v>3710</v>
      </c>
      <c r="D60" s="13">
        <v>216338265</v>
      </c>
      <c r="E60" s="13">
        <v>176917</v>
      </c>
      <c r="F60" s="13">
        <v>54923890</v>
      </c>
      <c r="G60" s="13">
        <v>180814578</v>
      </c>
      <c r="H60" s="13">
        <v>109882529</v>
      </c>
      <c r="I60" s="13">
        <v>35523687</v>
      </c>
      <c r="J60" s="13">
        <v>1699431</v>
      </c>
      <c r="K60" s="13">
        <v>155</v>
      </c>
      <c r="L60" s="81">
        <v>10</v>
      </c>
    </row>
    <row r="61" spans="1:12" ht="15" customHeight="1" x14ac:dyDescent="0.2">
      <c r="A61" s="27" t="s">
        <v>3727</v>
      </c>
      <c r="B61" s="15" t="s">
        <v>3610</v>
      </c>
      <c r="C61" s="15" t="s">
        <v>3711</v>
      </c>
      <c r="D61" s="28">
        <v>1.11E-2</v>
      </c>
      <c r="E61" s="28">
        <v>0</v>
      </c>
      <c r="F61" s="28">
        <v>1.24E-2</v>
      </c>
      <c r="G61" s="28">
        <v>1.04E-2</v>
      </c>
      <c r="H61" s="28">
        <v>7.7999999999999996E-3</v>
      </c>
      <c r="I61" s="28">
        <v>1.7399999999999999E-2</v>
      </c>
      <c r="J61" s="28">
        <v>1.11E-2</v>
      </c>
      <c r="K61" s="28">
        <v>1.04E-2</v>
      </c>
      <c r="L61" s="82">
        <v>5.9999999999999995E-4</v>
      </c>
    </row>
    <row r="62" spans="1:12" ht="15" customHeight="1" x14ac:dyDescent="0.2">
      <c r="A62" s="26" t="s">
        <v>3728</v>
      </c>
      <c r="B62" s="12" t="s">
        <v>3611</v>
      </c>
      <c r="C62" s="12" t="s">
        <v>3710</v>
      </c>
      <c r="D62" s="13">
        <v>42972982</v>
      </c>
      <c r="E62" s="13">
        <v>0</v>
      </c>
      <c r="F62" s="13">
        <v>5807137</v>
      </c>
      <c r="G62" s="13">
        <v>30977859</v>
      </c>
      <c r="H62" s="13">
        <v>19586174</v>
      </c>
      <c r="I62" s="13">
        <v>11995123</v>
      </c>
      <c r="J62" s="13">
        <v>3044702</v>
      </c>
      <c r="K62" s="13">
        <v>235</v>
      </c>
      <c r="L62" s="81">
        <v>0</v>
      </c>
    </row>
    <row r="63" spans="1:12" ht="15" customHeight="1" x14ac:dyDescent="0.2">
      <c r="A63" s="27" t="s">
        <v>3728</v>
      </c>
      <c r="B63" s="15" t="s">
        <v>3611</v>
      </c>
      <c r="C63" s="15" t="s">
        <v>3711</v>
      </c>
      <c r="D63" s="28">
        <v>2.2000000000000001E-3</v>
      </c>
      <c r="E63" s="28">
        <v>0</v>
      </c>
      <c r="F63" s="28">
        <v>1.2999999999999999E-3</v>
      </c>
      <c r="G63" s="28">
        <v>1.8E-3</v>
      </c>
      <c r="H63" s="28">
        <v>1.4E-3</v>
      </c>
      <c r="I63" s="28">
        <v>5.8999999999999999E-3</v>
      </c>
      <c r="J63" s="28">
        <v>1.9800000000000002E-2</v>
      </c>
      <c r="K63" s="28">
        <v>1.5699999999999999E-2</v>
      </c>
      <c r="L63" s="82">
        <v>0</v>
      </c>
    </row>
    <row r="64" spans="1:12" ht="15" customHeight="1" x14ac:dyDescent="0.2">
      <c r="A64" s="26" t="s">
        <v>3729</v>
      </c>
      <c r="B64" s="12" t="s">
        <v>3612</v>
      </c>
      <c r="C64" s="12" t="s">
        <v>3710</v>
      </c>
      <c r="D64" s="13">
        <v>58195558</v>
      </c>
      <c r="E64" s="13">
        <v>22268845</v>
      </c>
      <c r="F64" s="13">
        <v>15041528</v>
      </c>
      <c r="G64" s="13">
        <v>32170313</v>
      </c>
      <c r="H64" s="13">
        <v>25918267</v>
      </c>
      <c r="I64" s="13">
        <v>26025245</v>
      </c>
      <c r="J64" s="13">
        <v>1352312</v>
      </c>
      <c r="K64" s="13">
        <v>38</v>
      </c>
      <c r="L64" s="81">
        <v>0</v>
      </c>
    </row>
    <row r="65" spans="1:12" ht="15" customHeight="1" x14ac:dyDescent="0.2">
      <c r="A65" s="27" t="s">
        <v>3729</v>
      </c>
      <c r="B65" s="15" t="s">
        <v>3612</v>
      </c>
      <c r="C65" s="15" t="s">
        <v>3711</v>
      </c>
      <c r="D65" s="28">
        <v>3.0000000000000001E-3</v>
      </c>
      <c r="E65" s="28">
        <v>3.0000000000000001E-3</v>
      </c>
      <c r="F65" s="28">
        <v>3.3999999999999998E-3</v>
      </c>
      <c r="G65" s="28">
        <v>1.8E-3</v>
      </c>
      <c r="H65" s="28">
        <v>1.8E-3</v>
      </c>
      <c r="I65" s="28">
        <v>1.2800000000000001E-2</v>
      </c>
      <c r="J65" s="28">
        <v>8.8000000000000005E-3</v>
      </c>
      <c r="K65" s="28">
        <v>2.5000000000000001E-3</v>
      </c>
      <c r="L65" s="82">
        <v>0</v>
      </c>
    </row>
    <row r="66" spans="1:12" ht="15" customHeight="1" x14ac:dyDescent="0.2">
      <c r="A66" s="26" t="s">
        <v>3730</v>
      </c>
      <c r="B66" s="12" t="s">
        <v>3613</v>
      </c>
      <c r="C66" s="12" t="s">
        <v>3710</v>
      </c>
      <c r="D66" s="13">
        <v>2083420</v>
      </c>
      <c r="E66" s="13">
        <v>0</v>
      </c>
      <c r="F66" s="13">
        <v>751602</v>
      </c>
      <c r="G66" s="13">
        <v>790821</v>
      </c>
      <c r="H66" s="13">
        <v>142503</v>
      </c>
      <c r="I66" s="13">
        <v>1292598</v>
      </c>
      <c r="J66" s="13">
        <v>61336</v>
      </c>
      <c r="K66" s="13">
        <v>173</v>
      </c>
      <c r="L66" s="81">
        <v>0</v>
      </c>
    </row>
    <row r="67" spans="1:12" ht="15" customHeight="1" x14ac:dyDescent="0.2">
      <c r="A67" s="27" t="s">
        <v>3730</v>
      </c>
      <c r="B67" s="15" t="s">
        <v>3613</v>
      </c>
      <c r="C67" s="15" t="s">
        <v>3711</v>
      </c>
      <c r="D67" s="28">
        <v>1E-4</v>
      </c>
      <c r="E67" s="28">
        <v>0</v>
      </c>
      <c r="F67" s="28">
        <v>2.0000000000000001E-4</v>
      </c>
      <c r="G67" s="28">
        <v>0</v>
      </c>
      <c r="H67" s="28">
        <v>0</v>
      </c>
      <c r="I67" s="28">
        <v>5.9999999999999995E-4</v>
      </c>
      <c r="J67" s="28">
        <v>4.0000000000000002E-4</v>
      </c>
      <c r="K67" s="28">
        <v>1.1599999999999999E-2</v>
      </c>
      <c r="L67" s="82">
        <v>0</v>
      </c>
    </row>
    <row r="68" spans="1:12" ht="15" customHeight="1" x14ac:dyDescent="0.2">
      <c r="A68" s="26" t="s">
        <v>3731</v>
      </c>
      <c r="B68" s="12" t="s">
        <v>3614</v>
      </c>
      <c r="C68" s="12" t="s">
        <v>3710</v>
      </c>
      <c r="D68" s="13">
        <v>11286494</v>
      </c>
      <c r="E68" s="13">
        <v>5130634</v>
      </c>
      <c r="F68" s="13">
        <v>1238420</v>
      </c>
      <c r="G68" s="13">
        <v>3354854</v>
      </c>
      <c r="H68" s="13">
        <v>3229622</v>
      </c>
      <c r="I68" s="13">
        <v>7931640</v>
      </c>
      <c r="J68" s="13">
        <v>123226</v>
      </c>
      <c r="K68" s="13">
        <v>61</v>
      </c>
      <c r="L68" s="81">
        <v>0</v>
      </c>
    </row>
    <row r="69" spans="1:12" ht="15" customHeight="1" x14ac:dyDescent="0.2">
      <c r="A69" s="27" t="s">
        <v>3731</v>
      </c>
      <c r="B69" s="15" t="s">
        <v>3614</v>
      </c>
      <c r="C69" s="15" t="s">
        <v>3711</v>
      </c>
      <c r="D69" s="28">
        <v>5.9999999999999995E-4</v>
      </c>
      <c r="E69" s="28">
        <v>6.9999999999999999E-4</v>
      </c>
      <c r="F69" s="28">
        <v>2.9999999999999997E-4</v>
      </c>
      <c r="G69" s="28">
        <v>2.0000000000000001E-4</v>
      </c>
      <c r="H69" s="28">
        <v>2.0000000000000001E-4</v>
      </c>
      <c r="I69" s="28">
        <v>3.8999999999999998E-3</v>
      </c>
      <c r="J69" s="28">
        <v>8.0000000000000004E-4</v>
      </c>
      <c r="K69" s="28">
        <v>4.1000000000000003E-3</v>
      </c>
      <c r="L69" s="82">
        <v>0</v>
      </c>
    </row>
    <row r="70" spans="1:12" ht="15" customHeight="1" x14ac:dyDescent="0.2">
      <c r="A70" s="26" t="s">
        <v>3732</v>
      </c>
      <c r="B70" s="12" t="s">
        <v>3615</v>
      </c>
      <c r="C70" s="12" t="s">
        <v>3710</v>
      </c>
      <c r="D70" s="13">
        <v>27526560</v>
      </c>
      <c r="E70" s="13">
        <v>91737</v>
      </c>
      <c r="F70" s="13">
        <v>2370191</v>
      </c>
      <c r="G70" s="13">
        <v>21551649</v>
      </c>
      <c r="H70" s="13">
        <v>15634138</v>
      </c>
      <c r="I70" s="13">
        <v>5974912</v>
      </c>
      <c r="J70" s="13">
        <v>362691</v>
      </c>
      <c r="K70" s="13">
        <v>8</v>
      </c>
      <c r="L70" s="81">
        <v>0</v>
      </c>
    </row>
    <row r="71" spans="1:12" ht="15" customHeight="1" x14ac:dyDescent="0.2">
      <c r="A71" s="27" t="s">
        <v>3732</v>
      </c>
      <c r="B71" s="15" t="s">
        <v>3615</v>
      </c>
      <c r="C71" s="15" t="s">
        <v>3711</v>
      </c>
      <c r="D71" s="28">
        <v>1.4E-3</v>
      </c>
      <c r="E71" s="28">
        <v>0</v>
      </c>
      <c r="F71" s="28">
        <v>5.0000000000000001E-4</v>
      </c>
      <c r="G71" s="28">
        <v>1.1999999999999999E-3</v>
      </c>
      <c r="H71" s="28">
        <v>1.1000000000000001E-3</v>
      </c>
      <c r="I71" s="28">
        <v>2.8999999999999998E-3</v>
      </c>
      <c r="J71" s="28">
        <v>2.3999999999999998E-3</v>
      </c>
      <c r="K71" s="28">
        <v>5.0000000000000001E-4</v>
      </c>
      <c r="L71" s="82">
        <v>0</v>
      </c>
    </row>
    <row r="72" spans="1:12" ht="15" customHeight="1" x14ac:dyDescent="0.2">
      <c r="A72" s="26" t="s">
        <v>3733</v>
      </c>
      <c r="B72" s="12" t="s">
        <v>3616</v>
      </c>
      <c r="C72" s="12" t="s">
        <v>3710</v>
      </c>
      <c r="D72" s="13">
        <v>1249937</v>
      </c>
      <c r="E72" s="13">
        <v>940651</v>
      </c>
      <c r="F72" s="13">
        <v>83656</v>
      </c>
      <c r="G72" s="13">
        <v>1064497</v>
      </c>
      <c r="H72" s="13">
        <v>854485</v>
      </c>
      <c r="I72" s="13">
        <v>185440</v>
      </c>
      <c r="J72" s="13">
        <v>15387</v>
      </c>
      <c r="K72" s="13">
        <v>11</v>
      </c>
      <c r="L72" s="81">
        <v>0</v>
      </c>
    </row>
    <row r="73" spans="1:12" ht="15" customHeight="1" x14ac:dyDescent="0.2">
      <c r="A73" s="27" t="s">
        <v>3733</v>
      </c>
      <c r="B73" s="15" t="s">
        <v>3616</v>
      </c>
      <c r="C73" s="15" t="s">
        <v>3711</v>
      </c>
      <c r="D73" s="28">
        <v>1E-4</v>
      </c>
      <c r="E73" s="28">
        <v>1E-4</v>
      </c>
      <c r="F73" s="28">
        <v>0</v>
      </c>
      <c r="G73" s="28">
        <v>1E-4</v>
      </c>
      <c r="H73" s="28">
        <v>1E-4</v>
      </c>
      <c r="I73" s="28">
        <v>1E-4</v>
      </c>
      <c r="J73" s="28">
        <v>1E-4</v>
      </c>
      <c r="K73" s="28">
        <v>6.9999999999999999E-4</v>
      </c>
      <c r="L73" s="82">
        <v>0</v>
      </c>
    </row>
    <row r="74" spans="1:12" ht="15" customHeight="1" x14ac:dyDescent="0.2">
      <c r="A74" s="26" t="s">
        <v>3734</v>
      </c>
      <c r="B74" s="12" t="s">
        <v>3617</v>
      </c>
      <c r="C74" s="12" t="s">
        <v>3710</v>
      </c>
      <c r="D74" s="13">
        <v>18404990</v>
      </c>
      <c r="E74" s="13">
        <v>10025012</v>
      </c>
      <c r="F74" s="13">
        <v>7364488</v>
      </c>
      <c r="G74" s="13">
        <v>6213037</v>
      </c>
      <c r="H74" s="13">
        <v>5100023</v>
      </c>
      <c r="I74" s="13">
        <v>12191953</v>
      </c>
      <c r="J74" s="13">
        <v>423778</v>
      </c>
      <c r="K74" s="13">
        <v>25</v>
      </c>
      <c r="L74" s="81">
        <v>0</v>
      </c>
    </row>
    <row r="75" spans="1:12" ht="15" customHeight="1" x14ac:dyDescent="0.2">
      <c r="A75" s="27" t="s">
        <v>3734</v>
      </c>
      <c r="B75" s="15" t="s">
        <v>3617</v>
      </c>
      <c r="C75" s="15" t="s">
        <v>3711</v>
      </c>
      <c r="D75" s="28">
        <v>8.9999999999999998E-4</v>
      </c>
      <c r="E75" s="28">
        <v>1.4E-3</v>
      </c>
      <c r="F75" s="28">
        <v>1.6999999999999999E-3</v>
      </c>
      <c r="G75" s="28">
        <v>4.0000000000000002E-4</v>
      </c>
      <c r="H75" s="28">
        <v>4.0000000000000002E-4</v>
      </c>
      <c r="I75" s="28">
        <v>6.0000000000000001E-3</v>
      </c>
      <c r="J75" s="28">
        <v>2.8E-3</v>
      </c>
      <c r="K75" s="28">
        <v>1.6999999999999999E-3</v>
      </c>
      <c r="L75" s="82">
        <v>0</v>
      </c>
    </row>
    <row r="76" spans="1:12" ht="15" customHeight="1" x14ac:dyDescent="0.2">
      <c r="A76" s="26" t="s">
        <v>3735</v>
      </c>
      <c r="B76" s="12" t="s">
        <v>3618</v>
      </c>
      <c r="C76" s="12" t="s">
        <v>3710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81">
        <v>0</v>
      </c>
    </row>
    <row r="77" spans="1:12" ht="15" customHeight="1" x14ac:dyDescent="0.2">
      <c r="A77" s="27" t="s">
        <v>3735</v>
      </c>
      <c r="B77" s="15" t="s">
        <v>3618</v>
      </c>
      <c r="C77" s="15" t="s">
        <v>3711</v>
      </c>
      <c r="D77" s="28">
        <v>0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82">
        <v>0</v>
      </c>
    </row>
    <row r="78" spans="1:12" ht="15" customHeight="1" x14ac:dyDescent="0.2">
      <c r="A78" s="26" t="s">
        <v>3736</v>
      </c>
      <c r="B78" s="12" t="s">
        <v>3619</v>
      </c>
      <c r="C78" s="12" t="s">
        <v>3710</v>
      </c>
      <c r="D78" s="13">
        <v>868640</v>
      </c>
      <c r="E78" s="13">
        <v>0</v>
      </c>
      <c r="F78" s="13">
        <v>257378</v>
      </c>
      <c r="G78" s="13">
        <v>506089</v>
      </c>
      <c r="H78" s="13">
        <v>183948</v>
      </c>
      <c r="I78" s="13">
        <v>362551</v>
      </c>
      <c r="J78" s="13">
        <v>19859</v>
      </c>
      <c r="K78" s="13">
        <v>9</v>
      </c>
      <c r="L78" s="81">
        <v>0</v>
      </c>
    </row>
    <row r="79" spans="1:12" ht="15" customHeight="1" x14ac:dyDescent="0.2">
      <c r="A79" s="27" t="s">
        <v>3736</v>
      </c>
      <c r="B79" s="15" t="s">
        <v>3619</v>
      </c>
      <c r="C79" s="15" t="s">
        <v>3711</v>
      </c>
      <c r="D79" s="28">
        <v>0</v>
      </c>
      <c r="E79" s="28">
        <v>0</v>
      </c>
      <c r="F79" s="28">
        <v>1E-4</v>
      </c>
      <c r="G79" s="28">
        <v>0</v>
      </c>
      <c r="H79" s="28">
        <v>0</v>
      </c>
      <c r="I79" s="28">
        <v>2.0000000000000001E-4</v>
      </c>
      <c r="J79" s="28">
        <v>1E-4</v>
      </c>
      <c r="K79" s="28">
        <v>5.9999999999999995E-4</v>
      </c>
      <c r="L79" s="82">
        <v>0</v>
      </c>
    </row>
    <row r="80" spans="1:12" ht="15" customHeight="1" x14ac:dyDescent="0.2">
      <c r="A80" s="26" t="s">
        <v>3737</v>
      </c>
      <c r="B80" s="12" t="s">
        <v>3592</v>
      </c>
      <c r="C80" s="12" t="s">
        <v>3710</v>
      </c>
      <c r="D80" s="13">
        <v>915508275</v>
      </c>
      <c r="E80" s="13">
        <v>111875192</v>
      </c>
      <c r="F80" s="13">
        <v>90763168</v>
      </c>
      <c r="G80" s="13">
        <v>792249120</v>
      </c>
      <c r="H80" s="13">
        <v>210361138</v>
      </c>
      <c r="I80" s="13">
        <v>123259155</v>
      </c>
      <c r="J80" s="13">
        <v>10394368</v>
      </c>
      <c r="K80" s="13">
        <v>196</v>
      </c>
      <c r="L80" s="81">
        <v>0</v>
      </c>
    </row>
    <row r="81" spans="1:12" ht="15" customHeight="1" x14ac:dyDescent="0.2">
      <c r="A81" s="27" t="s">
        <v>3737</v>
      </c>
      <c r="B81" s="15" t="s">
        <v>3592</v>
      </c>
      <c r="C81" s="15" t="s">
        <v>3711</v>
      </c>
      <c r="D81" s="28">
        <v>4.7E-2</v>
      </c>
      <c r="E81" s="28">
        <v>1.5100000000000001E-2</v>
      </c>
      <c r="F81" s="28">
        <v>2.0500000000000001E-2</v>
      </c>
      <c r="G81" s="28">
        <v>4.5400000000000003E-2</v>
      </c>
      <c r="H81" s="28">
        <v>1.49E-2</v>
      </c>
      <c r="I81" s="28">
        <v>6.0400000000000002E-2</v>
      </c>
      <c r="J81" s="28">
        <v>6.7699999999999996E-2</v>
      </c>
      <c r="K81" s="28">
        <v>1.3100000000000001E-2</v>
      </c>
      <c r="L81" s="82">
        <v>0</v>
      </c>
    </row>
    <row r="82" spans="1:12" ht="15" customHeight="1" x14ac:dyDescent="0.2">
      <c r="A82" s="26" t="s">
        <v>3738</v>
      </c>
      <c r="B82" s="12" t="s">
        <v>3620</v>
      </c>
      <c r="C82" s="12" t="s">
        <v>3710</v>
      </c>
      <c r="D82" s="13">
        <v>14562230</v>
      </c>
      <c r="E82" s="13">
        <v>2817983</v>
      </c>
      <c r="F82" s="13">
        <v>4349652</v>
      </c>
      <c r="G82" s="13">
        <v>7691849</v>
      </c>
      <c r="H82" s="13">
        <v>5051717</v>
      </c>
      <c r="I82" s="13">
        <v>6870381</v>
      </c>
      <c r="J82" s="13">
        <v>602069</v>
      </c>
      <c r="K82" s="13">
        <v>271</v>
      </c>
      <c r="L82" s="81">
        <v>0</v>
      </c>
    </row>
    <row r="83" spans="1:12" ht="15" customHeight="1" x14ac:dyDescent="0.2">
      <c r="A83" s="27" t="s">
        <v>3738</v>
      </c>
      <c r="B83" s="15" t="s">
        <v>3620</v>
      </c>
      <c r="C83" s="15" t="s">
        <v>3711</v>
      </c>
      <c r="D83" s="28">
        <v>6.9999999999999999E-4</v>
      </c>
      <c r="E83" s="28">
        <v>4.0000000000000002E-4</v>
      </c>
      <c r="F83" s="28">
        <v>1E-3</v>
      </c>
      <c r="G83" s="28">
        <v>4.0000000000000002E-4</v>
      </c>
      <c r="H83" s="28">
        <v>4.0000000000000002E-4</v>
      </c>
      <c r="I83" s="28">
        <v>3.3999999999999998E-3</v>
      </c>
      <c r="J83" s="28">
        <v>3.8999999999999998E-3</v>
      </c>
      <c r="K83" s="28">
        <v>1.8200000000000001E-2</v>
      </c>
      <c r="L83" s="82">
        <v>0</v>
      </c>
    </row>
    <row r="84" spans="1:12" ht="15" customHeight="1" x14ac:dyDescent="0.2">
      <c r="A84" s="26" t="s">
        <v>3739</v>
      </c>
      <c r="B84" s="12" t="s">
        <v>3621</v>
      </c>
      <c r="C84" s="12" t="s">
        <v>3710</v>
      </c>
      <c r="D84" s="13">
        <v>165999</v>
      </c>
      <c r="E84" s="13">
        <v>0</v>
      </c>
      <c r="F84" s="13">
        <v>25315</v>
      </c>
      <c r="G84" s="13">
        <v>86057</v>
      </c>
      <c r="H84" s="13">
        <v>32765</v>
      </c>
      <c r="I84" s="13">
        <v>79942</v>
      </c>
      <c r="J84" s="13">
        <v>-412</v>
      </c>
      <c r="K84" s="13">
        <v>24</v>
      </c>
      <c r="L84" s="81">
        <v>0</v>
      </c>
    </row>
    <row r="85" spans="1:12" ht="15" customHeight="1" x14ac:dyDescent="0.2">
      <c r="A85" s="27" t="s">
        <v>3739</v>
      </c>
      <c r="B85" s="15" t="s">
        <v>3621</v>
      </c>
      <c r="C85" s="15" t="s">
        <v>3711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1.6000000000000001E-3</v>
      </c>
      <c r="L85" s="82">
        <v>0</v>
      </c>
    </row>
    <row r="86" spans="1:12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 x14ac:dyDescent="0.2">
      <c r="A87" s="150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</row>
    <row r="88" spans="1:12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</sheetData>
  <mergeCells count="6">
    <mergeCell ref="A87:L87"/>
    <mergeCell ref="A1:L1"/>
    <mergeCell ref="A4:L4"/>
    <mergeCell ref="A23:L23"/>
    <mergeCell ref="A32:L32"/>
    <mergeCell ref="A2:L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7F7F"/>
    <pageSetUpPr fitToPage="1"/>
  </sheetPr>
  <dimension ref="A1:E81"/>
  <sheetViews>
    <sheetView showGridLines="0" zoomScaleNormal="100" workbookViewId="0">
      <pane ySplit="5" topLeftCell="A6" activePane="bottomLeft" state="frozen"/>
      <selection pane="bottomLeft" activeCell="B8" sqref="B8"/>
    </sheetView>
  </sheetViews>
  <sheetFormatPr baseColWidth="10" defaultColWidth="8.6640625" defaultRowHeight="15" x14ac:dyDescent="0.2"/>
  <cols>
    <col min="1" max="1" width="7" customWidth="1"/>
    <col min="2" max="2" width="34" customWidth="1"/>
    <col min="3" max="3" width="52" customWidth="1"/>
    <col min="4" max="4" width="15" customWidth="1"/>
    <col min="5" max="5" width="88" customWidth="1"/>
  </cols>
  <sheetData>
    <row r="1" spans="1:5" ht="31.5" customHeight="1" x14ac:dyDescent="0.2">
      <c r="A1" s="145" t="s">
        <v>3817</v>
      </c>
      <c r="B1" s="146"/>
      <c r="C1" s="146"/>
      <c r="D1" s="146"/>
      <c r="E1" s="146"/>
    </row>
    <row r="2" spans="1:5" ht="27.75" customHeight="1" x14ac:dyDescent="0.2">
      <c r="A2" s="148" t="s">
        <v>3818</v>
      </c>
      <c r="B2" s="148"/>
      <c r="C2" s="148"/>
      <c r="D2" s="148"/>
      <c r="E2" s="148"/>
    </row>
    <row r="3" spans="1:5" x14ac:dyDescent="0.2">
      <c r="A3" s="8"/>
      <c r="B3" s="8"/>
      <c r="C3" s="8"/>
      <c r="D3" s="8"/>
      <c r="E3" s="8"/>
    </row>
    <row r="4" spans="1:5" ht="21.75" customHeight="1" x14ac:dyDescent="0.2">
      <c r="A4" s="139" t="s">
        <v>3484</v>
      </c>
      <c r="B4" s="140"/>
      <c r="C4" s="140"/>
      <c r="D4" s="140"/>
      <c r="E4" s="158"/>
    </row>
    <row r="5" spans="1:5" ht="40" customHeight="1" x14ac:dyDescent="0.2">
      <c r="A5" s="80" t="s">
        <v>3485</v>
      </c>
      <c r="B5" s="80" t="s">
        <v>3486</v>
      </c>
      <c r="C5" s="80" t="s">
        <v>3487</v>
      </c>
      <c r="D5" s="80" t="s">
        <v>3488</v>
      </c>
      <c r="E5" s="83" t="s">
        <v>3489</v>
      </c>
    </row>
    <row r="6" spans="1:5" ht="28" x14ac:dyDescent="0.2">
      <c r="A6" s="29" t="s">
        <v>3490</v>
      </c>
      <c r="B6" s="29" t="s">
        <v>0</v>
      </c>
      <c r="C6" s="29" t="s">
        <v>3491</v>
      </c>
      <c r="D6" s="29" t="s">
        <v>3492</v>
      </c>
      <c r="E6" s="84" t="s">
        <v>3493</v>
      </c>
    </row>
    <row r="7" spans="1:5" x14ac:dyDescent="0.2">
      <c r="A7" s="30" t="s">
        <v>3494</v>
      </c>
      <c r="B7" s="30" t="s">
        <v>1</v>
      </c>
      <c r="C7" s="30" t="s">
        <v>3495</v>
      </c>
      <c r="D7" s="30" t="s">
        <v>3496</v>
      </c>
      <c r="E7" s="85" t="s">
        <v>3497</v>
      </c>
    </row>
    <row r="8" spans="1:5" ht="28" x14ac:dyDescent="0.2">
      <c r="A8" s="29" t="s">
        <v>3498</v>
      </c>
      <c r="B8" s="29" t="s">
        <v>3499</v>
      </c>
      <c r="C8" s="29" t="s">
        <v>3500</v>
      </c>
      <c r="D8" s="29" t="s">
        <v>3492</v>
      </c>
      <c r="E8" s="84" t="s">
        <v>3501</v>
      </c>
    </row>
    <row r="9" spans="1:5" ht="28" x14ac:dyDescent="0.2">
      <c r="A9" s="30" t="s">
        <v>3502</v>
      </c>
      <c r="B9" s="30" t="s">
        <v>3503</v>
      </c>
      <c r="C9" s="30" t="s">
        <v>3504</v>
      </c>
      <c r="D9" s="30" t="s">
        <v>1</v>
      </c>
      <c r="E9" s="85" t="s">
        <v>3505</v>
      </c>
    </row>
    <row r="10" spans="1:5" x14ac:dyDescent="0.2">
      <c r="A10" s="29" t="s">
        <v>3506</v>
      </c>
      <c r="B10" s="29" t="s">
        <v>3507</v>
      </c>
      <c r="C10" s="29" t="s">
        <v>3508</v>
      </c>
      <c r="D10" s="29" t="s">
        <v>1</v>
      </c>
      <c r="E10" s="84" t="s">
        <v>3509</v>
      </c>
    </row>
    <row r="11" spans="1:5" x14ac:dyDescent="0.2">
      <c r="A11" s="30" t="s">
        <v>3510</v>
      </c>
      <c r="B11" s="30" t="s">
        <v>4</v>
      </c>
      <c r="C11" s="30" t="s">
        <v>3511</v>
      </c>
      <c r="D11" s="30" t="s">
        <v>1</v>
      </c>
      <c r="E11" s="85" t="s">
        <v>3512</v>
      </c>
    </row>
    <row r="12" spans="1:5" x14ac:dyDescent="0.2">
      <c r="A12" s="29" t="s">
        <v>3513</v>
      </c>
      <c r="B12" s="29" t="s">
        <v>5</v>
      </c>
      <c r="C12" s="29" t="s">
        <v>3514</v>
      </c>
      <c r="D12" s="29" t="s">
        <v>1</v>
      </c>
      <c r="E12" s="84" t="s">
        <v>3515</v>
      </c>
    </row>
    <row r="13" spans="1:5" x14ac:dyDescent="0.2">
      <c r="A13" s="30" t="s">
        <v>3516</v>
      </c>
      <c r="B13" s="30" t="s">
        <v>6</v>
      </c>
      <c r="C13" s="30" t="s">
        <v>3517</v>
      </c>
      <c r="D13" s="30" t="s">
        <v>1</v>
      </c>
      <c r="E13" s="85" t="s">
        <v>3518</v>
      </c>
    </row>
    <row r="14" spans="1:5" x14ac:dyDescent="0.2">
      <c r="A14" s="29" t="s">
        <v>3519</v>
      </c>
      <c r="B14" s="29" t="s">
        <v>7</v>
      </c>
      <c r="C14" s="29" t="s">
        <v>3520</v>
      </c>
      <c r="D14" s="29" t="s">
        <v>3492</v>
      </c>
      <c r="E14" s="84" t="s">
        <v>3521</v>
      </c>
    </row>
    <row r="15" spans="1:5" x14ac:dyDescent="0.2">
      <c r="A15" s="30" t="s">
        <v>3522</v>
      </c>
      <c r="B15" s="30" t="s">
        <v>8</v>
      </c>
      <c r="C15" s="30" t="s">
        <v>3523</v>
      </c>
      <c r="D15" s="30" t="s">
        <v>3492</v>
      </c>
      <c r="E15" s="85" t="s">
        <v>3524</v>
      </c>
    </row>
    <row r="16" spans="1:5" x14ac:dyDescent="0.2">
      <c r="A16" s="29" t="s">
        <v>3525</v>
      </c>
      <c r="B16" s="29" t="s">
        <v>9</v>
      </c>
      <c r="C16" s="29" t="s">
        <v>3526</v>
      </c>
      <c r="D16" s="29" t="s">
        <v>3492</v>
      </c>
      <c r="E16" s="84" t="s">
        <v>3527</v>
      </c>
    </row>
    <row r="17" spans="1:5" ht="28" x14ac:dyDescent="0.2">
      <c r="A17" s="30" t="s">
        <v>3528</v>
      </c>
      <c r="B17" s="30" t="s">
        <v>3529</v>
      </c>
      <c r="C17" s="30" t="s">
        <v>3530</v>
      </c>
      <c r="D17" s="30" t="s">
        <v>3496</v>
      </c>
      <c r="E17" s="85" t="s">
        <v>3531</v>
      </c>
    </row>
    <row r="18" spans="1:5" ht="28" x14ac:dyDescent="0.2">
      <c r="A18" s="29" t="s">
        <v>3532</v>
      </c>
      <c r="B18" s="29" t="s">
        <v>3533</v>
      </c>
      <c r="C18" s="29" t="s">
        <v>3534</v>
      </c>
      <c r="D18" s="29" t="s">
        <v>3496</v>
      </c>
      <c r="E18" s="84" t="s">
        <v>3535</v>
      </c>
    </row>
    <row r="19" spans="1:5" x14ac:dyDescent="0.2">
      <c r="A19" s="30" t="s">
        <v>3536</v>
      </c>
      <c r="B19" s="30" t="s">
        <v>3537</v>
      </c>
      <c r="C19" s="30" t="s">
        <v>3538</v>
      </c>
      <c r="D19" s="30" t="s">
        <v>3496</v>
      </c>
      <c r="E19" s="85" t="s">
        <v>3539</v>
      </c>
    </row>
    <row r="20" spans="1:5" ht="28" x14ac:dyDescent="0.2">
      <c r="A20" s="29" t="s">
        <v>3540</v>
      </c>
      <c r="B20" s="29" t="s">
        <v>3541</v>
      </c>
      <c r="C20" s="29" t="s">
        <v>3542</v>
      </c>
      <c r="D20" s="29" t="s">
        <v>3496</v>
      </c>
      <c r="E20" s="84" t="s">
        <v>3543</v>
      </c>
    </row>
    <row r="21" spans="1:5" ht="28" x14ac:dyDescent="0.2">
      <c r="A21" s="30" t="s">
        <v>3544</v>
      </c>
      <c r="B21" s="30" t="s">
        <v>3545</v>
      </c>
      <c r="C21" s="30" t="s">
        <v>3546</v>
      </c>
      <c r="D21" s="30" t="s">
        <v>3496</v>
      </c>
      <c r="E21" s="85" t="s">
        <v>3547</v>
      </c>
    </row>
    <row r="22" spans="1:5" ht="28" x14ac:dyDescent="0.2">
      <c r="A22" s="29" t="s">
        <v>3548</v>
      </c>
      <c r="B22" s="29" t="s">
        <v>3549</v>
      </c>
      <c r="C22" s="29" t="s">
        <v>3550</v>
      </c>
      <c r="D22" s="29" t="s">
        <v>3496</v>
      </c>
      <c r="E22" s="84" t="s">
        <v>3551</v>
      </c>
    </row>
    <row r="23" spans="1:5" ht="28" x14ac:dyDescent="0.2">
      <c r="A23" s="30" t="s">
        <v>3552</v>
      </c>
      <c r="B23" s="30" t="s">
        <v>3553</v>
      </c>
      <c r="C23" s="30" t="s">
        <v>3554</v>
      </c>
      <c r="D23" s="30" t="s">
        <v>3496</v>
      </c>
      <c r="E23" s="85" t="s">
        <v>3555</v>
      </c>
    </row>
    <row r="24" spans="1:5" x14ac:dyDescent="0.2">
      <c r="A24" s="29" t="s">
        <v>3556</v>
      </c>
      <c r="B24" s="29" t="s">
        <v>3557</v>
      </c>
      <c r="C24" s="29" t="s">
        <v>3558</v>
      </c>
      <c r="D24" s="29" t="s">
        <v>3496</v>
      </c>
      <c r="E24" s="84" t="s">
        <v>3559</v>
      </c>
    </row>
    <row r="25" spans="1:5" x14ac:dyDescent="0.2">
      <c r="A25" s="30" t="s">
        <v>3560</v>
      </c>
      <c r="B25" s="30" t="s">
        <v>3561</v>
      </c>
      <c r="C25" s="30" t="s">
        <v>3562</v>
      </c>
      <c r="D25" s="30" t="s">
        <v>3496</v>
      </c>
      <c r="E25" s="85" t="s">
        <v>3563</v>
      </c>
    </row>
    <row r="26" spans="1:5" x14ac:dyDescent="0.2">
      <c r="A26" s="29" t="s">
        <v>3564</v>
      </c>
      <c r="B26" s="29" t="s">
        <v>3514</v>
      </c>
      <c r="C26" s="29" t="s">
        <v>3565</v>
      </c>
      <c r="D26" s="29" t="s">
        <v>3566</v>
      </c>
      <c r="E26" s="84" t="s">
        <v>3567</v>
      </c>
    </row>
    <row r="27" spans="1:5" ht="28" x14ac:dyDescent="0.2">
      <c r="A27" s="30" t="s">
        <v>3568</v>
      </c>
      <c r="B27" s="30" t="s">
        <v>3569</v>
      </c>
      <c r="C27" s="30" t="s">
        <v>3570</v>
      </c>
      <c r="D27" s="30" t="s">
        <v>3566</v>
      </c>
      <c r="E27" s="85" t="s">
        <v>3571</v>
      </c>
    </row>
    <row r="28" spans="1:5" ht="28" x14ac:dyDescent="0.2">
      <c r="A28" s="29" t="s">
        <v>3572</v>
      </c>
      <c r="B28" s="29" t="s">
        <v>3573</v>
      </c>
      <c r="C28" s="29" t="s">
        <v>3574</v>
      </c>
      <c r="D28" s="29" t="s">
        <v>3566</v>
      </c>
      <c r="E28" s="84" t="s">
        <v>3575</v>
      </c>
    </row>
    <row r="29" spans="1:5" x14ac:dyDescent="0.2">
      <c r="A29" s="8"/>
      <c r="B29" s="8"/>
      <c r="C29" s="8"/>
      <c r="D29" s="8"/>
      <c r="E29" s="78"/>
    </row>
    <row r="30" spans="1:5" ht="21.75" customHeight="1" x14ac:dyDescent="0.2">
      <c r="A30" s="139" t="s">
        <v>3576</v>
      </c>
      <c r="B30" s="140"/>
      <c r="C30" s="140"/>
      <c r="D30" s="140"/>
      <c r="E30" s="158"/>
    </row>
    <row r="31" spans="1:5" ht="19.5" customHeight="1" x14ac:dyDescent="0.2">
      <c r="A31" s="35">
        <v>1</v>
      </c>
      <c r="B31" s="147" t="s">
        <v>3577</v>
      </c>
      <c r="C31" s="160"/>
      <c r="D31" s="160"/>
      <c r="E31" s="160"/>
    </row>
    <row r="32" spans="1:5" ht="30.75" customHeight="1" x14ac:dyDescent="0.2">
      <c r="A32" s="37">
        <v>2</v>
      </c>
      <c r="B32" s="159" t="str">
        <f>"NI = não informado na fonte. " &amp; COUNTIF(Base_IFData_Original!$L$5:$L$1626,"NI") &amp; " instituições têm NI nas colunas de valores monetários: entram nas contagens, mas ficam fora de somas, médias e medianas."</f>
        <v>NI = não informado na fonte. 51 instituições têm NI nas colunas de valores monetários: entram nas contagens, mas ficam fora de somas, médias e medianas.</v>
      </c>
      <c r="C32" s="160"/>
      <c r="D32" s="160"/>
      <c r="E32" s="160"/>
    </row>
    <row r="33" spans="1:5" ht="30.75" customHeight="1" x14ac:dyDescent="0.2">
      <c r="A33" s="35">
        <v>3</v>
      </c>
      <c r="B33" s="147" t="s">
        <v>3578</v>
      </c>
      <c r="C33" s="160"/>
      <c r="D33" s="160"/>
      <c r="E33" s="160"/>
    </row>
    <row r="34" spans="1:5" ht="19.5" customHeight="1" x14ac:dyDescent="0.2">
      <c r="A34" s="37">
        <v>4</v>
      </c>
      <c r="B34" s="159" t="s">
        <v>3579</v>
      </c>
      <c r="C34" s="160"/>
      <c r="D34" s="160"/>
      <c r="E34" s="160"/>
    </row>
    <row r="35" spans="1:5" ht="19.5" customHeight="1" x14ac:dyDescent="0.2">
      <c r="A35" s="35">
        <v>5</v>
      </c>
      <c r="B35" s="147" t="s">
        <v>3580</v>
      </c>
      <c r="C35" s="160"/>
      <c r="D35" s="160"/>
      <c r="E35" s="160"/>
    </row>
    <row r="36" spans="1:5" x14ac:dyDescent="0.2">
      <c r="A36" s="8"/>
      <c r="B36" s="8"/>
      <c r="C36" s="8"/>
      <c r="D36" s="8"/>
      <c r="E36" s="78"/>
    </row>
    <row r="37" spans="1:5" ht="21.75" customHeight="1" x14ac:dyDescent="0.2">
      <c r="A37" s="139" t="s">
        <v>3581</v>
      </c>
      <c r="B37" s="140"/>
      <c r="C37" s="140"/>
      <c r="D37" s="140"/>
      <c r="E37" s="158"/>
    </row>
    <row r="38" spans="1:5" ht="40" customHeight="1" x14ac:dyDescent="0.2">
      <c r="A38" s="8"/>
      <c r="B38" s="123" t="s">
        <v>1</v>
      </c>
      <c r="C38" s="123" t="s">
        <v>3582</v>
      </c>
      <c r="D38" s="123" t="s">
        <v>3583</v>
      </c>
      <c r="E38" s="124" t="s">
        <v>3584</v>
      </c>
    </row>
    <row r="39" spans="1:5" ht="28" x14ac:dyDescent="0.2">
      <c r="A39" s="8"/>
      <c r="B39" s="29" t="s">
        <v>26</v>
      </c>
      <c r="C39" s="29" t="s">
        <v>3585</v>
      </c>
      <c r="D39" s="38">
        <f>COUNTIFS(Base_IFData_Original!$F$5:$F$1626,B39)</f>
        <v>116</v>
      </c>
      <c r="E39" s="84" t="str">
        <f>IF(D39=0,"sem instituições na base",INDEX(Base_IFData_Original!$A$5:$A$1626,MATCH(1,INDEX((Base_IFData_Original!$F$5:$F$1626=B39)*(Base_IFData_Original!$L$5:$L$1626=_xlfn.MAXIFS(Base_IFData_Original!$L$5:$L$1626,Base_IFData_Original!$F$5:$F$1626,B39)),0),0)))</f>
        <v>BANCO DO BRASIL S.A.</v>
      </c>
    </row>
    <row r="40" spans="1:5" ht="28" x14ac:dyDescent="0.2">
      <c r="A40" s="8"/>
      <c r="B40" s="30" t="s">
        <v>60</v>
      </c>
      <c r="C40" s="30" t="s">
        <v>3586</v>
      </c>
      <c r="D40" s="39">
        <f>COUNTIFS(Base_IFData_Original!$F$5:$F$1626,B40)</f>
        <v>50</v>
      </c>
      <c r="E40" s="85" t="str">
        <f>IF(D40=0,"sem instituições na base",INDEX(Base_IFData_Original!$A$5:$A$1626,MATCH(1,INDEX((Base_IFData_Original!$F$5:$F$1626=B40)*(Base_IFData_Original!$L$5:$L$1626=_xlfn.MAXIFS(Base_IFData_Original!$L$5:$L$1626,Base_IFData_Original!$F$5:$F$1626,B40)),0),0)))</f>
        <v>ITAÚ UNIBANCO HOLDING S.A.</v>
      </c>
    </row>
    <row r="41" spans="1:5" x14ac:dyDescent="0.2">
      <c r="A41" s="8"/>
      <c r="B41" s="29" t="s">
        <v>265</v>
      </c>
      <c r="C41" s="29" t="s">
        <v>3587</v>
      </c>
      <c r="D41" s="38">
        <f>COUNTIFS(Base_IFData_Original!$F$5:$F$1626,B41)</f>
        <v>729</v>
      </c>
      <c r="E41" s="84" t="str">
        <f>IF(D41=0,"sem instituições na base",INDEX(Base_IFData_Original!$A$5:$A$1626,MATCH(1,INDEX((Base_IFData_Original!$F$5:$F$1626=B41)*(Base_IFData_Original!$L$5:$L$1626=_xlfn.MAXIFS(Base_IFData_Original!$L$5:$L$1626,Base_IFData_Original!$F$5:$F$1626,B41)),0),0)))</f>
        <v>COOPERATIVA DE CREDITO CREDICITRUS</v>
      </c>
    </row>
    <row r="42" spans="1:5" x14ac:dyDescent="0.2">
      <c r="A42" s="8"/>
      <c r="B42" s="30" t="s">
        <v>199</v>
      </c>
      <c r="C42" s="30" t="s">
        <v>3588</v>
      </c>
      <c r="D42" s="39">
        <f>COUNTIFS(Base_IFData_Original!$F$5:$F$1626,B42)</f>
        <v>27</v>
      </c>
      <c r="E42" s="85" t="str">
        <f>IF(D42=0,"sem instituições na base",INDEX(Base_IFData_Original!$A$5:$A$1626,MATCH(1,INDEX((Base_IFData_Original!$F$5:$F$1626=B42)*(Base_IFData_Original!$L$5:$L$1626=_xlfn.MAXIFS(Base_IFData_Original!$L$5:$L$1626,Base_IFData_Original!$F$5:$F$1626,B42)),0),0)))</f>
        <v>COOPERATIVA CENTRAL DE CRÉDITO DE MINAS GERAIS LTDA. - SICOOB CENTRAL CREDIMINAS</v>
      </c>
    </row>
    <row r="43" spans="1:5" x14ac:dyDescent="0.2">
      <c r="A43" s="8"/>
      <c r="B43" s="29" t="s">
        <v>52</v>
      </c>
      <c r="C43" s="29" t="s">
        <v>3589</v>
      </c>
      <c r="D43" s="38">
        <f>COUNTIFS(Base_IFData_Original!$F$5:$F$1626,B43)</f>
        <v>4</v>
      </c>
      <c r="E43" s="84" t="str">
        <f>IF(D43=0,"sem instituições na base",INDEX(Base_IFData_Original!$A$5:$A$1626,MATCH(1,INDEX((Base_IFData_Original!$F$5:$F$1626=B43)*(Base_IFData_Original!$L$5:$L$1626=_xlfn.MAXIFS(Base_IFData_Original!$L$5:$L$1626,Base_IFData_Original!$F$5:$F$1626,B43)),0),0)))</f>
        <v>BANCO NACIONAL DE DESENVOLVIMENTO ECONOMICO E SOCIAL</v>
      </c>
    </row>
    <row r="44" spans="1:5" x14ac:dyDescent="0.2">
      <c r="A44" s="8"/>
      <c r="B44" s="30" t="s">
        <v>65</v>
      </c>
      <c r="C44" s="30" t="s">
        <v>3590</v>
      </c>
      <c r="D44" s="39">
        <f>COUNTIFS(Base_IFData_Original!$F$5:$F$1626,B44)</f>
        <v>290</v>
      </c>
      <c r="E44" s="85" t="str">
        <f>IF(D44=0,"sem instituições na base",INDEX(Base_IFData_Original!$A$5:$A$1626,MATCH(1,INDEX((Base_IFData_Original!$F$5:$F$1626=B44)*(Base_IFData_Original!$L$5:$L$1626=_xlfn.MAXIFS(Base_IFData_Original!$L$5:$L$1626,Base_IFData_Original!$F$5:$F$1626,B44)),0),0)))</f>
        <v>NU FINANCEIRA S.A. - SOCIEDADE DE CRÉDITO, FINANCIAMENTO E INVESTIMENTO</v>
      </c>
    </row>
    <row r="45" spans="1:5" x14ac:dyDescent="0.2">
      <c r="A45" s="8"/>
      <c r="B45" s="29" t="s">
        <v>98</v>
      </c>
      <c r="C45" s="29" t="s">
        <v>3591</v>
      </c>
      <c r="D45" s="38">
        <f>COUNTIFS(Base_IFData_Original!$F$5:$F$1626,B45)</f>
        <v>210</v>
      </c>
      <c r="E45" s="84" t="str">
        <f>IF(D45=0,"sem instituições na base",INDEX(Base_IFData_Original!$A$5:$A$1626,MATCH(1,INDEX((Base_IFData_Original!$F$5:$F$1626=B45)*(Base_IFData_Original!$L$5:$L$1626=_xlfn.MAXIFS(Base_IFData_Original!$L$5:$L$1626,Base_IFData_Original!$F$5:$F$1626,B45)),0),0)))</f>
        <v>XP INVESTIMENTOS CORRETORA DE CÂMBIO,TÍTULOS E VALORES MOBILIÁRIOS S/A</v>
      </c>
    </row>
    <row r="46" spans="1:5" x14ac:dyDescent="0.2">
      <c r="A46" s="8"/>
      <c r="B46" s="30" t="s">
        <v>84</v>
      </c>
      <c r="C46" s="30" t="s">
        <v>3592</v>
      </c>
      <c r="D46" s="39">
        <f>COUNTIFS(Base_IFData_Original!$F$5:$F$1626,B46)</f>
        <v>196</v>
      </c>
      <c r="E46" s="85" t="str">
        <f>IF(D46=0,"sem instituições na base",INDEX(Base_IFData_Original!$A$5:$A$1626,MATCH(1,INDEX((Base_IFData_Original!$F$5:$F$1626=B46)*(Base_IFData_Original!$L$5:$L$1626=_xlfn.MAXIFS(Base_IFData_Original!$L$5:$L$1626,Base_IFData_Original!$F$5:$F$1626,B46)),0),0)))</f>
        <v>REDECARD INSTITUIÇÃO DE PAGAMENTO S.A.</v>
      </c>
    </row>
    <row r="47" spans="1:5" x14ac:dyDescent="0.2">
      <c r="A47" s="8"/>
      <c r="B47" s="8"/>
      <c r="C47" s="8"/>
      <c r="D47" s="8"/>
      <c r="E47" s="78"/>
    </row>
    <row r="48" spans="1:5" ht="21.75" customHeight="1" x14ac:dyDescent="0.2">
      <c r="A48" s="139" t="s">
        <v>3593</v>
      </c>
      <c r="B48" s="140"/>
      <c r="C48" s="140"/>
      <c r="D48" s="140"/>
      <c r="E48" s="158"/>
    </row>
    <row r="49" spans="1:5" ht="40" customHeight="1" x14ac:dyDescent="0.2">
      <c r="A49" s="8"/>
      <c r="B49" s="123" t="s">
        <v>1</v>
      </c>
      <c r="C49" s="123" t="s">
        <v>3582</v>
      </c>
      <c r="D49" s="123" t="s">
        <v>3583</v>
      </c>
      <c r="E49" s="124" t="s">
        <v>3584</v>
      </c>
    </row>
    <row r="50" spans="1:5" x14ac:dyDescent="0.2">
      <c r="A50" s="8"/>
      <c r="B50" s="35">
        <v>1</v>
      </c>
      <c r="C50" s="29" t="s">
        <v>3594</v>
      </c>
      <c r="D50" s="38">
        <f>COUNTIFS(Base_IFData_Original!$G$5:$G$1626,B50)</f>
        <v>39</v>
      </c>
      <c r="E50" s="84" t="str">
        <f>IF(D50=0,"sem instituições na base",INDEX(Base_IFData_Original!$A$5:$A$1626,MATCH(1,INDEX((Base_IFData_Original!$G$5:$G$1626=B50)*(Base_IFData_Original!$L$5:$L$1626=_xlfn.MAXIFS(Base_IFData_Original!$L$5:$L$1626,Base_IFData_Original!$G$5:$G$1626,B50)),0),0)))</f>
        <v>BANCO DO BRASIL S.A.</v>
      </c>
    </row>
    <row r="51" spans="1:5" x14ac:dyDescent="0.2">
      <c r="A51" s="8"/>
      <c r="B51" s="37">
        <v>2</v>
      </c>
      <c r="C51" s="30" t="s">
        <v>3595</v>
      </c>
      <c r="D51" s="39">
        <f>COUNTIFS(Base_IFData_Original!$G$5:$G$1626,B51)</f>
        <v>1353</v>
      </c>
      <c r="E51" s="85" t="str">
        <f>IF(D51=0,"sem instituições na base",INDEX(Base_IFData_Original!$A$5:$A$1626,MATCH(1,INDEX((Base_IFData_Original!$G$5:$G$1626=B51)*(Base_IFData_Original!$L$5:$L$1626=_xlfn.MAXIFS(Base_IFData_Original!$L$5:$L$1626,Base_IFData_Original!$G$5:$G$1626,B51)),0),0)))</f>
        <v>ITAÚ UNIBANCO S.A.</v>
      </c>
    </row>
    <row r="52" spans="1:5" x14ac:dyDescent="0.2">
      <c r="A52" s="8"/>
      <c r="B52" s="35">
        <v>3</v>
      </c>
      <c r="C52" s="29" t="s">
        <v>3596</v>
      </c>
      <c r="D52" s="38">
        <f>COUNTIFS(Base_IFData_Original!$G$5:$G$1626,B52)</f>
        <v>230</v>
      </c>
      <c r="E52" s="84" t="str">
        <f>IF(D52=0,"sem instituições na base",INDEX(Base_IFData_Original!$A$5:$A$1626,MATCH(1,INDEX((Base_IFData_Original!$G$5:$G$1626=B52)*(Base_IFData_Original!$L$5:$L$1626=_xlfn.MAXIFS(Base_IFData_Original!$L$5:$L$1626,Base_IFData_Original!$G$5:$G$1626,B52)),0),0)))</f>
        <v>BANCO SANTANDER (BRASIL) S.A.</v>
      </c>
    </row>
    <row r="53" spans="1:5" x14ac:dyDescent="0.2">
      <c r="A53" s="8"/>
      <c r="B53" s="8"/>
      <c r="C53" s="8"/>
      <c r="D53" s="8"/>
      <c r="E53" s="78"/>
    </row>
    <row r="54" spans="1:5" ht="21.75" customHeight="1" x14ac:dyDescent="0.2">
      <c r="A54" s="139" t="s">
        <v>3597</v>
      </c>
      <c r="B54" s="140"/>
      <c r="C54" s="140"/>
      <c r="D54" s="140"/>
      <c r="E54" s="158"/>
    </row>
    <row r="55" spans="1:5" ht="40" customHeight="1" x14ac:dyDescent="0.2">
      <c r="A55" s="8"/>
      <c r="B55" s="123" t="s">
        <v>1</v>
      </c>
      <c r="C55" s="123" t="s">
        <v>3582</v>
      </c>
      <c r="D55" s="123" t="s">
        <v>3583</v>
      </c>
      <c r="E55" s="124" t="s">
        <v>3584</v>
      </c>
    </row>
    <row r="56" spans="1:5" x14ac:dyDescent="0.2">
      <c r="A56" s="8"/>
      <c r="B56" s="35">
        <v>1</v>
      </c>
      <c r="C56" s="29" t="s">
        <v>3598</v>
      </c>
      <c r="D56" s="38">
        <f>COUNTIFS(Base_IFData_Original!$H$5:$H$1626,B56)</f>
        <v>1</v>
      </c>
      <c r="E56" s="84" t="str">
        <f>IF(D56=0,"sem instituições na base",INDEX(Base_IFData_Original!$A$5:$A$1626,MATCH(1,INDEX((Base_IFData_Original!$H$5:$H$1626=B56)*(Base_IFData_Original!$L$5:$L$1626=_xlfn.MAXIFS(Base_IFData_Original!$L$5:$L$1626,Base_IFData_Original!$H$5:$H$1626,B56)),0),0)))</f>
        <v>BANCO DO BRASIL S.A.</v>
      </c>
    </row>
    <row r="57" spans="1:5" x14ac:dyDescent="0.2">
      <c r="A57" s="8"/>
      <c r="B57" s="37">
        <v>2</v>
      </c>
      <c r="C57" s="30" t="s">
        <v>3599</v>
      </c>
      <c r="D57" s="39">
        <f>COUNTIFS(Base_IFData_Original!$H$5:$H$1626,B57)</f>
        <v>14</v>
      </c>
      <c r="E57" s="85" t="str">
        <f>IF(D57=0,"sem instituições na base",INDEX(Base_IFData_Original!$A$5:$A$1626,MATCH(1,INDEX((Base_IFData_Original!$H$5:$H$1626=B57)*(Base_IFData_Original!$L$5:$L$1626=_xlfn.MAXIFS(Base_IFData_Original!$L$5:$L$1626,Base_IFData_Original!$H$5:$H$1626,B57)),0),0)))</f>
        <v>BANCO DA AMAZONIA S.A.</v>
      </c>
    </row>
    <row r="58" spans="1:5" x14ac:dyDescent="0.2">
      <c r="A58" s="8"/>
      <c r="B58" s="35">
        <v>3</v>
      </c>
      <c r="C58" s="29" t="s">
        <v>3600</v>
      </c>
      <c r="D58" s="38">
        <f>COUNTIFS(Base_IFData_Original!$H$5:$H$1626,B58)</f>
        <v>0</v>
      </c>
      <c r="E58" s="84" t="str">
        <f>IF(D58=0,"sem instituições na base",INDEX(Base_IFData_Original!$A$5:$A$1626,MATCH(1,INDEX((Base_IFData_Original!$H$5:$H$1626=B58)*(Base_IFData_Original!$L$5:$L$1626=_xlfn.MAXIFS(Base_IFData_Original!$L$5:$L$1626,Base_IFData_Original!$H$5:$H$1626,B58)),0),0)))</f>
        <v>sem instituições na base</v>
      </c>
    </row>
    <row r="59" spans="1:5" x14ac:dyDescent="0.2">
      <c r="A59" s="8"/>
      <c r="B59" s="37">
        <v>4</v>
      </c>
      <c r="C59" s="30" t="s">
        <v>3601</v>
      </c>
      <c r="D59" s="39">
        <f>COUNTIFS(Base_IFData_Original!$H$5:$H$1626,B59)</f>
        <v>1</v>
      </c>
      <c r="E59" s="85" t="str">
        <f>IF(D59=0,"sem instituições na base",INDEX(Base_IFData_Original!$A$5:$A$1626,MATCH(1,INDEX((Base_IFData_Original!$H$5:$H$1626=B59)*(Base_IFData_Original!$L$5:$L$1626=_xlfn.MAXIFS(Base_IFData_Original!$L$5:$L$1626,Base_IFData_Original!$H$5:$H$1626,B59)),0),0)))</f>
        <v>BANCO NACIONAL DE DESENVOLVIMENTO ECONOMICO E SOCIAL</v>
      </c>
    </row>
    <row r="60" spans="1:5" x14ac:dyDescent="0.2">
      <c r="A60" s="8"/>
      <c r="B60" s="35">
        <v>5</v>
      </c>
      <c r="C60" s="29" t="s">
        <v>3589</v>
      </c>
      <c r="D60" s="38">
        <f>COUNTIFS(Base_IFData_Original!$H$5:$H$1626,B60)</f>
        <v>3</v>
      </c>
      <c r="E60" s="84" t="str">
        <f>IF(D60=0,"sem instituições na base",INDEX(Base_IFData_Original!$A$5:$A$1626,MATCH(1,INDEX((Base_IFData_Original!$H$5:$H$1626=B60)*(Base_IFData_Original!$L$5:$L$1626=_xlfn.MAXIFS(Base_IFData_Original!$L$5:$L$1626,Base_IFData_Original!$H$5:$H$1626,B60)),0),0)))</f>
        <v>BANCO REGIONAL DE DESENVOLVIMENTO DO EXTREMO SUL</v>
      </c>
    </row>
    <row r="61" spans="1:5" x14ac:dyDescent="0.2">
      <c r="A61" s="8"/>
      <c r="B61" s="37">
        <v>6</v>
      </c>
      <c r="C61" s="30" t="s">
        <v>3602</v>
      </c>
      <c r="D61" s="39">
        <f>COUNTIFS(Base_IFData_Original!$H$5:$H$1626,B61)</f>
        <v>1</v>
      </c>
      <c r="E61" s="85" t="str">
        <f>IF(D61=0,"sem instituições na base",INDEX(Base_IFData_Original!$A$5:$A$1626,MATCH(1,INDEX((Base_IFData_Original!$H$5:$H$1626=B61)*(Base_IFData_Original!$L$5:$L$1626=_xlfn.MAXIFS(Base_IFData_Original!$L$5:$L$1626,Base_IFData_Original!$H$5:$H$1626,B61)),0),0)))</f>
        <v>CAIXA ECONOMICA FEDERAL</v>
      </c>
    </row>
    <row r="62" spans="1:5" x14ac:dyDescent="0.2">
      <c r="A62" s="8"/>
      <c r="B62" s="35">
        <v>7</v>
      </c>
      <c r="C62" s="29" t="s">
        <v>3603</v>
      </c>
      <c r="D62" s="38">
        <f>COUNTIFS(Base_IFData_Original!$H$5:$H$1626,B62)</f>
        <v>0</v>
      </c>
      <c r="E62" s="84" t="str">
        <f>IF(D62=0,"sem instituições na base",INDEX(Base_IFData_Original!$A$5:$A$1626,MATCH(1,INDEX((Base_IFData_Original!$H$5:$H$1626=B62)*(Base_IFData_Original!$L$5:$L$1626=_xlfn.MAXIFS(Base_IFData_Original!$L$5:$L$1626,Base_IFData_Original!$H$5:$H$1626,B62)),0),0)))</f>
        <v>sem instituições na base</v>
      </c>
    </row>
    <row r="63" spans="1:5" x14ac:dyDescent="0.2">
      <c r="A63" s="8"/>
      <c r="B63" s="37">
        <v>8</v>
      </c>
      <c r="C63" s="30" t="s">
        <v>3604</v>
      </c>
      <c r="D63" s="39">
        <f>COUNTIFS(Base_IFData_Original!$H$5:$H$1626,B63)</f>
        <v>128</v>
      </c>
      <c r="E63" s="85" t="str">
        <f>IF(D63=0,"sem instituições na base",INDEX(Base_IFData_Original!$A$5:$A$1626,MATCH(1,INDEX((Base_IFData_Original!$H$5:$H$1626=B63)*(Base_IFData_Original!$L$5:$L$1626=_xlfn.MAXIFS(Base_IFData_Original!$L$5:$L$1626,Base_IFData_Original!$H$5:$H$1626,B63)),0),0)))</f>
        <v>ITAÚ UNIBANCO S.A.</v>
      </c>
    </row>
    <row r="64" spans="1:5" x14ac:dyDescent="0.2">
      <c r="A64" s="8"/>
      <c r="B64" s="35">
        <v>9</v>
      </c>
      <c r="C64" s="29" t="s">
        <v>3605</v>
      </c>
      <c r="D64" s="38">
        <f>COUNTIFS(Base_IFData_Original!$H$5:$H$1626,B64)</f>
        <v>756</v>
      </c>
      <c r="E64" s="84" t="str">
        <f>IF(D64=0,"sem instituições na base",INDEX(Base_IFData_Original!$A$5:$A$1626,MATCH(1,INDEX((Base_IFData_Original!$H$5:$H$1626=B64)*(Base_IFData_Original!$L$5:$L$1626=_xlfn.MAXIFS(Base_IFData_Original!$L$5:$L$1626,Base_IFData_Original!$H$5:$H$1626,B64)),0),0)))</f>
        <v>COOPERATIVA CENTRAL DE CRÉDITO DE MINAS GERAIS LTDA. - SICOOB CENTRAL CREDIMINAS</v>
      </c>
    </row>
    <row r="65" spans="1:5" x14ac:dyDescent="0.2">
      <c r="A65" s="8"/>
      <c r="B65" s="37">
        <v>10</v>
      </c>
      <c r="C65" s="30" t="s">
        <v>3606</v>
      </c>
      <c r="D65" s="39">
        <f>COUNTIFS(Base_IFData_Original!$H$5:$H$1626,B65)</f>
        <v>22</v>
      </c>
      <c r="E65" s="85" t="str">
        <f>IF(D65=0,"sem instituições na base",INDEX(Base_IFData_Original!$A$5:$A$1626,MATCH(1,INDEX((Base_IFData_Original!$H$5:$H$1626=B65)*(Base_IFData_Original!$L$5:$L$1626=_xlfn.MAXIFS(Base_IFData_Original!$L$5:$L$1626,Base_IFData_Original!$H$5:$H$1626,B65)),0),0)))</f>
        <v>BMP SOCIEDADE DE CRÉDITO AO MICROEMPREENDEDOR E A EMPRESA DE PEQUENO PORTE LTDA.</v>
      </c>
    </row>
    <row r="66" spans="1:5" x14ac:dyDescent="0.2">
      <c r="A66" s="8"/>
      <c r="B66" s="35">
        <v>11</v>
      </c>
      <c r="C66" s="29" t="s">
        <v>3607</v>
      </c>
      <c r="D66" s="38">
        <f>COUNTIFS(Base_IFData_Original!$H$5:$H$1626,B66)</f>
        <v>2</v>
      </c>
      <c r="E66" s="84" t="str">
        <f>IF(D66=0,"sem instituições na base",INDEX(Base_IFData_Original!$A$5:$A$1626,MATCH(1,INDEX((Base_IFData_Original!$H$5:$H$1626=B66)*(Base_IFData_Original!$L$5:$L$1626=_xlfn.MAXIFS(Base_IFData_Original!$L$5:$L$1626,Base_IFData_Original!$H$5:$H$1626,B66)),0),0)))</f>
        <v>BANCO COOPERATIVO SICREDI S.A.</v>
      </c>
    </row>
    <row r="67" spans="1:5" x14ac:dyDescent="0.2">
      <c r="A67" s="8"/>
      <c r="B67" s="37">
        <v>13</v>
      </c>
      <c r="C67" s="30" t="s">
        <v>3608</v>
      </c>
      <c r="D67" s="39">
        <f>COUNTIFS(Base_IFData_Original!$H$5:$H$1626,B67)</f>
        <v>12</v>
      </c>
      <c r="E67" s="85" t="str">
        <f>IF(D67=0,"sem instituições na base",INDEX(Base_IFData_Original!$A$5:$A$1626,MATCH(1,INDEX((Base_IFData_Original!$H$5:$H$1626=B67)*(Base_IFData_Original!$L$5:$L$1626=_xlfn.MAXIFS(Base_IFData_Original!$L$5:$L$1626,Base_IFData_Original!$H$5:$H$1626,B67)),0),0)))</f>
        <v>BR PARTNERS BANCO DE INVESTIMENTO S.A.</v>
      </c>
    </row>
    <row r="68" spans="1:5" x14ac:dyDescent="0.2">
      <c r="A68" s="8"/>
      <c r="B68" s="35">
        <v>14</v>
      </c>
      <c r="C68" s="29" t="s">
        <v>3609</v>
      </c>
      <c r="D68" s="38">
        <f>COUNTIFS(Base_IFData_Original!$H$5:$H$1626,B68)</f>
        <v>79</v>
      </c>
      <c r="E68" s="84" t="str">
        <f>IF(D68=0,"sem instituições na base",INDEX(Base_IFData_Original!$A$5:$A$1626,MATCH(1,INDEX((Base_IFData_Original!$H$5:$H$1626=B68)*(Base_IFData_Original!$L$5:$L$1626=_xlfn.MAXIFS(Base_IFData_Original!$L$5:$L$1626,Base_IFData_Original!$H$5:$H$1626,B68)),0),0)))</f>
        <v>NU FINANCEIRA S.A. - SOCIEDADE DE CRÉDITO, FINANCIAMENTO E INVESTIMENTO</v>
      </c>
    </row>
    <row r="69" spans="1:5" x14ac:dyDescent="0.2">
      <c r="A69" s="8"/>
      <c r="B69" s="37">
        <v>15</v>
      </c>
      <c r="C69" s="30" t="s">
        <v>3610</v>
      </c>
      <c r="D69" s="39">
        <f>COUNTIFS(Base_IFData_Original!$H$5:$H$1626,B69)</f>
        <v>58</v>
      </c>
      <c r="E69" s="85" t="str">
        <f>IF(D69=0,"sem instituições na base",INDEX(Base_IFData_Original!$A$5:$A$1626,MATCH(1,INDEX((Base_IFData_Original!$H$5:$H$1626=B69)*(Base_IFData_Original!$L$5:$L$1626=_xlfn.MAXIFS(Base_IFData_Original!$L$5:$L$1626,Base_IFData_Original!$H$5:$H$1626,B69)),0),0)))</f>
        <v>XP INVESTIMENTOS CORRETORA DE CÂMBIO,TÍTULOS E VALORES MOBILIÁRIOS S/A</v>
      </c>
    </row>
    <row r="70" spans="1:5" x14ac:dyDescent="0.2">
      <c r="A70" s="8"/>
      <c r="B70" s="35">
        <v>16</v>
      </c>
      <c r="C70" s="29" t="s">
        <v>3611</v>
      </c>
      <c r="D70" s="38">
        <f>COUNTIFS(Base_IFData_Original!$H$5:$H$1626,B70)</f>
        <v>101</v>
      </c>
      <c r="E70" s="84" t="str">
        <f>IF(D70=0,"sem instituições na base",INDEX(Base_IFData_Original!$A$5:$A$1626,MATCH(1,INDEX((Base_IFData_Original!$H$5:$H$1626=B70)*(Base_IFData_Original!$L$5:$L$1626=_xlfn.MAXIFS(Base_IFData_Original!$L$5:$L$1626,Base_IFData_Original!$H$5:$H$1626,B70)),0),0)))</f>
        <v>CITIBANK DISTRIBUIDORA DE TITULOS E VALORES MOBILIARIOS S.A</v>
      </c>
    </row>
    <row r="71" spans="1:5" x14ac:dyDescent="0.2">
      <c r="A71" s="8"/>
      <c r="B71" s="37">
        <v>19</v>
      </c>
      <c r="C71" s="30" t="s">
        <v>3612</v>
      </c>
      <c r="D71" s="39">
        <f>COUNTIFS(Base_IFData_Original!$H$5:$H$1626,B71)</f>
        <v>18</v>
      </c>
      <c r="E71" s="85" t="str">
        <f>IF(D71=0,"sem instituições na base",INDEX(Base_IFData_Original!$A$5:$A$1626,MATCH(1,INDEX((Base_IFData_Original!$H$5:$H$1626=B71)*(Base_IFData_Original!$L$5:$L$1626=_xlfn.MAXIFS(Base_IFData_Original!$L$5:$L$1626,Base_IFData_Original!$H$5:$H$1626,B71)),0),0)))</f>
        <v>BRADESCO LEASING S.A. - ARRENDAMENTO MERCANTIL</v>
      </c>
    </row>
    <row r="72" spans="1:5" x14ac:dyDescent="0.2">
      <c r="A72" s="8"/>
      <c r="B72" s="35">
        <v>21</v>
      </c>
      <c r="C72" s="29" t="s">
        <v>3613</v>
      </c>
      <c r="D72" s="38">
        <f>COUNTIFS(Base_IFData_Original!$H$5:$H$1626,B72)</f>
        <v>51</v>
      </c>
      <c r="E72" s="84" t="str">
        <f>IF(D72=0,"sem instituições na base",INDEX(Base_IFData_Original!$A$5:$A$1626,MATCH(1,INDEX((Base_IFData_Original!$H$5:$H$1626=B72)*(Base_IFData_Original!$L$5:$L$1626=_xlfn.MAXIFS(Base_IFData_Original!$L$5:$L$1626,Base_IFData_Original!$H$5:$H$1626,B72)),0),0)))</f>
        <v>BRADESCO-KIRTON CORRETORA DE CÂMBIO S.A.</v>
      </c>
    </row>
    <row r="73" spans="1:5" x14ac:dyDescent="0.2">
      <c r="A73" s="8"/>
      <c r="B73" s="37">
        <v>25</v>
      </c>
      <c r="C73" s="30" t="s">
        <v>3614</v>
      </c>
      <c r="D73" s="39">
        <f>COUNTIFS(Base_IFData_Original!$H$5:$H$1626,B73)</f>
        <v>1</v>
      </c>
      <c r="E73" s="85" t="str">
        <f>IF(D73=0,"sem instituições na base",INDEX(Base_IFData_Original!$A$5:$A$1626,MATCH(1,INDEX((Base_IFData_Original!$H$5:$H$1626=B73)*(Base_IFData_Original!$L$5:$L$1626=_xlfn.MAXIFS(Base_IFData_Original!$L$5:$L$1626,Base_IFData_Original!$H$5:$H$1626,B73)),0),0)))</f>
        <v>ASSOCIACAO DE POUPANCA E EMPRESTIMO - POUPEX</v>
      </c>
    </row>
    <row r="74" spans="1:5" x14ac:dyDescent="0.2">
      <c r="A74" s="8"/>
      <c r="B74" s="35">
        <v>28</v>
      </c>
      <c r="C74" s="29" t="s">
        <v>3615</v>
      </c>
      <c r="D74" s="38">
        <f>COUNTIFS(Base_IFData_Original!$H$5:$H$1626,B74)</f>
        <v>4</v>
      </c>
      <c r="E74" s="84" t="str">
        <f>IF(D74=0,"sem instituições na base",INDEX(Base_IFData_Original!$A$5:$A$1626,MATCH(1,INDEX((Base_IFData_Original!$H$5:$H$1626=B74)*(Base_IFData_Original!$L$5:$L$1626=_xlfn.MAXIFS(Base_IFData_Original!$L$5:$L$1626,Base_IFData_Original!$H$5:$H$1626,B74)),0),0)))</f>
        <v>CITIBANK N.A.</v>
      </c>
    </row>
    <row r="75" spans="1:5" x14ac:dyDescent="0.2">
      <c r="A75" s="8"/>
      <c r="B75" s="37">
        <v>29</v>
      </c>
      <c r="C75" s="30" t="s">
        <v>3616</v>
      </c>
      <c r="D75" s="39">
        <f>COUNTIFS(Base_IFData_Original!$H$5:$H$1626,B75)</f>
        <v>5</v>
      </c>
      <c r="E75" s="85" t="str">
        <f>IF(D75=0,"sem instituições na base",INDEX(Base_IFData_Original!$A$5:$A$1626,MATCH(1,INDEX((Base_IFData_Original!$H$5:$H$1626=B75)*(Base_IFData_Original!$L$5:$L$1626=_xlfn.MAXIFS(Base_IFData_Original!$L$5:$L$1626,Base_IFData_Original!$H$5:$H$1626,B75)),0),0)))</f>
        <v>BARI COMPANHIA HIPOTECÁRIA</v>
      </c>
    </row>
    <row r="76" spans="1:5" x14ac:dyDescent="0.2">
      <c r="A76" s="8"/>
      <c r="B76" s="35">
        <v>30</v>
      </c>
      <c r="C76" s="29" t="s">
        <v>3617</v>
      </c>
      <c r="D76" s="38">
        <f>COUNTIFS(Base_IFData_Original!$H$5:$H$1626,B76)</f>
        <v>16</v>
      </c>
      <c r="E76" s="84" t="str">
        <f>IF(D76=0,"sem instituições na base",INDEX(Base_IFData_Original!$A$5:$A$1626,MATCH(1,INDEX((Base_IFData_Original!$H$5:$H$1626=B76)*(Base_IFData_Original!$L$5:$L$1626=_xlfn.MAXIFS(Base_IFData_Original!$L$5:$L$1626,Base_IFData_Original!$H$5:$H$1626,B76)),0),0)))</f>
        <v>AGÊNCIA DE FOMENTO DO PARANÁ S.A.</v>
      </c>
    </row>
    <row r="77" spans="1:5" x14ac:dyDescent="0.2">
      <c r="A77" s="8"/>
      <c r="B77" s="37">
        <v>31</v>
      </c>
      <c r="C77" s="30" t="s">
        <v>3618</v>
      </c>
      <c r="D77" s="39">
        <f>COUNTIFS(Base_IFData_Original!$H$5:$H$1626,B77)</f>
        <v>0</v>
      </c>
      <c r="E77" s="85" t="str">
        <f>IF(D77=0,"sem instituições na base",INDEX(Base_IFData_Original!$A$5:$A$1626,MATCH(1,INDEX((Base_IFData_Original!$H$5:$H$1626=B77)*(Base_IFData_Original!$L$5:$L$1626=_xlfn.MAXIFS(Base_IFData_Original!$L$5:$L$1626,Base_IFData_Original!$H$5:$H$1626,B77)),0),0)))</f>
        <v>sem instituições na base</v>
      </c>
    </row>
    <row r="78" spans="1:5" x14ac:dyDescent="0.2">
      <c r="A78" s="8"/>
      <c r="B78" s="35">
        <v>39</v>
      </c>
      <c r="C78" s="29" t="s">
        <v>3619</v>
      </c>
      <c r="D78" s="38">
        <f>COUNTIFS(Base_IFData_Original!$H$5:$H$1626,B78)</f>
        <v>4</v>
      </c>
      <c r="E78" s="84" t="str">
        <f>IF(D78=0,"sem instituições na base",INDEX(Base_IFData_Original!$A$5:$A$1626,MATCH(1,INDEX((Base_IFData_Original!$H$5:$H$1626=B78)*(Base_IFData_Original!$L$5:$L$1626=_xlfn.MAXIFS(Base_IFData_Original!$L$5:$L$1626,Base_IFData_Original!$H$5:$H$1626,B78)),0),0)))</f>
        <v>EBURY BANCO DE CÂMBIO S.A.</v>
      </c>
    </row>
    <row r="79" spans="1:5" x14ac:dyDescent="0.2">
      <c r="A79" s="8"/>
      <c r="B79" s="37">
        <v>41</v>
      </c>
      <c r="C79" s="30" t="s">
        <v>3592</v>
      </c>
      <c r="D79" s="39">
        <f>COUNTIFS(Base_IFData_Original!$H$5:$H$1626,B79)</f>
        <v>196</v>
      </c>
      <c r="E79" s="85" t="str">
        <f>IF(D79=0,"sem instituições na base",INDEX(Base_IFData_Original!$A$5:$A$1626,MATCH(1,INDEX((Base_IFData_Original!$H$5:$H$1626=B79)*(Base_IFData_Original!$L$5:$L$1626=_xlfn.MAXIFS(Base_IFData_Original!$L$5:$L$1626,Base_IFData_Original!$H$5:$H$1626,B79)),0),0)))</f>
        <v>REDECARD INSTITUIÇÃO DE PAGAMENTO S.A.</v>
      </c>
    </row>
    <row r="80" spans="1:5" x14ac:dyDescent="0.2">
      <c r="A80" s="8"/>
      <c r="B80" s="35">
        <v>43</v>
      </c>
      <c r="C80" s="29" t="s">
        <v>3620</v>
      </c>
      <c r="D80" s="38">
        <f>COUNTIFS(Base_IFData_Original!$H$5:$H$1626,B80)</f>
        <v>137</v>
      </c>
      <c r="E80" s="84" t="str">
        <f>IF(D80=0,"sem instituições na base",INDEX(Base_IFData_Original!$A$5:$A$1626,MATCH(1,INDEX((Base_IFData_Original!$H$5:$H$1626=B80)*(Base_IFData_Original!$L$5:$L$1626=_xlfn.MAXIFS(Base_IFData_Original!$L$5:$L$1626,Base_IFData_Original!$H$5:$H$1626,B80)),0),0)))</f>
        <v>QI SOCIEDADE DE CRÉDITO DIRETO S.A.</v>
      </c>
    </row>
    <row r="81" spans="1:5" x14ac:dyDescent="0.2">
      <c r="A81" s="8"/>
      <c r="B81" s="37">
        <v>44</v>
      </c>
      <c r="C81" s="30" t="s">
        <v>3621</v>
      </c>
      <c r="D81" s="39">
        <f>COUNTIFS(Base_IFData_Original!$H$5:$H$1626,B81)</f>
        <v>12</v>
      </c>
      <c r="E81" s="85" t="str">
        <f>IF(D81=0,"sem instituições na base",INDEX(Base_IFData_Original!$A$5:$A$1626,MATCH(1,INDEX((Base_IFData_Original!$H$5:$H$1626=B81)*(Base_IFData_Original!$L$5:$L$1626=_xlfn.MAXIFS(Base_IFData_Original!$L$5:$L$1626,Base_IFData_Original!$H$5:$H$1626,B81)),0),0)))</f>
        <v>MOVA SOCIEDADE DE EMPRÉSTIMO ENTRE PESSOAS S.A.</v>
      </c>
    </row>
  </sheetData>
  <mergeCells count="12">
    <mergeCell ref="A1:E1"/>
    <mergeCell ref="A2:E2"/>
    <mergeCell ref="A4:E4"/>
    <mergeCell ref="A30:E30"/>
    <mergeCell ref="B31:E31"/>
    <mergeCell ref="A48:E48"/>
    <mergeCell ref="A54:E54"/>
    <mergeCell ref="B32:E32"/>
    <mergeCell ref="B33:E33"/>
    <mergeCell ref="B34:E34"/>
    <mergeCell ref="B35:E35"/>
    <mergeCell ref="A37:E3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3A8A"/>
    <pageSetUpPr fitToPage="1"/>
  </sheetPr>
  <dimension ref="A1:E25"/>
  <sheetViews>
    <sheetView showGridLines="0" zoomScaleNormal="100" workbookViewId="0">
      <pane ySplit="4" topLeftCell="A5" activePane="bottomLeft" state="frozen"/>
      <selection pane="bottomLeft" activeCell="A2" sqref="A2"/>
    </sheetView>
  </sheetViews>
  <sheetFormatPr baseColWidth="10" defaultColWidth="8.6640625" defaultRowHeight="15" x14ac:dyDescent="0.2"/>
  <cols>
    <col min="1" max="1" width="6" customWidth="1"/>
    <col min="2" max="2" width="64" customWidth="1"/>
    <col min="3" max="3" width="38" customWidth="1"/>
    <col min="4" max="4" width="22" customWidth="1"/>
    <col min="5" max="5" width="58" customWidth="1"/>
  </cols>
  <sheetData>
    <row r="1" spans="1:5" ht="31.5" customHeight="1" x14ac:dyDescent="0.2">
      <c r="A1" s="145" t="s">
        <v>3819</v>
      </c>
      <c r="B1" s="146"/>
      <c r="C1" s="146"/>
      <c r="D1" s="146"/>
      <c r="E1" s="146"/>
    </row>
    <row r="2" spans="1:5" ht="15" customHeight="1" x14ac:dyDescent="0.2">
      <c r="A2" s="133"/>
      <c r="B2" s="133"/>
      <c r="C2" s="133"/>
      <c r="D2" s="133"/>
      <c r="E2" s="133"/>
    </row>
    <row r="3" spans="1:5" ht="21.75" customHeight="1" x14ac:dyDescent="0.2">
      <c r="A3" s="139" t="s">
        <v>3625</v>
      </c>
      <c r="B3" s="140"/>
      <c r="C3" s="140"/>
      <c r="D3" s="140"/>
      <c r="E3" s="140"/>
    </row>
    <row r="4" spans="1:5" ht="40" customHeight="1" x14ac:dyDescent="0.2">
      <c r="A4" s="123" t="s">
        <v>3626</v>
      </c>
      <c r="B4" s="123" t="s">
        <v>3627</v>
      </c>
      <c r="C4" s="123" t="s">
        <v>3628</v>
      </c>
      <c r="D4" s="123" t="s">
        <v>3629</v>
      </c>
      <c r="E4" s="124" t="s">
        <v>3630</v>
      </c>
    </row>
    <row r="5" spans="1:5" ht="28" x14ac:dyDescent="0.2">
      <c r="A5" s="37">
        <v>1</v>
      </c>
      <c r="B5" s="30" t="s">
        <v>3820</v>
      </c>
      <c r="C5" s="41" t="s">
        <v>3821</v>
      </c>
      <c r="D5" s="42">
        <f>AVERAGE(Base_IFData!L5:L1626)</f>
        <v>12411045.290897518</v>
      </c>
      <c r="E5" s="85" t="s">
        <v>3631</v>
      </c>
    </row>
    <row r="6" spans="1:5" ht="28" x14ac:dyDescent="0.2">
      <c r="A6" s="35">
        <v>2</v>
      </c>
      <c r="B6" s="29" t="s">
        <v>3632</v>
      </c>
      <c r="C6" s="41" t="s">
        <v>3822</v>
      </c>
      <c r="D6" s="42">
        <f>MEDIAN(Base_IFData!L5:L1626)</f>
        <v>293113</v>
      </c>
      <c r="E6" s="84" t="s">
        <v>3633</v>
      </c>
    </row>
    <row r="7" spans="1:5" ht="28" x14ac:dyDescent="0.2">
      <c r="A7" s="37">
        <v>3</v>
      </c>
      <c r="B7" s="30" t="s">
        <v>3634</v>
      </c>
      <c r="C7" s="41" t="s">
        <v>3823</v>
      </c>
      <c r="D7" s="42" t="str">
        <f>"Maior: "&amp;FIXED(MAX(Base_IFData!L5:L1626),0)&amp;" | Menor: "&amp;FIXED(MIN(Base_IFData!L5:L1626),0)</f>
        <v>Maior: 2.461.086.914 | Menor: 365</v>
      </c>
      <c r="E7" s="85" t="s">
        <v>3635</v>
      </c>
    </row>
    <row r="8" spans="1:5" ht="42" x14ac:dyDescent="0.2">
      <c r="A8" s="35">
        <v>4</v>
      </c>
      <c r="B8" s="29" t="s">
        <v>3636</v>
      </c>
      <c r="C8" s="41" t="s">
        <v>3824</v>
      </c>
      <c r="D8" s="42" t="str">
        <f>"Q1: "&amp;FIXED(QUARTILE(Base_IFData!M5:M1626,1),0)&amp;" | Q2: "&amp;FIXED(QUARTILE(Base_IFData!M5:M1626,2),0)&amp;" | Q3: "&amp;FIXED(QUARTILE(Base_IFData!M5:M1626,3),0)</f>
        <v>Q1: 0 | Q2: 32.400 | Q3: 537.952</v>
      </c>
      <c r="E8" s="84" t="s">
        <v>3637</v>
      </c>
    </row>
    <row r="9" spans="1:5" ht="28" x14ac:dyDescent="0.2">
      <c r="A9" s="37">
        <v>5</v>
      </c>
      <c r="B9" s="30" t="s">
        <v>3638</v>
      </c>
      <c r="C9" s="41" t="s">
        <v>3825</v>
      </c>
      <c r="D9" s="42">
        <f>PERCENTILE(Base_IFData!Q5:Q1626,0.9)</f>
        <v>1114820</v>
      </c>
      <c r="E9" s="85" t="s">
        <v>3639</v>
      </c>
    </row>
    <row r="10" spans="1:5" ht="28" x14ac:dyDescent="0.2">
      <c r="A10" s="35">
        <v>6</v>
      </c>
      <c r="B10" s="29" t="s">
        <v>3640</v>
      </c>
      <c r="C10" s="41" t="s">
        <v>3826</v>
      </c>
      <c r="D10" s="42" t="str">
        <f>"Soma: "&amp;FIXED(SUM(Base_IFData!S5:S1626),0)&amp;" | Média: "&amp;FIXED(AVERAGE(Base_IFData!S5:S1626),2)</f>
        <v>Soma: 14.922 | Média: 9,20</v>
      </c>
      <c r="E10" s="84" t="s">
        <v>3641</v>
      </c>
    </row>
    <row r="11" spans="1:5" x14ac:dyDescent="0.2">
      <c r="A11" s="8"/>
      <c r="B11" s="8"/>
      <c r="C11" s="8"/>
      <c r="D11" s="8"/>
      <c r="E11" s="8"/>
    </row>
    <row r="12" spans="1:5" ht="21.75" customHeight="1" x14ac:dyDescent="0.2">
      <c r="A12" s="139" t="s">
        <v>3642</v>
      </c>
      <c r="B12" s="140"/>
      <c r="C12" s="140"/>
      <c r="D12" s="140"/>
      <c r="E12" s="140"/>
    </row>
    <row r="13" spans="1:5" ht="40" customHeight="1" x14ac:dyDescent="0.2">
      <c r="A13" s="123" t="s">
        <v>3626</v>
      </c>
      <c r="B13" s="123" t="s">
        <v>3627</v>
      </c>
      <c r="C13" s="123" t="s">
        <v>3628</v>
      </c>
      <c r="D13" s="123" t="s">
        <v>3629</v>
      </c>
      <c r="E13" s="124" t="s">
        <v>3630</v>
      </c>
    </row>
    <row r="14" spans="1:5" ht="28" x14ac:dyDescent="0.2">
      <c r="A14" s="35">
        <v>7</v>
      </c>
      <c r="B14" s="29" t="s">
        <v>3827</v>
      </c>
      <c r="C14" s="41" t="s">
        <v>3828</v>
      </c>
      <c r="D14" s="42">
        <f>COUNTIF(Base_IFData!G5:G1626, "= 1")</f>
        <v>39</v>
      </c>
      <c r="E14" s="84" t="s">
        <v>3643</v>
      </c>
    </row>
    <row r="15" spans="1:5" ht="42" x14ac:dyDescent="0.2">
      <c r="A15" s="37">
        <v>8</v>
      </c>
      <c r="B15" s="30" t="s">
        <v>3644</v>
      </c>
      <c r="C15" s="41" t="s">
        <v>3829</v>
      </c>
      <c r="D15" s="42">
        <f>COUNTIF(Base_IFData!F5:F1626, "b1")</f>
        <v>116</v>
      </c>
      <c r="E15" s="85" t="s">
        <v>3645</v>
      </c>
    </row>
    <row r="16" spans="1:5" ht="28" x14ac:dyDescent="0.2">
      <c r="A16" s="35">
        <v>9</v>
      </c>
      <c r="B16" s="29" t="s">
        <v>3646</v>
      </c>
      <c r="C16" s="41" t="s">
        <v>3830</v>
      </c>
      <c r="D16" s="42">
        <f>SUMIF(Base_IFData!G5:G1626,1,Base_IFData!L5:L1626)</f>
        <v>6391175337</v>
      </c>
      <c r="E16" s="84" t="s">
        <v>3647</v>
      </c>
    </row>
    <row r="17" spans="1:5" ht="42" x14ac:dyDescent="0.2">
      <c r="A17" s="37">
        <v>10</v>
      </c>
      <c r="B17" s="30" t="s">
        <v>3648</v>
      </c>
      <c r="C17" s="41" t="s">
        <v>3831</v>
      </c>
      <c r="D17" s="42">
        <f>AVERAGEIF(Base_IFData!G5:G1626,2,Base_IFData!M5:M1626)</f>
        <v>2487004.7368421052</v>
      </c>
      <c r="E17" s="85" t="s">
        <v>3649</v>
      </c>
    </row>
    <row r="18" spans="1:5" ht="28" x14ac:dyDescent="0.2">
      <c r="A18" s="35">
        <v>11</v>
      </c>
      <c r="B18" s="29" t="s">
        <v>3650</v>
      </c>
      <c r="C18" s="41" t="s">
        <v>3832</v>
      </c>
      <c r="D18" s="42">
        <f>COUNTIFS(Base_IFData!J5:J1626,"SP",Base_IFData!R5:R1626,"&gt;0")</f>
        <v>495</v>
      </c>
      <c r="E18" s="84" t="s">
        <v>3651</v>
      </c>
    </row>
    <row r="19" spans="1:5" ht="42" x14ac:dyDescent="0.2">
      <c r="A19" s="37">
        <v>12</v>
      </c>
      <c r="B19" s="30" t="s">
        <v>3652</v>
      </c>
      <c r="C19" s="41" t="s">
        <v>3833</v>
      </c>
      <c r="D19" s="42">
        <f>SUMIF(Base_IFData!G5:G1626,3,Base_IFData!R5:R1626)</f>
        <v>27091361</v>
      </c>
      <c r="E19" s="85" t="s">
        <v>3653</v>
      </c>
    </row>
    <row r="20" spans="1:5" x14ac:dyDescent="0.2">
      <c r="A20" s="8"/>
      <c r="B20" s="8"/>
      <c r="C20" s="8"/>
      <c r="D20" s="8"/>
      <c r="E20" s="8"/>
    </row>
    <row r="21" spans="1:5" ht="21.75" customHeight="1" x14ac:dyDescent="0.2">
      <c r="A21" s="139" t="s">
        <v>3654</v>
      </c>
      <c r="B21" s="140"/>
      <c r="C21" s="140"/>
      <c r="D21" s="140"/>
      <c r="E21" s="140"/>
    </row>
    <row r="22" spans="1:5" ht="40" customHeight="1" x14ac:dyDescent="0.2">
      <c r="A22" s="123" t="s">
        <v>3626</v>
      </c>
      <c r="B22" s="123" t="s">
        <v>3627</v>
      </c>
      <c r="C22" s="123" t="s">
        <v>3628</v>
      </c>
      <c r="D22" s="123" t="s">
        <v>3629</v>
      </c>
      <c r="E22" s="124" t="s">
        <v>3630</v>
      </c>
    </row>
    <row r="23" spans="1:5" ht="56" x14ac:dyDescent="0.2">
      <c r="A23" s="35">
        <v>13</v>
      </c>
      <c r="B23" s="29" t="s">
        <v>3655</v>
      </c>
      <c r="C23" s="41" t="s">
        <v>3834</v>
      </c>
      <c r="D23" s="42">
        <f>COUNTIF(Base_IFData!X5:X1626,"Grande")</f>
        <v>24</v>
      </c>
      <c r="E23" s="84" t="s">
        <v>3656</v>
      </c>
    </row>
    <row r="24" spans="1:5" ht="70" x14ac:dyDescent="0.2">
      <c r="A24" s="37">
        <v>14</v>
      </c>
      <c r="B24" s="30" t="s">
        <v>3657</v>
      </c>
      <c r="C24" s="41" t="s">
        <v>3835</v>
      </c>
      <c r="D24" s="42">
        <f>COUNTIF(Base_IFData!Y5:Y1626,"Excelente")</f>
        <v>458</v>
      </c>
      <c r="E24" s="85" t="s">
        <v>3658</v>
      </c>
    </row>
    <row r="25" spans="1:5" ht="56" x14ac:dyDescent="0.2">
      <c r="A25" s="35">
        <v>15</v>
      </c>
      <c r="B25" s="29" t="s">
        <v>3836</v>
      </c>
      <c r="C25" s="41" t="s">
        <v>3837</v>
      </c>
      <c r="D25" s="42">
        <f>VLOOKUP("NU FINANCEIRA*",Base_IFData!A5:L1626,12,FALSE)</f>
        <v>267624695</v>
      </c>
      <c r="E25" s="84" t="s">
        <v>3659</v>
      </c>
    </row>
  </sheetData>
  <mergeCells count="4">
    <mergeCell ref="A21:E21"/>
    <mergeCell ref="A1:E1"/>
    <mergeCell ref="A3:E3"/>
    <mergeCell ref="A12:E1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E3A8A"/>
    <pageSetUpPr fitToPage="1"/>
  </sheetPr>
  <dimension ref="A1:E23"/>
  <sheetViews>
    <sheetView showGridLines="0" zoomScaleNormal="100" workbookViewId="0">
      <pane ySplit="4" topLeftCell="A5" activePane="bottomLeft" state="frozen"/>
      <selection pane="bottomLeft" activeCell="C2" sqref="C2"/>
    </sheetView>
  </sheetViews>
  <sheetFormatPr baseColWidth="10" defaultColWidth="8.6640625" defaultRowHeight="15" x14ac:dyDescent="0.2"/>
  <cols>
    <col min="1" max="1" width="6" customWidth="1"/>
    <col min="2" max="2" width="64" customWidth="1"/>
    <col min="3" max="3" width="66.6640625" customWidth="1"/>
    <col min="4" max="4" width="56.6640625" customWidth="1"/>
    <col min="5" max="5" width="58" customWidth="1"/>
  </cols>
  <sheetData>
    <row r="1" spans="1:5" ht="31.5" customHeight="1" x14ac:dyDescent="0.2">
      <c r="A1" s="145" t="s">
        <v>3838</v>
      </c>
      <c r="B1" s="146"/>
      <c r="C1" s="146"/>
      <c r="D1" s="146"/>
      <c r="E1" s="146"/>
    </row>
    <row r="2" spans="1:5" ht="15" customHeight="1" x14ac:dyDescent="0.2">
      <c r="A2" s="133"/>
      <c r="B2" s="133"/>
      <c r="C2" s="133"/>
      <c r="D2" s="133"/>
      <c r="E2" s="133"/>
    </row>
    <row r="3" spans="1:5" ht="21.75" customHeight="1" x14ac:dyDescent="0.2">
      <c r="A3" s="139" t="s">
        <v>3660</v>
      </c>
      <c r="B3" s="140"/>
      <c r="C3" s="140"/>
      <c r="D3" s="140"/>
      <c r="E3" s="140"/>
    </row>
    <row r="4" spans="1:5" ht="40" customHeight="1" x14ac:dyDescent="0.2">
      <c r="A4" s="123" t="s">
        <v>3626</v>
      </c>
      <c r="B4" s="123" t="s">
        <v>3627</v>
      </c>
      <c r="C4" s="123" t="s">
        <v>3628</v>
      </c>
      <c r="D4" s="123" t="s">
        <v>3629</v>
      </c>
      <c r="E4" s="124" t="s">
        <v>3630</v>
      </c>
    </row>
    <row r="5" spans="1:5" ht="98" x14ac:dyDescent="0.2">
      <c r="A5" s="35">
        <v>1</v>
      </c>
      <c r="B5" s="29" t="s">
        <v>3661</v>
      </c>
      <c r="C5" s="43" t="s">
        <v>3839</v>
      </c>
      <c r="D5" s="43" t="str">
        <f>"Total: "&amp;FIXED(Tabela_TCB!B13,0)&amp;" instituições. Maior ativo: "&amp;INDEX(Tabela_TCB!A5:A12,MATCH(MAX(Tabela_TCB!C5:C12),Tabela_TCB!C5:C12,0))&amp;" ("&amp;FIXED(MAX(Tabela_TCB!G5:G12)*100,1)&amp;"%"&amp;" do ativo). Maior lucro: "&amp;INDEX(Tabela_TCB!A5:A12,MATCH(MAX(Tabela_TCB!E5:E12),Tabela_TCB!E5:E12,0))&amp;" ("&amp;FIXED(MAX(Tabela_TCB!H5:H12)*100,1)&amp;"%"&amp;" do lucro). Tabela completa na aba Tabela_TCB."</f>
        <v>Total: 1.622 instituições. Maior ativo: b1 (73,3% do ativo). Maior lucro: b1 (52,5% do lucro). Tabela completa na aba Tabela_TCB.</v>
      </c>
      <c r="E5" s="84" t="s">
        <v>3662</v>
      </c>
    </row>
    <row r="6" spans="1:5" ht="112" x14ac:dyDescent="0.2">
      <c r="A6" s="37">
        <v>2</v>
      </c>
      <c r="B6" s="30" t="s">
        <v>3663</v>
      </c>
      <c r="C6" s="43" t="s">
        <v>3840</v>
      </c>
      <c r="D6" s="43" t="str">
        <f>"Média simples dos ROEs: Público "&amp;FIXED(Cálculos_Apoio!D11*100,1)&amp;"%"&amp;"; Privado Nacional "&amp;FIXED(Cálculos_Apoio!D12*100,1)&amp;"%"&amp;"; Privado Estrangeiro "&amp;FIXED(Cálculos_Apoio!D13*100,1)&amp;"%"&amp;"."&amp;CHAR(10)&amp;"ROE agregado (Lucro ÷ PL): Público "&amp;FIXED(Cálculos_Apoio!G11*100,1)&amp;"%"&amp;"; Privado Nacional "&amp;FIXED(Cálculos_Apoio!G12*100,1)&amp;"%"&amp;"; Privado Estrangeiro "&amp;FIXED(Cálculos_Apoio!G13*100,1)&amp;"%"&amp;"."&amp;CHAR(10)&amp;"Mais rentável pela média simples: "&amp;INDEX(Cálculos_Apoio!B11:B13,MATCH(MAX(Cálculos_Apoio!D11:D13),Cálculos_Apoio!D11:D13,0))&amp;". Pelo ROE agregado: "&amp;INDEX(Cálculos_Apoio!B11:B13,MATCH(MAX(Cálculos_Apoio!G11:G13),Cálculos_Apoio!G11:G13,0))&amp;"."</f>
        <v>Média simples dos ROEs: Público 8,0%; Privado Nacional 1,4%; Privado Estrangeiro -3,4%.
ROE agregado (Lucro ÷ PL): Público 5,3%; Privado Nacional 8,5%; Privado Estrangeiro 7,7%.
Mais rentável pela média simples: Público. Pelo ROE agregado: Privado Nacional.</v>
      </c>
      <c r="E6" s="85" t="s">
        <v>3664</v>
      </c>
    </row>
    <row r="7" spans="1:5" ht="56" x14ac:dyDescent="0.2">
      <c r="A7" s="35">
        <v>3</v>
      </c>
      <c r="B7" s="29" t="s">
        <v>3665</v>
      </c>
      <c r="C7" s="43" t="s">
        <v>3841</v>
      </c>
      <c r="D7" s="43" t="str">
        <f>"Público: "&amp;FIXED(Cálculos_Apoio!D18*100,1)&amp;"%"&amp;" do ativo ("&amp;FIXED(Cálculos_Apoio!E18,0)&amp;" instituições, "&amp;FIXED(Cálculos_Apoio!F18*100,1)&amp;"%"&amp;" do total)."&amp;CHAR(10)&amp;"Privado Nacional: "&amp;FIXED(Cálculos_Apoio!D19*100,1)&amp;"%"&amp;" do ativo ("&amp;FIXED(Cálculos_Apoio!E19,0)&amp;" instituições, "&amp;FIXED(Cálculos_Apoio!F19*100,1)&amp;"%"&amp;")."&amp;CHAR(10)&amp;"Privado Estrangeiro: "&amp;FIXED(Cálculos_Apoio!D20*100,1)&amp;"%"&amp;" do ativo ("&amp;FIXED(Cálculos_Apoio!E20,0)&amp;" instituições, "&amp;FIXED(Cálculos_Apoio!F20*100,1)&amp;"%"&amp;")."</f>
        <v>Público: 32,8% do ativo (39 instituições, 2,4% do total).
Privado Nacional: 50,1% do ativo (1.353 instituições, 83,4%).
Privado Estrangeiro: 17,2% do ativo (230 instituições, 14,2%).</v>
      </c>
      <c r="E7" s="84" t="s">
        <v>3666</v>
      </c>
    </row>
    <row r="8" spans="1:5" x14ac:dyDescent="0.2">
      <c r="A8" s="8"/>
      <c r="B8" s="8"/>
      <c r="C8" s="8"/>
      <c r="D8" s="8"/>
      <c r="E8" s="8"/>
    </row>
    <row r="9" spans="1:5" ht="21.75" customHeight="1" x14ac:dyDescent="0.2">
      <c r="A9" s="139" t="s">
        <v>3667</v>
      </c>
      <c r="B9" s="140"/>
      <c r="C9" s="140"/>
      <c r="D9" s="140"/>
      <c r="E9" s="140"/>
    </row>
    <row r="10" spans="1:5" ht="40" customHeight="1" x14ac:dyDescent="0.2">
      <c r="A10" s="123" t="s">
        <v>3626</v>
      </c>
      <c r="B10" s="123" t="s">
        <v>3627</v>
      </c>
      <c r="C10" s="123" t="s">
        <v>3628</v>
      </c>
      <c r="D10" s="123" t="s">
        <v>3629</v>
      </c>
      <c r="E10" s="124" t="s">
        <v>3630</v>
      </c>
    </row>
    <row r="11" spans="1:5" ht="168" x14ac:dyDescent="0.2">
      <c r="A11" s="35">
        <v>4</v>
      </c>
      <c r="B11" s="29" t="s">
        <v>3668</v>
      </c>
      <c r="C11" s="43" t="s">
        <v>3842</v>
      </c>
      <c r="D11" s="43" t="str">
        <f>"(a) Toda a base:"&amp;CHAR(10)&amp;"1º "&amp;IF(LEN(Cálculos_Apoio!B27)&gt;28,LEFT(Cálculos_Apoio!B27,28)&amp;"...",Cálculos_Apoio!B27)&amp;" ("&amp;FIXED(Cálculos_Apoio!E27*100,1)&amp;"%"&amp;")"&amp;CHAR(10)&amp;"2º "&amp;IF(LEN(Cálculos_Apoio!B28)&gt;28,LEFT(Cálculos_Apoio!B28,28)&amp;"...",Cálculos_Apoio!B28)&amp;" ("&amp;FIXED(Cálculos_Apoio!E28*100,1)&amp;"%"&amp;")"&amp;CHAR(10)&amp;"3º "&amp;IF(LEN(Cálculos_Apoio!B29)&gt;28,LEFT(Cálculos_Apoio!B29,28)&amp;"...",Cálculos_Apoio!B29)&amp;" ("&amp;FIXED(Cálculos_Apoio!E29*100,1)&amp;"%"&amp;")"&amp;CHAR(10)&amp;"4º "&amp;IF(LEN(Cálculos_Apoio!B30)&gt;28,LEFT(Cálculos_Apoio!B30,28)&amp;"...",Cálculos_Apoio!B30)&amp;" ("&amp;FIXED(Cálculos_Apoio!E30*100,1)&amp;"%"&amp;")"&amp;CHAR(10)&amp;"5º "&amp;IF(LEN(Cálculos_Apoio!B31)&gt;28,LEFT(Cálculos_Apoio!B31,28)&amp;"...",Cálculos_Apoio!B31)&amp;" ("&amp;FIXED(Cálculos_Apoio!E31*100,1)&amp;"%"&amp;")"&amp;CHAR(10)&amp;"(b) Ativo &gt; R$ "&amp;FIXED(Cálculos_Apoio!B4/1000000,0)&amp;" bi:"&amp;CHAR(10)&amp;"1º "&amp;IF(LEN(Cálculos_Apoio!B35)&gt;28,LEFT(Cálculos_Apoio!B35,28)&amp;"...",Cálculos_Apoio!B35)&amp;" ("&amp;FIXED(Cálculos_Apoio!E35*100,1)&amp;"%"&amp;")"&amp;CHAR(10)&amp;"2º "&amp;IF(LEN(Cálculos_Apoio!B36)&gt;28,LEFT(Cálculos_Apoio!B36,28)&amp;"...",Cálculos_Apoio!B36)&amp;" ("&amp;FIXED(Cálculos_Apoio!E36*100,1)&amp;"%"&amp;")"&amp;CHAR(10)&amp;"3º "&amp;IF(LEN(Cálculos_Apoio!B37)&gt;28,LEFT(Cálculos_Apoio!B37,28)&amp;"...",Cálculos_Apoio!B37)&amp;" ("&amp;FIXED(Cálculos_Apoio!E37*100,1)&amp;"%"&amp;")"&amp;CHAR(10)&amp;"4º "&amp;IF(LEN(Cálculos_Apoio!B38)&gt;28,LEFT(Cálculos_Apoio!B38,28)&amp;"...",Cálculos_Apoio!B38)&amp;" ("&amp;FIXED(Cálculos_Apoio!E38*100,1)&amp;"%"&amp;")"&amp;CHAR(10)&amp;"5º "&amp;IF(LEN(Cálculos_Apoio!B39)&gt;28,LEFT(Cálculos_Apoio!B39,28)&amp;"...",Cálculos_Apoio!B39)&amp;" ("&amp;FIXED(Cálculos_Apoio!E39*100,1)&amp;"%"&amp;")"</f>
        <v>(a) Toda a base:
1º GREENPASS TECNOLOGIA E INSTI... (168,5%)
2º BOC BRASIL S.A. - CRÉDITO, F... (147,1%)
3º CAIXA DISTRIBUIDORA DE TÍTUL... (90,7%)
4º BB GESTÃO DE RECURSOS - DIST... (87,1%)
5º EFEX INSTITUIÇÃO DE PAGAMENT... (82,1%)
(b) Ativo &gt; R$ 1 bi:
1º BB GESTÃO DE RECURSOS - DIST... (87,1%)
2º CITIBANK DISTRIBUIDORA DE TI... (63,3%)
3º DAYCOVAL LEASING SOCIEDADE D... (56,0%)
4º BTG PACTUAL SERVIÇOS FINANCE... (46,9%)
5º CLOUDWALK FINANCEIRA S.A. CR... (44,5%)</v>
      </c>
      <c r="E11" s="84" t="s">
        <v>3669</v>
      </c>
    </row>
    <row r="12" spans="1:5" ht="70" x14ac:dyDescent="0.2">
      <c r="A12" s="37">
        <v>5</v>
      </c>
      <c r="B12" s="30" t="s">
        <v>3670</v>
      </c>
      <c r="C12" s="43" t="s">
        <v>3843</v>
      </c>
      <c r="D12" s="43" t="str">
        <f>"Calculada para "&amp;FIXED(Cálculos_Apoio!B42,0)&amp;" instituições (excluídas: "&amp;FIXED(Cálculos_Apoio!B43,0)&amp;" com PL ≤ 0 e "&amp;FIXED(Cálculos_Apoio!B44,0)&amp;" NI). Maior: "&amp;Cálculos_Apoio!B46&amp;" ("&amp;FIXED(Cálculos_Apoio!B45,1)&amp;"x; TCB "&amp;Cálculos_Apoio!B47&amp;"). Mediana: "&amp;FIXED(Cálculos_Apoio!B48,1)&amp;"x."</f>
        <v>Calculada para 1.565 instituições (excluídas: 6 com PL ≤ 0 e 51 NI). Maior: BANCO DIGIO S.A. (505,2x; TCB b2). Mediana: 3,5x.</v>
      </c>
      <c r="E12" s="85" t="s">
        <v>3671</v>
      </c>
    </row>
    <row r="13" spans="1:5" ht="84" x14ac:dyDescent="0.2">
      <c r="A13" s="35">
        <v>6</v>
      </c>
      <c r="B13" s="29" t="s">
        <v>3672</v>
      </c>
      <c r="C13" s="43" t="s">
        <v>3844</v>
      </c>
      <c r="D13" s="43" t="str">
        <f>FIXED(Cálculos_Apoio!B51,0)&amp;" instituições têm Carteira ≥ "&amp;FIXED(Cálculos_Apoio!B5,0)&amp;"x o PL ("&amp;FIXED(Cálculos_Apoio!B53*100,1)&amp;"%"&amp;" das "&amp;FIXED(Cálculos_Apoio!B52,0)&amp;" com PL &gt; 0). Mais frequente no TCB "&amp;INDEX(Cálculos_Apoio!A55:A62,MATCH(MAX(Cálculos_Apoio!B55:B62),Cálculos_Apoio!B55:B62,0))&amp;" ("&amp;FIXED(MAX(Cálculos_Apoio!B55:B62),0)&amp;" instituições)."</f>
        <v>21 instituições têm Carteira ≥ 10x o PL (1,3% das 1.565 com PL &gt; 0). Mais frequente no TCB b1 (11 instituições).</v>
      </c>
      <c r="E13" s="84" t="s">
        <v>3673</v>
      </c>
    </row>
    <row r="14" spans="1:5" x14ac:dyDescent="0.2">
      <c r="A14" s="8"/>
      <c r="B14" s="8"/>
      <c r="C14" s="8"/>
      <c r="D14" s="8"/>
      <c r="E14" s="8"/>
    </row>
    <row r="15" spans="1:5" ht="21.75" customHeight="1" x14ac:dyDescent="0.2">
      <c r="A15" s="139" t="s">
        <v>3674</v>
      </c>
      <c r="B15" s="140"/>
      <c r="C15" s="140"/>
      <c r="D15" s="140"/>
      <c r="E15" s="140"/>
    </row>
    <row r="16" spans="1:5" ht="40" customHeight="1" x14ac:dyDescent="0.2">
      <c r="A16" s="123" t="s">
        <v>3626</v>
      </c>
      <c r="B16" s="123" t="s">
        <v>3627</v>
      </c>
      <c r="C16" s="123" t="s">
        <v>3628</v>
      </c>
      <c r="D16" s="123" t="s">
        <v>3629</v>
      </c>
      <c r="E16" s="124" t="s">
        <v>3630</v>
      </c>
    </row>
    <row r="17" spans="1:5" ht="42" x14ac:dyDescent="0.2">
      <c r="A17" s="35">
        <v>7</v>
      </c>
      <c r="B17" s="29" t="s">
        <v>3675</v>
      </c>
      <c r="C17" s="43" t="s">
        <v>3845</v>
      </c>
      <c r="D17" s="43" t="str">
        <f>FIXED(Cálculos_Apoio!B66,0)&amp;" instituições com sede em "&amp;Cálculos_Apoio!B6&amp;" têm Ativo &gt; R$ "&amp;FIXED(Cálculos_Apoio!B4/1000000,0)&amp;" bi, de "&amp;FIXED(Cálculos_Apoio!B67,0)&amp;" no país ("&amp;FIXED(Cálculos_Apoio!B68*100,1)&amp;"%"&amp;" do total acima desse corte)."</f>
        <v>207 instituições com sede em SP têm Ativo &gt; R$ 1 bi, de 511 no país (40,5% do total acima desse corte).</v>
      </c>
      <c r="E17" s="84" t="s">
        <v>3676</v>
      </c>
    </row>
    <row r="18" spans="1:5" ht="70" x14ac:dyDescent="0.2">
      <c r="A18" s="37">
        <v>8</v>
      </c>
      <c r="B18" s="30" t="s">
        <v>3677</v>
      </c>
      <c r="C18" s="43" t="s">
        <v>3846</v>
      </c>
      <c r="D18" s="43" t="str">
        <f>FIXED(Cálculos_Apoio!B71,0)&amp;" instituições sem agência física somam R$ "&amp;FIXED(Cálculos_Apoio!B72,0)&amp;" mil, ou "&amp;FIXED(Cálculos_Apoio!B73*100,1)&amp;"%"&amp;" do ativo total. Estão em "&amp;COUNTIF(Cálculos_Apoio!B75:B82,"&gt;0")&amp;" TCBs: "&amp;Cálculos_Apoio!A77&amp;" ("&amp;FIXED(Cálculos_Apoio!B77,0)&amp;") e "&amp;Cálculos_Apoio!A78&amp;" ("&amp;FIXED(Cálculos_Apoio!B78,0)&amp;"). Nos TCBs "&amp;Cálculos_Apoio!A80&amp;" e "&amp;Cálculos_Apoio!A82&amp;" há "&amp;FIXED(Cálculos_Apoio!B80+Cálculos_Apoio!B82,0)&amp;" sem agência."</f>
        <v>756 instituições sem agência física somam R$ 1.246.899.112 mil, ou 6,4% do ativo total. Estão em 2 TCBs: b3S (729) e b3C (27). Nos TCBs n1 e n4 há 0 sem agência.</v>
      </c>
      <c r="E18" s="85" t="s">
        <v>3678</v>
      </c>
    </row>
    <row r="19" spans="1:5" ht="84" x14ac:dyDescent="0.2">
      <c r="A19" s="35">
        <v>9</v>
      </c>
      <c r="B19" s="29" t="s">
        <v>3679</v>
      </c>
      <c r="C19" s="43" t="s">
        <v>3847</v>
      </c>
      <c r="D19" s="43" t="str">
        <f>"SP: "&amp;FIXED(Cálculos_Apoio!B87,0)&amp;" ("&amp;FIXED(Cálculos_Apoio!C87*100,1)&amp;"%"&amp;")"&amp;CHAR(10)&amp;"MG: "&amp;FIXED(Cálculos_Apoio!B88,0)&amp;" ("&amp;FIXED(Cálculos_Apoio!C88*100,1)&amp;"%"&amp;")"&amp;CHAR(10)&amp;"RS: "&amp;FIXED(Cálculos_Apoio!B89,0)&amp;" ("&amp;FIXED(Cálculos_Apoio!C89*100,1)&amp;"%"&amp;")"&amp;CHAR(10)&amp;"PR: "&amp;FIXED(Cálculos_Apoio!B90,0)&amp;" ("&amp;FIXED(Cálculos_Apoio!C90*100,1)&amp;"%"&amp;")"&amp;CHAR(10)&amp;"SC: "&amp;FIXED(Cálculos_Apoio!B91,0)&amp;" ("&amp;FIXED(Cálculos_Apoio!C91*100,1)&amp;"%"&amp;")"&amp;CHAR(10)&amp;"Demais UFs: "&amp;FIXED(Cálculos_Apoio!B92,0)&amp;" ("&amp;FIXED(Cálculos_Apoio!C92*100,1)&amp;"%"&amp;"). Total: "&amp;FIXED(Cálculos_Apoio!B93,0)</f>
        <v>SP: 684 (42,2%)
MG: 210 (12,9%)
RS: 145 (8,9%)
PR: 121 (7,5%)
SC: 118 (7,3%)
Demais UFs: 344 (21,2%). Total: 1.622</v>
      </c>
      <c r="E19" s="84" t="s">
        <v>3680</v>
      </c>
    </row>
    <row r="20" spans="1:5" x14ac:dyDescent="0.2">
      <c r="A20" s="8"/>
      <c r="B20" s="8"/>
      <c r="C20" s="8"/>
      <c r="D20" s="8"/>
      <c r="E20" s="8"/>
    </row>
    <row r="21" spans="1:5" ht="21.75" customHeight="1" x14ac:dyDescent="0.2">
      <c r="A21" s="139" t="s">
        <v>3681</v>
      </c>
      <c r="B21" s="140"/>
      <c r="C21" s="140"/>
      <c r="D21" s="140"/>
      <c r="E21" s="140"/>
    </row>
    <row r="22" spans="1:5" ht="40" customHeight="1" x14ac:dyDescent="0.2">
      <c r="A22" s="123" t="s">
        <v>3626</v>
      </c>
      <c r="B22" s="123" t="s">
        <v>3627</v>
      </c>
      <c r="C22" s="123" t="s">
        <v>3628</v>
      </c>
      <c r="D22" s="123" t="s">
        <v>3629</v>
      </c>
      <c r="E22" s="124" t="s">
        <v>3630</v>
      </c>
    </row>
    <row r="23" spans="1:5" ht="252" x14ac:dyDescent="0.2">
      <c r="A23" s="35">
        <v>10</v>
      </c>
      <c r="B23" s="29" t="s">
        <v>3682</v>
      </c>
      <c r="C23" s="43" t="s">
        <v>3802</v>
      </c>
      <c r="D23" s="43" t="str">
        <f>"1. PERFIL: sistema muito concentrado e dominado por bancos. O TCB b1 reúne "&amp;FIXED(Tabela_TCB!F5*100,1)&amp;"%"&amp;" das instituições e "&amp;FIXED(Tabela_TCB!G5*100,1)&amp;"%"&amp;" do ativo; as cooperativas singulares (b3S) são "&amp;FIXED(Tabela_TCB!F7*100,1)&amp;"%"&amp;" das instituições e só "&amp;FIXED(Tabela_TCB!G7*100,1)&amp;"%"&amp;" do ativo."&amp;" Por controle, o setor privado nacional detém "&amp;FIXED(Cálculos_Apoio!D19*100,1)&amp;"%"&amp;" do ativo, o público "&amp;FIXED(Cálculos_Apoio!D18*100,1)&amp;"%"&amp;" e o estrangeiro "&amp;FIXED(Cálculos_Apoio!D20*100,1)&amp;"%"&amp;"."&amp;CHAR(10)&amp;CHAR(10)&amp;"2. INSIGHT MAIS SURPREENDENTE: a média simples dos ROEs do sistema é "&amp;FIXED(Cálculos_Apoio!D14*100,1)&amp;"%"&amp;", mas o ROE agregado (Lucro ÷ PL) é "&amp;FIXED(Cálculos_Apoio!G14*100,1)&amp;"%"&amp;". Entre os estrangeiros, a média simples é "&amp;FIXED(Cálculos_Apoio!D13*100,1)&amp;"%"&amp;" e o agregado "&amp;FIXED(Cálculos_Apoio!G13*100,1)&amp;"%"&amp;"."&amp;" Muitas instituições pequenas distorcem a média. O maior ROE da base ("&amp;FIXED(Cálculos_Apoio!E27*100,1)&amp;"%"&amp;") é de uma instituição com Ativo de R$ "&amp;FIXED(Cálculos_Apoio!D27/1000,0)&amp;" milhões."&amp;CHAR(10)&amp;CHAR(10)&amp;"3. EM 2 MINUTOS: o sistema tem "&amp;FIXED(Tabela_TCB!B13,0)&amp;" instituições, mas poucas concentram o ativo ("&amp;FIXED(Tabela_TCB!G5*100,1)&amp;"%"&amp;" no b1). Para rentabilidade, use o ROE agregado, não a média simples."&amp;" Ressalvas: "&amp;FIXED(Cálculos_Apoio!B44,0)&amp;" instituições com NI ficam fora das somas, e holdings e controladas podem duplicar ativo. Recomendação: repetir a análise por grupo econômico (conglomerado)."</f>
        <v>1. PERFIL: sistema muito concentrado e dominado por bancos. O TCB b1 reúne 7,2% das instituições e 73,3% do ativo; as cooperativas singulares (b3S) são 44,9% das instituições e só 5,1% do ativo. Por controle, o setor privado nacional detém 50,1% do ativo, o público 32,8% e o estrangeiro 17,2%.
2. INSIGHT MAIS SURPREENDENTE: a média simples dos ROEs do sistema é 0,8%, mas o ROE agregado (Lucro ÷ PL) é 7,5%. Entre os estrangeiros, a média simples é -3,4% e o agregado 7,7%. Muitas instituições pequenas distorcem a média. O maior ROE da base (168,5%) é de uma instituição com Ativo de R$ 420 milhões.
3. EM 2 MINUTOS: o sistema tem 1.622 instituições, mas poucas concentram o ativo (73,3% no b1). Para rentabilidade, use o ROE agregado, não a média simples. Ressalvas: 51 instituições com NI ficam fora das somas, e holdings e controladas podem duplicar ativo. Recomendação: repetir a análise por grupo econômico (conglomerado).</v>
      </c>
      <c r="E23" s="84" t="s">
        <v>3683</v>
      </c>
    </row>
  </sheetData>
  <mergeCells count="5">
    <mergeCell ref="A15:E15"/>
    <mergeCell ref="A21:E21"/>
    <mergeCell ref="A1:E1"/>
    <mergeCell ref="A3:E3"/>
    <mergeCell ref="A9:E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355B-015B-9842-8DD0-0CCA54FCC7FC}">
  <sheetPr>
    <tabColor rgb="FF1E3A8A"/>
  </sheetPr>
  <dimension ref="A1:H16"/>
  <sheetViews>
    <sheetView showGridLines="0" workbookViewId="0">
      <pane ySplit="4" topLeftCell="A5" activePane="bottomLeft" state="frozen"/>
      <selection pane="bottomLeft" activeCell="F22" sqref="F22"/>
    </sheetView>
  </sheetViews>
  <sheetFormatPr baseColWidth="10" defaultRowHeight="15" x14ac:dyDescent="0.2"/>
  <cols>
    <col min="1" max="1" width="36.33203125" customWidth="1"/>
    <col min="2" max="2" width="17.83203125" customWidth="1"/>
    <col min="3" max="4" width="18.6640625" customWidth="1"/>
    <col min="5" max="5" width="14.83203125" customWidth="1"/>
    <col min="6" max="6" width="16.6640625" customWidth="1"/>
    <col min="7" max="7" width="15.33203125" customWidth="1"/>
    <col min="8" max="8" width="17.83203125" customWidth="1"/>
  </cols>
  <sheetData>
    <row r="1" spans="1:8" ht="31.5" customHeight="1" x14ac:dyDescent="0.2">
      <c r="A1" s="127" t="s">
        <v>3660</v>
      </c>
      <c r="B1" s="127"/>
      <c r="C1" s="127"/>
      <c r="D1" s="127"/>
      <c r="E1" s="127"/>
      <c r="F1" s="127"/>
      <c r="G1" s="127"/>
      <c r="H1" s="127"/>
    </row>
    <row r="2" spans="1:8" ht="15" customHeight="1" x14ac:dyDescent="0.2">
      <c r="A2" s="135"/>
      <c r="B2" s="135"/>
      <c r="C2" s="135"/>
      <c r="D2" s="135"/>
      <c r="E2" s="135"/>
      <c r="F2" s="135"/>
      <c r="G2" s="135"/>
      <c r="H2" s="135"/>
    </row>
    <row r="3" spans="1:8" x14ac:dyDescent="0.2">
      <c r="A3" s="8"/>
      <c r="B3" s="8"/>
      <c r="C3" s="8"/>
      <c r="D3" s="8"/>
      <c r="E3" s="8"/>
      <c r="F3" s="8"/>
      <c r="G3" s="8"/>
      <c r="H3" s="8"/>
    </row>
    <row r="4" spans="1:8" ht="40" customHeight="1" x14ac:dyDescent="0.2">
      <c r="A4" s="123" t="s">
        <v>4</v>
      </c>
      <c r="B4" s="123" t="s">
        <v>3743</v>
      </c>
      <c r="C4" s="123" t="s">
        <v>3744</v>
      </c>
      <c r="D4" s="123" t="s">
        <v>3745</v>
      </c>
      <c r="E4" s="123" t="s">
        <v>3746</v>
      </c>
      <c r="F4" s="123" t="s">
        <v>3747</v>
      </c>
      <c r="G4" s="123" t="s">
        <v>3748</v>
      </c>
      <c r="H4" s="124" t="s">
        <v>3749</v>
      </c>
    </row>
    <row r="5" spans="1:8" ht="15" customHeight="1" x14ac:dyDescent="0.2">
      <c r="A5" s="12" t="s">
        <v>26</v>
      </c>
      <c r="B5" s="13">
        <f>COUNTIF(Base_IFData!$F$5:$F$1626,$A5)</f>
        <v>116</v>
      </c>
      <c r="C5" s="13">
        <f>SUMIF(Base_IFData!$F$5:$F$1626,$A5,Base_IFData!$L$5:$L$1626)</f>
        <v>14285826206</v>
      </c>
      <c r="D5" s="13">
        <f>AVERAGEIF(Base_IFData!$F$5:$F$1626,$A5,Base_IFData!$M$5:$M$1626)</f>
        <v>48348726.429824561</v>
      </c>
      <c r="E5" s="13">
        <f>SUMIF(Base_IFData!$F$5:$F$1626,$A5,Base_IFData!$R$5:$R$1626)</f>
        <v>80608476</v>
      </c>
      <c r="F5" s="14">
        <f>B5/B$13</f>
        <v>7.1516646115906288E-2</v>
      </c>
      <c r="G5" s="14">
        <f>C5/C$13</f>
        <v>0.73269093250498718</v>
      </c>
      <c r="H5" s="86">
        <f>E5/E$13</f>
        <v>0.52524896235467367</v>
      </c>
    </row>
    <row r="6" spans="1:8" ht="15" customHeight="1" x14ac:dyDescent="0.2">
      <c r="A6" s="15" t="s">
        <v>60</v>
      </c>
      <c r="B6" s="16">
        <f>COUNTIF(Base_IFData!$F$5:$F$1626,$A6)</f>
        <v>50</v>
      </c>
      <c r="C6" s="16">
        <f>SUMIF(Base_IFData!$F$5:$F$1626,$A6,Base_IFData!$L$5:$L$1626)</f>
        <v>931799119</v>
      </c>
      <c r="D6" s="16">
        <f>AVERAGEIF(Base_IFData!$F$5:$F$1626,$A6,Base_IFData!$M$5:$M$1626)</f>
        <v>8601829.3000000007</v>
      </c>
      <c r="E6" s="16">
        <f>SUMIF(Base_IFData!$F$5:$F$1626,$A6,Base_IFData!$R$5:$R$1626)</f>
        <v>27442031</v>
      </c>
      <c r="F6" s="17">
        <f t="shared" ref="F6:F12" si="0">B6/B$13</f>
        <v>3.0826140567200986E-2</v>
      </c>
      <c r="G6" s="17">
        <f t="shared" ref="G6:G12" si="1">C6/C$13</f>
        <v>4.7790079170968426E-2</v>
      </c>
      <c r="H6" s="87">
        <f t="shared" ref="H6:H12" si="2">E6/E$13</f>
        <v>0.17881368092922123</v>
      </c>
    </row>
    <row r="7" spans="1:8" ht="15" customHeight="1" x14ac:dyDescent="0.2">
      <c r="A7" s="12" t="s">
        <v>265</v>
      </c>
      <c r="B7" s="13">
        <f>COUNTIF(Base_IFData!$F$5:$F$1626,$A7)</f>
        <v>729</v>
      </c>
      <c r="C7" s="13">
        <f>SUMIF(Base_IFData!$F$5:$F$1626,$A7,Base_IFData!$L$5:$L$1626)</f>
        <v>992158870</v>
      </c>
      <c r="D7" s="13">
        <f>AVERAGEIF(Base_IFData!$F$5:$F$1626,$A7,Base_IFData!$M$5:$M$1626)</f>
        <v>752586.23098591552</v>
      </c>
      <c r="E7" s="13">
        <f>SUMIF(Base_IFData!$F$5:$F$1626,$A7,Base_IFData!$R$5:$R$1626)</f>
        <v>8584469</v>
      </c>
      <c r="F7" s="14">
        <f t="shared" si="0"/>
        <v>0.44944512946979037</v>
      </c>
      <c r="G7" s="14">
        <f t="shared" si="1"/>
        <v>5.0885807874946669E-2</v>
      </c>
      <c r="H7" s="86">
        <f t="shared" si="2"/>
        <v>5.593684012356049E-2</v>
      </c>
    </row>
    <row r="8" spans="1:8" ht="15" customHeight="1" x14ac:dyDescent="0.2">
      <c r="A8" s="15" t="s">
        <v>199</v>
      </c>
      <c r="B8" s="16">
        <f>COUNTIF(Base_IFData!$F$5:$F$1626,$A8)</f>
        <v>27</v>
      </c>
      <c r="C8" s="16">
        <f>SUMIF(Base_IFData!$F$5:$F$1626,$A8,Base_IFData!$L$5:$L$1626)</f>
        <v>254740242</v>
      </c>
      <c r="D8" s="16">
        <f>AVERAGEIF(Base_IFData!$F$5:$F$1626,$A8,Base_IFData!$M$5:$M$1626)</f>
        <v>102214.25925925926</v>
      </c>
      <c r="E8" s="16">
        <f>SUMIF(Base_IFData!$F$5:$F$1626,$A8,Base_IFData!$R$5:$R$1626)</f>
        <v>677773</v>
      </c>
      <c r="F8" s="17">
        <f t="shared" si="0"/>
        <v>1.6646115906288533E-2</v>
      </c>
      <c r="G8" s="17">
        <f t="shared" si="1"/>
        <v>1.3065108224481651E-2</v>
      </c>
      <c r="H8" s="87">
        <f t="shared" si="2"/>
        <v>4.4164036169349512E-3</v>
      </c>
    </row>
    <row r="9" spans="1:8" ht="15" customHeight="1" x14ac:dyDescent="0.2">
      <c r="A9" s="12" t="s">
        <v>52</v>
      </c>
      <c r="B9" s="13">
        <f>COUNTIF(Base_IFData!$F$5:$F$1626,$A9)</f>
        <v>4</v>
      </c>
      <c r="C9" s="13">
        <f>SUMIF(Base_IFData!$F$5:$F$1626,$A9,Base_IFData!$L$5:$L$1626)</f>
        <v>1121980384</v>
      </c>
      <c r="D9" s="13">
        <f>AVERAGEIF(Base_IFData!$F$5:$F$1626,$A9,Base_IFData!$M$5:$M$1626)</f>
        <v>102571598</v>
      </c>
      <c r="E9" s="13">
        <f>SUMIF(Base_IFData!$F$5:$F$1626,$A9,Base_IFData!$R$5:$R$1626)</f>
        <v>11549205</v>
      </c>
      <c r="F9" s="14">
        <f t="shared" si="0"/>
        <v>2.4660912453760789E-3</v>
      </c>
      <c r="G9" s="14">
        <f t="shared" si="1"/>
        <v>5.754408894180716E-2</v>
      </c>
      <c r="H9" s="86">
        <f t="shared" si="2"/>
        <v>7.525521189944602E-2</v>
      </c>
    </row>
    <row r="10" spans="1:8" ht="15" customHeight="1" x14ac:dyDescent="0.2">
      <c r="A10" s="15" t="s">
        <v>65</v>
      </c>
      <c r="B10" s="16">
        <f>COUNTIF(Base_IFData!$F$5:$F$1626,$A10)</f>
        <v>290</v>
      </c>
      <c r="C10" s="16">
        <f>SUMIF(Base_IFData!$F$5:$F$1626,$A10,Base_IFData!$L$5:$L$1626)</f>
        <v>734344384</v>
      </c>
      <c r="D10" s="16">
        <f>AVERAGEIF(Base_IFData!$F$5:$F$1626,$A10,Base_IFData!$M$5:$M$1626)</f>
        <v>1384488.1582733812</v>
      </c>
      <c r="E10" s="16">
        <f>SUMIF(Base_IFData!$F$5:$F$1626,$A10,Base_IFData!$R$5:$R$1626)</f>
        <v>9405388</v>
      </c>
      <c r="F10" s="17">
        <f t="shared" si="0"/>
        <v>0.17879161528976573</v>
      </c>
      <c r="G10" s="17">
        <f t="shared" si="1"/>
        <v>3.7663027936513896E-2</v>
      </c>
      <c r="H10" s="87">
        <f t="shared" si="2"/>
        <v>6.1285990415488059E-2</v>
      </c>
    </row>
    <row r="11" spans="1:8" ht="15" customHeight="1" x14ac:dyDescent="0.2">
      <c r="A11" s="12" t="s">
        <v>98</v>
      </c>
      <c r="B11" s="13">
        <f>COUNTIF(Base_IFData!$F$5:$F$1626,$A11)</f>
        <v>210</v>
      </c>
      <c r="C11" s="13">
        <f>SUMIF(Base_IFData!$F$5:$F$1626,$A11,Base_IFData!$L$5:$L$1626)</f>
        <v>261394666</v>
      </c>
      <c r="D11" s="13">
        <f>AVERAGEIF(Base_IFData!$F$5:$F$1626,$A11,Base_IFData!$M$5:$M$1626)</f>
        <v>863.00975609756097</v>
      </c>
      <c r="E11" s="13">
        <f>SUMIF(Base_IFData!$F$5:$F$1626,$A11,Base_IFData!$R$5:$R$1626)</f>
        <v>4805470</v>
      </c>
      <c r="F11" s="14">
        <f t="shared" si="0"/>
        <v>0.12946979038224415</v>
      </c>
      <c r="G11" s="14">
        <f t="shared" si="1"/>
        <v>1.3406400079466965E-2</v>
      </c>
      <c r="H11" s="86">
        <f t="shared" si="2"/>
        <v>3.1312688892995738E-2</v>
      </c>
    </row>
    <row r="12" spans="1:8" ht="15" customHeight="1" x14ac:dyDescent="0.2">
      <c r="A12" s="19" t="s">
        <v>84</v>
      </c>
      <c r="B12" s="20">
        <f>COUNTIF(Base_IFData!$F$5:$F$1626,$A12)</f>
        <v>196</v>
      </c>
      <c r="C12" s="20">
        <f>SUMIF(Base_IFData!$F$5:$F$1626,$A12,Base_IFData!$L$5:$L$1626)</f>
        <v>915508281</v>
      </c>
      <c r="D12" s="20">
        <f>AVERAGEIF(Base_IFData!$F$5:$F$1626,$A12,Base_IFData!$M$5:$M$1626)</f>
        <v>611339.85245901637</v>
      </c>
      <c r="E12" s="20">
        <f>SUMIF(Base_IFData!$F$5:$F$1626,$A12,Base_IFData!$R$5:$R$1626)</f>
        <v>10394366</v>
      </c>
      <c r="F12" s="21">
        <f t="shared" si="0"/>
        <v>0.12083847102342787</v>
      </c>
      <c r="G12" s="21">
        <f t="shared" si="1"/>
        <v>4.6954555266828076E-2</v>
      </c>
      <c r="H12" s="88">
        <f t="shared" si="2"/>
        <v>6.7730221767679857E-2</v>
      </c>
    </row>
    <row r="13" spans="1:8" ht="15" customHeight="1" x14ac:dyDescent="0.2">
      <c r="A13" s="22" t="s">
        <v>3710</v>
      </c>
      <c r="B13" s="23">
        <f>SUM(B5:B12)</f>
        <v>1622</v>
      </c>
      <c r="C13" s="23">
        <f>SUM(C5:C12)</f>
        <v>19497752152</v>
      </c>
      <c r="D13" s="23">
        <f>AVERAGE(Base_IFData!$M$5:$M$1626)</f>
        <v>4701571.2902609799</v>
      </c>
      <c r="E13" s="23">
        <f>SUM(E5:E12)</f>
        <v>153467178</v>
      </c>
      <c r="F13" s="24">
        <f>SUM(F5:F12)</f>
        <v>1</v>
      </c>
      <c r="G13" s="24">
        <f>SUM(G5:G12)</f>
        <v>1</v>
      </c>
      <c r="H13" s="89">
        <f>SUM(H5:H12)</f>
        <v>1.0000000000000002</v>
      </c>
    </row>
    <row r="14" spans="1:8" x14ac:dyDescent="0.2">
      <c r="A14" s="8"/>
      <c r="B14" s="8"/>
      <c r="C14" s="8"/>
      <c r="D14" s="8"/>
      <c r="E14" s="8"/>
      <c r="F14" s="8"/>
      <c r="G14" s="8"/>
      <c r="H14" s="8"/>
    </row>
    <row r="15" spans="1:8" ht="15" customHeight="1" x14ac:dyDescent="0.2">
      <c r="A15" s="12" t="s">
        <v>3750</v>
      </c>
      <c r="B15" s="90">
        <f>B13-COUNTA(Base_IFData!$A$5:$A$1626)</f>
        <v>0</v>
      </c>
      <c r="C15" s="8"/>
      <c r="D15" s="8"/>
      <c r="E15" s="8"/>
      <c r="F15" s="8"/>
      <c r="G15" s="8"/>
      <c r="H15" s="8"/>
    </row>
    <row r="16" spans="1:8" ht="15" customHeight="1" x14ac:dyDescent="0.2">
      <c r="A16" s="15" t="s">
        <v>3751</v>
      </c>
      <c r="B16" s="91">
        <f>C13-SUM(Base_IFData!$L$5:$L$1626)</f>
        <v>0</v>
      </c>
      <c r="C16" s="8"/>
      <c r="D16" s="8"/>
      <c r="E16" s="8"/>
      <c r="F16" s="8"/>
      <c r="G16" s="8"/>
      <c r="H16" s="8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2766-502E-9E44-8581-707115AFC21F}">
  <sheetPr>
    <tabColor rgb="FF1E3A8A"/>
  </sheetPr>
  <dimension ref="A1:AD1625"/>
  <sheetViews>
    <sheetView showGridLines="0" workbookViewId="0">
      <pane ySplit="3" topLeftCell="A4" activePane="bottomLeft" state="frozen"/>
      <selection pane="bottomLeft" activeCell="A2" sqref="A2"/>
    </sheetView>
  </sheetViews>
  <sheetFormatPr baseColWidth="10" defaultRowHeight="15" x14ac:dyDescent="0.2"/>
  <cols>
    <col min="1" max="2" width="50" customWidth="1"/>
    <col min="3" max="3" width="25.5" customWidth="1"/>
    <col min="4" max="4" width="24.83203125" customWidth="1"/>
    <col min="5" max="5" width="28.33203125" customWidth="1"/>
    <col min="6" max="6" width="32" customWidth="1"/>
    <col min="7" max="7" width="26.83203125" customWidth="1"/>
    <col min="8" max="8" width="16.33203125" customWidth="1"/>
    <col min="9" max="10" width="3.33203125" customWidth="1"/>
    <col min="11" max="11" width="50" customWidth="1"/>
    <col min="12" max="12" width="9" customWidth="1"/>
    <col min="13" max="13" width="16.5" customWidth="1"/>
    <col min="14" max="14" width="20.5" customWidth="1"/>
    <col min="15" max="15" width="18.6640625" customWidth="1"/>
    <col min="17" max="17" width="15" customWidth="1"/>
    <col min="18" max="18" width="9" customWidth="1"/>
    <col min="19" max="19" width="16.1640625" customWidth="1"/>
    <col min="20" max="20" width="18.6640625" customWidth="1"/>
    <col min="21" max="21" width="15.1640625" customWidth="1"/>
    <col min="22" max="22" width="3.33203125" customWidth="1"/>
    <col min="23" max="23" width="11.6640625" customWidth="1"/>
    <col min="24" max="24" width="19.83203125" customWidth="1"/>
    <col min="25" max="25" width="40" customWidth="1"/>
    <col min="26" max="26" width="18" customWidth="1"/>
    <col min="27" max="27" width="17.5" customWidth="1"/>
    <col min="28" max="28" width="9" customWidth="1"/>
    <col min="29" max="29" width="16.1640625" customWidth="1"/>
    <col min="30" max="30" width="18.6640625" customWidth="1"/>
  </cols>
  <sheetData>
    <row r="1" spans="1:30" ht="31.5" customHeight="1" x14ac:dyDescent="0.2">
      <c r="A1" s="127" t="s">
        <v>3848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</row>
    <row r="2" spans="1:30" ht="15" customHeight="1" x14ac:dyDescent="0.2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6" t="s">
        <v>3808</v>
      </c>
      <c r="R2" s="133"/>
      <c r="S2" s="133"/>
      <c r="T2" s="133"/>
      <c r="U2" s="133"/>
      <c r="V2" s="133"/>
      <c r="W2" s="136" t="s">
        <v>3849</v>
      </c>
      <c r="X2" s="133"/>
      <c r="Y2" s="133"/>
      <c r="Z2" s="133"/>
      <c r="AA2" s="133"/>
      <c r="AB2" s="133"/>
      <c r="AC2" s="133"/>
      <c r="AD2" s="133"/>
    </row>
    <row r="3" spans="1:30" ht="21.75" customHeight="1" x14ac:dyDescent="0.2">
      <c r="A3" s="25" t="s">
        <v>3752</v>
      </c>
      <c r="B3" s="25"/>
      <c r="C3" s="25"/>
      <c r="D3" s="25"/>
      <c r="E3" s="25"/>
      <c r="F3" s="25"/>
      <c r="G3" s="25"/>
      <c r="H3" s="25"/>
      <c r="I3" s="8"/>
      <c r="J3" s="8"/>
      <c r="K3" s="123" t="s">
        <v>0</v>
      </c>
      <c r="L3" s="123" t="s">
        <v>4</v>
      </c>
      <c r="M3" s="123" t="s">
        <v>3757</v>
      </c>
      <c r="N3" s="123" t="s">
        <v>3758</v>
      </c>
      <c r="O3" s="124" t="s">
        <v>3759</v>
      </c>
      <c r="P3" s="8"/>
      <c r="Q3" s="123" t="s">
        <v>3622</v>
      </c>
      <c r="R3" s="123" t="s">
        <v>3594</v>
      </c>
      <c r="S3" s="123" t="s">
        <v>3595</v>
      </c>
      <c r="T3" s="123" t="s">
        <v>3623</v>
      </c>
      <c r="U3" s="124" t="s">
        <v>3803</v>
      </c>
      <c r="V3" s="8"/>
      <c r="W3" s="123" t="s">
        <v>4</v>
      </c>
      <c r="X3" s="123" t="s">
        <v>3804</v>
      </c>
      <c r="Y3" s="123" t="s">
        <v>3805</v>
      </c>
      <c r="Z3" s="124" t="s">
        <v>3806</v>
      </c>
      <c r="AA3" s="8"/>
      <c r="AB3" s="8"/>
      <c r="AC3" s="8"/>
      <c r="AD3" s="8"/>
    </row>
    <row r="4" spans="1:30" ht="15" customHeight="1" x14ac:dyDescent="0.2">
      <c r="A4" s="12" t="s">
        <v>3753</v>
      </c>
      <c r="B4" s="100">
        <v>1000000</v>
      </c>
      <c r="C4" s="8"/>
      <c r="D4" s="8"/>
      <c r="E4" s="8"/>
      <c r="F4" s="8"/>
      <c r="G4" s="8"/>
      <c r="H4" s="8"/>
      <c r="I4" s="8"/>
      <c r="J4" s="8"/>
      <c r="K4" s="12" t="str">
        <f>Base_IFData!A5</f>
        <v>BANCO DO BRASIL S.A.</v>
      </c>
      <c r="L4" s="12" t="str">
        <f>Base_IFData!F5</f>
        <v>b1</v>
      </c>
      <c r="M4" s="14">
        <f>IF(AND(ISNUMBER(Base_IFData!L5),ISNUMBER(Base_IFData!W5)),IF(Base_IFData!L5&gt;$B$4,Base_IFData!W5,""),"")</f>
        <v>3.4279763753011346E-2</v>
      </c>
      <c r="N4" s="51">
        <f>IF(AND(ISNUMBER(Base_IFData!O5),ISNUMBER(Base_IFData!Q5)),IF(Base_IFData!Q5&gt;0,Base_IFData!O5/Base_IFData!Q5,"PL ≤ 0"),"NI")</f>
        <v>12.572187577111196</v>
      </c>
      <c r="O4" s="110">
        <f>IF(AND(ISNUMBER(Base_IFData!M5),ISNUMBER(Base_IFData!Q5)),IF(Base_IFData!Q5&gt;0,Base_IFData!M5/Base_IFData!Q5,"PL ≤ 0"),"NI")</f>
        <v>5.8770895970705403</v>
      </c>
      <c r="P4" s="8"/>
      <c r="Q4" s="53" cm="1">
        <f t="array" ref="Q4">INDEX(Base_IFData!$L$5:$L$1626,$U4)/1000000</f>
        <v>2461.086914</v>
      </c>
      <c r="R4" s="54" cm="1">
        <f t="array" ref="R4">IF(INDEX(Base_IFData!$U$5:$U$1626,$U4)=R$3,INDEX(Base_IFData!$W$5:$W$1626,$U4),NA())</f>
        <v>3.4279763753011346E-2</v>
      </c>
      <c r="S4" s="55" t="e" cm="1">
        <f t="array" ref="S4">IF(INDEX(Base_IFData!$U$5:$U$1626,$U4)=S$3,INDEX(Base_IFData!$W$5:$W$1626,$U4),NA())</f>
        <v>#N/A</v>
      </c>
      <c r="T4" s="54" t="e" cm="1">
        <f t="array" ref="T4">IF(INDEX(Base_IFData!$U$5:$U$1626,$U4)=T$3,INDEX(Base_IFData!$W$5:$W$1626,$U4),NA())</f>
        <v>#N/A</v>
      </c>
      <c r="U4" s="114">
        <f>MATCH(LARGE(Base_IFData!$L$5:$L$1626,ROWS(U$4:U4)),Base_IFData!$L$5:$L$1626,0)</f>
        <v>1</v>
      </c>
      <c r="V4" s="8"/>
      <c r="W4" s="67" t="s">
        <v>26</v>
      </c>
      <c r="X4" s="55">
        <f>SUMIF(Base_IFData!$F$5:$F$1626,$W4,Base_IFData!$R$5:$R$1626)/SUMIF(Base_IFData!$F$5:$F$1626,$W4,Base_IFData!$Q$5:$Q$1626)</f>
        <v>7.1441186017791036E-2</v>
      </c>
      <c r="Y4" s="53">
        <f>AVERAGEIF(Base_IFData!$F$5:$F$1626,$W4,Base_IFData!$L$5:$L$1626)/1000000</f>
        <v>125.31426496491228</v>
      </c>
      <c r="Z4" s="116">
        <f>SUMIF(Base_IFData!$F$5:$F$1626,$W4,Base_IFData!$M$5:$M$1626)/SUMIF(Base_IFData!$F$5:$F$1626,$W4,Base_IFData!$L$5:$L$1626)</f>
        <v>0.38581981423553097</v>
      </c>
      <c r="AA4" s="8"/>
      <c r="AB4" s="8"/>
      <c r="AC4" s="8"/>
      <c r="AD4" s="8"/>
    </row>
    <row r="5" spans="1:30" ht="15" customHeight="1" x14ac:dyDescent="0.2">
      <c r="A5" s="15" t="s">
        <v>3754</v>
      </c>
      <c r="B5" s="101">
        <v>10</v>
      </c>
      <c r="C5" s="8"/>
      <c r="D5" s="8"/>
      <c r="E5" s="8"/>
      <c r="F5" s="8"/>
      <c r="G5" s="8"/>
      <c r="H5" s="8"/>
      <c r="I5" s="8"/>
      <c r="J5" s="8"/>
      <c r="K5" s="15" t="str">
        <f>Base_IFData!A6</f>
        <v>CAIXA ECONOMICA FEDERAL</v>
      </c>
      <c r="L5" s="15" t="str">
        <f>Base_IFData!F6</f>
        <v>b1</v>
      </c>
      <c r="M5" s="17">
        <f>IF(AND(ISNUMBER(Base_IFData!L6),ISNUMBER(Base_IFData!W6)),IF(Base_IFData!L6&gt;$B$4,Base_IFData!W6,""),"")</f>
        <v>5.563839528239236E-2</v>
      </c>
      <c r="N5" s="50">
        <f>IF(AND(ISNUMBER(Base_IFData!O6),ISNUMBER(Base_IFData!Q6)),IF(Base_IFData!Q6&gt;0,Base_IFData!O6/Base_IFData!Q6,"PL ≤ 0"),"NI")</f>
        <v>19.006685813654443</v>
      </c>
      <c r="O5" s="107">
        <f>IF(AND(ISNUMBER(Base_IFData!M6),ISNUMBER(Base_IFData!Q6)),IF(Base_IFData!Q6&gt;0,Base_IFData!M6/Base_IFData!Q6,"PL ≤ 0"),"NI")</f>
        <v>11.509304211740302</v>
      </c>
      <c r="P5" s="8"/>
      <c r="Q5" s="57" cm="1">
        <f t="array" ref="Q5">INDEX(Base_IFData!$L$5:$L$1626,$U5)/1000000</f>
        <v>2368.1472250000002</v>
      </c>
      <c r="R5" s="58" cm="1">
        <f t="array" ref="R5">IF(INDEX(Base_IFData!$U$5:$U$1626,$U5)=R$3,INDEX(Base_IFData!$W$5:$W$1626,$U5),NA())</f>
        <v>5.563839528239236E-2</v>
      </c>
      <c r="S5" s="59" t="e" cm="1">
        <f t="array" ref="S5">IF(INDEX(Base_IFData!$U$5:$U$1626,$U5)=S$3,INDEX(Base_IFData!$W$5:$W$1626,$U5),NA())</f>
        <v>#N/A</v>
      </c>
      <c r="T5" s="58" t="e" cm="1">
        <f t="array" ref="T5">IF(INDEX(Base_IFData!$U$5:$U$1626,$U5)=T$3,INDEX(Base_IFData!$W$5:$W$1626,$U5),NA())</f>
        <v>#N/A</v>
      </c>
      <c r="U5" s="115">
        <f>MATCH(LARGE(Base_IFData!$L$5:$L$1626,ROWS(U$4:U5)),Base_IFData!$L$5:$L$1626,0)</f>
        <v>2</v>
      </c>
      <c r="V5" s="8"/>
      <c r="W5" s="68" t="s">
        <v>60</v>
      </c>
      <c r="X5" s="59">
        <f>SUMIF(Base_IFData!$F$5:$F$1626,$W5,Base_IFData!$R$5:$R$1626)/SUMIF(Base_IFData!$F$5:$F$1626,$W5,Base_IFData!$Q$5:$Q$1626)</f>
        <v>9.7382483726476315E-2</v>
      </c>
      <c r="Y5" s="57">
        <f>AVERAGEIF(Base_IFData!$F$5:$F$1626,$W5,Base_IFData!$L$5:$L$1626)/1000000</f>
        <v>18.635982379999998</v>
      </c>
      <c r="Z5" s="117">
        <f>SUMIF(Base_IFData!$F$5:$F$1626,$W5,Base_IFData!$M$5:$M$1626)/SUMIF(Base_IFData!$F$5:$F$1626,$W5,Base_IFData!$L$5:$L$1626)</f>
        <v>0.46157101485733426</v>
      </c>
      <c r="AA5" s="8"/>
      <c r="AB5" s="8"/>
      <c r="AC5" s="8"/>
      <c r="AD5" s="8"/>
    </row>
    <row r="6" spans="1:30" ht="15" customHeight="1" x14ac:dyDescent="0.2">
      <c r="A6" s="12" t="s">
        <v>3755</v>
      </c>
      <c r="B6" s="102" t="s">
        <v>39</v>
      </c>
      <c r="C6" s="8"/>
      <c r="D6" s="8"/>
      <c r="E6" s="8"/>
      <c r="F6" s="8"/>
      <c r="G6" s="8"/>
      <c r="H6" s="8"/>
      <c r="I6" s="8"/>
      <c r="J6" s="8"/>
      <c r="K6" s="12" t="str">
        <f>Base_IFData!A7</f>
        <v>ITAÚ UNIBANCO S.A.</v>
      </c>
      <c r="L6" s="12" t="str">
        <f>Base_IFData!F7</f>
        <v>b1</v>
      </c>
      <c r="M6" s="14">
        <f>IF(AND(ISNUMBER(Base_IFData!L7),ISNUMBER(Base_IFData!W7)),IF(Base_IFData!L7&gt;$B$4,Base_IFData!W7,""),"")</f>
        <v>0.1213291720440668</v>
      </c>
      <c r="N6" s="51">
        <f>IF(AND(ISNUMBER(Base_IFData!O7),ISNUMBER(Base_IFData!Q7)),IF(Base_IFData!Q7&gt;0,Base_IFData!O7/Base_IFData!Q7,"PL ≤ 0"),"NI")</f>
        <v>12.320588941325779</v>
      </c>
      <c r="O6" s="110">
        <f>IF(AND(ISNUMBER(Base_IFData!M7),ISNUMBER(Base_IFData!Q7)),IF(Base_IFData!Q7&gt;0,Base_IFData!M7/Base_IFData!Q7,"PL ≤ 0"),"NI")</f>
        <v>4.298779744504813</v>
      </c>
      <c r="P6" s="8"/>
      <c r="Q6" s="53" cm="1">
        <f t="array" ref="Q6">INDEX(Base_IFData!$L$5:$L$1626,$U6)/1000000</f>
        <v>2169.4095649999999</v>
      </c>
      <c r="R6" s="54" t="e" cm="1">
        <f t="array" ref="R6">IF(INDEX(Base_IFData!$U$5:$U$1626,$U6)=R$3,INDEX(Base_IFData!$W$5:$W$1626,$U6),NA())</f>
        <v>#N/A</v>
      </c>
      <c r="S6" s="55" cm="1">
        <f t="array" ref="S6">IF(INDEX(Base_IFData!$U$5:$U$1626,$U6)=S$3,INDEX(Base_IFData!$W$5:$W$1626,$U6),NA())</f>
        <v>0.1213291720440668</v>
      </c>
      <c r="T6" s="54" t="e" cm="1">
        <f t="array" ref="T6">IF(INDEX(Base_IFData!$U$5:$U$1626,$U6)=T$3,INDEX(Base_IFData!$W$5:$W$1626,$U6),NA())</f>
        <v>#N/A</v>
      </c>
      <c r="U6" s="114">
        <f>MATCH(LARGE(Base_IFData!$L$5:$L$1626,ROWS(U$4:U6)),Base_IFData!$L$5:$L$1626,0)</f>
        <v>3</v>
      </c>
      <c r="V6" s="8"/>
      <c r="W6" s="67" t="s">
        <v>265</v>
      </c>
      <c r="X6" s="55">
        <f>SUMIF(Base_IFData!$F$5:$F$1626,$W6,Base_IFData!$R$5:$R$1626)/SUMIF(Base_IFData!$F$5:$F$1626,$W6,Base_IFData!$Q$5:$Q$1626)</f>
        <v>6.1318956261808069E-2</v>
      </c>
      <c r="Y6" s="53">
        <f>AVERAGEIF(Base_IFData!$F$5:$F$1626,$W6,Base_IFData!$L$5:$L$1626)/1000000</f>
        <v>1.3974068591549296</v>
      </c>
      <c r="Z6" s="116">
        <f>SUMIF(Base_IFData!$F$5:$F$1626,$W6,Base_IFData!$M$5:$M$1626)/SUMIF(Base_IFData!$F$5:$F$1626,$W6,Base_IFData!$L$5:$L$1626)</f>
        <v>0.53855913619962903</v>
      </c>
      <c r="AA6" s="8"/>
      <c r="AB6" s="8"/>
      <c r="AC6" s="8"/>
      <c r="AD6" s="8"/>
    </row>
    <row r="7" spans="1:30" ht="15" customHeight="1" x14ac:dyDescent="0.2">
      <c r="A7" s="19" t="s">
        <v>3756</v>
      </c>
      <c r="B7" s="102">
        <v>0</v>
      </c>
      <c r="C7" s="8"/>
      <c r="D7" s="8"/>
      <c r="E7" s="8"/>
      <c r="F7" s="8"/>
      <c r="G7" s="8"/>
      <c r="H7" s="8"/>
      <c r="I7" s="8"/>
      <c r="J7" s="8"/>
      <c r="K7" s="15" t="str">
        <f>Base_IFData!A8</f>
        <v>BANCO BRADESCO S.A.</v>
      </c>
      <c r="L7" s="15" t="str">
        <f>Base_IFData!F8</f>
        <v>b1</v>
      </c>
      <c r="M7" s="17">
        <f>IF(AND(ISNUMBER(Base_IFData!L8),ISNUMBER(Base_IFData!W8)),IF(Base_IFData!L8&gt;$B$4,Base_IFData!W8,""),"")</f>
        <v>6.8938203830436265E-2</v>
      </c>
      <c r="N7" s="50">
        <f>IF(AND(ISNUMBER(Base_IFData!O8),ISNUMBER(Base_IFData!Q8)),IF(Base_IFData!Q8&gt;0,Base_IFData!O8/Base_IFData!Q8,"PL ≤ 0"),"NI")</f>
        <v>10.142273751506496</v>
      </c>
      <c r="O7" s="107">
        <f>IF(AND(ISNUMBER(Base_IFData!M8),ISNUMBER(Base_IFData!Q8)),IF(Base_IFData!Q8&gt;0,Base_IFData!M8/Base_IFData!Q8,"PL ≤ 0"),"NI")</f>
        <v>4.3144062271823529</v>
      </c>
      <c r="P7" s="8"/>
      <c r="Q7" s="57" cm="1">
        <f t="array" ref="Q7">INDEX(Base_IFData!$L$5:$L$1626,$U7)/1000000</f>
        <v>1952.464273</v>
      </c>
      <c r="R7" s="58" t="e" cm="1">
        <f t="array" ref="R7">IF(INDEX(Base_IFData!$U$5:$U$1626,$U7)=R$3,INDEX(Base_IFData!$W$5:$W$1626,$U7),NA())</f>
        <v>#N/A</v>
      </c>
      <c r="S7" s="59" cm="1">
        <f t="array" ref="S7">IF(INDEX(Base_IFData!$U$5:$U$1626,$U7)=S$3,INDEX(Base_IFData!$W$5:$W$1626,$U7),NA())</f>
        <v>6.8938203830436265E-2</v>
      </c>
      <c r="T7" s="58" t="e" cm="1">
        <f t="array" ref="T7">IF(INDEX(Base_IFData!$U$5:$U$1626,$U7)=T$3,INDEX(Base_IFData!$W$5:$W$1626,$U7),NA())</f>
        <v>#N/A</v>
      </c>
      <c r="U7" s="115">
        <f>MATCH(LARGE(Base_IFData!$L$5:$L$1626,ROWS(U$4:U7)),Base_IFData!$L$5:$L$1626,0)</f>
        <v>4</v>
      </c>
      <c r="V7" s="8"/>
      <c r="W7" s="68" t="s">
        <v>199</v>
      </c>
      <c r="X7" s="59">
        <f>SUMIF(Base_IFData!$F$5:$F$1626,$W7,Base_IFData!$R$5:$R$1626)/SUMIF(Base_IFData!$F$5:$F$1626,$W7,Base_IFData!$Q$5:$Q$1626)</f>
        <v>3.4656352318097654E-2</v>
      </c>
      <c r="Y7" s="57">
        <f>AVERAGEIF(Base_IFData!$F$5:$F$1626,$W7,Base_IFData!$L$5:$L$1626)/1000000</f>
        <v>9.4348237777777779</v>
      </c>
      <c r="Z7" s="117">
        <f>SUMIF(Base_IFData!$F$5:$F$1626,$W7,Base_IFData!$M$5:$M$1626)/SUMIF(Base_IFData!$F$5:$F$1626,$W7,Base_IFData!$L$5:$L$1626)</f>
        <v>1.0833722141160563E-2</v>
      </c>
      <c r="AA7" s="8"/>
      <c r="AB7" s="8"/>
      <c r="AC7" s="8"/>
      <c r="AD7" s="8"/>
    </row>
    <row r="8" spans="1:30" ht="15" customHeight="1" x14ac:dyDescent="0.2">
      <c r="A8" s="92"/>
      <c r="B8" s="8"/>
      <c r="C8" s="8"/>
      <c r="D8" s="8"/>
      <c r="E8" s="8"/>
      <c r="F8" s="8"/>
      <c r="G8" s="8"/>
      <c r="H8" s="8"/>
      <c r="I8" s="8"/>
      <c r="J8" s="8"/>
      <c r="K8" s="12" t="str">
        <f>Base_IFData!A9</f>
        <v>BANCO SANTANDER (BRASIL) S.A.</v>
      </c>
      <c r="L8" s="12" t="str">
        <f>Base_IFData!F9</f>
        <v>b1</v>
      </c>
      <c r="M8" s="14">
        <f>IF(AND(ISNUMBER(Base_IFData!L9),ISNUMBER(Base_IFData!W9)),IF(Base_IFData!L9&gt;$B$4,Base_IFData!W9,""),"")</f>
        <v>7.4772555366127161E-2</v>
      </c>
      <c r="N8" s="51">
        <f>IF(AND(ISNUMBER(Base_IFData!O9),ISNUMBER(Base_IFData!Q9)),IF(Base_IFData!Q9&gt;0,Base_IFData!O9/Base_IFData!Q9,"PL ≤ 0"),"NI")</f>
        <v>11.249233333576743</v>
      </c>
      <c r="O8" s="110">
        <f>IF(AND(ISNUMBER(Base_IFData!M9),ISNUMBER(Base_IFData!Q9)),IF(Base_IFData!Q9&gt;0,Base_IFData!M9/Base_IFData!Q9,"PL ≤ 0"),"NI")</f>
        <v>3.6996117949696417</v>
      </c>
      <c r="P8" s="8"/>
      <c r="Q8" s="53" cm="1">
        <f t="array" ref="Q8">INDEX(Base_IFData!$L$5:$L$1626,$U8)/1000000</f>
        <v>1209.4430829999999</v>
      </c>
      <c r="R8" s="54" t="e" cm="1">
        <f t="array" ref="R8">IF(INDEX(Base_IFData!$U$5:$U$1626,$U8)=R$3,INDEX(Base_IFData!$W$5:$W$1626,$U8),NA())</f>
        <v>#N/A</v>
      </c>
      <c r="S8" s="55" t="e" cm="1">
        <f t="array" ref="S8">IF(INDEX(Base_IFData!$U$5:$U$1626,$U8)=S$3,INDEX(Base_IFData!$W$5:$W$1626,$U8),NA())</f>
        <v>#N/A</v>
      </c>
      <c r="T8" s="54" cm="1">
        <f t="array" ref="T8">IF(INDEX(Base_IFData!$U$5:$U$1626,$U8)=T$3,INDEX(Base_IFData!$W$5:$W$1626,$U8),NA())</f>
        <v>7.4772555366127161E-2</v>
      </c>
      <c r="U8" s="114">
        <f>MATCH(LARGE(Base_IFData!$L$5:$L$1626,ROWS(U$4:U8)),Base_IFData!$L$5:$L$1626,0)</f>
        <v>5</v>
      </c>
      <c r="V8" s="8"/>
      <c r="W8" s="67" t="s">
        <v>52</v>
      </c>
      <c r="X8" s="55">
        <f>SUMIF(Base_IFData!$F$5:$F$1626,$W8,Base_IFData!$R$5:$R$1626)/SUMIF(Base_IFData!$F$5:$F$1626,$W8,Base_IFData!$Q$5:$Q$1626)</f>
        <v>6.0922532227191656E-2</v>
      </c>
      <c r="Y8" s="53">
        <f>AVERAGEIF(Base_IFData!$F$5:$F$1626,$W8,Base_IFData!$L$5:$L$1626)/1000000</f>
        <v>280.49509599999999</v>
      </c>
      <c r="Z8" s="116">
        <f>SUMIF(Base_IFData!$F$5:$F$1626,$W8,Base_IFData!$M$5:$M$1626)/SUMIF(Base_IFData!$F$5:$F$1626,$W8,Base_IFData!$L$5:$L$1626)</f>
        <v>0.36568053938454598</v>
      </c>
      <c r="AA8" s="8"/>
      <c r="AB8" s="8"/>
      <c r="AC8" s="8"/>
      <c r="AD8" s="8"/>
    </row>
    <row r="9" spans="1:30" ht="15" customHeight="1" x14ac:dyDescent="0.2">
      <c r="A9" s="25" t="s">
        <v>3760</v>
      </c>
      <c r="B9" s="25"/>
      <c r="C9" s="25"/>
      <c r="D9" s="25"/>
      <c r="E9" s="25"/>
      <c r="F9" s="25"/>
      <c r="G9" s="25"/>
      <c r="H9" s="25"/>
      <c r="I9" s="8"/>
      <c r="J9" s="8"/>
      <c r="K9" s="15" t="str">
        <f>Base_IFData!A10</f>
        <v>BANCO NACIONAL DE DESENVOLVIMENTO ECONOMICO E SOCIAL</v>
      </c>
      <c r="L9" s="15" t="str">
        <f>Base_IFData!F10</f>
        <v>b4</v>
      </c>
      <c r="M9" s="17">
        <f>IF(AND(ISNUMBER(Base_IFData!L10),ISNUMBER(Base_IFData!W10)),IF(Base_IFData!L10&gt;$B$4,Base_IFData!W10,""),"")</f>
        <v>6.1722446287524886E-2</v>
      </c>
      <c r="N9" s="50">
        <f>IF(AND(ISNUMBER(Base_IFData!O10),ISNUMBER(Base_IFData!Q10)),IF(Base_IFData!Q10&gt;0,Base_IFData!O10/Base_IFData!Q10,"PL ≤ 0"),"NI")</f>
        <v>4.9401456051111241</v>
      </c>
      <c r="O9" s="107">
        <f>IF(AND(ISNUMBER(Base_IFData!M10),ISNUMBER(Base_IFData!Q10)),IF(Base_IFData!Q10&gt;0,Base_IFData!M10/Base_IFData!Q10,"PL ≤ 0"),"NI")</f>
        <v>2.0791204544431272</v>
      </c>
      <c r="P9" s="8"/>
      <c r="Q9" s="57" cm="1">
        <f t="array" ref="Q9">INDEX(Base_IFData!$L$5:$L$1626,$U9)/1000000</f>
        <v>1073.403746</v>
      </c>
      <c r="R9" s="58" cm="1">
        <f t="array" ref="R9">IF(INDEX(Base_IFData!$U$5:$U$1626,$U9)=R$3,INDEX(Base_IFData!$W$5:$W$1626,$U9),NA())</f>
        <v>6.1722446287524886E-2</v>
      </c>
      <c r="S9" s="59" t="e" cm="1">
        <f t="array" ref="S9">IF(INDEX(Base_IFData!$U$5:$U$1626,$U9)=S$3,INDEX(Base_IFData!$W$5:$W$1626,$U9),NA())</f>
        <v>#N/A</v>
      </c>
      <c r="T9" s="58" t="e" cm="1">
        <f t="array" ref="T9">IF(INDEX(Base_IFData!$U$5:$U$1626,$U9)=T$3,INDEX(Base_IFData!$W$5:$W$1626,$U9),NA())</f>
        <v>#N/A</v>
      </c>
      <c r="U9" s="115">
        <f>MATCH(LARGE(Base_IFData!$L$5:$L$1626,ROWS(U$4:U9)),Base_IFData!$L$5:$L$1626,0)</f>
        <v>6</v>
      </c>
      <c r="V9" s="8"/>
      <c r="W9" s="68" t="s">
        <v>65</v>
      </c>
      <c r="X9" s="59">
        <f>SUMIF(Base_IFData!$F$5:$F$1626,$W9,Base_IFData!$R$5:$R$1626)/SUMIF(Base_IFData!$F$5:$F$1626,$W9,Base_IFData!$Q$5:$Q$1626)</f>
        <v>8.6015979984902596E-2</v>
      </c>
      <c r="Y9" s="57">
        <f>AVERAGEIF(Base_IFData!$F$5:$F$1626,$W9,Base_IFData!$L$5:$L$1626)/1000000</f>
        <v>2.6415265611510792</v>
      </c>
      <c r="Z9" s="117">
        <f>SUMIF(Base_IFData!$F$5:$F$1626,$W9,Base_IFData!$M$5:$M$1626)/SUMIF(Base_IFData!$F$5:$F$1626,$W9,Base_IFData!$L$5:$L$1626)</f>
        <v>0.52412426156717229</v>
      </c>
      <c r="AA9" s="8"/>
      <c r="AB9" s="8"/>
      <c r="AC9" s="8"/>
      <c r="AD9" s="8"/>
    </row>
    <row r="10" spans="1:30" ht="15" customHeight="1" x14ac:dyDescent="0.2">
      <c r="A10" s="123" t="s">
        <v>5</v>
      </c>
      <c r="B10" s="123" t="s">
        <v>3761</v>
      </c>
      <c r="C10" s="123" t="s">
        <v>3762</v>
      </c>
      <c r="D10" s="123" t="s">
        <v>3763</v>
      </c>
      <c r="E10" s="123" t="s">
        <v>3746</v>
      </c>
      <c r="F10" s="123" t="s">
        <v>3764</v>
      </c>
      <c r="G10" s="123" t="s">
        <v>3765</v>
      </c>
      <c r="H10" s="124" t="s">
        <v>3766</v>
      </c>
      <c r="I10" s="8"/>
      <c r="J10" s="8"/>
      <c r="K10" s="12" t="str">
        <f>Base_IFData!A11</f>
        <v>BANCO BTG PACTUAL S.A.</v>
      </c>
      <c r="L10" s="12" t="str">
        <f>Base_IFData!F11</f>
        <v>b1</v>
      </c>
      <c r="M10" s="14">
        <f>IF(AND(ISNUMBER(Base_IFData!L11),ISNUMBER(Base_IFData!W11)),IF(Base_IFData!L11&gt;$B$4,Base_IFData!W11,""),"")</f>
        <v>0.11905876608526286</v>
      </c>
      <c r="N10" s="51">
        <f>IF(AND(ISNUMBER(Base_IFData!O11),ISNUMBER(Base_IFData!Q11)),IF(Base_IFData!Q11&gt;0,Base_IFData!O11/Base_IFData!Q11,"PL ≤ 0"),"NI")</f>
        <v>8.342883448968113</v>
      </c>
      <c r="O10" s="110">
        <f>IF(AND(ISNUMBER(Base_IFData!M11),ISNUMBER(Base_IFData!Q11)),IF(Base_IFData!Q11&gt;0,Base_IFData!M11/Base_IFData!Q11,"PL ≤ 0"),"NI")</f>
        <v>1.0259461913969905</v>
      </c>
      <c r="P10" s="8"/>
      <c r="Q10" s="53" cm="1">
        <f t="array" ref="Q10">INDEX(Base_IFData!$L$5:$L$1626,$U10)/1000000</f>
        <v>743.25895700000001</v>
      </c>
      <c r="R10" s="54" t="e" cm="1">
        <f t="array" ref="R10">IF(INDEX(Base_IFData!$U$5:$U$1626,$U10)=R$3,INDEX(Base_IFData!$W$5:$W$1626,$U10),NA())</f>
        <v>#N/A</v>
      </c>
      <c r="S10" s="55" cm="1">
        <f t="array" ref="S10">IF(INDEX(Base_IFData!$U$5:$U$1626,$U10)=S$3,INDEX(Base_IFData!$W$5:$W$1626,$U10),NA())</f>
        <v>0.11905876608526286</v>
      </c>
      <c r="T10" s="54" t="e" cm="1">
        <f t="array" ref="T10">IF(INDEX(Base_IFData!$U$5:$U$1626,$U10)=T$3,INDEX(Base_IFData!$W$5:$W$1626,$U10),NA())</f>
        <v>#N/A</v>
      </c>
      <c r="U10" s="114">
        <f>MATCH(LARGE(Base_IFData!$L$5:$L$1626,ROWS(U$4:U10)),Base_IFData!$L$5:$L$1626,0)</f>
        <v>7</v>
      </c>
      <c r="V10" s="8"/>
      <c r="W10" s="67" t="s">
        <v>98</v>
      </c>
      <c r="X10" s="55">
        <f>SUMIF(Base_IFData!$F$5:$F$1626,$W10,Base_IFData!$R$5:$R$1626)/SUMIF(Base_IFData!$F$5:$F$1626,$W10,Base_IFData!$Q$5:$Q$1626)</f>
        <v>9.8449741344251052E-2</v>
      </c>
      <c r="Y10" s="53">
        <f>AVERAGEIF(Base_IFData!$F$5:$F$1626,$W10,Base_IFData!$L$5:$L$1626)/1000000</f>
        <v>1.2750959317073169</v>
      </c>
      <c r="Z10" s="116">
        <f>SUMIF(Base_IFData!$F$5:$F$1626,$W10,Base_IFData!$M$5:$M$1626)/SUMIF(Base_IFData!$F$5:$F$1626,$W10,Base_IFData!$L$5:$L$1626)</f>
        <v>6.7681947266666877E-4</v>
      </c>
      <c r="AA10" s="8"/>
      <c r="AB10" s="8"/>
      <c r="AC10" s="8"/>
      <c r="AD10" s="8"/>
    </row>
    <row r="11" spans="1:30" ht="15" customHeight="1" x14ac:dyDescent="0.2">
      <c r="A11" s="69">
        <v>1</v>
      </c>
      <c r="B11" s="12" t="str">
        <f>INDEX(Base_IFData!$U$5:$U$1626,MATCH($A11,Base_IFData!$G$5:$G$1626,0))</f>
        <v>Público</v>
      </c>
      <c r="C11" s="46">
        <f>COUNTIF(Base_IFData!$G$5:$G$1626,$A11)</f>
        <v>39</v>
      </c>
      <c r="D11" s="14">
        <f>AVERAGEIF(Base_IFData!$G$5:$G$1626,$A11,Base_IFData!$W$5:$W$1626)</f>
        <v>7.9884687263499898E-2</v>
      </c>
      <c r="E11" s="13">
        <f>SUMIF(Base_IFData!$G$5:$G$1626,$A11,Base_IFData!$R$5:$R$1626)</f>
        <v>29620372</v>
      </c>
      <c r="F11" s="13">
        <f>SUMIF(Base_IFData!$G$5:$G$1626,$A11,Base_IFData!$Q$5:$Q$1626)</f>
        <v>554095297</v>
      </c>
      <c r="G11" s="14">
        <f>E11/F11</f>
        <v>5.3457179947874564E-2</v>
      </c>
      <c r="H11" s="86">
        <f>G11-D11</f>
        <v>-2.6427507315625334E-2</v>
      </c>
      <c r="I11" s="8"/>
      <c r="J11" s="8"/>
      <c r="K11" s="15" t="str">
        <f>Base_IFData!A12</f>
        <v>ITAÚ UNIBANCO HOLDING S.A.</v>
      </c>
      <c r="L11" s="15" t="str">
        <f>Base_IFData!F12</f>
        <v>b2</v>
      </c>
      <c r="M11" s="17">
        <f>IF(AND(ISNUMBER(Base_IFData!L12),ISNUMBER(Base_IFData!W12)),IF(Base_IFData!L12&gt;$B$4,Base_IFData!W12,""),"")</f>
        <v>0.11175156310079797</v>
      </c>
      <c r="N11" s="50">
        <f>IF(AND(ISNUMBER(Base_IFData!O12),ISNUMBER(Base_IFData!Q12)),IF(Base_IFData!Q12&gt;0,Base_IFData!O12/Base_IFData!Q12,"PL ≤ 0"),"NI")</f>
        <v>1.3750897773951136</v>
      </c>
      <c r="O11" s="107">
        <f>IF(AND(ISNUMBER(Base_IFData!M12),ISNUMBER(Base_IFData!Q12)),IF(Base_IFData!Q12&gt;0,Base_IFData!M12/Base_IFData!Q12,"PL ≤ 0"),"NI")</f>
        <v>0.83254895343071811</v>
      </c>
      <c r="P11" s="8"/>
      <c r="Q11" s="57" cm="1">
        <f t="array" ref="Q11">INDEX(Base_IFData!$L$5:$L$1626,$U11)/1000000</f>
        <v>493.18339500000002</v>
      </c>
      <c r="R11" s="58" t="e" cm="1">
        <f t="array" ref="R11">IF(INDEX(Base_IFData!$U$5:$U$1626,$U11)=R$3,INDEX(Base_IFData!$W$5:$W$1626,$U11),NA())</f>
        <v>#N/A</v>
      </c>
      <c r="S11" s="59" cm="1">
        <f t="array" ref="S11">IF(INDEX(Base_IFData!$U$5:$U$1626,$U11)=S$3,INDEX(Base_IFData!$W$5:$W$1626,$U11),NA())</f>
        <v>0.11175156310079797</v>
      </c>
      <c r="T11" s="58" t="e" cm="1">
        <f t="array" ref="T11">IF(INDEX(Base_IFData!$U$5:$U$1626,$U11)=T$3,INDEX(Base_IFData!$W$5:$W$1626,$U11),NA())</f>
        <v>#N/A</v>
      </c>
      <c r="U11" s="115">
        <f>MATCH(LARGE(Base_IFData!$L$5:$L$1626,ROWS(U$4:U11)),Base_IFData!$L$5:$L$1626,0)</f>
        <v>8</v>
      </c>
      <c r="V11" s="8"/>
      <c r="W11" s="72" t="s">
        <v>84</v>
      </c>
      <c r="X11" s="97">
        <f>SUMIF(Base_IFData!$F$5:$F$1626,$W11,Base_IFData!$R$5:$R$1626)/SUMIF(Base_IFData!$F$5:$F$1626,$W11,Base_IFData!$Q$5:$Q$1626)</f>
        <v>8.4329359375806226E-2</v>
      </c>
      <c r="Y11" s="95">
        <f>AVERAGEIF(Base_IFData!$F$5:$F$1626,$W11,Base_IFData!$L$5:$L$1626)/1000000</f>
        <v>5.002777491803279</v>
      </c>
      <c r="Z11" s="117">
        <f>SUMIF(Base_IFData!$F$5:$F$1626,$W11,Base_IFData!$M$5:$M$1626)/SUMIF(Base_IFData!$F$5:$F$1626,$W11,Base_IFData!$L$5:$L$1626)</f>
        <v>0.12220008854294569</v>
      </c>
      <c r="AA11" s="8"/>
      <c r="AB11" s="8"/>
      <c r="AC11" s="8"/>
      <c r="AD11" s="8"/>
    </row>
    <row r="12" spans="1:30" ht="15" customHeight="1" x14ac:dyDescent="0.2">
      <c r="A12" s="70">
        <v>2</v>
      </c>
      <c r="B12" s="15" t="str">
        <f>INDEX(Base_IFData!$U$5:$U$1626,MATCH($A12,Base_IFData!$G$5:$G$1626,0))</f>
        <v>Privado Nacional</v>
      </c>
      <c r="C12" s="49">
        <f>COUNTIF(Base_IFData!$G$5:$G$1626,$A12)</f>
        <v>1353</v>
      </c>
      <c r="D12" s="17">
        <f>AVERAGEIF(Base_IFData!$G$5:$G$1626,$A12,Base_IFData!$W$5:$W$1626)</f>
        <v>1.3724569340199442E-2</v>
      </c>
      <c r="E12" s="16">
        <f>SUMIF(Base_IFData!$G$5:$G$1626,$A12,Base_IFData!$R$5:$R$1626)</f>
        <v>96755445</v>
      </c>
      <c r="F12" s="16">
        <f>SUMIF(Base_IFData!$G$5:$G$1626,$A12,Base_IFData!$Q$5:$Q$1626)</f>
        <v>1135572000</v>
      </c>
      <c r="G12" s="17">
        <f t="shared" ref="G12:G13" si="0">E12/F12</f>
        <v>8.5204148217814454E-2</v>
      </c>
      <c r="H12" s="87">
        <f t="shared" ref="H12:H13" si="1">G12-D12</f>
        <v>7.147957887761501E-2</v>
      </c>
      <c r="I12" s="8"/>
      <c r="J12" s="8"/>
      <c r="K12" s="12" t="str">
        <f>Base_IFData!A13</f>
        <v>NU FINANCEIRA S.A. - SOCIEDADE DE CRÉDITO, FINANCIAMENTO E INVESTIMENTO</v>
      </c>
      <c r="L12" s="12" t="str">
        <f>Base_IFData!F13</f>
        <v>n1</v>
      </c>
      <c r="M12" s="14">
        <f>IF(AND(ISNUMBER(Base_IFData!L13),ISNUMBER(Base_IFData!W13)),IF(Base_IFData!L13&gt;$B$4,Base_IFData!W13,""),"")</f>
        <v>0.27930884025476971</v>
      </c>
      <c r="N12" s="51">
        <f>IF(AND(ISNUMBER(Base_IFData!O13),ISNUMBER(Base_IFData!Q13)),IF(Base_IFData!Q13&gt;0,Base_IFData!O13/Base_IFData!Q13,"PL ≤ 0"),"NI")</f>
        <v>16.819570261721761</v>
      </c>
      <c r="O12" s="110">
        <f>IF(AND(ISNUMBER(Base_IFData!M13),ISNUMBER(Base_IFData!Q13)),IF(Base_IFData!Q13&gt;0,Base_IFData!M13/Base_IFData!Q13,"PL ≤ 0"),"NI")</f>
        <v>5.065764260183534</v>
      </c>
      <c r="P12" s="8"/>
      <c r="Q12" s="53" cm="1">
        <f t="array" ref="Q12">INDEX(Base_IFData!$L$5:$L$1626,$U12)/1000000</f>
        <v>267.62469499999997</v>
      </c>
      <c r="R12" s="54" t="e" cm="1">
        <f t="array" ref="R12">IF(INDEX(Base_IFData!$U$5:$U$1626,$U12)=R$3,INDEX(Base_IFData!$W$5:$W$1626,$U12),NA())</f>
        <v>#N/A</v>
      </c>
      <c r="S12" s="55" t="e" cm="1">
        <f t="array" ref="S12">IF(INDEX(Base_IFData!$U$5:$U$1626,$U12)=S$3,INDEX(Base_IFData!$W$5:$W$1626,$U12),NA())</f>
        <v>#N/A</v>
      </c>
      <c r="T12" s="54" cm="1">
        <f t="array" ref="T12">IF(INDEX(Base_IFData!$U$5:$U$1626,$U12)=T$3,INDEX(Base_IFData!$W$5:$W$1626,$U12),NA())</f>
        <v>0.27930884025476971</v>
      </c>
      <c r="U12" s="114">
        <f>MATCH(LARGE(Base_IFData!$L$5:$L$1626,ROWS(U$4:U12)),Base_IFData!$L$5:$L$1626,0)</f>
        <v>9</v>
      </c>
      <c r="V12" s="8"/>
      <c r="W12" s="92"/>
      <c r="X12" s="92"/>
      <c r="Y12" s="92"/>
      <c r="Z12" s="8"/>
      <c r="AA12" s="8"/>
      <c r="AB12" s="8"/>
      <c r="AC12" s="8"/>
      <c r="AD12" s="8"/>
    </row>
    <row r="13" spans="1:30" ht="15" customHeight="1" x14ac:dyDescent="0.2">
      <c r="A13" s="71">
        <v>3</v>
      </c>
      <c r="B13" s="9" t="str">
        <f>INDEX(Base_IFData!$U$5:$U$1626,MATCH($A13,Base_IFData!$G$5:$G$1626,0))</f>
        <v>Privado Estrangeiro</v>
      </c>
      <c r="C13" s="45">
        <f>COUNTIF(Base_IFData!$G$5:$G$1626,$A13)</f>
        <v>230</v>
      </c>
      <c r="D13" s="11">
        <f>AVERAGEIF(Base_IFData!$G$5:$G$1626,$A13,Base_IFData!$W$5:$W$1626)</f>
        <v>-3.3812466318909676E-2</v>
      </c>
      <c r="E13" s="10">
        <f>SUMIF(Base_IFData!$G$5:$G$1626,$A13,Base_IFData!$R$5:$R$1626)</f>
        <v>27091361</v>
      </c>
      <c r="F13" s="10">
        <f>SUMIF(Base_IFData!$G$5:$G$1626,$A13,Base_IFData!$Q$5:$Q$1626)</f>
        <v>350989626</v>
      </c>
      <c r="G13" s="11">
        <f t="shared" si="0"/>
        <v>7.7185645937011257E-2</v>
      </c>
      <c r="H13" s="103">
        <f t="shared" si="1"/>
        <v>0.11099811225592093</v>
      </c>
      <c r="I13" s="8"/>
      <c r="J13" s="8"/>
      <c r="K13" s="15" t="str">
        <f>Base_IFData!A14</f>
        <v>BANCO SAFRA S.A.</v>
      </c>
      <c r="L13" s="15" t="str">
        <f>Base_IFData!F14</f>
        <v>b1</v>
      </c>
      <c r="M13" s="17">
        <f>IF(AND(ISNUMBER(Base_IFData!L14),ISNUMBER(Base_IFData!W14)),IF(Base_IFData!L14&gt;$B$4,Base_IFData!W14,""),"")</f>
        <v>0.10468488958757191</v>
      </c>
      <c r="N13" s="50">
        <f>IF(AND(ISNUMBER(Base_IFData!O14),ISNUMBER(Base_IFData!Q14)),IF(Base_IFData!Q14&gt;0,Base_IFData!O14/Base_IFData!Q14,"PL ≤ 0"),"NI")</f>
        <v>13.254481260064024</v>
      </c>
      <c r="O13" s="107">
        <f>IF(AND(ISNUMBER(Base_IFData!M14),ISNUMBER(Base_IFData!Q14)),IF(Base_IFData!Q14&gt;0,Base_IFData!M14/Base_IFData!Q14,"PL ≤ 0"),"NI")</f>
        <v>5.1739049332012081</v>
      </c>
      <c r="P13" s="8"/>
      <c r="Q13" s="57" cm="1">
        <f t="array" ref="Q13">INDEX(Base_IFData!$L$5:$L$1626,$U13)/1000000</f>
        <v>256.68346500000001</v>
      </c>
      <c r="R13" s="58" t="e" cm="1">
        <f t="array" ref="R13">IF(INDEX(Base_IFData!$U$5:$U$1626,$U13)=R$3,INDEX(Base_IFData!$W$5:$W$1626,$U13),NA())</f>
        <v>#N/A</v>
      </c>
      <c r="S13" s="59" cm="1">
        <f t="array" ref="S13">IF(INDEX(Base_IFData!$U$5:$U$1626,$U13)=S$3,INDEX(Base_IFData!$W$5:$W$1626,$U13),NA())</f>
        <v>0.10468488958757191</v>
      </c>
      <c r="T13" s="58" t="e" cm="1">
        <f t="array" ref="T13">IF(INDEX(Base_IFData!$U$5:$U$1626,$U13)=T$3,INDEX(Base_IFData!$W$5:$W$1626,$U13),NA())</f>
        <v>#N/A</v>
      </c>
      <c r="U13" s="115">
        <f>MATCH(LARGE(Base_IFData!$L$5:$L$1626,ROWS(U$4:U13)),Base_IFData!$L$5:$L$1626,0)</f>
        <v>10</v>
      </c>
      <c r="V13" s="8"/>
      <c r="W13" s="18" t="s">
        <v>3807</v>
      </c>
      <c r="X13" s="8"/>
      <c r="Y13" s="8"/>
      <c r="Z13" s="8"/>
      <c r="AA13" s="8"/>
      <c r="AB13" s="8"/>
      <c r="AC13" s="8"/>
      <c r="AD13" s="8"/>
    </row>
    <row r="14" spans="1:30" ht="40" customHeight="1" x14ac:dyDescent="0.2">
      <c r="A14" s="64" t="s">
        <v>3767</v>
      </c>
      <c r="B14" s="65"/>
      <c r="C14" s="93">
        <f>SUM(C11:C13)</f>
        <v>1622</v>
      </c>
      <c r="D14" s="94">
        <f>AVERAGE(Base_IFData!$W$5:$W$1626)</f>
        <v>8.4424404313166099E-3</v>
      </c>
      <c r="E14" s="66">
        <f>SUM(E11:E13)</f>
        <v>153467178</v>
      </c>
      <c r="F14" s="66">
        <f>SUM(F11:F13)</f>
        <v>2040656923</v>
      </c>
      <c r="G14" s="94">
        <f>E14/F14</f>
        <v>7.5204791295533216E-2</v>
      </c>
      <c r="H14" s="89">
        <f>G14-D14</f>
        <v>6.6762350864216613E-2</v>
      </c>
      <c r="I14" s="8"/>
      <c r="J14" s="8"/>
      <c r="K14" s="12" t="str">
        <f>Base_IFData!A15</f>
        <v>BANCO COOPERATIVO SICREDI S.A.</v>
      </c>
      <c r="L14" s="12" t="str">
        <f>Base_IFData!F15</f>
        <v>b1</v>
      </c>
      <c r="M14" s="14">
        <f>IF(AND(ISNUMBER(Base_IFData!L15),ISNUMBER(Base_IFData!W15)),IF(Base_IFData!L15&gt;$B$4,Base_IFData!W15,""),"")</f>
        <v>2.9671509125273662E-2</v>
      </c>
      <c r="N14" s="51">
        <f>IF(AND(ISNUMBER(Base_IFData!O15),ISNUMBER(Base_IFData!Q15)),IF(Base_IFData!Q15&gt;0,Base_IFData!O15/Base_IFData!Q15,"PL ≤ 0"),"NI")</f>
        <v>41.77269293469633</v>
      </c>
      <c r="O14" s="110">
        <f>IF(AND(ISNUMBER(Base_IFData!M15),ISNUMBER(Base_IFData!Q15)),IF(Base_IFData!Q15&gt;0,Base_IFData!M15/Base_IFData!Q15,"PL ≤ 0"),"NI")</f>
        <v>9.1724050658780936</v>
      </c>
      <c r="P14" s="8"/>
      <c r="Q14" s="53" cm="1">
        <f t="array" ref="Q14">INDEX(Base_IFData!$L$5:$L$1626,$U14)/1000000</f>
        <v>234.40607700000001</v>
      </c>
      <c r="R14" s="54" t="e" cm="1">
        <f t="array" ref="R14">IF(INDEX(Base_IFData!$U$5:$U$1626,$U14)=R$3,INDEX(Base_IFData!$W$5:$W$1626,$U14),NA())</f>
        <v>#N/A</v>
      </c>
      <c r="S14" s="55" cm="1">
        <f t="array" ref="S14">IF(INDEX(Base_IFData!$U$5:$U$1626,$U14)=S$3,INDEX(Base_IFData!$W$5:$W$1626,$U14),NA())</f>
        <v>2.9671509125273662E-2</v>
      </c>
      <c r="T14" s="54" t="e" cm="1">
        <f t="array" ref="T14">IF(INDEX(Base_IFData!$U$5:$U$1626,$U14)=T$3,INDEX(Base_IFData!$W$5:$W$1626,$U14),NA())</f>
        <v>#N/A</v>
      </c>
      <c r="U14" s="114">
        <f>MATCH(LARGE(Base_IFData!$L$5:$L$1626,ROWS(U$4:U14)),Base_IFData!$L$5:$L$1626,0)</f>
        <v>11</v>
      </c>
      <c r="V14" s="8"/>
      <c r="W14" s="123" t="s">
        <v>3624</v>
      </c>
      <c r="X14" s="129" t="s">
        <v>3803</v>
      </c>
      <c r="Y14" s="129" t="s">
        <v>0</v>
      </c>
      <c r="Z14" s="129" t="s">
        <v>3622</v>
      </c>
      <c r="AA14" s="129" t="s">
        <v>3761</v>
      </c>
      <c r="AB14" s="129" t="s">
        <v>3594</v>
      </c>
      <c r="AC14" s="129" t="s">
        <v>3595</v>
      </c>
      <c r="AD14" s="130" t="s">
        <v>3623</v>
      </c>
    </row>
    <row r="15" spans="1:30" ht="15" customHeight="1" x14ac:dyDescent="0.2">
      <c r="A15" s="92"/>
      <c r="B15" s="92"/>
      <c r="C15" s="92"/>
      <c r="D15" s="92"/>
      <c r="E15" s="92"/>
      <c r="F15" s="92"/>
      <c r="G15" s="92"/>
      <c r="H15" s="8"/>
      <c r="I15" s="8"/>
      <c r="J15" s="8"/>
      <c r="K15" s="15" t="str">
        <f>Base_IFData!A16</f>
        <v>BANCO COOPERATIVO SICOOB S.A. - BANCO SICOOB</v>
      </c>
      <c r="L15" s="15" t="str">
        <f>Base_IFData!F16</f>
        <v>b1</v>
      </c>
      <c r="M15" s="17">
        <f>IF(AND(ISNUMBER(Base_IFData!L16),ISNUMBER(Base_IFData!W16)),IF(Base_IFData!L16&gt;$B$4,Base_IFData!W16,""),"")</f>
        <v>6.5711031931456373E-2</v>
      </c>
      <c r="N15" s="50">
        <f>IF(AND(ISNUMBER(Base_IFData!O16),ISNUMBER(Base_IFData!Q16)),IF(Base_IFData!Q16&gt;0,Base_IFData!O16/Base_IFData!Q16,"PL ≤ 0"),"NI")</f>
        <v>30.951130075920645</v>
      </c>
      <c r="O15" s="107">
        <f>IF(AND(ISNUMBER(Base_IFData!M16),ISNUMBER(Base_IFData!Q16)),IF(Base_IFData!Q16&gt;0,Base_IFData!M16/Base_IFData!Q16,"PL ≤ 0"),"NI")</f>
        <v>6.4298998997479808</v>
      </c>
      <c r="P15" s="8"/>
      <c r="Q15" s="57" cm="1">
        <f t="array" ref="Q15">INDEX(Base_IFData!$L$5:$L$1626,$U15)/1000000</f>
        <v>223.15940900000001</v>
      </c>
      <c r="R15" s="58" t="e" cm="1">
        <f t="array" ref="R15">IF(INDEX(Base_IFData!$U$5:$U$1626,$U15)=R$3,INDEX(Base_IFData!$W$5:$W$1626,$U15),NA())</f>
        <v>#N/A</v>
      </c>
      <c r="S15" s="59" cm="1">
        <f t="array" ref="S15">IF(INDEX(Base_IFData!$U$5:$U$1626,$U15)=S$3,INDEX(Base_IFData!$W$5:$W$1626,$U15),NA())</f>
        <v>6.5711031931456373E-2</v>
      </c>
      <c r="T15" s="58" t="e" cm="1">
        <f t="array" ref="T15">IF(INDEX(Base_IFData!$U$5:$U$1626,$U15)=T$3,INDEX(Base_IFData!$W$5:$W$1626,$U15),NA())</f>
        <v>#N/A</v>
      </c>
      <c r="U15" s="115">
        <f>MATCH(LARGE(Base_IFData!$L$5:$L$1626,ROWS(U$4:U15)),Base_IFData!$L$5:$L$1626,0)</f>
        <v>12</v>
      </c>
      <c r="V15" s="8"/>
      <c r="W15" s="56">
        <v>1</v>
      </c>
      <c r="X15" s="56">
        <f>MATCH(LARGE(Base_IFData!$L$5:$L$1626,$W15),Base_IFData!$L$5:$L$1626,0)</f>
        <v>1</v>
      </c>
      <c r="Y15" s="12" t="str" cm="1">
        <f t="array" ref="Y15">IF(LEN(INDEX(Base_IFData!$A$5:$A$1626,$X15))&gt;34,LEFT(INDEX(Base_IFData!$A$5:$A$1626,$X15),34)&amp;"…",INDEX(Base_IFData!$A$5:$A$1626,$X15))</f>
        <v>BANCO DO BRASIL S.A.</v>
      </c>
      <c r="Z15" s="53" cm="1">
        <f t="array" ref="Z15">INDEX(Base_IFData!$L$5:$L$1626,$X15)/1000000</f>
        <v>2461.086914</v>
      </c>
      <c r="AA15" s="12" t="str" cm="1">
        <f t="array" ref="AA15">INDEX(Base_IFData!$U$5:$U$1626,$X15)</f>
        <v>Público</v>
      </c>
      <c r="AB15" s="61">
        <f>IF($AA15=AB$14,$Z15,0)</f>
        <v>2461.086914</v>
      </c>
      <c r="AC15" s="61">
        <f>IF($AA15=AC$14,$Z15,0)</f>
        <v>0</v>
      </c>
      <c r="AD15" s="118">
        <f>IF($AA15=AD$14,$Z15,0)</f>
        <v>0</v>
      </c>
    </row>
    <row r="16" spans="1:30" ht="15" customHeight="1" x14ac:dyDescent="0.2">
      <c r="A16" s="25" t="s">
        <v>3768</v>
      </c>
      <c r="B16" s="25"/>
      <c r="C16" s="25"/>
      <c r="D16" s="25"/>
      <c r="E16" s="25"/>
      <c r="F16" s="25"/>
      <c r="G16" s="25"/>
      <c r="H16" s="25"/>
      <c r="I16" s="8"/>
      <c r="J16" s="8"/>
      <c r="K16" s="12" t="str">
        <f>Base_IFData!A17</f>
        <v>BANCO XP S.A.</v>
      </c>
      <c r="L16" s="12" t="str">
        <f>Base_IFData!F17</f>
        <v>b1</v>
      </c>
      <c r="M16" s="14">
        <f>IF(AND(ISNUMBER(Base_IFData!L17),ISNUMBER(Base_IFData!W17)),IF(Base_IFData!L17&gt;$B$4,Base_IFData!W17,""),"")</f>
        <v>2.9489503794542595E-2</v>
      </c>
      <c r="N16" s="51">
        <f>IF(AND(ISNUMBER(Base_IFData!O17),ISNUMBER(Base_IFData!Q17)),IF(Base_IFData!Q17&gt;0,Base_IFData!O17/Base_IFData!Q17,"PL ≤ 0"),"NI")</f>
        <v>16.829843282632751</v>
      </c>
      <c r="O16" s="110">
        <f>IF(AND(ISNUMBER(Base_IFData!M17),ISNUMBER(Base_IFData!Q17)),IF(Base_IFData!Q17&gt;0,Base_IFData!M17/Base_IFData!Q17,"PL ≤ 0"),"NI")</f>
        <v>2.5938581787192652</v>
      </c>
      <c r="P16" s="8"/>
      <c r="Q16" s="53" cm="1">
        <f t="array" ref="Q16">INDEX(Base_IFData!$L$5:$L$1626,$U16)/1000000</f>
        <v>221.73225099999999</v>
      </c>
      <c r="R16" s="54" t="e" cm="1">
        <f t="array" ref="R16">IF(INDEX(Base_IFData!$U$5:$U$1626,$U16)=R$3,INDEX(Base_IFData!$W$5:$W$1626,$U16),NA())</f>
        <v>#N/A</v>
      </c>
      <c r="S16" s="55" cm="1">
        <f t="array" ref="S16">IF(INDEX(Base_IFData!$U$5:$U$1626,$U16)=S$3,INDEX(Base_IFData!$W$5:$W$1626,$U16),NA())</f>
        <v>2.9489503794542595E-2</v>
      </c>
      <c r="T16" s="54" t="e" cm="1">
        <f t="array" ref="T16">IF(INDEX(Base_IFData!$U$5:$U$1626,$U16)=T$3,INDEX(Base_IFData!$W$5:$W$1626,$U16),NA())</f>
        <v>#N/A</v>
      </c>
      <c r="U16" s="114">
        <f>MATCH(LARGE(Base_IFData!$L$5:$L$1626,ROWS(U$4:U16)),Base_IFData!$L$5:$L$1626,0)</f>
        <v>13</v>
      </c>
      <c r="V16" s="8"/>
      <c r="W16" s="60">
        <v>2</v>
      </c>
      <c r="X16" s="60">
        <f>MATCH(LARGE(Base_IFData!$L$5:$L$1626,$W16),Base_IFData!$L$5:$L$1626,0)</f>
        <v>2</v>
      </c>
      <c r="Y16" s="15" t="str" cm="1">
        <f t="array" ref="Y16">IF(LEN(INDEX(Base_IFData!$A$5:$A$1626,$X16))&gt;34,LEFT(INDEX(Base_IFData!$A$5:$A$1626,$X16),34)&amp;"…",INDEX(Base_IFData!$A$5:$A$1626,$X16))</f>
        <v>CAIXA ECONOMICA FEDERAL</v>
      </c>
      <c r="Z16" s="57" cm="1">
        <f t="array" ref="Z16">INDEX(Base_IFData!$L$5:$L$1626,$X16)/1000000</f>
        <v>2368.1472250000002</v>
      </c>
      <c r="AA16" s="15" t="str" cm="1">
        <f t="array" ref="AA16">INDEX(Base_IFData!$U$5:$U$1626,$X16)</f>
        <v>Público</v>
      </c>
      <c r="AB16" s="62">
        <f t="shared" ref="AB16:AD24" si="2">IF($AA16=AB$14,$Z16,0)</f>
        <v>2368.1472250000002</v>
      </c>
      <c r="AC16" s="62">
        <f t="shared" si="2"/>
        <v>0</v>
      </c>
      <c r="AD16" s="119">
        <f t="shared" si="2"/>
        <v>0</v>
      </c>
    </row>
    <row r="17" spans="1:30" ht="15" customHeight="1" x14ac:dyDescent="0.2">
      <c r="A17" s="123" t="s">
        <v>5</v>
      </c>
      <c r="B17" s="123" t="s">
        <v>3761</v>
      </c>
      <c r="C17" s="123" t="s">
        <v>3744</v>
      </c>
      <c r="D17" s="123" t="s">
        <v>3748</v>
      </c>
      <c r="E17" s="123" t="s">
        <v>3762</v>
      </c>
      <c r="F17" s="124" t="s">
        <v>3747</v>
      </c>
      <c r="G17" s="8"/>
      <c r="H17" s="8"/>
      <c r="I17" s="8"/>
      <c r="J17" s="8"/>
      <c r="K17" s="15" t="str">
        <f>Base_IFData!A18</f>
        <v>REDECARD INSTITUIÇÃO DE PAGAMENTO S.A.</v>
      </c>
      <c r="L17" s="15" t="str">
        <f>Base_IFData!F18</f>
        <v>n4</v>
      </c>
      <c r="M17" s="17">
        <f>IF(AND(ISNUMBER(Base_IFData!L18),ISNUMBER(Base_IFData!W18)),IF(Base_IFData!L18&gt;$B$4,Base_IFData!W18,""),"")</f>
        <v>3.6334415998612694E-2</v>
      </c>
      <c r="N17" s="50">
        <f>IF(AND(ISNUMBER(Base_IFData!O18),ISNUMBER(Base_IFData!Q18)),IF(Base_IFData!Q18&gt;0,Base_IFData!O18/Base_IFData!Q18,"PL ≤ 0"),"NI")</f>
        <v>3.3290051393819815</v>
      </c>
      <c r="O17" s="107">
        <f>IF(AND(ISNUMBER(Base_IFData!M18),ISNUMBER(Base_IFData!Q18)),IF(Base_IFData!Q18&gt;0,Base_IFData!M18/Base_IFData!Q18,"PL ≤ 0"),"NI")</f>
        <v>0</v>
      </c>
      <c r="P17" s="8"/>
      <c r="Q17" s="57" cm="1">
        <f t="array" ref="Q17">INDEX(Base_IFData!$L$5:$L$1626,$U17)/1000000</f>
        <v>178.389094</v>
      </c>
      <c r="R17" s="58" t="e" cm="1">
        <f t="array" ref="R17">IF(INDEX(Base_IFData!$U$5:$U$1626,$U17)=R$3,INDEX(Base_IFData!$W$5:$W$1626,$U17),NA())</f>
        <v>#N/A</v>
      </c>
      <c r="S17" s="59" cm="1">
        <f t="array" ref="S17">IF(INDEX(Base_IFData!$U$5:$U$1626,$U17)=S$3,INDEX(Base_IFData!$W$5:$W$1626,$U17),NA())</f>
        <v>3.6334415998612694E-2</v>
      </c>
      <c r="T17" s="58" t="e" cm="1">
        <f t="array" ref="T17">IF(INDEX(Base_IFData!$U$5:$U$1626,$U17)=T$3,INDEX(Base_IFData!$W$5:$W$1626,$U17),NA())</f>
        <v>#N/A</v>
      </c>
      <c r="U17" s="115">
        <f>MATCH(LARGE(Base_IFData!$L$5:$L$1626,ROWS(U$4:U17)),Base_IFData!$L$5:$L$1626,0)</f>
        <v>14</v>
      </c>
      <c r="V17" s="8"/>
      <c r="W17" s="56">
        <v>3</v>
      </c>
      <c r="X17" s="56">
        <f>MATCH(LARGE(Base_IFData!$L$5:$L$1626,$W17),Base_IFData!$L$5:$L$1626,0)</f>
        <v>3</v>
      </c>
      <c r="Y17" s="12" t="str" cm="1">
        <f t="array" ref="Y17">IF(LEN(INDEX(Base_IFData!$A$5:$A$1626,$X17))&gt;34,LEFT(INDEX(Base_IFData!$A$5:$A$1626,$X17),34)&amp;"…",INDEX(Base_IFData!$A$5:$A$1626,$X17))</f>
        <v>ITAÚ UNIBANCO S.A.</v>
      </c>
      <c r="Z17" s="53" cm="1">
        <f t="array" ref="Z17">INDEX(Base_IFData!$L$5:$L$1626,$X17)/1000000</f>
        <v>2169.4095649999999</v>
      </c>
      <c r="AA17" s="12" t="str" cm="1">
        <f t="array" ref="AA17">INDEX(Base_IFData!$U$5:$U$1626,$X17)</f>
        <v>Privado Nacional</v>
      </c>
      <c r="AB17" s="61">
        <f t="shared" si="2"/>
        <v>0</v>
      </c>
      <c r="AC17" s="61">
        <f t="shared" si="2"/>
        <v>2169.4095649999999</v>
      </c>
      <c r="AD17" s="118">
        <f t="shared" si="2"/>
        <v>0</v>
      </c>
    </row>
    <row r="18" spans="1:30" ht="15" customHeight="1" x14ac:dyDescent="0.2">
      <c r="A18" s="69">
        <v>1</v>
      </c>
      <c r="B18" s="12" t="str">
        <f>INDEX(Base_IFData!$U$5:$U$1626,MATCH($A18,Base_IFData!$G$5:$G$1626,0))</f>
        <v>Público</v>
      </c>
      <c r="C18" s="13">
        <f>SUMIF(Base_IFData!$G$5:$G$1626,$A18,Base_IFData!$L$5:$L$1626)</f>
        <v>6391175337</v>
      </c>
      <c r="D18" s="14">
        <f>C18/C$21</f>
        <v>0.32779036717544996</v>
      </c>
      <c r="E18" s="46">
        <f>COUNTIF(Base_IFData!$G$5:$G$1626,$A18)</f>
        <v>39</v>
      </c>
      <c r="F18" s="86">
        <f>E18/E$21</f>
        <v>2.4044389642416768E-2</v>
      </c>
      <c r="G18" s="8"/>
      <c r="H18" s="8"/>
      <c r="I18" s="8"/>
      <c r="J18" s="8"/>
      <c r="K18" s="12" t="str">
        <f>Base_IFData!A19</f>
        <v>BANCO DO ESTADO DO RIO GRANDE DO SUL S.A.</v>
      </c>
      <c r="L18" s="12" t="str">
        <f>Base_IFData!F19</f>
        <v>b1</v>
      </c>
      <c r="M18" s="14">
        <f>IF(AND(ISNUMBER(Base_IFData!L19),ISNUMBER(Base_IFData!W19)),IF(Base_IFData!L19&gt;$B$4,Base_IFData!W19,""),"")</f>
        <v>4.731589574360643E-2</v>
      </c>
      <c r="N18" s="51">
        <f>IF(AND(ISNUMBER(Base_IFData!O19),ISNUMBER(Base_IFData!Q19)),IF(Base_IFData!Q19&gt;0,Base_IFData!O19/Base_IFData!Q19,"PL ≤ 0"),"NI")</f>
        <v>13.962134349485755</v>
      </c>
      <c r="O18" s="110">
        <f>IF(AND(ISNUMBER(Base_IFData!M19),ISNUMBER(Base_IFData!Q19)),IF(Base_IFData!Q19&gt;0,Base_IFData!M19/Base_IFData!Q19,"PL ≤ 0"),"NI")</f>
        <v>5.2302446285493502</v>
      </c>
      <c r="P18" s="8"/>
      <c r="Q18" s="53" cm="1">
        <f t="array" ref="Q18">INDEX(Base_IFData!$L$5:$L$1626,$U18)/1000000</f>
        <v>172.82795899999999</v>
      </c>
      <c r="R18" s="54" cm="1">
        <f t="array" ref="R18">IF(INDEX(Base_IFData!$U$5:$U$1626,$U18)=R$3,INDEX(Base_IFData!$W$5:$W$1626,$U18),NA())</f>
        <v>4.731589574360643E-2</v>
      </c>
      <c r="S18" s="55" t="e" cm="1">
        <f t="array" ref="S18">IF(INDEX(Base_IFData!$U$5:$U$1626,$U18)=S$3,INDEX(Base_IFData!$W$5:$W$1626,$U18),NA())</f>
        <v>#N/A</v>
      </c>
      <c r="T18" s="54" t="e" cm="1">
        <f t="array" ref="T18">IF(INDEX(Base_IFData!$U$5:$U$1626,$U18)=T$3,INDEX(Base_IFData!$W$5:$W$1626,$U18),NA())</f>
        <v>#N/A</v>
      </c>
      <c r="U18" s="114">
        <f>MATCH(LARGE(Base_IFData!$L$5:$L$1626,ROWS(U$4:U18)),Base_IFData!$L$5:$L$1626,0)</f>
        <v>15</v>
      </c>
      <c r="V18" s="8"/>
      <c r="W18" s="60">
        <v>4</v>
      </c>
      <c r="X18" s="60">
        <f>MATCH(LARGE(Base_IFData!$L$5:$L$1626,$W18),Base_IFData!$L$5:$L$1626,0)</f>
        <v>4</v>
      </c>
      <c r="Y18" s="15" t="str" cm="1">
        <f t="array" ref="Y18">IF(LEN(INDEX(Base_IFData!$A$5:$A$1626,$X18))&gt;34,LEFT(INDEX(Base_IFData!$A$5:$A$1626,$X18),34)&amp;"…",INDEX(Base_IFData!$A$5:$A$1626,$X18))</f>
        <v>BANCO BRADESCO S.A.</v>
      </c>
      <c r="Z18" s="57" cm="1">
        <f t="array" ref="Z18">INDEX(Base_IFData!$L$5:$L$1626,$X18)/1000000</f>
        <v>1952.464273</v>
      </c>
      <c r="AA18" s="15" t="str" cm="1">
        <f t="array" ref="AA18">INDEX(Base_IFData!$U$5:$U$1626,$X18)</f>
        <v>Privado Nacional</v>
      </c>
      <c r="AB18" s="62">
        <f t="shared" si="2"/>
        <v>0</v>
      </c>
      <c r="AC18" s="62">
        <f t="shared" si="2"/>
        <v>1952.464273</v>
      </c>
      <c r="AD18" s="119">
        <f t="shared" si="2"/>
        <v>0</v>
      </c>
    </row>
    <row r="19" spans="1:30" ht="15" customHeight="1" x14ac:dyDescent="0.2">
      <c r="A19" s="70">
        <v>2</v>
      </c>
      <c r="B19" s="15" t="str">
        <f>INDEX(Base_IFData!$U$5:$U$1626,MATCH($A19,Base_IFData!$G$5:$G$1626,0))</f>
        <v>Privado Nacional</v>
      </c>
      <c r="C19" s="16">
        <f>SUMIF(Base_IFData!$G$5:$G$1626,$A19,Base_IFData!$L$5:$L$1626)</f>
        <v>9761967942</v>
      </c>
      <c r="D19" s="17">
        <f t="shared" ref="D19:D20" si="3">C19/C$21</f>
        <v>0.50067145514508227</v>
      </c>
      <c r="E19" s="49">
        <f>COUNTIF(Base_IFData!$G$5:$G$1626,$A19)</f>
        <v>1353</v>
      </c>
      <c r="F19" s="87">
        <f t="shared" ref="F19:F20" si="4">E19/E$21</f>
        <v>0.83415536374845867</v>
      </c>
      <c r="G19" s="8"/>
      <c r="H19" s="8"/>
      <c r="I19" s="8"/>
      <c r="J19" s="8"/>
      <c r="K19" s="15" t="str">
        <f>Base_IFData!A20</f>
        <v>BANCO CITIBANK S.A.</v>
      </c>
      <c r="L19" s="15" t="str">
        <f>Base_IFData!F20</f>
        <v>b1</v>
      </c>
      <c r="M19" s="17">
        <f>IF(AND(ISNUMBER(Base_IFData!L20),ISNUMBER(Base_IFData!W20)),IF(Base_IFData!L20&gt;$B$4,Base_IFData!W20,""),"")</f>
        <v>0.16980333635572312</v>
      </c>
      <c r="N19" s="50">
        <f>IF(AND(ISNUMBER(Base_IFData!O20),ISNUMBER(Base_IFData!Q20)),IF(Base_IFData!Q20&gt;0,Base_IFData!O20/Base_IFData!Q20,"PL ≤ 0"),"NI")</f>
        <v>31.674086083910566</v>
      </c>
      <c r="O19" s="107">
        <f>IF(AND(ISNUMBER(Base_IFData!M20),ISNUMBER(Base_IFData!Q20)),IF(Base_IFData!Q20&gt;0,Base_IFData!M20/Base_IFData!Q20,"PL ≤ 0"),"NI")</f>
        <v>5.0219812796995127</v>
      </c>
      <c r="P19" s="8"/>
      <c r="Q19" s="57" cm="1">
        <f t="array" ref="Q19">INDEX(Base_IFData!$L$5:$L$1626,$U19)/1000000</f>
        <v>169.40334100000001</v>
      </c>
      <c r="R19" s="58" t="e" cm="1">
        <f t="array" ref="R19">IF(INDEX(Base_IFData!$U$5:$U$1626,$U19)=R$3,INDEX(Base_IFData!$W$5:$W$1626,$U19),NA())</f>
        <v>#N/A</v>
      </c>
      <c r="S19" s="59" t="e" cm="1">
        <f t="array" ref="S19">IF(INDEX(Base_IFData!$U$5:$U$1626,$U19)=S$3,INDEX(Base_IFData!$W$5:$W$1626,$U19),NA())</f>
        <v>#N/A</v>
      </c>
      <c r="T19" s="58" cm="1">
        <f t="array" ref="T19">IF(INDEX(Base_IFData!$U$5:$U$1626,$U19)=T$3,INDEX(Base_IFData!$W$5:$W$1626,$U19),NA())</f>
        <v>0.16980333635572312</v>
      </c>
      <c r="U19" s="115">
        <f>MATCH(LARGE(Base_IFData!$L$5:$L$1626,ROWS(U$4:U19)),Base_IFData!$L$5:$L$1626,0)</f>
        <v>16</v>
      </c>
      <c r="V19" s="8"/>
      <c r="W19" s="56">
        <v>5</v>
      </c>
      <c r="X19" s="56">
        <f>MATCH(LARGE(Base_IFData!$L$5:$L$1626,$W19),Base_IFData!$L$5:$L$1626,0)</f>
        <v>5</v>
      </c>
      <c r="Y19" s="12" t="str" cm="1">
        <f t="array" ref="Y19">IF(LEN(INDEX(Base_IFData!$A$5:$A$1626,$X19))&gt;34,LEFT(INDEX(Base_IFData!$A$5:$A$1626,$X19),34)&amp;"…",INDEX(Base_IFData!$A$5:$A$1626,$X19))</f>
        <v>BANCO SANTANDER (BRASIL) S.A.</v>
      </c>
      <c r="Z19" s="53" cm="1">
        <f t="array" ref="Z19">INDEX(Base_IFData!$L$5:$L$1626,$X19)/1000000</f>
        <v>1209.4430829999999</v>
      </c>
      <c r="AA19" s="12" t="str" cm="1">
        <f t="array" ref="AA19">INDEX(Base_IFData!$U$5:$U$1626,$X19)</f>
        <v>Privado Estrangeiro</v>
      </c>
      <c r="AB19" s="61">
        <f t="shared" si="2"/>
        <v>0</v>
      </c>
      <c r="AC19" s="61">
        <f t="shared" si="2"/>
        <v>0</v>
      </c>
      <c r="AD19" s="118">
        <f t="shared" si="2"/>
        <v>1209.4430829999999</v>
      </c>
    </row>
    <row r="20" spans="1:30" ht="15" customHeight="1" x14ac:dyDescent="0.2">
      <c r="A20" s="71">
        <v>3</v>
      </c>
      <c r="B20" s="9" t="str">
        <f>INDEX(Base_IFData!$U$5:$U$1626,MATCH($A20,Base_IFData!$G$5:$G$1626,0))</f>
        <v>Privado Estrangeiro</v>
      </c>
      <c r="C20" s="10">
        <f>SUMIF(Base_IFData!$G$5:$G$1626,$A20,Base_IFData!$L$5:$L$1626)</f>
        <v>3344608873</v>
      </c>
      <c r="D20" s="11">
        <f t="shared" si="3"/>
        <v>0.17153817767946772</v>
      </c>
      <c r="E20" s="45">
        <f>COUNTIF(Base_IFData!$G$5:$G$1626,$A20)</f>
        <v>230</v>
      </c>
      <c r="F20" s="103">
        <f t="shared" si="4"/>
        <v>0.14180024660912455</v>
      </c>
      <c r="G20" s="8"/>
      <c r="H20" s="8"/>
      <c r="I20" s="8"/>
      <c r="J20" s="8"/>
      <c r="K20" s="12" t="str">
        <f>Base_IFData!A21</f>
        <v>BANCO VOTORANTIM S.A.</v>
      </c>
      <c r="L20" s="12" t="str">
        <f>Base_IFData!F21</f>
        <v>b1</v>
      </c>
      <c r="M20" s="14">
        <f>IF(AND(ISNUMBER(Base_IFData!L21),ISNUMBER(Base_IFData!W21)),IF(Base_IFData!L21&gt;$B$4,Base_IFData!W21,""),"")</f>
        <v>7.4115472660624682E-2</v>
      </c>
      <c r="N20" s="51">
        <f>IF(AND(ISNUMBER(Base_IFData!O21),ISNUMBER(Base_IFData!Q21)),IF(Base_IFData!Q21&gt;0,Base_IFData!O21/Base_IFData!Q21,"PL ≤ 0"),"NI")</f>
        <v>10.374001568875096</v>
      </c>
      <c r="O20" s="110">
        <f>IF(AND(ISNUMBER(Base_IFData!M21),ISNUMBER(Base_IFData!Q21)),IF(Base_IFData!Q21&gt;0,Base_IFData!M21/Base_IFData!Q21,"PL ≤ 0"),"NI")</f>
        <v>5.5488388690038626</v>
      </c>
      <c r="P20" s="8"/>
      <c r="Q20" s="53" cm="1">
        <f t="array" ref="Q20">INDEX(Base_IFData!$L$5:$L$1626,$U20)/1000000</f>
        <v>147.547552</v>
      </c>
      <c r="R20" s="54" t="e" cm="1">
        <f t="array" ref="R20">IF(INDEX(Base_IFData!$U$5:$U$1626,$U20)=R$3,INDEX(Base_IFData!$W$5:$W$1626,$U20),NA())</f>
        <v>#N/A</v>
      </c>
      <c r="S20" s="55" cm="1">
        <f t="array" ref="S20">IF(INDEX(Base_IFData!$U$5:$U$1626,$U20)=S$3,INDEX(Base_IFData!$W$5:$W$1626,$U20),NA())</f>
        <v>7.4115472660624682E-2</v>
      </c>
      <c r="T20" s="54" t="e" cm="1">
        <f t="array" ref="T20">IF(INDEX(Base_IFData!$U$5:$U$1626,$U20)=T$3,INDEX(Base_IFData!$W$5:$W$1626,$U20),NA())</f>
        <v>#N/A</v>
      </c>
      <c r="U20" s="114">
        <f>MATCH(LARGE(Base_IFData!$L$5:$L$1626,ROWS(U$4:U20)),Base_IFData!$L$5:$L$1626,0)</f>
        <v>17</v>
      </c>
      <c r="V20" s="8"/>
      <c r="W20" s="60">
        <v>6</v>
      </c>
      <c r="X20" s="60">
        <f>MATCH(LARGE(Base_IFData!$L$5:$L$1626,$W20),Base_IFData!$L$5:$L$1626,0)</f>
        <v>6</v>
      </c>
      <c r="Y20" s="15" t="str" cm="1">
        <f t="array" ref="Y20">IF(LEN(INDEX(Base_IFData!$A$5:$A$1626,$X20))&gt;34,LEFT(INDEX(Base_IFData!$A$5:$A$1626,$X20),34)&amp;"…",INDEX(Base_IFData!$A$5:$A$1626,$X20))</f>
        <v>BANCO NACIONAL DE DESENVOLVIMENTO …</v>
      </c>
      <c r="Z20" s="57" cm="1">
        <f t="array" ref="Z20">INDEX(Base_IFData!$L$5:$L$1626,$X20)/1000000</f>
        <v>1073.403746</v>
      </c>
      <c r="AA20" s="15" t="str" cm="1">
        <f t="array" ref="AA20">INDEX(Base_IFData!$U$5:$U$1626,$X20)</f>
        <v>Público</v>
      </c>
      <c r="AB20" s="62">
        <f t="shared" si="2"/>
        <v>1073.403746</v>
      </c>
      <c r="AC20" s="62">
        <f t="shared" si="2"/>
        <v>0</v>
      </c>
      <c r="AD20" s="119">
        <f t="shared" si="2"/>
        <v>0</v>
      </c>
    </row>
    <row r="21" spans="1:30" ht="15" customHeight="1" x14ac:dyDescent="0.2">
      <c r="A21" s="64" t="s">
        <v>3767</v>
      </c>
      <c r="B21" s="65"/>
      <c r="C21" s="66">
        <f>SUM(C18:C20)</f>
        <v>19497752152</v>
      </c>
      <c r="D21" s="24">
        <f>SUM(D18:D20)</f>
        <v>1</v>
      </c>
      <c r="E21" s="63">
        <f>SUM(E18:E20)</f>
        <v>1622</v>
      </c>
      <c r="F21" s="89">
        <f>SUM(F18:F20)</f>
        <v>1</v>
      </c>
      <c r="G21" s="8"/>
      <c r="H21" s="8"/>
      <c r="I21" s="8"/>
      <c r="J21" s="8"/>
      <c r="K21" s="15" t="str">
        <f>Base_IFData!A22</f>
        <v>XP INVESTIMENTOS CORRETORA DE CÂMBIO,TÍTULOS E VALORES MOBILIÁRIOS S/A</v>
      </c>
      <c r="L21" s="15" t="str">
        <f>Base_IFData!F22</f>
        <v>n2</v>
      </c>
      <c r="M21" s="17">
        <f>IF(AND(ISNUMBER(Base_IFData!L22),ISNUMBER(Base_IFData!W22)),IF(Base_IFData!L22&gt;$B$4,Base_IFData!W22,""),"")</f>
        <v>-5.478504863215496E-3</v>
      </c>
      <c r="N21" s="50">
        <f>IF(AND(ISNUMBER(Base_IFData!O22),ISNUMBER(Base_IFData!Q22)),IF(Base_IFData!Q22&gt;0,Base_IFData!O22/Base_IFData!Q22,"PL ≤ 0"),"NI")</f>
        <v>17.07796772706266</v>
      </c>
      <c r="O21" s="107">
        <f>IF(AND(ISNUMBER(Base_IFData!M22),ISNUMBER(Base_IFData!Q22)),IF(Base_IFData!Q22&gt;0,Base_IFData!M22/Base_IFData!Q22,"PL ≤ 0"),"NI")</f>
        <v>2.0064602653824388E-2</v>
      </c>
      <c r="P21" s="8"/>
      <c r="Q21" s="57" cm="1">
        <f t="array" ref="Q21">INDEX(Base_IFData!$L$5:$L$1626,$U21)/1000000</f>
        <v>132.45065299999999</v>
      </c>
      <c r="R21" s="58" t="e" cm="1">
        <f t="array" ref="R21">IF(INDEX(Base_IFData!$U$5:$U$1626,$U21)=R$3,INDEX(Base_IFData!$W$5:$W$1626,$U21),NA())</f>
        <v>#N/A</v>
      </c>
      <c r="S21" s="59" cm="1">
        <f t="array" ref="S21">IF(INDEX(Base_IFData!$U$5:$U$1626,$U21)=S$3,INDEX(Base_IFData!$W$5:$W$1626,$U21),NA())</f>
        <v>-5.478504863215496E-3</v>
      </c>
      <c r="T21" s="58" t="e" cm="1">
        <f t="array" ref="T21">IF(INDEX(Base_IFData!$U$5:$U$1626,$U21)=T$3,INDEX(Base_IFData!$W$5:$W$1626,$U21),NA())</f>
        <v>#N/A</v>
      </c>
      <c r="U21" s="115">
        <f>MATCH(LARGE(Base_IFData!$L$5:$L$1626,ROWS(U$4:U21)),Base_IFData!$L$5:$L$1626,0)</f>
        <v>18</v>
      </c>
      <c r="V21" s="8"/>
      <c r="W21" s="56">
        <v>7</v>
      </c>
      <c r="X21" s="56">
        <f>MATCH(LARGE(Base_IFData!$L$5:$L$1626,$W21),Base_IFData!$L$5:$L$1626,0)</f>
        <v>7</v>
      </c>
      <c r="Y21" s="12" t="str" cm="1">
        <f t="array" ref="Y21">IF(LEN(INDEX(Base_IFData!$A$5:$A$1626,$X21))&gt;34,LEFT(INDEX(Base_IFData!$A$5:$A$1626,$X21),34)&amp;"…",INDEX(Base_IFData!$A$5:$A$1626,$X21))</f>
        <v>BANCO BTG PACTUAL S.A.</v>
      </c>
      <c r="Z21" s="53" cm="1">
        <f t="array" ref="Z21">INDEX(Base_IFData!$L$5:$L$1626,$X21)/1000000</f>
        <v>743.25895700000001</v>
      </c>
      <c r="AA21" s="12" t="str" cm="1">
        <f t="array" ref="AA21">INDEX(Base_IFData!$U$5:$U$1626,$X21)</f>
        <v>Privado Nacional</v>
      </c>
      <c r="AB21" s="61">
        <f t="shared" si="2"/>
        <v>0</v>
      </c>
      <c r="AC21" s="61">
        <f t="shared" si="2"/>
        <v>743.25895700000001</v>
      </c>
      <c r="AD21" s="118">
        <f t="shared" si="2"/>
        <v>0</v>
      </c>
    </row>
    <row r="22" spans="1:30" ht="15" customHeight="1" x14ac:dyDescent="0.2">
      <c r="A22" s="9" t="s">
        <v>3769</v>
      </c>
      <c r="B22" s="9"/>
      <c r="C22" s="10">
        <f>C21-SUM(Base_IFData!$L$5:$L$1626)</f>
        <v>0</v>
      </c>
      <c r="D22" s="8"/>
      <c r="E22" s="8"/>
      <c r="F22" s="104"/>
      <c r="G22" s="8"/>
      <c r="H22" s="8"/>
      <c r="I22" s="8"/>
      <c r="J22" s="8"/>
      <c r="K22" s="12" t="str">
        <f>Base_IFData!A23</f>
        <v>NU PAGAMENTOS S.A. - INSTITUIÇÃO DE PAGAMENTO</v>
      </c>
      <c r="L22" s="12" t="str">
        <f>Base_IFData!F23</f>
        <v>n4</v>
      </c>
      <c r="M22" s="14">
        <f>IF(AND(ISNUMBER(Base_IFData!L23),ISNUMBER(Base_IFData!W23)),IF(Base_IFData!L23&gt;$B$4,Base_IFData!W23,""),"")</f>
        <v>0.17607425603808458</v>
      </c>
      <c r="N22" s="51">
        <f>IF(AND(ISNUMBER(Base_IFData!O23),ISNUMBER(Base_IFData!Q23)),IF(Base_IFData!Q23&gt;0,Base_IFData!O23/Base_IFData!Q23,"PL ≤ 0"),"NI")</f>
        <v>4.2638520055194133</v>
      </c>
      <c r="O22" s="110">
        <f>IF(AND(ISNUMBER(Base_IFData!M23),ISNUMBER(Base_IFData!Q23)),IF(Base_IFData!Q23&gt;0,Base_IFData!M23/Base_IFData!Q23,"PL ≤ 0"),"NI")</f>
        <v>3.260850235060321</v>
      </c>
      <c r="P22" s="8"/>
      <c r="Q22" s="53" cm="1">
        <f t="array" ref="Q22">INDEX(Base_IFData!$L$5:$L$1626,$U22)/1000000</f>
        <v>122.36323</v>
      </c>
      <c r="R22" s="54" t="e" cm="1">
        <f t="array" ref="R22">IF(INDEX(Base_IFData!$U$5:$U$1626,$U22)=R$3,INDEX(Base_IFData!$W$5:$W$1626,$U22),NA())</f>
        <v>#N/A</v>
      </c>
      <c r="S22" s="55" t="e" cm="1">
        <f t="array" ref="S22">IF(INDEX(Base_IFData!$U$5:$U$1626,$U22)=S$3,INDEX(Base_IFData!$W$5:$W$1626,$U22),NA())</f>
        <v>#N/A</v>
      </c>
      <c r="T22" s="54" cm="1">
        <f t="array" ref="T22">IF(INDEX(Base_IFData!$U$5:$U$1626,$U22)=T$3,INDEX(Base_IFData!$W$5:$W$1626,$U22),NA())</f>
        <v>0.17607425603808458</v>
      </c>
      <c r="U22" s="114">
        <f>MATCH(LARGE(Base_IFData!$L$5:$L$1626,ROWS(U$4:U22)),Base_IFData!$L$5:$L$1626,0)</f>
        <v>19</v>
      </c>
      <c r="V22" s="8"/>
      <c r="W22" s="60">
        <v>8</v>
      </c>
      <c r="X22" s="60">
        <f>MATCH(LARGE(Base_IFData!$L$5:$L$1626,$W22),Base_IFData!$L$5:$L$1626,0)</f>
        <v>8</v>
      </c>
      <c r="Y22" s="15" t="str" cm="1">
        <f t="array" ref="Y22">IF(LEN(INDEX(Base_IFData!$A$5:$A$1626,$X22))&gt;34,LEFT(INDEX(Base_IFData!$A$5:$A$1626,$X22),34)&amp;"…",INDEX(Base_IFData!$A$5:$A$1626,$X22))</f>
        <v>ITAÚ UNIBANCO HOLDING S.A.</v>
      </c>
      <c r="Z22" s="57" cm="1">
        <f t="array" ref="Z22">INDEX(Base_IFData!$L$5:$L$1626,$X22)/1000000</f>
        <v>493.18339500000002</v>
      </c>
      <c r="AA22" s="15" t="str" cm="1">
        <f t="array" ref="AA22">INDEX(Base_IFData!$U$5:$U$1626,$X22)</f>
        <v>Privado Nacional</v>
      </c>
      <c r="AB22" s="62">
        <f t="shared" si="2"/>
        <v>0</v>
      </c>
      <c r="AC22" s="62">
        <f t="shared" si="2"/>
        <v>493.18339500000002</v>
      </c>
      <c r="AD22" s="119">
        <f t="shared" si="2"/>
        <v>0</v>
      </c>
    </row>
    <row r="23" spans="1:30" ht="15" customHeight="1" x14ac:dyDescent="0.2">
      <c r="A23" s="92"/>
      <c r="B23" s="92"/>
      <c r="C23" s="92"/>
      <c r="D23" s="8"/>
      <c r="E23" s="8"/>
      <c r="F23" s="8"/>
      <c r="G23" s="8"/>
      <c r="H23" s="8"/>
      <c r="I23" s="8"/>
      <c r="J23" s="8"/>
      <c r="K23" s="15" t="str">
        <f>Base_IFData!A24</f>
        <v>BANCO C6 S.A.</v>
      </c>
      <c r="L23" s="15" t="str">
        <f>Base_IFData!F24</f>
        <v>b1</v>
      </c>
      <c r="M23" s="17">
        <f>IF(AND(ISNUMBER(Base_IFData!L24),ISNUMBER(Base_IFData!W24)),IF(Base_IFData!L24&gt;$B$4,Base_IFData!W24,""),"")</f>
        <v>0.23547372550442244</v>
      </c>
      <c r="N23" s="50">
        <f>IF(AND(ISNUMBER(Base_IFData!O24),ISNUMBER(Base_IFData!Q24)),IF(Base_IFData!Q24&gt;0,Base_IFData!O24/Base_IFData!Q24,"PL ≤ 0"),"NI")</f>
        <v>40.681020357572571</v>
      </c>
      <c r="O23" s="107">
        <f>IF(AND(ISNUMBER(Base_IFData!M24),ISNUMBER(Base_IFData!Q24)),IF(Base_IFData!Q24&gt;0,Base_IFData!M24/Base_IFData!Q24,"PL ≤ 0"),"NI")</f>
        <v>18.675034970183319</v>
      </c>
      <c r="P23" s="8"/>
      <c r="Q23" s="57" cm="1">
        <f t="array" ref="Q23">INDEX(Base_IFData!$L$5:$L$1626,$U23)/1000000</f>
        <v>117.19373299999999</v>
      </c>
      <c r="R23" s="58" t="e" cm="1">
        <f t="array" ref="R23">IF(INDEX(Base_IFData!$U$5:$U$1626,$U23)=R$3,INDEX(Base_IFData!$W$5:$W$1626,$U23),NA())</f>
        <v>#N/A</v>
      </c>
      <c r="S23" s="59" cm="1">
        <f t="array" ref="S23">IF(INDEX(Base_IFData!$U$5:$U$1626,$U23)=S$3,INDEX(Base_IFData!$W$5:$W$1626,$U23),NA())</f>
        <v>0.23547372550442244</v>
      </c>
      <c r="T23" s="58" t="e" cm="1">
        <f t="array" ref="T23">IF(INDEX(Base_IFData!$U$5:$U$1626,$U23)=T$3,INDEX(Base_IFData!$W$5:$W$1626,$U23),NA())</f>
        <v>#N/A</v>
      </c>
      <c r="U23" s="115">
        <f>MATCH(LARGE(Base_IFData!$L$5:$L$1626,ROWS(U$4:U23)),Base_IFData!$L$5:$L$1626,0)</f>
        <v>20</v>
      </c>
      <c r="V23" s="8"/>
      <c r="W23" s="56">
        <v>9</v>
      </c>
      <c r="X23" s="56">
        <f>MATCH(LARGE(Base_IFData!$L$5:$L$1626,$W23),Base_IFData!$L$5:$L$1626,0)</f>
        <v>9</v>
      </c>
      <c r="Y23" s="12" t="str" cm="1">
        <f t="array" ref="Y23">IF(LEN(INDEX(Base_IFData!$A$5:$A$1626,$X23))&gt;34,LEFT(INDEX(Base_IFData!$A$5:$A$1626,$X23),34)&amp;"…",INDEX(Base_IFData!$A$5:$A$1626,$X23))</f>
        <v>NU FINANCEIRA S.A. - SOCIEDADE DE …</v>
      </c>
      <c r="Z23" s="53" cm="1">
        <f t="array" ref="Z23">INDEX(Base_IFData!$L$5:$L$1626,$X23)/1000000</f>
        <v>267.62469499999997</v>
      </c>
      <c r="AA23" s="12" t="str" cm="1">
        <f t="array" ref="AA23">INDEX(Base_IFData!$U$5:$U$1626,$X23)</f>
        <v>Privado Estrangeiro</v>
      </c>
      <c r="AB23" s="61">
        <f t="shared" si="2"/>
        <v>0</v>
      </c>
      <c r="AC23" s="61">
        <f t="shared" si="2"/>
        <v>0</v>
      </c>
      <c r="AD23" s="118">
        <f t="shared" si="2"/>
        <v>267.62469499999997</v>
      </c>
    </row>
    <row r="24" spans="1:30" ht="15" customHeight="1" x14ac:dyDescent="0.2">
      <c r="A24" s="25" t="s">
        <v>3770</v>
      </c>
      <c r="B24" s="25"/>
      <c r="C24" s="25"/>
      <c r="D24" s="25"/>
      <c r="E24" s="25"/>
      <c r="F24" s="25"/>
      <c r="G24" s="25"/>
      <c r="H24" s="25"/>
      <c r="I24" s="8"/>
      <c r="J24" s="8"/>
      <c r="K24" s="12" t="str">
        <f>Base_IFData!A25</f>
        <v>CIELO S.A. - INSTITUIÇÃO DE PAGAMENTO</v>
      </c>
      <c r="L24" s="12" t="str">
        <f>Base_IFData!F25</f>
        <v>n4</v>
      </c>
      <c r="M24" s="14">
        <f>IF(AND(ISNUMBER(Base_IFData!L25),ISNUMBER(Base_IFData!W25)),IF(Base_IFData!L25&gt;$B$4,Base_IFData!W25,""),"")</f>
        <v>4.8546040273515223E-2</v>
      </c>
      <c r="N24" s="51">
        <f>IF(AND(ISNUMBER(Base_IFData!O25),ISNUMBER(Base_IFData!Q25)),IF(Base_IFData!Q25&gt;0,Base_IFData!O25/Base_IFData!Q25,"PL ≤ 0"),"NI")</f>
        <v>8.9943628385213454</v>
      </c>
      <c r="O24" s="110">
        <f>IF(AND(ISNUMBER(Base_IFData!M25),ISNUMBER(Base_IFData!Q25)),IF(Base_IFData!Q25&gt;0,Base_IFData!M25/Base_IFData!Q25,"PL ≤ 0"),"NI")</f>
        <v>0</v>
      </c>
      <c r="P24" s="8"/>
      <c r="Q24" s="53" cm="1">
        <f t="array" ref="Q24">INDEX(Base_IFData!$L$5:$L$1626,$U24)/1000000</f>
        <v>116.680888</v>
      </c>
      <c r="R24" s="54" t="e" cm="1">
        <f t="array" ref="R24">IF(INDEX(Base_IFData!$U$5:$U$1626,$U24)=R$3,INDEX(Base_IFData!$W$5:$W$1626,$U24),NA())</f>
        <v>#N/A</v>
      </c>
      <c r="S24" s="55" cm="1">
        <f t="array" ref="S24">IF(INDEX(Base_IFData!$U$5:$U$1626,$U24)=S$3,INDEX(Base_IFData!$W$5:$W$1626,$U24),NA())</f>
        <v>4.8546040273515223E-2</v>
      </c>
      <c r="T24" s="54" t="e" cm="1">
        <f t="array" ref="T24">IF(INDEX(Base_IFData!$U$5:$U$1626,$U24)=T$3,INDEX(Base_IFData!$W$5:$W$1626,$U24),NA())</f>
        <v>#N/A</v>
      </c>
      <c r="U24" s="114">
        <f>MATCH(LARGE(Base_IFData!$L$5:$L$1626,ROWS(U$4:U24)),Base_IFData!$L$5:$L$1626,0)</f>
        <v>21</v>
      </c>
      <c r="V24" s="8"/>
      <c r="W24" s="98">
        <v>10</v>
      </c>
      <c r="X24" s="98">
        <f>MATCH(LARGE(Base_IFData!$L$5:$L$1626,$W24),Base_IFData!$L$5:$L$1626,0)</f>
        <v>10</v>
      </c>
      <c r="Y24" s="19" t="str" cm="1">
        <f t="array" ref="Y24">IF(LEN(INDEX(Base_IFData!$A$5:$A$1626,$X24))&gt;34,LEFT(INDEX(Base_IFData!$A$5:$A$1626,$X24),34)&amp;"…",INDEX(Base_IFData!$A$5:$A$1626,$X24))</f>
        <v>BANCO SAFRA S.A.</v>
      </c>
      <c r="Z24" s="95" cm="1">
        <f t="array" ref="Z24">INDEX(Base_IFData!$L$5:$L$1626,$X24)/1000000</f>
        <v>256.68346500000001</v>
      </c>
      <c r="AA24" s="19" t="str" cm="1">
        <f t="array" ref="AA24">INDEX(Base_IFData!$U$5:$U$1626,$X24)</f>
        <v>Privado Nacional</v>
      </c>
      <c r="AB24" s="99">
        <f t="shared" si="2"/>
        <v>0</v>
      </c>
      <c r="AC24" s="99">
        <f t="shared" si="2"/>
        <v>256.68346500000001</v>
      </c>
      <c r="AD24" s="119">
        <f t="shared" si="2"/>
        <v>0</v>
      </c>
    </row>
    <row r="25" spans="1:30" ht="15" customHeight="1" x14ac:dyDescent="0.2">
      <c r="A25" s="18" t="s">
        <v>3771</v>
      </c>
      <c r="B25" s="8"/>
      <c r="C25" s="8"/>
      <c r="D25" s="8"/>
      <c r="E25" s="8"/>
      <c r="F25" s="8"/>
      <c r="G25" s="8"/>
      <c r="H25" s="8"/>
      <c r="I25" s="8"/>
      <c r="J25" s="8"/>
      <c r="K25" s="15" t="str">
        <f>Base_IFData!A26</f>
        <v>BANCO J.P. MORGAN S.A.</v>
      </c>
      <c r="L25" s="15" t="str">
        <f>Base_IFData!F26</f>
        <v>b1</v>
      </c>
      <c r="M25" s="17">
        <f>IF(AND(ISNUMBER(Base_IFData!L26),ISNUMBER(Base_IFData!W26)),IF(Base_IFData!L26&gt;$B$4,Base_IFData!W26,""),"")</f>
        <v>8.819703638780553E-2</v>
      </c>
      <c r="N25" s="50">
        <f>IF(AND(ISNUMBER(Base_IFData!O26),ISNUMBER(Base_IFData!Q26)),IF(Base_IFData!Q26&gt;0,Base_IFData!O26/Base_IFData!Q26,"PL ≤ 0"),"NI")</f>
        <v>8.3461031437890387</v>
      </c>
      <c r="O25" s="107">
        <f>IF(AND(ISNUMBER(Base_IFData!M26),ISNUMBER(Base_IFData!Q26)),IF(Base_IFData!Q26&gt;0,Base_IFData!M26/Base_IFData!Q26,"PL ≤ 0"),"NI")</f>
        <v>0.31733031789902466</v>
      </c>
      <c r="P25" s="8"/>
      <c r="Q25" s="57" cm="1">
        <f t="array" ref="Q25">INDEX(Base_IFData!$L$5:$L$1626,$U25)/1000000</f>
        <v>110.025345</v>
      </c>
      <c r="R25" s="58" t="e" cm="1">
        <f t="array" ref="R25">IF(INDEX(Base_IFData!$U$5:$U$1626,$U25)=R$3,INDEX(Base_IFData!$W$5:$W$1626,$U25),NA())</f>
        <v>#N/A</v>
      </c>
      <c r="S25" s="59" t="e" cm="1">
        <f t="array" ref="S25">IF(INDEX(Base_IFData!$U$5:$U$1626,$U25)=S$3,INDEX(Base_IFData!$W$5:$W$1626,$U25),NA())</f>
        <v>#N/A</v>
      </c>
      <c r="T25" s="58" cm="1">
        <f t="array" ref="T25">IF(INDEX(Base_IFData!$U$5:$U$1626,$U25)=T$3,INDEX(Base_IFData!$W$5:$W$1626,$U25),NA())</f>
        <v>8.819703638780553E-2</v>
      </c>
      <c r="U25" s="115">
        <f>MATCH(LARGE(Base_IFData!$L$5:$L$1626,ROWS(U$4:U25)),Base_IFData!$L$5:$L$1626,0)</f>
        <v>22</v>
      </c>
      <c r="V25" s="8"/>
      <c r="W25" s="92"/>
      <c r="X25" s="92"/>
      <c r="Y25" s="92"/>
      <c r="Z25" s="92"/>
      <c r="AA25" s="92"/>
      <c r="AB25" s="92"/>
      <c r="AC25" s="92"/>
      <c r="AD25" s="8"/>
    </row>
    <row r="26" spans="1:30" ht="15" customHeight="1" x14ac:dyDescent="0.2">
      <c r="A26" s="123" t="s">
        <v>3624</v>
      </c>
      <c r="B26" s="129" t="s">
        <v>0</v>
      </c>
      <c r="C26" s="129" t="s">
        <v>4</v>
      </c>
      <c r="D26" s="129" t="s">
        <v>3772</v>
      </c>
      <c r="E26" s="130" t="s">
        <v>3573</v>
      </c>
      <c r="F26" s="8"/>
      <c r="G26" s="8"/>
      <c r="H26" s="8"/>
      <c r="I26" s="8"/>
      <c r="J26" s="8"/>
      <c r="K26" s="12" t="str">
        <f>Base_IFData!A27</f>
        <v>MERCADO PAGO INSTITUIÇÃO DE PAGAMENTO LTDA.</v>
      </c>
      <c r="L26" s="12" t="str">
        <f>Base_IFData!F27</f>
        <v>n4</v>
      </c>
      <c r="M26" s="14">
        <f>IF(AND(ISNUMBER(Base_IFData!L27),ISNUMBER(Base_IFData!W27)),IF(Base_IFData!L27&gt;$B$4,Base_IFData!W27,""),"")</f>
        <v>-6.3502439442153238E-2</v>
      </c>
      <c r="N26" s="51">
        <f>IF(AND(ISNUMBER(Base_IFData!O27),ISNUMBER(Base_IFData!Q27)),IF(Base_IFData!Q27&gt;0,Base_IFData!O27/Base_IFData!Q27,"PL ≤ 0"),"NI")</f>
        <v>34.371096290388621</v>
      </c>
      <c r="O26" s="110">
        <f>IF(AND(ISNUMBER(Base_IFData!M27),ISNUMBER(Base_IFData!Q27)),IF(Base_IFData!Q27&gt;0,Base_IFData!M27/Base_IFData!Q27,"PL ≤ 0"),"NI")</f>
        <v>7.5221459998768907</v>
      </c>
      <c r="P26" s="8"/>
      <c r="Q26" s="53" cm="1">
        <f t="array" ref="Q26">INDEX(Base_IFData!$L$5:$L$1626,$U26)/1000000</f>
        <v>105.73156400000001</v>
      </c>
      <c r="R26" s="54" t="e" cm="1">
        <f t="array" ref="R26">IF(INDEX(Base_IFData!$U$5:$U$1626,$U26)=R$3,INDEX(Base_IFData!$W$5:$W$1626,$U26),NA())</f>
        <v>#N/A</v>
      </c>
      <c r="S26" s="55" t="e" cm="1">
        <f t="array" ref="S26">IF(INDEX(Base_IFData!$U$5:$U$1626,$U26)=S$3,INDEX(Base_IFData!$W$5:$W$1626,$U26),NA())</f>
        <v>#N/A</v>
      </c>
      <c r="T26" s="54" cm="1">
        <f t="array" ref="T26">IF(INDEX(Base_IFData!$U$5:$U$1626,$U26)=T$3,INDEX(Base_IFData!$W$5:$W$1626,$U26),NA())</f>
        <v>-6.3502439442153238E-2</v>
      </c>
      <c r="U26" s="114">
        <f>MATCH(LARGE(Base_IFData!$L$5:$L$1626,ROWS(U$4:U26)),Base_IFData!$L$5:$L$1626,0)</f>
        <v>23</v>
      </c>
      <c r="V26" s="8"/>
      <c r="W26" s="8"/>
      <c r="X26" s="8"/>
      <c r="Y26" s="8"/>
      <c r="Z26" s="8"/>
      <c r="AA26" s="8"/>
      <c r="AB26" s="8"/>
      <c r="AC26" s="8"/>
      <c r="AD26" s="8"/>
    </row>
    <row r="27" spans="1:30" ht="15" customHeight="1" x14ac:dyDescent="0.2">
      <c r="A27" s="33">
        <v>1</v>
      </c>
      <c r="B27" s="12" t="str">
        <f>INDEX(Base_IFData!$A$5:$A$1626,MATCH($E27,Base_IFData!$W$5:$W$1626,0))</f>
        <v>GREENPASS TECNOLOGIA E INSTITUICAO DE PAGAMENTO HUE S.A.</v>
      </c>
      <c r="C27" s="12" t="str">
        <f>INDEX(Base_IFData!$F$5:$F$1626,MATCH($E27,Base_IFData!$W$5:$W$1626,0))</f>
        <v>n4</v>
      </c>
      <c r="D27" s="13">
        <f>INDEX(Base_IFData!$L$5:$L$1626,MATCH($E27,Base_IFData!$W$5:$W$1626,0))</f>
        <v>420288</v>
      </c>
      <c r="E27" s="86">
        <f>LARGE(Base_IFData!$W$5:$W$1626,$A27)</f>
        <v>1.6845694799658995</v>
      </c>
      <c r="F27" s="8"/>
      <c r="G27" s="8"/>
      <c r="H27" s="8"/>
      <c r="I27" s="8"/>
      <c r="J27" s="8"/>
      <c r="K27" s="15" t="str">
        <f>Base_IFData!A28</f>
        <v>BANCO INTER S.A.</v>
      </c>
      <c r="L27" s="15" t="str">
        <f>Base_IFData!F28</f>
        <v>b1</v>
      </c>
      <c r="M27" s="17">
        <f>IF(AND(ISNUMBER(Base_IFData!L28),ISNUMBER(Base_IFData!W28)),IF(Base_IFData!L28&gt;$B$4,Base_IFData!W28,""),"")</f>
        <v>9.5552450577938264E-2</v>
      </c>
      <c r="N27" s="50">
        <f>IF(AND(ISNUMBER(Base_IFData!O28),ISNUMBER(Base_IFData!Q28)),IF(Base_IFData!Q28&gt;0,Base_IFData!O28/Base_IFData!Q28,"PL ≤ 0"),"NI")</f>
        <v>12.540067049265993</v>
      </c>
      <c r="O27" s="107">
        <f>IF(AND(ISNUMBER(Base_IFData!M28),ISNUMBER(Base_IFData!Q28)),IF(Base_IFData!Q28&gt;0,Base_IFData!M28/Base_IFData!Q28,"PL ≤ 0"),"NI")</f>
        <v>6.1919014835810886</v>
      </c>
      <c r="P27" s="8"/>
      <c r="Q27" s="57" cm="1">
        <f t="array" ref="Q27">INDEX(Base_IFData!$L$5:$L$1626,$U27)/1000000</f>
        <v>100.898332</v>
      </c>
      <c r="R27" s="58" t="e" cm="1">
        <f t="array" ref="R27">IF(INDEX(Base_IFData!$U$5:$U$1626,$U27)=R$3,INDEX(Base_IFData!$W$5:$W$1626,$U27),NA())</f>
        <v>#N/A</v>
      </c>
      <c r="S27" s="59" cm="1">
        <f t="array" ref="S27">IF(INDEX(Base_IFData!$U$5:$U$1626,$U27)=S$3,INDEX(Base_IFData!$W$5:$W$1626,$U27),NA())</f>
        <v>9.5552450577938264E-2</v>
      </c>
      <c r="T27" s="58" t="e" cm="1">
        <f t="array" ref="T27">IF(INDEX(Base_IFData!$U$5:$U$1626,$U27)=T$3,INDEX(Base_IFData!$W$5:$W$1626,$U27),NA())</f>
        <v>#N/A</v>
      </c>
      <c r="U27" s="115">
        <f>MATCH(LARGE(Base_IFData!$L$5:$L$1626,ROWS(U$4:U27)),Base_IFData!$L$5:$L$1626,0)</f>
        <v>24</v>
      </c>
      <c r="V27" s="8"/>
      <c r="W27" s="8"/>
      <c r="X27" s="8"/>
      <c r="Y27" s="8"/>
      <c r="Z27" s="8"/>
      <c r="AA27" s="8"/>
      <c r="AB27" s="8"/>
      <c r="AC27" s="8"/>
      <c r="AD27" s="8"/>
    </row>
    <row r="28" spans="1:30" ht="15" customHeight="1" x14ac:dyDescent="0.2">
      <c r="A28" s="34">
        <v>2</v>
      </c>
      <c r="B28" s="15" t="str">
        <f>INDEX(Base_IFData!$A$5:$A$1626,MATCH($E28,Base_IFData!$W$5:$W$1626,0))</f>
        <v>BOC BRASIL S.A. - CRÉDITO, FINANCIAMENTOS E INVESTIMENTOS</v>
      </c>
      <c r="C28" s="15" t="str">
        <f>INDEX(Base_IFData!$F$5:$F$1626,MATCH($E28,Base_IFData!$W$5:$W$1626,0))</f>
        <v>n1</v>
      </c>
      <c r="D28" s="16">
        <f>INDEX(Base_IFData!$L$5:$L$1626,MATCH($E28,Base_IFData!$W$5:$W$1626,0))</f>
        <v>52762</v>
      </c>
      <c r="E28" s="87">
        <f>LARGE(Base_IFData!$W$5:$W$1626,$A28)</f>
        <v>1.4711538461538463</v>
      </c>
      <c r="F28" s="8"/>
      <c r="G28" s="8"/>
      <c r="H28" s="8"/>
      <c r="I28" s="8"/>
      <c r="J28" s="8"/>
      <c r="K28" s="12" t="str">
        <f>Base_IFData!A29</f>
        <v>BANCO DAYCOVAL S.A.</v>
      </c>
      <c r="L28" s="12" t="str">
        <f>Base_IFData!F29</f>
        <v>b1</v>
      </c>
      <c r="M28" s="14">
        <f>IF(AND(ISNUMBER(Base_IFData!L29),ISNUMBER(Base_IFData!W29)),IF(Base_IFData!L29&gt;$B$4,Base_IFData!W29,""),"")</f>
        <v>0.11777088010391183</v>
      </c>
      <c r="N28" s="51">
        <f>IF(AND(ISNUMBER(Base_IFData!O29),ISNUMBER(Base_IFData!Q29)),IF(Base_IFData!Q29&gt;0,Base_IFData!O29/Base_IFData!Q29,"PL ≤ 0"),"NI")</f>
        <v>12.033214768406529</v>
      </c>
      <c r="O28" s="110">
        <f>IF(AND(ISNUMBER(Base_IFData!M29),ISNUMBER(Base_IFData!Q29)),IF(Base_IFData!Q29&gt;0,Base_IFData!M29/Base_IFData!Q29,"PL ≤ 0"),"NI")</f>
        <v>7.0288416989072617</v>
      </c>
      <c r="P28" s="8"/>
      <c r="Q28" s="53" cm="1">
        <f t="array" ref="Q28">INDEX(Base_IFData!$L$5:$L$1626,$U28)/1000000</f>
        <v>99.778655999999998</v>
      </c>
      <c r="R28" s="54" t="e" cm="1">
        <f t="array" ref="R28">IF(INDEX(Base_IFData!$U$5:$U$1626,$U28)=R$3,INDEX(Base_IFData!$W$5:$W$1626,$U28),NA())</f>
        <v>#N/A</v>
      </c>
      <c r="S28" s="55" cm="1">
        <f t="array" ref="S28">IF(INDEX(Base_IFData!$U$5:$U$1626,$U28)=S$3,INDEX(Base_IFData!$W$5:$W$1626,$U28),NA())</f>
        <v>0.11777088010391183</v>
      </c>
      <c r="T28" s="54" t="e" cm="1">
        <f t="array" ref="T28">IF(INDEX(Base_IFData!$U$5:$U$1626,$U28)=T$3,INDEX(Base_IFData!$W$5:$W$1626,$U28),NA())</f>
        <v>#N/A</v>
      </c>
      <c r="U28" s="114">
        <f>MATCH(LARGE(Base_IFData!$L$5:$L$1626,ROWS(U$4:U28)),Base_IFData!$L$5:$L$1626,0)</f>
        <v>25</v>
      </c>
      <c r="V28" s="8"/>
      <c r="W28" s="8"/>
      <c r="X28" s="8"/>
      <c r="Y28" s="8"/>
      <c r="Z28" s="8"/>
      <c r="AA28" s="8"/>
      <c r="AB28" s="8"/>
      <c r="AC28" s="8"/>
      <c r="AD28" s="8"/>
    </row>
    <row r="29" spans="1:30" ht="15" customHeight="1" x14ac:dyDescent="0.2">
      <c r="A29" s="33">
        <v>3</v>
      </c>
      <c r="B29" s="12" t="str">
        <f>INDEX(Base_IFData!$A$5:$A$1626,MATCH($E29,Base_IFData!$W$5:$W$1626,0))</f>
        <v>CAIXA DISTRIBUIDORA DE TÍTULOS E VALORES MOBILIÁRIOS S.A.</v>
      </c>
      <c r="C29" s="12" t="str">
        <f>INDEX(Base_IFData!$F$5:$F$1626,MATCH($E29,Base_IFData!$W$5:$W$1626,0))</f>
        <v>n2</v>
      </c>
      <c r="D29" s="13">
        <f>INDEX(Base_IFData!$L$5:$L$1626,MATCH($E29,Base_IFData!$W$5:$W$1626,0))</f>
        <v>743604</v>
      </c>
      <c r="E29" s="86">
        <f>LARGE(Base_IFData!$W$5:$W$1626,$A29)</f>
        <v>0.90728844145330045</v>
      </c>
      <c r="F29" s="8"/>
      <c r="G29" s="8"/>
      <c r="H29" s="8"/>
      <c r="I29" s="8"/>
      <c r="J29" s="8"/>
      <c r="K29" s="15" t="str">
        <f>Base_IFData!A30</f>
        <v>SANTANDER SOCIEDADE DE CRÉDITO, FINANCIAMENTO E INVESTIMENTO S.A.</v>
      </c>
      <c r="L29" s="15" t="str">
        <f>Base_IFData!F30</f>
        <v>n1</v>
      </c>
      <c r="M29" s="17">
        <f>IF(AND(ISNUMBER(Base_IFData!L30),ISNUMBER(Base_IFData!W30)),IF(Base_IFData!L30&gt;$B$4,Base_IFData!W30,""),"")</f>
        <v>7.5106980563680911E-2</v>
      </c>
      <c r="N29" s="50">
        <f>IF(AND(ISNUMBER(Base_IFData!O30),ISNUMBER(Base_IFData!Q30)),IF(Base_IFData!Q30&gt;0,Base_IFData!O30/Base_IFData!Q30,"PL ≤ 0"),"NI")</f>
        <v>18.741194292678188</v>
      </c>
      <c r="O29" s="107">
        <f>IF(AND(ISNUMBER(Base_IFData!M30),ISNUMBER(Base_IFData!Q30)),IF(Base_IFData!Q30&gt;0,Base_IFData!M30/Base_IFData!Q30,"PL ≤ 0"),"NI")</f>
        <v>16.414789224421334</v>
      </c>
      <c r="P29" s="8"/>
      <c r="Q29" s="57" cm="1">
        <f t="array" ref="Q29">INDEX(Base_IFData!$L$5:$L$1626,$U29)/1000000</f>
        <v>94.908732999999998</v>
      </c>
      <c r="R29" s="58" t="e" cm="1">
        <f t="array" ref="R29">IF(INDEX(Base_IFData!$U$5:$U$1626,$U29)=R$3,INDEX(Base_IFData!$W$5:$W$1626,$U29),NA())</f>
        <v>#N/A</v>
      </c>
      <c r="S29" s="59" t="e" cm="1">
        <f t="array" ref="S29">IF(INDEX(Base_IFData!$U$5:$U$1626,$U29)=S$3,INDEX(Base_IFData!$W$5:$W$1626,$U29),NA())</f>
        <v>#N/A</v>
      </c>
      <c r="T29" s="58" cm="1">
        <f t="array" ref="T29">IF(INDEX(Base_IFData!$U$5:$U$1626,$U29)=T$3,INDEX(Base_IFData!$W$5:$W$1626,$U29),NA())</f>
        <v>7.5106980563680911E-2</v>
      </c>
      <c r="U29" s="115">
        <f>MATCH(LARGE(Base_IFData!$L$5:$L$1626,ROWS(U$4:U29)),Base_IFData!$L$5:$L$1626,0)</f>
        <v>26</v>
      </c>
      <c r="V29" s="8"/>
      <c r="W29" s="8"/>
      <c r="X29" s="8"/>
      <c r="Y29" s="8"/>
      <c r="Z29" s="8"/>
      <c r="AA29" s="8"/>
      <c r="AB29" s="8"/>
      <c r="AC29" s="8"/>
      <c r="AD29" s="8"/>
    </row>
    <row r="30" spans="1:30" ht="15" customHeight="1" x14ac:dyDescent="0.2">
      <c r="A30" s="34">
        <v>4</v>
      </c>
      <c r="B30" s="15" t="str">
        <f>INDEX(Base_IFData!$A$5:$A$1626,MATCH($E30,Base_IFData!$W$5:$W$1626,0))</f>
        <v>BB GESTÃO DE RECURSOS - DISTRIBUIDORA DE TÍTULOS E VALORES MOBILIÁRIOS S.A.</v>
      </c>
      <c r="C30" s="15" t="str">
        <f>INDEX(Base_IFData!$F$5:$F$1626,MATCH($E30,Base_IFData!$W$5:$W$1626,0))</f>
        <v>n2</v>
      </c>
      <c r="D30" s="16">
        <f>INDEX(Base_IFData!$L$5:$L$1626,MATCH($E30,Base_IFData!$W$5:$W$1626,0))</f>
        <v>3841544</v>
      </c>
      <c r="E30" s="87">
        <f>LARGE(Base_IFData!$W$5:$W$1626,$A30)</f>
        <v>0.87126300576821647</v>
      </c>
      <c r="F30" s="8"/>
      <c r="G30" s="8"/>
      <c r="H30" s="8"/>
      <c r="I30" s="8"/>
      <c r="J30" s="8"/>
      <c r="K30" s="12" t="str">
        <f>Base_IFData!A31</f>
        <v>STONE INSTITUIÇÃO DE PAGAMENTO S.A.</v>
      </c>
      <c r="L30" s="12" t="str">
        <f>Base_IFData!F31</f>
        <v>n4</v>
      </c>
      <c r="M30" s="14">
        <f>IF(AND(ISNUMBER(Base_IFData!L31),ISNUMBER(Base_IFData!W31)),IF(Base_IFData!L31&gt;$B$4,Base_IFData!W31,""),"")</f>
        <v>0.27016714787922674</v>
      </c>
      <c r="N30" s="51">
        <f>IF(AND(ISNUMBER(Base_IFData!O31),ISNUMBER(Base_IFData!Q31)),IF(Base_IFData!Q31&gt;0,Base_IFData!O31/Base_IFData!Q31,"PL ≤ 0"),"NI")</f>
        <v>26.803933873728909</v>
      </c>
      <c r="O30" s="110">
        <f>IF(AND(ISNUMBER(Base_IFData!M31),ISNUMBER(Base_IFData!Q31)),IF(Base_IFData!Q31&gt;0,Base_IFData!M31/Base_IFData!Q31,"PL ≤ 0"),"NI")</f>
        <v>0</v>
      </c>
      <c r="P30" s="8"/>
      <c r="Q30" s="53" cm="1">
        <f t="array" ref="Q30">INDEX(Base_IFData!$L$5:$L$1626,$U30)/1000000</f>
        <v>89.229884999999996</v>
      </c>
      <c r="R30" s="54" t="e" cm="1">
        <f t="array" ref="R30">IF(INDEX(Base_IFData!$U$5:$U$1626,$U30)=R$3,INDEX(Base_IFData!$W$5:$W$1626,$U30),NA())</f>
        <v>#N/A</v>
      </c>
      <c r="S30" s="55" t="e" cm="1">
        <f t="array" ref="S30">IF(INDEX(Base_IFData!$U$5:$U$1626,$U30)=S$3,INDEX(Base_IFData!$W$5:$W$1626,$U30),NA())</f>
        <v>#N/A</v>
      </c>
      <c r="T30" s="54" cm="1">
        <f t="array" ref="T30">IF(INDEX(Base_IFData!$U$5:$U$1626,$U30)=T$3,INDEX(Base_IFData!$W$5:$W$1626,$U30),NA())</f>
        <v>0.27016714787922674</v>
      </c>
      <c r="U30" s="114">
        <f>MATCH(LARGE(Base_IFData!$L$5:$L$1626,ROWS(U$4:U30)),Base_IFData!$L$5:$L$1626,0)</f>
        <v>27</v>
      </c>
      <c r="V30" s="8"/>
      <c r="W30" s="8"/>
      <c r="X30" s="8"/>
      <c r="Y30" s="8"/>
      <c r="Z30" s="8"/>
      <c r="AA30" s="8"/>
      <c r="AB30" s="8"/>
      <c r="AC30" s="8"/>
      <c r="AD30" s="8"/>
    </row>
    <row r="31" spans="1:30" ht="15" customHeight="1" x14ac:dyDescent="0.2">
      <c r="A31" s="31">
        <v>5</v>
      </c>
      <c r="B31" s="9" t="str">
        <f>INDEX(Base_IFData!$A$5:$A$1626,MATCH($E31,Base_IFData!$W$5:$W$1626,0))</f>
        <v>EFEX INSTITUIÇÃO DE PAGAMENTO S.A.</v>
      </c>
      <c r="C31" s="9" t="str">
        <f>INDEX(Base_IFData!$F$5:$F$1626,MATCH($E31,Base_IFData!$W$5:$W$1626,0))</f>
        <v>n4</v>
      </c>
      <c r="D31" s="10">
        <f>INDEX(Base_IFData!$L$5:$L$1626,MATCH($E31,Base_IFData!$W$5:$W$1626,0))</f>
        <v>1839</v>
      </c>
      <c r="E31" s="86">
        <f>LARGE(Base_IFData!$W$5:$W$1626,$A31)</f>
        <v>0.82136894824707851</v>
      </c>
      <c r="F31" s="8"/>
      <c r="G31" s="8"/>
      <c r="H31" s="8"/>
      <c r="I31" s="8"/>
      <c r="J31" s="8"/>
      <c r="K31" s="15" t="str">
        <f>Base_IFData!A32</f>
        <v>BANCO DO NORDESTE DO BRASIL S.A.</v>
      </c>
      <c r="L31" s="15" t="str">
        <f>Base_IFData!F32</f>
        <v>b1</v>
      </c>
      <c r="M31" s="17">
        <f>IF(AND(ISNUMBER(Base_IFData!L32),ISNUMBER(Base_IFData!W32)),IF(Base_IFData!L32&gt;$B$4,Base_IFData!W32,""),"")</f>
        <v>6.2892486235361783E-2</v>
      </c>
      <c r="N31" s="50">
        <f>IF(AND(ISNUMBER(Base_IFData!O32),ISNUMBER(Base_IFData!Q32)),IF(Base_IFData!Q32&gt;0,Base_IFData!O32/Base_IFData!Q32,"PL ≤ 0"),"NI")</f>
        <v>3.8200638672075971</v>
      </c>
      <c r="O31" s="107">
        <f>IF(AND(ISNUMBER(Base_IFData!M32),ISNUMBER(Base_IFData!Q32)),IF(Base_IFData!Q32&gt;0,Base_IFData!M32/Base_IFData!Q32,"PL ≤ 0"),"NI")</f>
        <v>1.0575096309346155</v>
      </c>
      <c r="P31" s="8"/>
      <c r="Q31" s="57" cm="1">
        <f t="array" ref="Q31">INDEX(Base_IFData!$L$5:$L$1626,$U31)/1000000</f>
        <v>81.039783</v>
      </c>
      <c r="R31" s="58" cm="1">
        <f t="array" ref="R31">IF(INDEX(Base_IFData!$U$5:$U$1626,$U31)=R$3,INDEX(Base_IFData!$W$5:$W$1626,$U31),NA())</f>
        <v>6.2892486235361783E-2</v>
      </c>
      <c r="S31" s="59" t="e" cm="1">
        <f t="array" ref="S31">IF(INDEX(Base_IFData!$U$5:$U$1626,$U31)=S$3,INDEX(Base_IFData!$W$5:$W$1626,$U31),NA())</f>
        <v>#N/A</v>
      </c>
      <c r="T31" s="58" t="e" cm="1">
        <f t="array" ref="T31">IF(INDEX(Base_IFData!$U$5:$U$1626,$U31)=T$3,INDEX(Base_IFData!$W$5:$W$1626,$U31),NA())</f>
        <v>#N/A</v>
      </c>
      <c r="U31" s="115">
        <f>MATCH(LARGE(Base_IFData!$L$5:$L$1626,ROWS(U$4:U31)),Base_IFData!$L$5:$L$1626,0)</f>
        <v>28</v>
      </c>
      <c r="V31" s="8"/>
      <c r="W31" s="8"/>
      <c r="X31" s="8"/>
      <c r="Y31" s="8"/>
      <c r="Z31" s="8"/>
      <c r="AA31" s="8"/>
      <c r="AB31" s="8"/>
      <c r="AC31" s="8"/>
      <c r="AD31" s="8"/>
    </row>
    <row r="32" spans="1:30" ht="15" customHeight="1" x14ac:dyDescent="0.2">
      <c r="A32" s="92"/>
      <c r="B32" s="92"/>
      <c r="C32" s="92"/>
      <c r="D32" s="92"/>
      <c r="E32" s="8"/>
      <c r="F32" s="8"/>
      <c r="G32" s="8"/>
      <c r="H32" s="8"/>
      <c r="I32" s="8"/>
      <c r="J32" s="8"/>
      <c r="K32" s="12" t="str">
        <f>Base_IFData!A33</f>
        <v>BANCO PAN S.A.</v>
      </c>
      <c r="L32" s="12" t="str">
        <f>Base_IFData!F33</f>
        <v>b1</v>
      </c>
      <c r="M32" s="14">
        <f>IF(AND(ISNUMBER(Base_IFData!L33),ISNUMBER(Base_IFData!W33)),IF(Base_IFData!L33&gt;$B$4,Base_IFData!W33,""),"")</f>
        <v>7.8732620834839173E-2</v>
      </c>
      <c r="N32" s="51">
        <f>IF(AND(ISNUMBER(Base_IFData!O33),ISNUMBER(Base_IFData!Q33)),IF(Base_IFData!Q33&gt;0,Base_IFData!O33/Base_IFData!Q33,"PL ≤ 0"),"NI")</f>
        <v>7.818769715260105</v>
      </c>
      <c r="O32" s="110">
        <f>IF(AND(ISNUMBER(Base_IFData!M33),ISNUMBER(Base_IFData!Q33)),IF(Base_IFData!Q33&gt;0,Base_IFData!M33/Base_IFData!Q33,"PL ≤ 0"),"NI")</f>
        <v>4.0599833613877809</v>
      </c>
      <c r="P32" s="8"/>
      <c r="Q32" s="53" cm="1">
        <f t="array" ref="Q32">INDEX(Base_IFData!$L$5:$L$1626,$U32)/1000000</f>
        <v>77.255474000000007</v>
      </c>
      <c r="R32" s="54" t="e" cm="1">
        <f t="array" ref="R32">IF(INDEX(Base_IFData!$U$5:$U$1626,$U32)=R$3,INDEX(Base_IFData!$W$5:$W$1626,$U32),NA())</f>
        <v>#N/A</v>
      </c>
      <c r="S32" s="55" cm="1">
        <f t="array" ref="S32">IF(INDEX(Base_IFData!$U$5:$U$1626,$U32)=S$3,INDEX(Base_IFData!$W$5:$W$1626,$U32),NA())</f>
        <v>7.8732620834839173E-2</v>
      </c>
      <c r="T32" s="54" t="e" cm="1">
        <f t="array" ref="T32">IF(INDEX(Base_IFData!$U$5:$U$1626,$U32)=T$3,INDEX(Base_IFData!$W$5:$W$1626,$U32),NA())</f>
        <v>#N/A</v>
      </c>
      <c r="U32" s="114">
        <f>MATCH(LARGE(Base_IFData!$L$5:$L$1626,ROWS(U$4:U32)),Base_IFData!$L$5:$L$1626,0)</f>
        <v>29</v>
      </c>
      <c r="V32" s="8"/>
      <c r="W32" s="8"/>
      <c r="X32" s="8"/>
      <c r="Y32" s="8"/>
      <c r="Z32" s="8"/>
      <c r="AA32" s="8"/>
      <c r="AB32" s="8"/>
      <c r="AC32" s="8"/>
      <c r="AD32" s="8"/>
    </row>
    <row r="33" spans="1:30" ht="15" customHeight="1" x14ac:dyDescent="0.2">
      <c r="A33" s="18" t="str">
        <f>"(b) Só instituições com Ativo Total acima de R$ "&amp;FIXED($B$4/1000000,0)&amp;" bilhão"</f>
        <v>(b) Só instituições com Ativo Total acima de R$ 1 bilhão</v>
      </c>
      <c r="B33" s="8"/>
      <c r="C33" s="8"/>
      <c r="D33" s="8"/>
      <c r="E33" s="8"/>
      <c r="F33" s="8"/>
      <c r="G33" s="8"/>
      <c r="H33" s="8"/>
      <c r="I33" s="8"/>
      <c r="J33" s="8"/>
      <c r="K33" s="15" t="str">
        <f>Base_IFData!A34</f>
        <v>GETNET ADQUIRÊNCIA E SERVIÇOS PARA MEIOS DE PAGAMENTO S.A. INSTITUIÇÃO DE PAGAMENTO</v>
      </c>
      <c r="L33" s="15" t="str">
        <f>Base_IFData!F34</f>
        <v>n4</v>
      </c>
      <c r="M33" s="17">
        <f>IF(AND(ISNUMBER(Base_IFData!L34),ISNUMBER(Base_IFData!W34)),IF(Base_IFData!L34&gt;$B$4,Base_IFData!W34,""),"")</f>
        <v>0.13831563196347701</v>
      </c>
      <c r="N33" s="50">
        <f>IF(AND(ISNUMBER(Base_IFData!O34),ISNUMBER(Base_IFData!Q34)),IF(Base_IFData!Q34&gt;0,Base_IFData!O34/Base_IFData!Q34,"PL ≤ 0"),"NI")</f>
        <v>18.396741863940129</v>
      </c>
      <c r="O33" s="107">
        <f>IF(AND(ISNUMBER(Base_IFData!M34),ISNUMBER(Base_IFData!Q34)),IF(Base_IFData!Q34&gt;0,Base_IFData!M34/Base_IFData!Q34,"PL ≤ 0"),"NI")</f>
        <v>0</v>
      </c>
      <c r="P33" s="8"/>
      <c r="Q33" s="95" cm="1">
        <f t="array" ref="Q33">INDEX(Base_IFData!$L$5:$L$1626,$U33)/1000000</f>
        <v>74.198667</v>
      </c>
      <c r="R33" s="96" t="e" cm="1">
        <f t="array" ref="R33">IF(INDEX(Base_IFData!$U$5:$U$1626,$U33)=R$3,INDEX(Base_IFData!$W$5:$W$1626,$U33),NA())</f>
        <v>#N/A</v>
      </c>
      <c r="S33" s="97" t="e" cm="1">
        <f t="array" ref="S33">IF(INDEX(Base_IFData!$U$5:$U$1626,$U33)=S$3,INDEX(Base_IFData!$W$5:$W$1626,$U33),NA())</f>
        <v>#N/A</v>
      </c>
      <c r="T33" s="96" cm="1">
        <f t="array" ref="T33">IF(INDEX(Base_IFData!$U$5:$U$1626,$U33)=T$3,INDEX(Base_IFData!$W$5:$W$1626,$U33),NA())</f>
        <v>0.13831563196347701</v>
      </c>
      <c r="U33" s="115">
        <f>MATCH(LARGE(Base_IFData!$L$5:$L$1626,ROWS(U$4:U33)),Base_IFData!$L$5:$L$1626,0)</f>
        <v>30</v>
      </c>
      <c r="V33" s="8"/>
      <c r="W33" s="8"/>
      <c r="X33" s="8"/>
      <c r="Y33" s="8"/>
      <c r="Z33" s="8"/>
      <c r="AA33" s="8"/>
      <c r="AB33" s="8"/>
      <c r="AC33" s="8"/>
      <c r="AD33" s="8"/>
    </row>
    <row r="34" spans="1:30" ht="15" customHeight="1" x14ac:dyDescent="0.2">
      <c r="A34" s="123" t="s">
        <v>3624</v>
      </c>
      <c r="B34" s="129" t="s">
        <v>0</v>
      </c>
      <c r="C34" s="129" t="s">
        <v>4</v>
      </c>
      <c r="D34" s="129" t="s">
        <v>3772</v>
      </c>
      <c r="E34" s="130" t="s">
        <v>3573</v>
      </c>
      <c r="F34" s="8"/>
      <c r="G34" s="8"/>
      <c r="H34" s="8"/>
      <c r="I34" s="8"/>
      <c r="J34" s="8"/>
      <c r="K34" s="12" t="str">
        <f>Base_IFData!A35</f>
        <v>PAGSEGURO INTERNET INSTITUIÇÃO DE PAGAMENTO S.A.</v>
      </c>
      <c r="L34" s="12" t="str">
        <f>Base_IFData!F35</f>
        <v>n4</v>
      </c>
      <c r="M34" s="14">
        <f>IF(AND(ISNUMBER(Base_IFData!L35),ISNUMBER(Base_IFData!W35)),IF(Base_IFData!L35&gt;$B$4,Base_IFData!W35,""),"")</f>
        <v>7.6858179671637508E-2</v>
      </c>
      <c r="N34" s="51">
        <f>IF(AND(ISNUMBER(Base_IFData!O35),ISNUMBER(Base_IFData!Q35)),IF(Base_IFData!Q35&gt;0,Base_IFData!O35/Base_IFData!Q35,"PL ≤ 0"),"NI")</f>
        <v>11.19236589958107</v>
      </c>
      <c r="O34" s="110">
        <f>IF(AND(ISNUMBER(Base_IFData!M35),ISNUMBER(Base_IFData!Q35)),IF(Base_IFData!Q35&gt;0,Base_IFData!M35/Base_IFData!Q35,"PL ≤ 0"),"NI")</f>
        <v>0.12378899439298206</v>
      </c>
      <c r="P34" s="8"/>
      <c r="Q34" s="92"/>
      <c r="R34" s="92"/>
      <c r="S34" s="92"/>
      <c r="T34" s="92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" customHeight="1" x14ac:dyDescent="0.2">
      <c r="A35" s="33">
        <v>1</v>
      </c>
      <c r="B35" s="12" t="str">
        <f>INDEX(Base_IFData!$A$5:$A$1626,MATCH($E35,$M$4:$M$1625,0))</f>
        <v>BB GESTÃO DE RECURSOS - DISTRIBUIDORA DE TÍTULOS E VALORES MOBILIÁRIOS S.A.</v>
      </c>
      <c r="C35" s="12" t="str">
        <f>INDEX(Base_IFData!$F$5:$F$1626,MATCH($E35,$M$4:$M$1625,0))</f>
        <v>n2</v>
      </c>
      <c r="D35" s="13">
        <f>INDEX(Base_IFData!$L$5:$L$1626,MATCH($E35,$M$4:$M$1625,0))</f>
        <v>3841544</v>
      </c>
      <c r="E35" s="86">
        <f>LARGE($M$4:$M$1625,$A35)</f>
        <v>0.87126300576821647</v>
      </c>
      <c r="F35" s="8"/>
      <c r="G35" s="8"/>
      <c r="H35" s="8"/>
      <c r="I35" s="8"/>
      <c r="J35" s="8"/>
      <c r="K35" s="15" t="str">
        <f>Base_IFData!A36</f>
        <v>BANCO BRADESCO FINANCIAMENTOS S.A.</v>
      </c>
      <c r="L35" s="15" t="str">
        <f>Base_IFData!F36</f>
        <v>b1</v>
      </c>
      <c r="M35" s="17">
        <f>IF(AND(ISNUMBER(Base_IFData!L36),ISNUMBER(Base_IFData!W36)),IF(Base_IFData!L36&gt;$B$4,Base_IFData!W36,""),"")</f>
        <v>1.946155982879004E-2</v>
      </c>
      <c r="N35" s="50">
        <f>IF(AND(ISNUMBER(Base_IFData!O36),ISNUMBER(Base_IFData!Q36)),IF(Base_IFData!Q36&gt;0,Base_IFData!O36/Base_IFData!Q36,"PL ≤ 0"),"NI")</f>
        <v>107.50257099026527</v>
      </c>
      <c r="O35" s="107">
        <f>IF(AND(ISNUMBER(Base_IFData!M36),ISNUMBER(Base_IFData!Q36)),IF(Base_IFData!Q36&gt;0,Base_IFData!M36/Base_IFData!Q36,"PL ≤ 0"),"NI")</f>
        <v>82.832622062852735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" customHeight="1" x14ac:dyDescent="0.2">
      <c r="A36" s="34">
        <v>2</v>
      </c>
      <c r="B36" s="15" t="str">
        <f>INDEX(Base_IFData!$A$5:$A$1626,MATCH($E36,$M$4:$M$1625,0))</f>
        <v>CITIBANK DISTRIBUIDORA DE TITULOS E VALORES MOBILIARIOS S.A</v>
      </c>
      <c r="C36" s="15" t="str">
        <f>INDEX(Base_IFData!$F$5:$F$1626,MATCH($E36,$M$4:$M$1625,0))</f>
        <v>n2</v>
      </c>
      <c r="D36" s="16">
        <f>INDEX(Base_IFData!$L$5:$L$1626,MATCH($E36,$M$4:$M$1625,0))</f>
        <v>7217748</v>
      </c>
      <c r="E36" s="87">
        <f t="shared" ref="E36:E39" si="5">LARGE($M$4:$M$1625,$A36)</f>
        <v>0.63301267298781794</v>
      </c>
      <c r="F36" s="8"/>
      <c r="G36" s="8"/>
      <c r="H36" s="8"/>
      <c r="I36" s="8"/>
      <c r="J36" s="8"/>
      <c r="K36" s="12" t="str">
        <f>Base_IFData!A37</f>
        <v>BANCO DA AMAZONIA S.A.</v>
      </c>
      <c r="L36" s="12" t="str">
        <f>Base_IFData!F37</f>
        <v>b1</v>
      </c>
      <c r="M36" s="14">
        <f>IF(AND(ISNUMBER(Base_IFData!L37),ISNUMBER(Base_IFData!W37)),IF(Base_IFData!L37&gt;$B$4,Base_IFData!W37,""),"")</f>
        <v>4.8536782222774563E-2</v>
      </c>
      <c r="N36" s="51">
        <f>IF(AND(ISNUMBER(Base_IFData!O37),ISNUMBER(Base_IFData!Q37)),IF(Base_IFData!Q37&gt;0,Base_IFData!O37/Base_IFData!Q37,"PL ≤ 0"),"NI")</f>
        <v>8.2593103641688401</v>
      </c>
      <c r="O36" s="110">
        <f>IF(AND(ISNUMBER(Base_IFData!M37),ISNUMBER(Base_IFData!Q37)),IF(Base_IFData!Q37&gt;0,Base_IFData!M37/Base_IFData!Q37,"PL ≤ 0"),"NI")</f>
        <v>5.3221681504071103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" customHeight="1" x14ac:dyDescent="0.2">
      <c r="A37" s="33">
        <v>3</v>
      </c>
      <c r="B37" s="12" t="str">
        <f>INDEX(Base_IFData!$A$5:$A$1626,MATCH($E37,$M$4:$M$1625,0))</f>
        <v>DAYCOVAL LEASING SOCIEDADE DE ARRENDAMENTO MERCANTIL S.A.</v>
      </c>
      <c r="C37" s="12" t="str">
        <f>INDEX(Base_IFData!$F$5:$F$1626,MATCH($E37,$M$4:$M$1625,0))</f>
        <v>n1</v>
      </c>
      <c r="D37" s="13">
        <f>INDEX(Base_IFData!$L$5:$L$1626,MATCH($E37,$M$4:$M$1625,0))</f>
        <v>3993757</v>
      </c>
      <c r="E37" s="86">
        <f t="shared" si="5"/>
        <v>0.56020092425155721</v>
      </c>
      <c r="F37" s="8"/>
      <c r="G37" s="8"/>
      <c r="H37" s="8"/>
      <c r="I37" s="8"/>
      <c r="J37" s="8"/>
      <c r="K37" s="15" t="str">
        <f>Base_IFData!A38</f>
        <v>BANCO ABC BRASIL S.A.</v>
      </c>
      <c r="L37" s="15" t="str">
        <f>Base_IFData!F38</f>
        <v>b1</v>
      </c>
      <c r="M37" s="17">
        <f>IF(AND(ISNUMBER(Base_IFData!L38),ISNUMBER(Base_IFData!W38)),IF(Base_IFData!L38&gt;$B$4,Base_IFData!W38,""),"")</f>
        <v>6.7163618805289774E-2</v>
      </c>
      <c r="N37" s="50">
        <f>IF(AND(ISNUMBER(Base_IFData!O38),ISNUMBER(Base_IFData!Q38)),IF(Base_IFData!Q38&gt;0,Base_IFData!O38/Base_IFData!Q38,"PL ≤ 0"),"NI")</f>
        <v>8.1125775684107069</v>
      </c>
      <c r="O37" s="107">
        <f>IF(AND(ISNUMBER(Base_IFData!M38),ISNUMBER(Base_IFData!Q38)),IF(Base_IFData!Q38&gt;0,Base_IFData!M38/Base_IFData!Q38,"PL ≤ 0"),"NI")</f>
        <v>2.5514478403452858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" customHeight="1" x14ac:dyDescent="0.2">
      <c r="A38" s="34">
        <v>4</v>
      </c>
      <c r="B38" s="15" t="str">
        <f>INDEX(Base_IFData!$A$5:$A$1626,MATCH($E38,$M$4:$M$1625,0))</f>
        <v>BTG PACTUAL SERVIÇOS FINANCEIROS S.A. DISTRIBUIDORA DE TÍTULOS E VALORES MOBILIÁRIOS</v>
      </c>
      <c r="C38" s="15" t="str">
        <f>INDEX(Base_IFData!$F$5:$F$1626,MATCH($E38,$M$4:$M$1625,0))</f>
        <v>n2</v>
      </c>
      <c r="D38" s="16">
        <f>INDEX(Base_IFData!$L$5:$L$1626,MATCH($E38,$M$4:$M$1625,0))</f>
        <v>2651422</v>
      </c>
      <c r="E38" s="87">
        <f t="shared" si="5"/>
        <v>0.46930622135114231</v>
      </c>
      <c r="F38" s="8"/>
      <c r="G38" s="8"/>
      <c r="H38" s="8"/>
      <c r="I38" s="8"/>
      <c r="J38" s="8"/>
      <c r="K38" s="12" t="str">
        <f>Base_IFData!A39</f>
        <v>BANCO VOLKSWAGEN S.A.</v>
      </c>
      <c r="L38" s="12" t="str">
        <f>Base_IFData!F39</f>
        <v>b2</v>
      </c>
      <c r="M38" s="14">
        <f>IF(AND(ISNUMBER(Base_IFData!L39),ISNUMBER(Base_IFData!W39)),IF(Base_IFData!L39&gt;$B$4,Base_IFData!W39,""),"")</f>
        <v>-3.8579328769715079E-2</v>
      </c>
      <c r="N38" s="51">
        <f>IF(AND(ISNUMBER(Base_IFData!O39),ISNUMBER(Base_IFData!Q39)),IF(Base_IFData!Q39&gt;0,Base_IFData!O39/Base_IFData!Q39,"PL ≤ 0"),"NI")</f>
        <v>10.635193011570133</v>
      </c>
      <c r="O38" s="110">
        <f>IF(AND(ISNUMBER(Base_IFData!M39),ISNUMBER(Base_IFData!Q39)),IF(Base_IFData!Q39&gt;0,Base_IFData!M39/Base_IFData!Q39,"PL ≤ 0"),"NI")</f>
        <v>9.5636870175470587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" customHeight="1" x14ac:dyDescent="0.2">
      <c r="A39" s="31">
        <v>5</v>
      </c>
      <c r="B39" s="9" t="str">
        <f>INDEX(Base_IFData!$A$5:$A$1626,MATCH($E39,$M$4:$M$1625,0))</f>
        <v>CLOUDWALK FINANCEIRA S.A. CRÉDITO, FINANCIAMENTO E INVESTIMENTO</v>
      </c>
      <c r="C39" s="9" t="str">
        <f>INDEX(Base_IFData!$F$5:$F$1626,MATCH($E39,$M$4:$M$1625,0))</f>
        <v>n1</v>
      </c>
      <c r="D39" s="10">
        <f>INDEX(Base_IFData!$L$5:$L$1626,MATCH($E39,$M$4:$M$1625,0))</f>
        <v>1880154</v>
      </c>
      <c r="E39" s="86">
        <f t="shared" si="5"/>
        <v>0.44460719691421319</v>
      </c>
      <c r="F39" s="8"/>
      <c r="G39" s="8"/>
      <c r="H39" s="8"/>
      <c r="I39" s="8"/>
      <c r="J39" s="8"/>
      <c r="K39" s="15" t="str">
        <f>Base_IFData!A40</f>
        <v>BANCO BNP PARIBAS BRASIL S.A.</v>
      </c>
      <c r="L39" s="15" t="str">
        <f>Base_IFData!F40</f>
        <v>b1</v>
      </c>
      <c r="M39" s="17">
        <f>IF(AND(ISNUMBER(Base_IFData!L40),ISNUMBER(Base_IFData!W40)),IF(Base_IFData!L40&gt;$B$4,Base_IFData!W40,""),"")</f>
        <v>1.8372532357212503E-2</v>
      </c>
      <c r="N39" s="50">
        <f>IF(AND(ISNUMBER(Base_IFData!O40),ISNUMBER(Base_IFData!Q40)),IF(Base_IFData!Q40&gt;0,Base_IFData!O40/Base_IFData!Q40,"PL ≤ 0"),"NI")</f>
        <v>11.479873451875433</v>
      </c>
      <c r="O39" s="107">
        <f>IF(AND(ISNUMBER(Base_IFData!M40),ISNUMBER(Base_IFData!Q40)),IF(Base_IFData!Q40&gt;0,Base_IFData!M40/Base_IFData!Q40,"PL ≤ 0"),"NI")</f>
        <v>1.4257228190180526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" customHeight="1" x14ac:dyDescent="0.2">
      <c r="A40" s="92"/>
      <c r="B40" s="92"/>
      <c r="C40" s="92"/>
      <c r="D40" s="92"/>
      <c r="E40" s="8"/>
      <c r="F40" s="8"/>
      <c r="G40" s="8"/>
      <c r="H40" s="8"/>
      <c r="I40" s="8"/>
      <c r="J40" s="8"/>
      <c r="K40" s="12" t="str">
        <f>Base_IFData!A41</f>
        <v>BANCO C6 CONSIGNADO S.A.</v>
      </c>
      <c r="L40" s="12" t="str">
        <f>Base_IFData!F41</f>
        <v>b1</v>
      </c>
      <c r="M40" s="14">
        <f>IF(AND(ISNUMBER(Base_IFData!L41),ISNUMBER(Base_IFData!W41)),IF(Base_IFData!L41&gt;$B$4,Base_IFData!W41,""),"")</f>
        <v>0.15314538373613135</v>
      </c>
      <c r="N40" s="51">
        <f>IF(AND(ISNUMBER(Base_IFData!O41),ISNUMBER(Base_IFData!Q41)),IF(Base_IFData!Q41&gt;0,Base_IFData!O41/Base_IFData!Q41,"PL ≤ 0"),"NI")</f>
        <v>14.376621424611404</v>
      </c>
      <c r="O40" s="110">
        <f>IF(AND(ISNUMBER(Base_IFData!M41),ISNUMBER(Base_IFData!Q41)),IF(Base_IFData!Q41&gt;0,Base_IFData!M41/Base_IFData!Q41,"PL ≤ 0"),"NI")</f>
        <v>11.645826848182447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" customHeight="1" x14ac:dyDescent="0.2">
      <c r="A41" s="25" t="s">
        <v>3773</v>
      </c>
      <c r="B41" s="25"/>
      <c r="C41" s="25"/>
      <c r="D41" s="25"/>
      <c r="E41" s="25"/>
      <c r="F41" s="25"/>
      <c r="G41" s="25"/>
      <c r="H41" s="25"/>
      <c r="I41" s="8"/>
      <c r="J41" s="8"/>
      <c r="K41" s="15" t="str">
        <f>Base_IFData!A42</f>
        <v>BANCO RABOBANK INTERNATIONAL BRASIL S.A.</v>
      </c>
      <c r="L41" s="15" t="str">
        <f>Base_IFData!F42</f>
        <v>b1</v>
      </c>
      <c r="M41" s="17">
        <f>IF(AND(ISNUMBER(Base_IFData!L42),ISNUMBER(Base_IFData!W42)),IF(Base_IFData!L42&gt;$B$4,Base_IFData!W42,""),"")</f>
        <v>4.755322556175514E-2</v>
      </c>
      <c r="N41" s="50">
        <f>IF(AND(ISNUMBER(Base_IFData!O42),ISNUMBER(Base_IFData!Q42)),IF(Base_IFData!Q42&gt;0,Base_IFData!O42/Base_IFData!Q42,"PL ≤ 0"),"NI")</f>
        <v>8.6012103933831181</v>
      </c>
      <c r="O41" s="107">
        <f>IF(AND(ISNUMBER(Base_IFData!M42),ISNUMBER(Base_IFData!Q42)),IF(Base_IFData!Q42&gt;0,Base_IFData!M42/Base_IFData!Q42,"PL ≤ 0"),"NI")</f>
        <v>6.6606180360062703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" customHeight="1" x14ac:dyDescent="0.2">
      <c r="A42" s="12" t="s">
        <v>3774</v>
      </c>
      <c r="B42" s="105">
        <f>COUNT($N$4:$N$1625)</f>
        <v>1565</v>
      </c>
      <c r="C42" s="8"/>
      <c r="D42" s="8"/>
      <c r="E42" s="8"/>
      <c r="F42" s="8"/>
      <c r="G42" s="8"/>
      <c r="H42" s="8"/>
      <c r="I42" s="8"/>
      <c r="J42" s="8"/>
      <c r="K42" s="12" t="str">
        <f>Base_IFData!A43</f>
        <v>BANCOSEGURO S.A.</v>
      </c>
      <c r="L42" s="12" t="str">
        <f>Base_IFData!F43</f>
        <v>b1</v>
      </c>
      <c r="M42" s="14">
        <f>IF(AND(ISNUMBER(Base_IFData!L43),ISNUMBER(Base_IFData!W43)),IF(Base_IFData!L43&gt;$B$4,Base_IFData!W43,""),"")</f>
        <v>3.8398437068970025E-2</v>
      </c>
      <c r="N42" s="51">
        <f>IF(AND(ISNUMBER(Base_IFData!O43),ISNUMBER(Base_IFData!Q43)),IF(Base_IFData!Q43&gt;0,Base_IFData!O43/Base_IFData!Q43,"PL ≤ 0"),"NI")</f>
        <v>29.368435785498868</v>
      </c>
      <c r="O42" s="110">
        <f>IF(AND(ISNUMBER(Base_IFData!M43),ISNUMBER(Base_IFData!Q43)),IF(Base_IFData!Q43&gt;0,Base_IFData!M43/Base_IFData!Q43,"PL ≤ 0"),"NI")</f>
        <v>27.672603349917793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" customHeight="1" x14ac:dyDescent="0.2">
      <c r="A43" s="15" t="s">
        <v>3775</v>
      </c>
      <c r="B43" s="106">
        <f>COUNTIF($N$4:$N$1625,"PL ≤ 0")</f>
        <v>6</v>
      </c>
      <c r="C43" s="8"/>
      <c r="D43" s="8"/>
      <c r="E43" s="8"/>
      <c r="F43" s="8"/>
      <c r="G43" s="8"/>
      <c r="H43" s="8"/>
      <c r="I43" s="8"/>
      <c r="J43" s="8"/>
      <c r="K43" s="15" t="str">
        <f>Base_IFData!A44</f>
        <v>BANCO AGIBANK S.A.</v>
      </c>
      <c r="L43" s="15" t="str">
        <f>Base_IFData!F44</f>
        <v>b1</v>
      </c>
      <c r="M43" s="17">
        <f>IF(AND(ISNUMBER(Base_IFData!L44),ISNUMBER(Base_IFData!W44)),IF(Base_IFData!L44&gt;$B$4,Base_IFData!W44,""),"")</f>
        <v>4.8874404130584276E-2</v>
      </c>
      <c r="N43" s="50">
        <f>IF(AND(ISNUMBER(Base_IFData!O44),ISNUMBER(Base_IFData!Q44)),IF(Base_IFData!Q44&gt;0,Base_IFData!O44/Base_IFData!Q44,"PL ≤ 0"),"NI")</f>
        <v>13.930759973892469</v>
      </c>
      <c r="O43" s="107">
        <f>IF(AND(ISNUMBER(Base_IFData!M44),ISNUMBER(Base_IFData!Q44)),IF(Base_IFData!Q44&gt;0,Base_IFData!M44/Base_IFData!Q44,"PL ≤ 0"),"NI")</f>
        <v>10.103724985139687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" customHeight="1" x14ac:dyDescent="0.2">
      <c r="A44" s="12" t="s">
        <v>3776</v>
      </c>
      <c r="B44" s="105">
        <f>COUNTIF($N$4:$N$1625,"NI")</f>
        <v>51</v>
      </c>
      <c r="C44" s="8"/>
      <c r="D44" s="8"/>
      <c r="E44" s="8"/>
      <c r="F44" s="8"/>
      <c r="G44" s="8"/>
      <c r="H44" s="8"/>
      <c r="I44" s="8"/>
      <c r="J44" s="8"/>
      <c r="K44" s="12" t="str">
        <f>Base_IFData!A45</f>
        <v>BANCO BMG S.A.</v>
      </c>
      <c r="L44" s="12" t="str">
        <f>Base_IFData!F45</f>
        <v>b1</v>
      </c>
      <c r="M44" s="14">
        <f>IF(AND(ISNUMBER(Base_IFData!L45),ISNUMBER(Base_IFData!W45)),IF(Base_IFData!L45&gt;$B$4,Base_IFData!W45,""),"")</f>
        <v>7.0513191558328803E-2</v>
      </c>
      <c r="N44" s="51">
        <f>IF(AND(ISNUMBER(Base_IFData!O45),ISNUMBER(Base_IFData!Q45)),IF(Base_IFData!Q45&gt;0,Base_IFData!O45/Base_IFData!Q45,"PL ≤ 0"),"NI")</f>
        <v>10.772683344717009</v>
      </c>
      <c r="O44" s="110">
        <f>IF(AND(ISNUMBER(Base_IFData!M45),ISNUMBER(Base_IFData!Q45)),IF(Base_IFData!Q45&gt;0,Base_IFData!M45/Base_IFData!Q45,"PL ≤ 0"),"NI")</f>
        <v>4.9438635811115867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" customHeight="1" x14ac:dyDescent="0.2">
      <c r="A45" s="15" t="s">
        <v>3777</v>
      </c>
      <c r="B45" s="107">
        <f>MAX($N$4:$N$1625)</f>
        <v>505.20864827810146</v>
      </c>
      <c r="C45" s="8"/>
      <c r="D45" s="8"/>
      <c r="E45" s="8"/>
      <c r="F45" s="8"/>
      <c r="G45" s="8"/>
      <c r="H45" s="8"/>
      <c r="I45" s="8"/>
      <c r="J45" s="8"/>
      <c r="K45" s="15" t="str">
        <f>Base_IFData!A46</f>
        <v>PICPAY BANK - BANCO MÚLTIPLO S.A</v>
      </c>
      <c r="L45" s="15" t="str">
        <f>Base_IFData!F46</f>
        <v>b1</v>
      </c>
      <c r="M45" s="17">
        <f>IF(AND(ISNUMBER(Base_IFData!L46),ISNUMBER(Base_IFData!W46)),IF(Base_IFData!L46&gt;$B$4,Base_IFData!W46,""),"")</f>
        <v>3.321009668852056E-3</v>
      </c>
      <c r="N45" s="50">
        <f>IF(AND(ISNUMBER(Base_IFData!O46),ISNUMBER(Base_IFData!Q46)),IF(Base_IFData!Q46&gt;0,Base_IFData!O46/Base_IFData!Q46,"PL ≤ 0"),"NI")</f>
        <v>18.27866905998847</v>
      </c>
      <c r="O45" s="107">
        <f>IF(AND(ISNUMBER(Base_IFData!M46),ISNUMBER(Base_IFData!Q46)),IF(Base_IFData!Q46&gt;0,Base_IFData!M46/Base_IFData!Q46,"PL ≤ 0"),"NI")</f>
        <v>11.362306678092441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" customHeight="1" x14ac:dyDescent="0.2">
      <c r="A46" s="12" t="s">
        <v>3778</v>
      </c>
      <c r="B46" s="108" t="str">
        <f>INDEX(Base_IFData!$A$5:$A$1626,MATCH($B$45,$N$4:$N$1625,0))</f>
        <v>BANCO DIGIO S.A.</v>
      </c>
      <c r="C46" s="8"/>
      <c r="D46" s="8"/>
      <c r="E46" s="8"/>
      <c r="F46" s="8"/>
      <c r="G46" s="8"/>
      <c r="H46" s="8"/>
      <c r="I46" s="8"/>
      <c r="J46" s="8"/>
      <c r="K46" s="12" t="str">
        <f>Base_IFData!A47</f>
        <v>BANCO MERCANTIL DO BRASIL S.A.</v>
      </c>
      <c r="L46" s="12" t="str">
        <f>Base_IFData!F47</f>
        <v>b1</v>
      </c>
      <c r="M46" s="14">
        <f>IF(AND(ISNUMBER(Base_IFData!L47),ISNUMBER(Base_IFData!W47)),IF(Base_IFData!L47&gt;$B$4,Base_IFData!W47,""),"")</f>
        <v>0.17564828907017754</v>
      </c>
      <c r="N46" s="51">
        <f>IF(AND(ISNUMBER(Base_IFData!O47),ISNUMBER(Base_IFData!Q47)),IF(Base_IFData!Q47&gt;0,Base_IFData!O47/Base_IFData!Q47,"PL ≤ 0"),"NI")</f>
        <v>12.786444295795867</v>
      </c>
      <c r="O46" s="110">
        <f>IF(AND(ISNUMBER(Base_IFData!M47),ISNUMBER(Base_IFData!Q47)),IF(Base_IFData!Q47&gt;0,Base_IFData!M47/Base_IFData!Q47,"PL ≤ 0"),"NI")</f>
        <v>7.3920714734236945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" customHeight="1" x14ac:dyDescent="0.2">
      <c r="A47" s="15" t="s">
        <v>3779</v>
      </c>
      <c r="B47" s="109" t="str">
        <f>INDEX(Base_IFData!$F$5:$F$1626,MATCH($B$45,$N$4:$N$1625,0))</f>
        <v>b2</v>
      </c>
      <c r="C47" s="8"/>
      <c r="D47" s="8"/>
      <c r="E47" s="8"/>
      <c r="F47" s="8"/>
      <c r="G47" s="8"/>
      <c r="H47" s="8"/>
      <c r="I47" s="8"/>
      <c r="J47" s="8"/>
      <c r="K47" s="15" t="str">
        <f>Base_IFData!A48</f>
        <v>BANESTES S.A. BANCO DO ESTADO DO ESPIRITO SANTO</v>
      </c>
      <c r="L47" s="15" t="str">
        <f>Base_IFData!F48</f>
        <v>b1</v>
      </c>
      <c r="M47" s="17">
        <f>IF(AND(ISNUMBER(Base_IFData!L48),ISNUMBER(Base_IFData!W48)),IF(Base_IFData!L48&gt;$B$4,Base_IFData!W48,""),"")</f>
        <v>9.0251610744739377E-2</v>
      </c>
      <c r="N47" s="50">
        <f>IF(AND(ISNUMBER(Base_IFData!O48),ISNUMBER(Base_IFData!Q48)),IF(Base_IFData!Q48&gt;0,Base_IFData!O48/Base_IFData!Q48,"PL ≤ 0"),"NI")</f>
        <v>16.0436320387489</v>
      </c>
      <c r="O47" s="107">
        <f>IF(AND(ISNUMBER(Base_IFData!M48),ISNUMBER(Base_IFData!Q48)),IF(Base_IFData!Q48&gt;0,Base_IFData!M48/Base_IFData!Q48,"PL ≤ 0"),"NI")</f>
        <v>4.9745782200322433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" customHeight="1" x14ac:dyDescent="0.2">
      <c r="A48" s="9" t="s">
        <v>3780</v>
      </c>
      <c r="B48" s="110">
        <f>MEDIAN($N$4:$N$1625)</f>
        <v>3.5494055134411213</v>
      </c>
      <c r="C48" s="8"/>
      <c r="D48" s="8"/>
      <c r="E48" s="8"/>
      <c r="F48" s="8"/>
      <c r="G48" s="8"/>
      <c r="H48" s="8"/>
      <c r="I48" s="8"/>
      <c r="J48" s="8"/>
      <c r="K48" s="12" t="str">
        <f>Base_IFData!A49</f>
        <v>BANCO CLASSICO S.A.</v>
      </c>
      <c r="L48" s="12" t="str">
        <f>Base_IFData!F49</f>
        <v>b1</v>
      </c>
      <c r="M48" s="14">
        <f>IF(AND(ISNUMBER(Base_IFData!L49),ISNUMBER(Base_IFData!W49)),IF(Base_IFData!L49&gt;$B$4,Base_IFData!W49,""),"")</f>
        <v>2.4560502078390845E-3</v>
      </c>
      <c r="N48" s="51">
        <f>IF(AND(ISNUMBER(Base_IFData!O49),ISNUMBER(Base_IFData!Q49)),IF(Base_IFData!Q49&gt;0,Base_IFData!O49/Base_IFData!Q49,"PL ≤ 0"),"NI")</f>
        <v>0.8843658025422676</v>
      </c>
      <c r="O48" s="110">
        <f>IF(AND(ISNUMBER(Base_IFData!M49),ISNUMBER(Base_IFData!Q49)),IF(Base_IFData!Q49&gt;0,Base_IFData!M49/Base_IFData!Q49,"PL ≤ 0"),"NI")</f>
        <v>0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" customHeight="1" x14ac:dyDescent="0.2">
      <c r="A49" s="92"/>
      <c r="B49" s="8"/>
      <c r="C49" s="8"/>
      <c r="D49" s="8"/>
      <c r="E49" s="8"/>
      <c r="F49" s="8"/>
      <c r="G49" s="8"/>
      <c r="H49" s="8"/>
      <c r="I49" s="8"/>
      <c r="J49" s="8"/>
      <c r="K49" s="15" t="str">
        <f>Base_IFData!A50</f>
        <v>BANK OF AMERICA MERRILL LYNCH BANCO MÚLTIPLO S.A.</v>
      </c>
      <c r="L49" s="15" t="str">
        <f>Base_IFData!F50</f>
        <v>b1</v>
      </c>
      <c r="M49" s="17">
        <f>IF(AND(ISNUMBER(Base_IFData!L50),ISNUMBER(Base_IFData!W50)),IF(Base_IFData!L50&gt;$B$4,Base_IFData!W50,""),"")</f>
        <v>7.5171470992042508E-2</v>
      </c>
      <c r="N49" s="50">
        <f>IF(AND(ISNUMBER(Base_IFData!O50),ISNUMBER(Base_IFData!Q50)),IF(Base_IFData!Q50&gt;0,Base_IFData!O50/Base_IFData!Q50,"PL ≤ 0"),"NI")</f>
        <v>4.972692302318416</v>
      </c>
      <c r="O49" s="107">
        <f>IF(AND(ISNUMBER(Base_IFData!M50),ISNUMBER(Base_IFData!Q50)),IF(Base_IFData!Q50&gt;0,Base_IFData!M50/Base_IFData!Q50,"PL ≤ 0"),"NI")</f>
        <v>0.38919661051100451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" customHeight="1" x14ac:dyDescent="0.2">
      <c r="A50" s="25" t="s">
        <v>3781</v>
      </c>
      <c r="B50" s="25"/>
      <c r="C50" s="25"/>
      <c r="D50" s="25"/>
      <c r="E50" s="25"/>
      <c r="F50" s="25"/>
      <c r="G50" s="25"/>
      <c r="H50" s="25"/>
      <c r="I50" s="8"/>
      <c r="J50" s="8"/>
      <c r="K50" s="12" t="str">
        <f>Base_IFData!A51</f>
        <v>BANCO PINE S.A.</v>
      </c>
      <c r="L50" s="12" t="str">
        <f>Base_IFData!F51</f>
        <v>b1</v>
      </c>
      <c r="M50" s="14">
        <f>IF(AND(ISNUMBER(Base_IFData!L51),ISNUMBER(Base_IFData!W51)),IF(Base_IFData!L51&gt;$B$4,Base_IFData!W51,""),"")</f>
        <v>0.17505706923475911</v>
      </c>
      <c r="N50" s="51">
        <f>IF(AND(ISNUMBER(Base_IFData!O51),ISNUMBER(Base_IFData!Q51)),IF(Base_IFData!Q51&gt;0,Base_IFData!O51/Base_IFData!Q51,"PL ≤ 0"),"NI")</f>
        <v>19.884487430899767</v>
      </c>
      <c r="O50" s="110">
        <f>IF(AND(ISNUMBER(Base_IFData!M51),ISNUMBER(Base_IFData!Q51)),IF(Base_IFData!Q51&gt;0,Base_IFData!M51/Base_IFData!Q51,"PL ≤ 0"),"NI")</f>
        <v>10.714753125286039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" customHeight="1" x14ac:dyDescent="0.2">
      <c r="A51" s="12" t="s">
        <v>3782</v>
      </c>
      <c r="B51" s="46">
        <f>COUNTIF($O$4:$O$1625,"&gt;="&amp;$B$5)</f>
        <v>21</v>
      </c>
      <c r="C51" s="8"/>
      <c r="D51" s="104"/>
      <c r="E51" s="8"/>
      <c r="F51" s="8"/>
      <c r="G51" s="8"/>
      <c r="H51" s="8"/>
      <c r="I51" s="8"/>
      <c r="J51" s="8"/>
      <c r="K51" s="15" t="str">
        <f>Base_IFData!A52</f>
        <v>BANCO ORIGINAL S.A.</v>
      </c>
      <c r="L51" s="15" t="str">
        <f>Base_IFData!F52</f>
        <v>b1</v>
      </c>
      <c r="M51" s="17">
        <f>IF(AND(ISNUMBER(Base_IFData!L52),ISNUMBER(Base_IFData!W52)),IF(Base_IFData!L52&gt;$B$4,Base_IFData!W52,""),"")</f>
        <v>6.7154099977325007E-2</v>
      </c>
      <c r="N51" s="50">
        <f>IF(AND(ISNUMBER(Base_IFData!O52),ISNUMBER(Base_IFData!Q52)),IF(Base_IFData!Q52&gt;0,Base_IFData!O52/Base_IFData!Q52,"PL ≤ 0"),"NI")</f>
        <v>14.992861467024246</v>
      </c>
      <c r="O51" s="107">
        <f>IF(AND(ISNUMBER(Base_IFData!M52),ISNUMBER(Base_IFData!Q52)),IF(Base_IFData!Q52&gt;0,Base_IFData!M52/Base_IFData!Q52,"PL ≤ 0"),"NI")</f>
        <v>7.6988150921606939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" customHeight="1" x14ac:dyDescent="0.2">
      <c r="A52" s="15" t="s">
        <v>3783</v>
      </c>
      <c r="B52" s="49">
        <f>COUNT($O$4:$O$1625)</f>
        <v>1565</v>
      </c>
      <c r="C52" s="8"/>
      <c r="D52" s="104"/>
      <c r="E52" s="8"/>
      <c r="F52" s="8"/>
      <c r="G52" s="8"/>
      <c r="H52" s="8"/>
      <c r="I52" s="8"/>
      <c r="J52" s="8"/>
      <c r="K52" s="12" t="str">
        <f>Base_IFData!A53</f>
        <v>COOPERATIVA CENTRAL DE CRÉDITO DE MINAS GERAIS LTDA. - SICOOB CENTRAL CREDIMINAS</v>
      </c>
      <c r="L52" s="12" t="str">
        <f>Base_IFData!F53</f>
        <v>b3C</v>
      </c>
      <c r="M52" s="14">
        <f>IF(AND(ISNUMBER(Base_IFData!L53),ISNUMBER(Base_IFData!W53)),IF(Base_IFData!L53&gt;$B$4,Base_IFData!W53,""),"")</f>
        <v>6.5173941420376344E-2</v>
      </c>
      <c r="N52" s="51">
        <f>IF(AND(ISNUMBER(Base_IFData!O53),ISNUMBER(Base_IFData!Q53)),IF(Base_IFData!Q53&gt;0,Base_IFData!O53/Base_IFData!Q53,"PL ≤ 0"),"NI")</f>
        <v>17.993105465646369</v>
      </c>
      <c r="O52" s="110">
        <f>IF(AND(ISNUMBER(Base_IFData!M53),ISNUMBER(Base_IFData!Q53)),IF(Base_IFData!Q53&gt;0,Base_IFData!M53/Base_IFData!Q53,"PL ≤ 0"),"NI")</f>
        <v>5.1478896588582859E-2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" customHeight="1" x14ac:dyDescent="0.2">
      <c r="A53" s="9" t="s">
        <v>3784</v>
      </c>
      <c r="B53" s="11">
        <f>B51/B52</f>
        <v>1.34185303514377E-2</v>
      </c>
      <c r="C53" s="8"/>
      <c r="D53" s="104"/>
      <c r="E53" s="8"/>
      <c r="F53" s="8"/>
      <c r="G53" s="8"/>
      <c r="H53" s="8"/>
      <c r="I53" s="8"/>
      <c r="J53" s="8"/>
      <c r="K53" s="15" t="str">
        <f>Base_IFData!A54</f>
        <v>GOLDMAN SACHS DO BRASIL BANCO MULTIPLO S.A.</v>
      </c>
      <c r="L53" s="15" t="str">
        <f>Base_IFData!F54</f>
        <v>b2</v>
      </c>
      <c r="M53" s="17">
        <f>IF(AND(ISNUMBER(Base_IFData!L54),ISNUMBER(Base_IFData!W54)),IF(Base_IFData!L54&gt;$B$4,Base_IFData!W54,""),"")</f>
        <v>0.11702936094362135</v>
      </c>
      <c r="N53" s="50">
        <f>IF(AND(ISNUMBER(Base_IFData!O54),ISNUMBER(Base_IFData!Q54)),IF(Base_IFData!Q54&gt;0,Base_IFData!O54/Base_IFData!Q54,"PL ≤ 0"),"NI")</f>
        <v>4.8440764785695327</v>
      </c>
      <c r="O53" s="107">
        <f>IF(AND(ISNUMBER(Base_IFData!M54),ISNUMBER(Base_IFData!Q54)),IF(Base_IFData!Q54&gt;0,Base_IFData!M54/Base_IFData!Q54,"PL ≤ 0"),"NI")</f>
        <v>9.695230390053529E-4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" customHeight="1" x14ac:dyDescent="0.2">
      <c r="A54" s="123" t="s">
        <v>4</v>
      </c>
      <c r="B54" s="123" t="s">
        <v>3785</v>
      </c>
      <c r="C54" s="123" t="s">
        <v>3786</v>
      </c>
      <c r="D54" s="124" t="s">
        <v>3787</v>
      </c>
      <c r="E54" s="8"/>
      <c r="F54" s="8"/>
      <c r="G54" s="8"/>
      <c r="H54" s="8"/>
      <c r="I54" s="8"/>
      <c r="J54" s="8"/>
      <c r="K54" s="12" t="str">
        <f>Base_IFData!A55</f>
        <v>STONE SOCIEDADE DE CREDITO, FINANCIAMENTO E INVESTIMENTO S.A.</v>
      </c>
      <c r="L54" s="12" t="str">
        <f>Base_IFData!F55</f>
        <v>n1</v>
      </c>
      <c r="M54" s="14">
        <f>IF(AND(ISNUMBER(Base_IFData!L55),ISNUMBER(Base_IFData!W55)),IF(Base_IFData!L55&gt;$B$4,Base_IFData!W55,""),"")</f>
        <v>0.37296750396341705</v>
      </c>
      <c r="N54" s="51">
        <f>IF(AND(ISNUMBER(Base_IFData!O55),ISNUMBER(Base_IFData!Q55)),IF(Base_IFData!Q55&gt;0,Base_IFData!O55/Base_IFData!Q55,"PL ≤ 0"),"NI")</f>
        <v>268.3020800968747</v>
      </c>
      <c r="O54" s="110">
        <f>IF(AND(ISNUMBER(Base_IFData!M55),ISNUMBER(Base_IFData!Q55)),IF(Base_IFData!Q55&gt;0,Base_IFData!M55/Base_IFData!Q55,"PL ≤ 0"),"NI")</f>
        <v>241.10910351091036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" customHeight="1" x14ac:dyDescent="0.2">
      <c r="A55" s="67" t="s">
        <v>26</v>
      </c>
      <c r="B55" s="46">
        <f>COUNTIFS($L$4:$L$1625,$A55,$O$4:$O$1625,"&gt;="&amp;$B$5)</f>
        <v>11</v>
      </c>
      <c r="C55" s="46">
        <f>COUNTIF($L$4:$L$1625,$A55)</f>
        <v>116</v>
      </c>
      <c r="D55" s="86">
        <f>B55/C55</f>
        <v>9.4827586206896547E-2</v>
      </c>
      <c r="E55" s="8"/>
      <c r="F55" s="8"/>
      <c r="G55" s="8"/>
      <c r="H55" s="8"/>
      <c r="I55" s="8"/>
      <c r="J55" s="8"/>
      <c r="K55" s="15" t="str">
        <f>Base_IFData!A56</f>
        <v>SAFRA SOCIEDADE DE CRÉDITO, FINANCIAMENTO E INVESTIMENTO S.A.</v>
      </c>
      <c r="L55" s="15" t="str">
        <f>Base_IFData!F56</f>
        <v>n1</v>
      </c>
      <c r="M55" s="17">
        <f>IF(AND(ISNUMBER(Base_IFData!L56),ISNUMBER(Base_IFData!W56)),IF(Base_IFData!L56&gt;$B$4,Base_IFData!W56,""),"")</f>
        <v>0.16311897042845619</v>
      </c>
      <c r="N55" s="50">
        <f>IF(AND(ISNUMBER(Base_IFData!O56),ISNUMBER(Base_IFData!Q56)),IF(Base_IFData!Q56&gt;0,Base_IFData!O56/Base_IFData!Q56,"PL ≤ 0"),"NI")</f>
        <v>71.553580524360939</v>
      </c>
      <c r="O55" s="107">
        <f>IF(AND(ISNUMBER(Base_IFData!M56),ISNUMBER(Base_IFData!Q56)),IF(Base_IFData!Q56&gt;0,Base_IFData!M56/Base_IFData!Q56,"PL ≤ 0"),"NI")</f>
        <v>46.619194504987618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" customHeight="1" x14ac:dyDescent="0.2">
      <c r="A56" s="68" t="s">
        <v>60</v>
      </c>
      <c r="B56" s="49">
        <f t="shared" ref="B56:B62" si="6">COUNTIFS($L$4:$L$1625,$A56,$O$4:$O$1625,"&gt;="&amp;$B$5)</f>
        <v>2</v>
      </c>
      <c r="C56" s="49">
        <f t="shared" ref="C56:C62" si="7">COUNTIF($L$4:$L$1625,$A56)</f>
        <v>50</v>
      </c>
      <c r="D56" s="87">
        <f t="shared" ref="D56:D62" si="8">B56/C56</f>
        <v>0.04</v>
      </c>
      <c r="E56" s="8"/>
      <c r="F56" s="8"/>
      <c r="G56" s="8"/>
      <c r="H56" s="8"/>
      <c r="I56" s="8"/>
      <c r="J56" s="8"/>
      <c r="K56" s="12" t="str">
        <f>Base_IFData!A57</f>
        <v>BANCO BOCOM BBM S.A.</v>
      </c>
      <c r="L56" s="12" t="str">
        <f>Base_IFData!F57</f>
        <v>b1</v>
      </c>
      <c r="M56" s="14">
        <f>IF(AND(ISNUMBER(Base_IFData!L57),ISNUMBER(Base_IFData!W57)),IF(Base_IFData!L57&gt;$B$4,Base_IFData!W57,""),"")</f>
        <v>0.14124670469461859</v>
      </c>
      <c r="N56" s="51">
        <f>IF(AND(ISNUMBER(Base_IFData!O57),ISNUMBER(Base_IFData!Q57)),IF(Base_IFData!Q57&gt;0,Base_IFData!O57/Base_IFData!Q57,"PL ≤ 0"),"NI")</f>
        <v>16.532189901628424</v>
      </c>
      <c r="O56" s="110">
        <f>IF(AND(ISNUMBER(Base_IFData!M57),ISNUMBER(Base_IFData!Q57)),IF(Base_IFData!Q57&gt;0,Base_IFData!M57/Base_IFData!Q57,"PL ≤ 0"),"NI")</f>
        <v>7.6967913641632935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" customHeight="1" x14ac:dyDescent="0.2">
      <c r="A57" s="67" t="s">
        <v>265</v>
      </c>
      <c r="B57" s="46">
        <f t="shared" si="6"/>
        <v>0</v>
      </c>
      <c r="C57" s="46">
        <f t="shared" si="7"/>
        <v>729</v>
      </c>
      <c r="D57" s="86">
        <f t="shared" si="8"/>
        <v>0</v>
      </c>
      <c r="E57" s="8"/>
      <c r="F57" s="8"/>
      <c r="G57" s="8"/>
      <c r="H57" s="8"/>
      <c r="I57" s="8"/>
      <c r="J57" s="8"/>
      <c r="K57" s="15" t="str">
        <f>Base_IFData!A58</f>
        <v>BANCO REGIONAL DE DESENVOLVIMENTO DO EXTREMO SUL</v>
      </c>
      <c r="L57" s="15" t="str">
        <f>Base_IFData!F58</f>
        <v>b4</v>
      </c>
      <c r="M57" s="17">
        <f>IF(AND(ISNUMBER(Base_IFData!L58),ISNUMBER(Base_IFData!W58)),IF(Base_IFData!L58&gt;$B$4,Base_IFData!W58,""),"")</f>
        <v>5.4590915236794685E-2</v>
      </c>
      <c r="N57" s="50">
        <f>IF(AND(ISNUMBER(Base_IFData!O58),ISNUMBER(Base_IFData!Q58)),IF(Base_IFData!Q58&gt;0,Base_IFData!O58/Base_IFData!Q58,"PL ≤ 0"),"NI")</f>
        <v>4.3503611407254077</v>
      </c>
      <c r="O57" s="107">
        <f>IF(AND(ISNUMBER(Base_IFData!M58),ISNUMBER(Base_IFData!Q58)),IF(Base_IFData!Q58&gt;0,Base_IFData!M58/Base_IFData!Q58,"PL ≤ 0"),"NI")</f>
        <v>4.2668566630783706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" customHeight="1" x14ac:dyDescent="0.2">
      <c r="A58" s="68" t="s">
        <v>199</v>
      </c>
      <c r="B58" s="49">
        <f t="shared" si="6"/>
        <v>0</v>
      </c>
      <c r="C58" s="49">
        <f t="shared" si="7"/>
        <v>27</v>
      </c>
      <c r="D58" s="87">
        <f t="shared" si="8"/>
        <v>0</v>
      </c>
      <c r="E58" s="8"/>
      <c r="F58" s="8"/>
      <c r="G58" s="8"/>
      <c r="H58" s="8"/>
      <c r="I58" s="8"/>
      <c r="J58" s="8"/>
      <c r="K58" s="12" t="str">
        <f>Base_IFData!A59</f>
        <v>COOPERATIVA CENTRAL DE CRÉDITO DE SANTA CATARINA E RIO GRANDE DO SUL - SICOOB CENTRAL SC/RS</v>
      </c>
      <c r="L58" s="12" t="str">
        <f>Base_IFData!F59</f>
        <v>b3C</v>
      </c>
      <c r="M58" s="14">
        <f>IF(AND(ISNUMBER(Base_IFData!L59),ISNUMBER(Base_IFData!W59)),IF(Base_IFData!L59&gt;$B$4,Base_IFData!W59,""),"")</f>
        <v>4.8116507177967019E-2</v>
      </c>
      <c r="N58" s="51">
        <f>IF(AND(ISNUMBER(Base_IFData!O59),ISNUMBER(Base_IFData!Q59)),IF(Base_IFData!Q59&gt;0,Base_IFData!O59/Base_IFData!Q59,"PL ≤ 0"),"NI")</f>
        <v>17.861790479064425</v>
      </c>
      <c r="O58" s="110">
        <f>IF(AND(ISNUMBER(Base_IFData!M59),ISNUMBER(Base_IFData!Q59)),IF(Base_IFData!Q59&gt;0,Base_IFData!M59/Base_IFData!Q59,"PL ≤ 0"),"NI")</f>
        <v>0.19682405688784368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" customHeight="1" x14ac:dyDescent="0.2">
      <c r="A59" s="67" t="s">
        <v>52</v>
      </c>
      <c r="B59" s="46">
        <f t="shared" si="6"/>
        <v>0</v>
      </c>
      <c r="C59" s="46">
        <f t="shared" si="7"/>
        <v>4</v>
      </c>
      <c r="D59" s="86">
        <f t="shared" si="8"/>
        <v>0</v>
      </c>
      <c r="E59" s="8"/>
      <c r="F59" s="8"/>
      <c r="G59" s="8"/>
      <c r="H59" s="8"/>
      <c r="I59" s="8"/>
      <c r="J59" s="8"/>
      <c r="K59" s="15" t="str">
        <f>Base_IFData!A60</f>
        <v>BANCO DIGIO S.A.</v>
      </c>
      <c r="L59" s="15" t="str">
        <f>Base_IFData!F60</f>
        <v>b2</v>
      </c>
      <c r="M59" s="17">
        <f>IF(AND(ISNUMBER(Base_IFData!L60),ISNUMBER(Base_IFData!W60)),IF(Base_IFData!L60&gt;$B$4,Base_IFData!W60,""),"")</f>
        <v>-3.9634513737304493</v>
      </c>
      <c r="N59" s="50">
        <f>IF(AND(ISNUMBER(Base_IFData!O60),ISNUMBER(Base_IFData!Q60)),IF(Base_IFData!Q60&gt;0,Base_IFData!O60/Base_IFData!Q60,"PL ≤ 0"),"NI")</f>
        <v>505.20864827810146</v>
      </c>
      <c r="O59" s="107">
        <f>IF(AND(ISNUMBER(Base_IFData!M60),ISNUMBER(Base_IFData!Q60)),IF(Base_IFData!Q60&gt;0,Base_IFData!M60/Base_IFData!Q60,"PL ≤ 0"),"NI")</f>
        <v>364.90994533941875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" customHeight="1" x14ac:dyDescent="0.2">
      <c r="A60" s="68" t="s">
        <v>65</v>
      </c>
      <c r="B60" s="49">
        <f t="shared" si="6"/>
        <v>5</v>
      </c>
      <c r="C60" s="49">
        <f t="shared" si="7"/>
        <v>290</v>
      </c>
      <c r="D60" s="87">
        <f t="shared" si="8"/>
        <v>1.7241379310344827E-2</v>
      </c>
      <c r="E60" s="8"/>
      <c r="F60" s="8"/>
      <c r="G60" s="8"/>
      <c r="H60" s="8"/>
      <c r="I60" s="8"/>
      <c r="J60" s="8"/>
      <c r="K60" s="12" t="str">
        <f>Base_IFData!A61</f>
        <v>CENTRAL DAS COOPERATIVAS DE ECONOMIA E CREDITO DO ESTADO DE MINAS GERAIS LTDA. - SICOOB CENTRAL CECREMGE</v>
      </c>
      <c r="L60" s="12" t="str">
        <f>Base_IFData!F61</f>
        <v>b3C</v>
      </c>
      <c r="M60" s="14">
        <f>IF(AND(ISNUMBER(Base_IFData!L61),ISNUMBER(Base_IFData!W61)),IF(Base_IFData!L61&gt;$B$4,Base_IFData!W61,""),"")</f>
        <v>5.0147719103375454E-2</v>
      </c>
      <c r="N60" s="51">
        <f>IF(AND(ISNUMBER(Base_IFData!O61),ISNUMBER(Base_IFData!Q61)),IF(Base_IFData!Q61&gt;0,Base_IFData!O61/Base_IFData!Q61,"PL ≤ 0"),"NI")</f>
        <v>26.550418429441319</v>
      </c>
      <c r="O60" s="110">
        <f>IF(AND(ISNUMBER(Base_IFData!M61),ISNUMBER(Base_IFData!Q61)),IF(Base_IFData!Q61&gt;0,Base_IFData!M61/Base_IFData!Q61,"PL ≤ 0"),"NI")</f>
        <v>0.64154860272584868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" customHeight="1" x14ac:dyDescent="0.2">
      <c r="A61" s="67" t="s">
        <v>98</v>
      </c>
      <c r="B61" s="46">
        <f t="shared" si="6"/>
        <v>0</v>
      </c>
      <c r="C61" s="46">
        <f t="shared" si="7"/>
        <v>210</v>
      </c>
      <c r="D61" s="86">
        <f t="shared" si="8"/>
        <v>0</v>
      </c>
      <c r="E61" s="8"/>
      <c r="F61" s="8"/>
      <c r="G61" s="8"/>
      <c r="H61" s="8"/>
      <c r="I61" s="8"/>
      <c r="J61" s="8"/>
      <c r="K61" s="15" t="str">
        <f>Base_IFData!A62</f>
        <v>CITIBANK N.A.</v>
      </c>
      <c r="L61" s="15" t="str">
        <f>Base_IFData!F62</f>
        <v>b1</v>
      </c>
      <c r="M61" s="17">
        <f>IF(AND(ISNUMBER(Base_IFData!L62),ISNUMBER(Base_IFData!W62)),IF(Base_IFData!L62&gt;$B$4,Base_IFData!W62,""),"")</f>
        <v>6.5573918422688629E-2</v>
      </c>
      <c r="N61" s="50">
        <f>IF(AND(ISNUMBER(Base_IFData!O62),ISNUMBER(Base_IFData!Q62)),IF(Base_IFData!Q62&gt;0,Base_IFData!O62/Base_IFData!Q62,"PL ≤ 0"),"NI")</f>
        <v>4.0461330397595603</v>
      </c>
      <c r="O61" s="107">
        <f>IF(AND(ISNUMBER(Base_IFData!M62),ISNUMBER(Base_IFData!Q62)),IF(Base_IFData!Q62&gt;0,Base_IFData!M62/Base_IFData!Q62,"PL ≤ 0"),"NI")</f>
        <v>3.0657826174272694E-3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" customHeight="1" x14ac:dyDescent="0.2">
      <c r="A62" s="72" t="s">
        <v>84</v>
      </c>
      <c r="B62" s="52">
        <f t="shared" si="6"/>
        <v>3</v>
      </c>
      <c r="C62" s="52">
        <f t="shared" si="7"/>
        <v>196</v>
      </c>
      <c r="D62" s="88">
        <f t="shared" si="8"/>
        <v>1.5306122448979591E-2</v>
      </c>
      <c r="E62" s="8"/>
      <c r="F62" s="8"/>
      <c r="G62" s="8"/>
      <c r="H62" s="8"/>
      <c r="I62" s="8"/>
      <c r="J62" s="8"/>
      <c r="K62" s="12" t="str">
        <f>Base_IFData!A63</f>
        <v>PORTOSEG S.A. - CREDITO, FINANCIAMENTO E INVESTIMENTO</v>
      </c>
      <c r="L62" s="12" t="str">
        <f>Base_IFData!F63</f>
        <v>n1</v>
      </c>
      <c r="M62" s="14">
        <f>IF(AND(ISNUMBER(Base_IFData!L63),ISNUMBER(Base_IFData!W63)),IF(Base_IFData!L63&gt;$B$4,Base_IFData!W63,""),"")</f>
        <v>-2.5012035987030796E-2</v>
      </c>
      <c r="N62" s="51">
        <f>IF(AND(ISNUMBER(Base_IFData!O63),ISNUMBER(Base_IFData!Q63)),IF(Base_IFData!Q63&gt;0,Base_IFData!O63/Base_IFData!Q63,"PL ≤ 0"),"NI")</f>
        <v>18.413213498254876</v>
      </c>
      <c r="O62" s="110">
        <f>IF(AND(ISNUMBER(Base_IFData!M63),ISNUMBER(Base_IFData!Q63)),IF(Base_IFData!Q63&gt;0,Base_IFData!M63/Base_IFData!Q63,"PL ≤ 0"),"NI")</f>
        <v>15.634671096214122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" customHeight="1" x14ac:dyDescent="0.2">
      <c r="A63" s="65" t="s">
        <v>3710</v>
      </c>
      <c r="B63" s="93">
        <f>SUM(B55:B62)</f>
        <v>21</v>
      </c>
      <c r="C63" s="93">
        <f>SUM(C55:C62)</f>
        <v>1622</v>
      </c>
      <c r="D63" s="89">
        <f>B63/C63</f>
        <v>1.2946979038224414E-2</v>
      </c>
      <c r="E63" s="8"/>
      <c r="F63" s="8"/>
      <c r="G63" s="8"/>
      <c r="H63" s="8"/>
      <c r="I63" s="8"/>
      <c r="J63" s="8"/>
      <c r="K63" s="15" t="str">
        <f>Base_IFData!A64</f>
        <v>BANCO CNH INDUSTRIAL CAPITAL S.A.</v>
      </c>
      <c r="L63" s="15" t="str">
        <f>Base_IFData!F64</f>
        <v>b2</v>
      </c>
      <c r="M63" s="17">
        <f>IF(AND(ISNUMBER(Base_IFData!L64),ISNUMBER(Base_IFData!W64)),IF(Base_IFData!L64&gt;$B$4,Base_IFData!W64,""),"")</f>
        <v>-3.8098301398397892E-2</v>
      </c>
      <c r="N63" s="50">
        <f>IF(AND(ISNUMBER(Base_IFData!O64),ISNUMBER(Base_IFData!Q64)),IF(Base_IFData!Q64&gt;0,Base_IFData!O64/Base_IFData!Q64,"PL ≤ 0"),"NI")</f>
        <v>8.2581889751719277</v>
      </c>
      <c r="O63" s="107">
        <f>IF(AND(ISNUMBER(Base_IFData!M64),ISNUMBER(Base_IFData!Q64)),IF(Base_IFData!Q64&gt;0,Base_IFData!M64/Base_IFData!Q64,"PL ≤ 0"),"NI")</f>
        <v>7.8178697789826774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" customHeight="1" x14ac:dyDescent="0.2">
      <c r="A64" s="92"/>
      <c r="B64" s="92"/>
      <c r="C64" s="92"/>
      <c r="D64" s="8"/>
      <c r="E64" s="8"/>
      <c r="F64" s="8"/>
      <c r="G64" s="8"/>
      <c r="H64" s="8"/>
      <c r="I64" s="8"/>
      <c r="J64" s="8"/>
      <c r="K64" s="12" t="str">
        <f>Base_IFData!A65</f>
        <v>BANCO CSF S.A.</v>
      </c>
      <c r="L64" s="12" t="str">
        <f>Base_IFData!F65</f>
        <v>b2</v>
      </c>
      <c r="M64" s="14">
        <f>IF(AND(ISNUMBER(Base_IFData!L65),ISNUMBER(Base_IFData!W65)),IF(Base_IFData!L65&gt;$B$4,Base_IFData!W65,""),"")</f>
        <v>8.7312151624930986E-2</v>
      </c>
      <c r="N64" s="51">
        <f>IF(AND(ISNUMBER(Base_IFData!O65),ISNUMBER(Base_IFData!Q65)),IF(Base_IFData!Q65&gt;0,Base_IFData!O65/Base_IFData!Q65,"PL ≤ 0"),"NI")</f>
        <v>5.9283993058242235</v>
      </c>
      <c r="O64" s="110">
        <f>IF(AND(ISNUMBER(Base_IFData!M65),ISNUMBER(Base_IFData!Q65)),IF(Base_IFData!Q65&gt;0,Base_IFData!M65/Base_IFData!Q65,"PL ≤ 0"),"NI")</f>
        <v>5.3001053597328021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" customHeight="1" x14ac:dyDescent="0.2">
      <c r="A65" s="25" t="s">
        <v>3788</v>
      </c>
      <c r="B65" s="25"/>
      <c r="C65" s="25"/>
      <c r="D65" s="25"/>
      <c r="E65" s="25"/>
      <c r="F65" s="25"/>
      <c r="G65" s="25"/>
      <c r="H65" s="25"/>
      <c r="I65" s="8"/>
      <c r="J65" s="8"/>
      <c r="K65" s="15" t="str">
        <f>Base_IFData!A66</f>
        <v>BANCO NACIONAL S.A.</v>
      </c>
      <c r="L65" s="15" t="str">
        <f>Base_IFData!F66</f>
        <v>b2</v>
      </c>
      <c r="M65" s="17">
        <f>IF(AND(ISNUMBER(Base_IFData!L66),ISNUMBER(Base_IFData!W66)),IF(Base_IFData!L66&gt;$B$4,Base_IFData!W66,""),"")</f>
        <v>0.16084074651360855</v>
      </c>
      <c r="N65" s="50">
        <f>IF(AND(ISNUMBER(Base_IFData!O66),ISNUMBER(Base_IFData!Q66)),IF(Base_IFData!Q66&gt;0,Base_IFData!O66/Base_IFData!Q66,"PL ≤ 0"),"NI")</f>
        <v>1.0405009043231157</v>
      </c>
      <c r="O65" s="107">
        <f>IF(AND(ISNUMBER(Base_IFData!M66),ISNUMBER(Base_IFData!Q66)),IF(Base_IFData!Q66&gt;0,Base_IFData!M66/Base_IFData!Q66,"PL ≤ 0"),"NI")</f>
        <v>3.1872651180897431E-2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" customHeight="1" x14ac:dyDescent="0.2">
      <c r="A66" s="12" t="s">
        <v>3789</v>
      </c>
      <c r="B66" s="105">
        <f>COUNTIFS(Base_IFData!$J$5:$J$1626,$B$6,Base_IFData!$L$5:$L$1626,"&gt;"&amp;$B$4)</f>
        <v>207</v>
      </c>
      <c r="C66" s="8"/>
      <c r="D66" s="8"/>
      <c r="E66" s="8"/>
      <c r="F66" s="8"/>
      <c r="G66" s="8"/>
      <c r="H66" s="8"/>
      <c r="I66" s="8"/>
      <c r="J66" s="8"/>
      <c r="K66" s="12" t="str">
        <f>Base_IFData!A67</f>
        <v>MERCADO CRÉDITO SOCIEDADE DE CRÉDITO, FINANCIAMENTO E INVESTIMENTO S.A.</v>
      </c>
      <c r="L66" s="12" t="str">
        <f>Base_IFData!F67</f>
        <v>n1</v>
      </c>
      <c r="M66" s="14">
        <f>IF(AND(ISNUMBER(Base_IFData!L67),ISNUMBER(Base_IFData!W67)),IF(Base_IFData!L67&gt;$B$4,Base_IFData!W67,""),"")</f>
        <v>7.3619993095393299E-2</v>
      </c>
      <c r="N66" s="51">
        <f>IF(AND(ISNUMBER(Base_IFData!O67),ISNUMBER(Base_IFData!Q67)),IF(Base_IFData!Q67&gt;0,Base_IFData!O67/Base_IFData!Q67,"PL ≤ 0"),"NI")</f>
        <v>4.7701855775893902</v>
      </c>
      <c r="O66" s="110">
        <f>IF(AND(ISNUMBER(Base_IFData!M67),ISNUMBER(Base_IFData!Q67)),IF(Base_IFData!Q67&gt;0,Base_IFData!M67/Base_IFData!Q67,"PL ≤ 0"),"NI")</f>
        <v>2.8106732292164072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" customHeight="1" x14ac:dyDescent="0.2">
      <c r="A67" s="15" t="s">
        <v>3790</v>
      </c>
      <c r="B67" s="106">
        <f>COUNTIF(Base_IFData!$L$5:$L$1626,"&gt;"&amp;$B$4)</f>
        <v>511</v>
      </c>
      <c r="C67" s="8"/>
      <c r="D67" s="8"/>
      <c r="E67" s="8"/>
      <c r="F67" s="8"/>
      <c r="G67" s="8"/>
      <c r="H67" s="8"/>
      <c r="I67" s="8"/>
      <c r="J67" s="8"/>
      <c r="K67" s="15" t="str">
        <f>Base_IFData!A68</f>
        <v>BANCO FIBRA S.A.</v>
      </c>
      <c r="L67" s="15" t="str">
        <f>Base_IFData!F68</f>
        <v>b1</v>
      </c>
      <c r="M67" s="17">
        <f>IF(AND(ISNUMBER(Base_IFData!L68),ISNUMBER(Base_IFData!W68)),IF(Base_IFData!L68&gt;$B$4,Base_IFData!W68,""),"")</f>
        <v>0.10620868065536074</v>
      </c>
      <c r="N67" s="50">
        <f>IF(AND(ISNUMBER(Base_IFData!O68),ISNUMBER(Base_IFData!Q68)),IF(Base_IFData!Q68&gt;0,Base_IFData!O68/Base_IFData!Q68,"PL ≤ 0"),"NI")</f>
        <v>14.578874477211871</v>
      </c>
      <c r="O67" s="107">
        <f>IF(AND(ISNUMBER(Base_IFData!M68),ISNUMBER(Base_IFData!Q68)),IF(Base_IFData!Q68&gt;0,Base_IFData!M68/Base_IFData!Q68,"PL ≤ 0"),"NI")</f>
        <v>3.821285195795415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" customHeight="1" x14ac:dyDescent="0.2">
      <c r="A68" s="9" t="s">
        <v>3791</v>
      </c>
      <c r="B68" s="86">
        <f>B66/B67</f>
        <v>0.40508806262230918</v>
      </c>
      <c r="C68" s="8"/>
      <c r="D68" s="8"/>
      <c r="E68" s="8"/>
      <c r="F68" s="8"/>
      <c r="G68" s="8"/>
      <c r="H68" s="8"/>
      <c r="I68" s="8"/>
      <c r="J68" s="8"/>
      <c r="K68" s="12" t="str">
        <f>Base_IFData!A69</f>
        <v>CLOUDWALK INSTITUIÇÃO DE PAGAMENTO E SERVICOS LTDA</v>
      </c>
      <c r="L68" s="12" t="str">
        <f>Base_IFData!F69</f>
        <v>n4</v>
      </c>
      <c r="M68" s="14">
        <f>IF(AND(ISNUMBER(Base_IFData!L69),ISNUMBER(Base_IFData!W69)),IF(Base_IFData!L69&gt;$B$4,Base_IFData!W69,""),"")</f>
        <v>0.23846286345557849</v>
      </c>
      <c r="N68" s="51">
        <f>IF(AND(ISNUMBER(Base_IFData!O69),ISNUMBER(Base_IFData!Q69)),IF(Base_IFData!Q69&gt;0,Base_IFData!O69/Base_IFData!Q69,"PL ≤ 0"),"NI")</f>
        <v>8.7538701033624857</v>
      </c>
      <c r="O68" s="110">
        <f>IF(AND(ISNUMBER(Base_IFData!M69),ISNUMBER(Base_IFData!Q69)),IF(Base_IFData!Q69&gt;0,Base_IFData!M69/Base_IFData!Q69,"PL ≤ 0"),"NI")</f>
        <v>0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" customHeight="1" x14ac:dyDescent="0.2">
      <c r="A69" s="92"/>
      <c r="B69" s="8"/>
      <c r="C69" s="8"/>
      <c r="D69" s="8"/>
      <c r="E69" s="8"/>
      <c r="F69" s="8"/>
      <c r="G69" s="8"/>
      <c r="H69" s="8"/>
      <c r="I69" s="8"/>
      <c r="J69" s="8"/>
      <c r="K69" s="15" t="str">
        <f>Base_IFData!A70</f>
        <v>DEUTSCHE BANK S.A. - BANCO ALEMAO</v>
      </c>
      <c r="L69" s="15" t="str">
        <f>Base_IFData!F70</f>
        <v>b1</v>
      </c>
      <c r="M69" s="17">
        <f>IF(AND(ISNUMBER(Base_IFData!L70),ISNUMBER(Base_IFData!W70)),IF(Base_IFData!L70&gt;$B$4,Base_IFData!W70,""),"")</f>
        <v>3.2883213373879533E-2</v>
      </c>
      <c r="N69" s="50">
        <f>IF(AND(ISNUMBER(Base_IFData!O70),ISNUMBER(Base_IFData!Q70)),IF(Base_IFData!Q70&gt;0,Base_IFData!O70/Base_IFData!Q70,"PL ≤ 0"),"NI")</f>
        <v>6.0625952229927211</v>
      </c>
      <c r="O69" s="107">
        <f>IF(AND(ISNUMBER(Base_IFData!M70),ISNUMBER(Base_IFData!Q70)),IF(Base_IFData!Q70&gt;0,Base_IFData!M70/Base_IFData!Q70,"PL ≤ 0"),"NI")</f>
        <v>1.2269067089926882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" customHeight="1" x14ac:dyDescent="0.2">
      <c r="A70" s="25" t="s">
        <v>3792</v>
      </c>
      <c r="B70" s="25"/>
      <c r="C70" s="25"/>
      <c r="D70" s="25"/>
      <c r="E70" s="25"/>
      <c r="F70" s="25"/>
      <c r="G70" s="25"/>
      <c r="H70" s="25"/>
      <c r="I70" s="8"/>
      <c r="J70" s="8"/>
      <c r="K70" s="12" t="str">
        <f>Base_IFData!A71</f>
        <v>STELLANTIS FINANCIAMENTOS SOCIEDADE DE CRÉDITO, FINANCIAMENTO E INVESTIMENTO S.A</v>
      </c>
      <c r="L70" s="12" t="str">
        <f>Base_IFData!F71</f>
        <v>n1</v>
      </c>
      <c r="M70" s="14">
        <f>IF(AND(ISNUMBER(Base_IFData!L71),ISNUMBER(Base_IFData!W71)),IF(Base_IFData!L71&gt;$B$4,Base_IFData!W71,""),"")</f>
        <v>3.9724070886615372E-2</v>
      </c>
      <c r="N70" s="51">
        <f>IF(AND(ISNUMBER(Base_IFData!O71),ISNUMBER(Base_IFData!Q71)),IF(Base_IFData!Q71&gt;0,Base_IFData!O71/Base_IFData!Q71,"PL ≤ 0"),"NI")</f>
        <v>6.1710454211015193</v>
      </c>
      <c r="O70" s="110">
        <f>IF(AND(ISNUMBER(Base_IFData!M71),ISNUMBER(Base_IFData!Q71)),IF(Base_IFData!Q71&gt;0,Base_IFData!M71/Base_IFData!Q71,"PL ≤ 0"),"NI")</f>
        <v>6.1518638865121664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" customHeight="1" x14ac:dyDescent="0.2">
      <c r="A71" s="12" t="s">
        <v>3793</v>
      </c>
      <c r="B71" s="46">
        <f>COUNTIF(Base_IFData!$S$5:$S$1626,$B$7)</f>
        <v>756</v>
      </c>
      <c r="C71" s="8"/>
      <c r="D71" s="8"/>
      <c r="E71" s="104"/>
      <c r="F71" s="8"/>
      <c r="G71" s="8"/>
      <c r="H71" s="8"/>
      <c r="I71" s="8"/>
      <c r="J71" s="8"/>
      <c r="K71" s="15" t="str">
        <f>Base_IFData!A72</f>
        <v>BANCO DO ESTADO DO PARÁ S.A.</v>
      </c>
      <c r="L71" s="15" t="str">
        <f>Base_IFData!F72</f>
        <v>b1</v>
      </c>
      <c r="M71" s="17">
        <f>IF(AND(ISNUMBER(Base_IFData!L72),ISNUMBER(Base_IFData!W72)),IF(Base_IFData!L72&gt;$B$4,Base_IFData!W72,""),"")</f>
        <v>4.4916569827543183E-2</v>
      </c>
      <c r="N71" s="50">
        <f>IF(AND(ISNUMBER(Base_IFData!O72),ISNUMBER(Base_IFData!Q72)),IF(Base_IFData!Q72&gt;0,Base_IFData!O72/Base_IFData!Q72,"PL ≤ 0"),"NI")</f>
        <v>8.5552655827814093</v>
      </c>
      <c r="O71" s="107">
        <f>IF(AND(ISNUMBER(Base_IFData!M72),ISNUMBER(Base_IFData!Q72)),IF(Base_IFData!Q72&gt;0,Base_IFData!M72/Base_IFData!Q72,"PL ≤ 0"),"NI")</f>
        <v>6.8818601310358103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" customHeight="1" x14ac:dyDescent="0.2">
      <c r="A72" s="15" t="s">
        <v>3794</v>
      </c>
      <c r="B72" s="16">
        <f>SUMIF(Base_IFData!$S$5:$S$1626,$B$7,Base_IFData!$L$5:$L$1626)</f>
        <v>1246899112</v>
      </c>
      <c r="C72" s="8"/>
      <c r="D72" s="8"/>
      <c r="E72" s="104"/>
      <c r="F72" s="8"/>
      <c r="G72" s="8"/>
      <c r="H72" s="8"/>
      <c r="I72" s="8"/>
      <c r="J72" s="8"/>
      <c r="K72" s="12" t="str">
        <f>Base_IFData!A73</f>
        <v>BANCO MERCEDES-BENZ DO BRASIL S.A.</v>
      </c>
      <c r="L72" s="12" t="str">
        <f>Base_IFData!F73</f>
        <v>b2</v>
      </c>
      <c r="M72" s="14">
        <f>IF(AND(ISNUMBER(Base_IFData!L73),ISNUMBER(Base_IFData!W73)),IF(Base_IFData!L73&gt;$B$4,Base_IFData!W73,""),"")</f>
        <v>1.6293196672375544E-2</v>
      </c>
      <c r="N72" s="51">
        <f>IF(AND(ISNUMBER(Base_IFData!O73),ISNUMBER(Base_IFData!Q73)),IF(Base_IFData!Q73&gt;0,Base_IFData!O73/Base_IFData!Q73,"PL ≤ 0"),"NI")</f>
        <v>7.6040868733937339</v>
      </c>
      <c r="O72" s="110">
        <f>IF(AND(ISNUMBER(Base_IFData!M73),ISNUMBER(Base_IFData!Q73)),IF(Base_IFData!Q73&gt;0,Base_IFData!M73/Base_IFData!Q73,"PL ≤ 0"),"NI")</f>
        <v>7.9565311210783793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" customHeight="1" x14ac:dyDescent="0.2">
      <c r="A73" s="9" t="s">
        <v>3795</v>
      </c>
      <c r="B73" s="11">
        <f>B72/SUM(Base_IFData!$L$5:$L$1626)</f>
        <v>6.3950916099428323E-2</v>
      </c>
      <c r="C73" s="8"/>
      <c r="D73" s="8"/>
      <c r="E73" s="104"/>
      <c r="F73" s="8"/>
      <c r="G73" s="8"/>
      <c r="H73" s="8"/>
      <c r="I73" s="8"/>
      <c r="J73" s="8"/>
      <c r="K73" s="15" t="str">
        <f>Base_IFData!A74</f>
        <v>BANCO CRÉDIT AGRICOLE BRASIL S.A.</v>
      </c>
      <c r="L73" s="15" t="str">
        <f>Base_IFData!F74</f>
        <v>b1</v>
      </c>
      <c r="M73" s="17">
        <f>IF(AND(ISNUMBER(Base_IFData!L74),ISNUMBER(Base_IFData!W74)),IF(Base_IFData!L74&gt;$B$4,Base_IFData!W74,""),"")</f>
        <v>3.2746169624576958E-2</v>
      </c>
      <c r="N73" s="50">
        <f>IF(AND(ISNUMBER(Base_IFData!O74),ISNUMBER(Base_IFData!Q74)),IF(Base_IFData!Q74&gt;0,Base_IFData!O74/Base_IFData!Q74,"PL ≤ 0"),"NI")</f>
        <v>3.8038617488845254</v>
      </c>
      <c r="O73" s="107">
        <f>IF(AND(ISNUMBER(Base_IFData!M74),ISNUMBER(Base_IFData!Q74)),IF(Base_IFData!Q74&gt;0,Base_IFData!M74/Base_IFData!Q74,"PL ≤ 0"),"NI")</f>
        <v>2.0852445079754389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" customHeight="1" x14ac:dyDescent="0.2">
      <c r="A74" s="123" t="s">
        <v>4</v>
      </c>
      <c r="B74" s="123" t="s">
        <v>3796</v>
      </c>
      <c r="C74" s="123" t="s">
        <v>3786</v>
      </c>
      <c r="D74" s="123" t="s">
        <v>3797</v>
      </c>
      <c r="E74" s="124" t="s">
        <v>3798</v>
      </c>
      <c r="F74" s="8"/>
      <c r="G74" s="8"/>
      <c r="H74" s="8"/>
      <c r="I74" s="8"/>
      <c r="J74" s="8"/>
      <c r="K74" s="12" t="str">
        <f>Base_IFData!A75</f>
        <v>LUIZACRED S.A. SOCIEDADE DE CRÉDITO, FINANCIAMENTO E INVESTIMENTO</v>
      </c>
      <c r="L74" s="12" t="str">
        <f>Base_IFData!F75</f>
        <v>n1</v>
      </c>
      <c r="M74" s="14">
        <f>IF(AND(ISNUMBER(Base_IFData!L75),ISNUMBER(Base_IFData!W75)),IF(Base_IFData!L75&gt;$B$4,Base_IFData!W75,""),"")</f>
        <v>9.7469838029897587E-2</v>
      </c>
      <c r="N74" s="51">
        <f>IF(AND(ISNUMBER(Base_IFData!O75),ISNUMBER(Base_IFData!Q75)),IF(Base_IFData!Q75&gt;0,Base_IFData!O75/Base_IFData!Q75,"PL ≤ 0"),"NI")</f>
        <v>7.6522972901335846</v>
      </c>
      <c r="O74" s="110">
        <f>IF(AND(ISNUMBER(Base_IFData!M75),ISNUMBER(Base_IFData!Q75)),IF(Base_IFData!Q75&gt;0,Base_IFData!M75/Base_IFData!Q75,"PL ≤ 0"),"NI")</f>
        <v>7.9508360889648371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" customHeight="1" x14ac:dyDescent="0.2">
      <c r="A75" s="67" t="s">
        <v>26</v>
      </c>
      <c r="B75" s="46">
        <f>COUNTIFS(Base_IFData!$F$5:$F$1626,$A75,Base_IFData!$S$5:$S$1626,$B$7)</f>
        <v>0</v>
      </c>
      <c r="C75" s="46">
        <f>COUNTIF(Base_IFData!$F$5:$F$1626,$A75)</f>
        <v>116</v>
      </c>
      <c r="D75" s="14">
        <f>B75/C75</f>
        <v>0</v>
      </c>
      <c r="E75" s="81">
        <f>SUMIFS(Base_IFData!$L$5:$L$1626,Base_IFData!$F$5:$F$1626,$A75,Base_IFData!$S$5:$S$1626,$B$7)</f>
        <v>0</v>
      </c>
      <c r="F75" s="8"/>
      <c r="G75" s="8"/>
      <c r="H75" s="8"/>
      <c r="I75" s="8"/>
      <c r="J75" s="8"/>
      <c r="K75" s="15" t="str">
        <f>Base_IFData!A76</f>
        <v>BRADESCO LEASING S.A. - ARRENDAMENTO MERCANTIL</v>
      </c>
      <c r="L75" s="15" t="str">
        <f>Base_IFData!F76</f>
        <v>n1</v>
      </c>
      <c r="M75" s="17">
        <f>IF(AND(ISNUMBER(Base_IFData!L76),ISNUMBER(Base_IFData!W76)),IF(Base_IFData!L76&gt;$B$4,Base_IFData!W76,""),"")</f>
        <v>5.0842731712524354E-2</v>
      </c>
      <c r="N75" s="50">
        <f>IF(AND(ISNUMBER(Base_IFData!O76),ISNUMBER(Base_IFData!Q76)),IF(Base_IFData!Q76&gt;0,Base_IFData!O76/Base_IFData!Q76,"PL ≤ 0"),"NI")</f>
        <v>3.1252236663019404</v>
      </c>
      <c r="O75" s="107">
        <f>IF(AND(ISNUMBER(Base_IFData!M76),ISNUMBER(Base_IFData!Q76)),IF(Base_IFData!Q76&gt;0,Base_IFData!M76/Base_IFData!Q76,"PL ≤ 0"),"NI")</f>
        <v>1.7261944437031305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" customHeight="1" x14ac:dyDescent="0.2">
      <c r="A76" s="68" t="s">
        <v>60</v>
      </c>
      <c r="B76" s="49">
        <f>COUNTIFS(Base_IFData!$F$5:$F$1626,$A76,Base_IFData!$S$5:$S$1626,$B$7)</f>
        <v>0</v>
      </c>
      <c r="C76" s="49">
        <f>COUNTIF(Base_IFData!$F$5:$F$1626,$A76)</f>
        <v>50</v>
      </c>
      <c r="D76" s="17">
        <f t="shared" ref="D76:D82" si="9">B76/C76</f>
        <v>0</v>
      </c>
      <c r="E76" s="111">
        <f>SUMIFS(Base_IFData!$L$5:$L$1626,Base_IFData!$F$5:$F$1626,$A76,Base_IFData!$S$5:$S$1626,$B$7)</f>
        <v>0</v>
      </c>
      <c r="F76" s="8"/>
      <c r="G76" s="8"/>
      <c r="H76" s="8"/>
      <c r="I76" s="8"/>
      <c r="J76" s="8"/>
      <c r="K76" s="12" t="str">
        <f>Base_IFData!A77</f>
        <v>COOPERATIVA CENTRAL DE CRÉDITO DO ESTADO DE SÃO PAULO - SICOOB SÃO PAULO</v>
      </c>
      <c r="L76" s="12" t="str">
        <f>Base_IFData!F77</f>
        <v>b3C</v>
      </c>
      <c r="M76" s="14">
        <f>IF(AND(ISNUMBER(Base_IFData!L77),ISNUMBER(Base_IFData!W77)),IF(Base_IFData!L77&gt;$B$4,Base_IFData!W77,""),"")</f>
        <v>6.6542556448485488E-2</v>
      </c>
      <c r="N76" s="51">
        <f>IF(AND(ISNUMBER(Base_IFData!O77),ISNUMBER(Base_IFData!Q77)),IF(Base_IFData!Q77&gt;0,Base_IFData!O77/Base_IFData!Q77,"PL ≤ 0"),"NI")</f>
        <v>19.721681224372727</v>
      </c>
      <c r="O76" s="110">
        <f>IF(AND(ISNUMBER(Base_IFData!M77),ISNUMBER(Base_IFData!Q77)),IF(Base_IFData!Q77&gt;0,Base_IFData!M77/Base_IFData!Q77,"PL ≤ 0"),"NI")</f>
        <v>0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" customHeight="1" x14ac:dyDescent="0.2">
      <c r="A77" s="67" t="s">
        <v>265</v>
      </c>
      <c r="B77" s="46">
        <f>COUNTIFS(Base_IFData!$F$5:$F$1626,$A77,Base_IFData!$S$5:$S$1626,$B$7)</f>
        <v>729</v>
      </c>
      <c r="C77" s="46">
        <f>COUNTIF(Base_IFData!$F$5:$F$1626,$A77)</f>
        <v>729</v>
      </c>
      <c r="D77" s="14">
        <f t="shared" si="9"/>
        <v>1</v>
      </c>
      <c r="E77" s="81">
        <f>SUMIFS(Base_IFData!$L$5:$L$1626,Base_IFData!$F$5:$F$1626,$A77,Base_IFData!$S$5:$S$1626,$B$7)</f>
        <v>992158870</v>
      </c>
      <c r="F77" s="8"/>
      <c r="G77" s="8"/>
      <c r="H77" s="8"/>
      <c r="I77" s="8"/>
      <c r="J77" s="8"/>
      <c r="K77" s="15" t="str">
        <f>Base_IFData!A78</f>
        <v>BTG PACTUAL CORRETORA DE TÍTULOS E VALORES MOBILIÁRIOS S.A.</v>
      </c>
      <c r="L77" s="15" t="str">
        <f>Base_IFData!F78</f>
        <v>n2</v>
      </c>
      <c r="M77" s="17">
        <f>IF(AND(ISNUMBER(Base_IFData!L78),ISNUMBER(Base_IFData!W78)),IF(Base_IFData!L78&gt;$B$4,Base_IFData!W78,""),"")</f>
        <v>0.17610825208974665</v>
      </c>
      <c r="N77" s="50">
        <f>IF(AND(ISNUMBER(Base_IFData!O78),ISNUMBER(Base_IFData!Q78)),IF(Base_IFData!Q78&gt;0,Base_IFData!O78/Base_IFData!Q78,"PL ≤ 0"),"NI")</f>
        <v>17.679169124905808</v>
      </c>
      <c r="O77" s="107">
        <f>IF(AND(ISNUMBER(Base_IFData!M78),ISNUMBER(Base_IFData!Q78)),IF(Base_IFData!Q78&gt;0,Base_IFData!M78/Base_IFData!Q78,"PL ≤ 0"),"NI")</f>
        <v>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" customHeight="1" x14ac:dyDescent="0.2">
      <c r="A78" s="68" t="s">
        <v>199</v>
      </c>
      <c r="B78" s="49">
        <f>COUNTIFS(Base_IFData!$F$5:$F$1626,$A78,Base_IFData!$S$5:$S$1626,$B$7)</f>
        <v>27</v>
      </c>
      <c r="C78" s="49">
        <f>COUNTIF(Base_IFData!$F$5:$F$1626,$A78)</f>
        <v>27</v>
      </c>
      <c r="D78" s="17">
        <f t="shared" si="9"/>
        <v>1</v>
      </c>
      <c r="E78" s="111">
        <f>SUMIFS(Base_IFData!$L$5:$L$1626,Base_IFData!$F$5:$F$1626,$A78,Base_IFData!$S$5:$S$1626,$B$7)</f>
        <v>254740242</v>
      </c>
      <c r="F78" s="8"/>
      <c r="G78" s="8"/>
      <c r="H78" s="8"/>
      <c r="I78" s="8"/>
      <c r="J78" s="8"/>
      <c r="K78" s="12" t="str">
        <f>Base_IFData!A79</f>
        <v>COOPERATIVA DE CREDITO CREDICITRUS</v>
      </c>
      <c r="L78" s="12" t="str">
        <f>Base_IFData!F79</f>
        <v>b3S</v>
      </c>
      <c r="M78" s="14">
        <f>IF(AND(ISNUMBER(Base_IFData!L79),ISNUMBER(Base_IFData!W79)),IF(Base_IFData!L79&gt;$B$4,Base_IFData!W79,""),"")</f>
        <v>4.4441588206563722E-2</v>
      </c>
      <c r="N78" s="51">
        <f>IF(AND(ISNUMBER(Base_IFData!O79),ISNUMBER(Base_IFData!Q79)),IF(Base_IFData!Q79&gt;0,Base_IFData!O79/Base_IFData!Q79,"PL ≤ 0"),"NI")</f>
        <v>4.0865403999063759</v>
      </c>
      <c r="O78" s="110">
        <f>IF(AND(ISNUMBER(Base_IFData!M79),ISNUMBER(Base_IFData!Q79)),IF(Base_IFData!Q79&gt;0,Base_IFData!M79/Base_IFData!Q79,"PL ≤ 0"),"NI")</f>
        <v>2.4456933419742044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" customHeight="1" x14ac:dyDescent="0.2">
      <c r="A79" s="67" t="s">
        <v>52</v>
      </c>
      <c r="B79" s="46">
        <f>COUNTIFS(Base_IFData!$F$5:$F$1626,$A79,Base_IFData!$S$5:$S$1626,$B$7)</f>
        <v>0</v>
      </c>
      <c r="C79" s="46">
        <f>COUNTIF(Base_IFData!$F$5:$F$1626,$A79)</f>
        <v>4</v>
      </c>
      <c r="D79" s="14">
        <f t="shared" si="9"/>
        <v>0</v>
      </c>
      <c r="E79" s="81">
        <f>SUMIFS(Base_IFData!$L$5:$L$1626,Base_IFData!$F$5:$F$1626,$A79,Base_IFData!$S$5:$S$1626,$B$7)</f>
        <v>0</v>
      </c>
      <c r="F79" s="8"/>
      <c r="G79" s="8"/>
      <c r="H79" s="8"/>
      <c r="I79" s="8"/>
      <c r="J79" s="8"/>
      <c r="K79" s="15" t="str">
        <f>Base_IFData!A80</f>
        <v>BR PARTNERS BANCO DE INVESTIMENTO S.A.</v>
      </c>
      <c r="L79" s="15" t="str">
        <f>Base_IFData!F80</f>
        <v>b2</v>
      </c>
      <c r="M79" s="17">
        <f>IF(AND(ISNUMBER(Base_IFData!L80),ISNUMBER(Base_IFData!W80)),IF(Base_IFData!L80&gt;$B$4,Base_IFData!W80,""),"")</f>
        <v>-8.0189201533542795E-3</v>
      </c>
      <c r="N79" s="50">
        <f>IF(AND(ISNUMBER(Base_IFData!O80),ISNUMBER(Base_IFData!Q80)),IF(Base_IFData!Q80&gt;0,Base_IFData!O80/Base_IFData!Q80,"PL ≤ 0"),"NI")</f>
        <v>30.581645928776073</v>
      </c>
      <c r="O79" s="107">
        <f>IF(AND(ISNUMBER(Base_IFData!M80),ISNUMBER(Base_IFData!Q80)),IF(Base_IFData!Q80&gt;0,Base_IFData!M80/Base_IFData!Q80,"PL ≤ 0"),"NI")</f>
        <v>0.3083555936942049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" customHeight="1" x14ac:dyDescent="0.2">
      <c r="A80" s="68" t="s">
        <v>65</v>
      </c>
      <c r="B80" s="49">
        <f>COUNTIFS(Base_IFData!$F$5:$F$1626,$A80,Base_IFData!$S$5:$S$1626,$B$7)</f>
        <v>0</v>
      </c>
      <c r="C80" s="49">
        <f>COUNTIF(Base_IFData!$F$5:$F$1626,$A80)</f>
        <v>290</v>
      </c>
      <c r="D80" s="17">
        <f t="shared" si="9"/>
        <v>0</v>
      </c>
      <c r="E80" s="111">
        <f>SUMIFS(Base_IFData!$L$5:$L$1626,Base_IFData!$F$5:$F$1626,$A80,Base_IFData!$S$5:$S$1626,$B$7)</f>
        <v>0</v>
      </c>
      <c r="F80" s="8"/>
      <c r="G80" s="8"/>
      <c r="H80" s="8"/>
      <c r="I80" s="8"/>
      <c r="J80" s="8"/>
      <c r="K80" s="12" t="str">
        <f>Base_IFData!A81</f>
        <v>BANCO GM S.A.</v>
      </c>
      <c r="L80" s="12" t="str">
        <f>Base_IFData!F81</f>
        <v>b2</v>
      </c>
      <c r="M80" s="14">
        <f>IF(AND(ISNUMBER(Base_IFData!L81),ISNUMBER(Base_IFData!W81)),IF(Base_IFData!L81&gt;$B$4,Base_IFData!W81,""),"")</f>
        <v>9.4908094230492165E-2</v>
      </c>
      <c r="N80" s="51">
        <f>IF(AND(ISNUMBER(Base_IFData!O81),ISNUMBER(Base_IFData!Q81)),IF(Base_IFData!Q81&gt;0,Base_IFData!O81/Base_IFData!Q81,"PL ≤ 0"),"NI")</f>
        <v>5.1723200239282505</v>
      </c>
      <c r="O80" s="110">
        <f>IF(AND(ISNUMBER(Base_IFData!M81),ISNUMBER(Base_IFData!Q81)),IF(Base_IFData!Q81&gt;0,Base_IFData!M81/Base_IFData!Q81,"PL ≤ 0"),"NI")</f>
        <v>4.7135550187213235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" customHeight="1" x14ac:dyDescent="0.2">
      <c r="A81" s="67" t="s">
        <v>98</v>
      </c>
      <c r="B81" s="46">
        <f>COUNTIFS(Base_IFData!$F$5:$F$1626,$A81,Base_IFData!$S$5:$S$1626,$B$7)</f>
        <v>0</v>
      </c>
      <c r="C81" s="46">
        <f>COUNTIF(Base_IFData!$F$5:$F$1626,$A81)</f>
        <v>210</v>
      </c>
      <c r="D81" s="14">
        <f t="shared" si="9"/>
        <v>0</v>
      </c>
      <c r="E81" s="81">
        <f>SUMIFS(Base_IFData!$L$5:$L$1626,Base_IFData!$F$5:$F$1626,$A81,Base_IFData!$S$5:$S$1626,$B$7)</f>
        <v>0</v>
      </c>
      <c r="F81" s="8"/>
      <c r="G81" s="8"/>
      <c r="H81" s="8"/>
      <c r="I81" s="8"/>
      <c r="J81" s="8"/>
      <c r="K81" s="15" t="str">
        <f>Base_IFData!A82</f>
        <v>BANCO SOFISA S.A.</v>
      </c>
      <c r="L81" s="15" t="str">
        <f>Base_IFData!F82</f>
        <v>b1</v>
      </c>
      <c r="M81" s="17">
        <f>IF(AND(ISNUMBER(Base_IFData!L82),ISNUMBER(Base_IFData!W82)),IF(Base_IFData!L82&gt;$B$4,Base_IFData!W82,""),"")</f>
        <v>3.4213074244927678E-2</v>
      </c>
      <c r="N81" s="50">
        <f>IF(AND(ISNUMBER(Base_IFData!O82),ISNUMBER(Base_IFData!Q82)),IF(Base_IFData!Q82&gt;0,Base_IFData!O82/Base_IFData!Q82,"PL ≤ 0"),"NI")</f>
        <v>14.425802144233518</v>
      </c>
      <c r="O81" s="107">
        <f>IF(AND(ISNUMBER(Base_IFData!M82),ISNUMBER(Base_IFData!Q82)),IF(Base_IFData!Q82&gt;0,Base_IFData!M82/Base_IFData!Q82,"PL ≤ 0"),"NI")</f>
        <v>6.6343099819226587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" customHeight="1" x14ac:dyDescent="0.2">
      <c r="A82" s="72" t="s">
        <v>84</v>
      </c>
      <c r="B82" s="52">
        <f>COUNTIFS(Base_IFData!$F$5:$F$1626,$A82,Base_IFData!$S$5:$S$1626,$B$7)</f>
        <v>0</v>
      </c>
      <c r="C82" s="52">
        <f>COUNTIF(Base_IFData!$F$5:$F$1626,$A82)</f>
        <v>196</v>
      </c>
      <c r="D82" s="21">
        <f t="shared" si="9"/>
        <v>0</v>
      </c>
      <c r="E82" s="112">
        <f>SUMIFS(Base_IFData!$L$5:$L$1626,Base_IFData!$F$5:$F$1626,$A82,Base_IFData!$S$5:$S$1626,$B$7)</f>
        <v>0</v>
      </c>
      <c r="F82" s="8"/>
      <c r="G82" s="8"/>
      <c r="H82" s="8"/>
      <c r="I82" s="8"/>
      <c r="J82" s="8"/>
      <c r="K82" s="12" t="str">
        <f>Base_IFData!A83</f>
        <v>COOPERATIVA CENTRAL DE CRÉDITO COM INTERAÇÃO SOLIDÁRIA - CENTRAL CRESOL BASER</v>
      </c>
      <c r="L82" s="12" t="str">
        <f>Base_IFData!F83</f>
        <v>b3C</v>
      </c>
      <c r="M82" s="14">
        <f>IF(AND(ISNUMBER(Base_IFData!L83),ISNUMBER(Base_IFData!W83)),IF(Base_IFData!L83&gt;$B$4,Base_IFData!W83,""),"")</f>
        <v>7.3255867067278407E-2</v>
      </c>
      <c r="N82" s="51">
        <f>IF(AND(ISNUMBER(Base_IFData!O83),ISNUMBER(Base_IFData!Q83)),IF(Base_IFData!Q83&gt;0,Base_IFData!O83/Base_IFData!Q83,"PL ≤ 0"),"NI")</f>
        <v>21.527381339071827</v>
      </c>
      <c r="O82" s="110">
        <f>IF(AND(ISNUMBER(Base_IFData!M83),ISNUMBER(Base_IFData!Q83)),IF(Base_IFData!Q83&gt;0,Base_IFData!M83/Base_IFData!Q83,"PL ≤ 0"),"NI")</f>
        <v>0.12568643672093874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" customHeight="1" x14ac:dyDescent="0.2">
      <c r="A83" s="65" t="s">
        <v>3710</v>
      </c>
      <c r="B83" s="93">
        <f>SUM(B75:B82)</f>
        <v>756</v>
      </c>
      <c r="C83" s="93">
        <f>SUM(C75:C82)</f>
        <v>1622</v>
      </c>
      <c r="D83" s="94">
        <f>B83/C83</f>
        <v>0.46609124537607893</v>
      </c>
      <c r="E83" s="113">
        <f>SUM(E75:E82)</f>
        <v>1246899112</v>
      </c>
      <c r="F83" s="8"/>
      <c r="G83" s="8"/>
      <c r="H83" s="8"/>
      <c r="I83" s="8"/>
      <c r="J83" s="8"/>
      <c r="K83" s="15" t="str">
        <f>Base_IFData!A84</f>
        <v>COOPERATIVA CENTRAL DE CRÉDITO UNICRED DO BRASIL - UNICRED DO BRASIL</v>
      </c>
      <c r="L83" s="15" t="str">
        <f>Base_IFData!F84</f>
        <v>b3C</v>
      </c>
      <c r="M83" s="17">
        <f>IF(AND(ISNUMBER(Base_IFData!L84),ISNUMBER(Base_IFData!W84)),IF(Base_IFData!L84&gt;$B$4,Base_IFData!W84,""),"")</f>
        <v>5.4252038249917568E-2</v>
      </c>
      <c r="N83" s="50">
        <f>IF(AND(ISNUMBER(Base_IFData!O84),ISNUMBER(Base_IFData!Q84)),IF(Base_IFData!Q84&gt;0,Base_IFData!O84/Base_IFData!Q84,"PL ≤ 0"),"NI")</f>
        <v>21.722915683371372</v>
      </c>
      <c r="O83" s="107">
        <f>IF(AND(ISNUMBER(Base_IFData!M84),ISNUMBER(Base_IFData!Q84)),IF(Base_IFData!Q84&gt;0,Base_IFData!M84/Base_IFData!Q84,"PL ≤ 0"),"NI")</f>
        <v>0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" customHeight="1" x14ac:dyDescent="0.2">
      <c r="A84" s="92"/>
      <c r="B84" s="92"/>
      <c r="C84" s="92"/>
      <c r="D84" s="92"/>
      <c r="E84" s="8"/>
      <c r="F84" s="8"/>
      <c r="G84" s="8"/>
      <c r="H84" s="8"/>
      <c r="I84" s="8"/>
      <c r="J84" s="8"/>
      <c r="K84" s="12" t="str">
        <f>Base_IFData!A85</f>
        <v>COOPERATIVA DE CREDITO VALE DO ITAJAI - VIACREDI</v>
      </c>
      <c r="L84" s="12" t="str">
        <f>Base_IFData!F85</f>
        <v>b3S</v>
      </c>
      <c r="M84" s="14">
        <f>IF(AND(ISNUMBER(Base_IFData!L85),ISNUMBER(Base_IFData!W85)),IF(Base_IFData!L85&gt;$B$4,Base_IFData!W85,""),"")</f>
        <v>0.11006629073045797</v>
      </c>
      <c r="N84" s="51">
        <f>IF(AND(ISNUMBER(Base_IFData!O85),ISNUMBER(Base_IFData!Q85)),IF(Base_IFData!Q85&gt;0,Base_IFData!O85/Base_IFData!Q85,"PL ≤ 0"),"NI")</f>
        <v>3.7584511652673829</v>
      </c>
      <c r="O84" s="110">
        <f>IF(AND(ISNUMBER(Base_IFData!M85),ISNUMBER(Base_IFData!Q85)),IF(Base_IFData!Q85&gt;0,Base_IFData!M85/Base_IFData!Q85,"PL ≤ 0"),"NI")</f>
        <v>2.3693580038868043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" customHeight="1" x14ac:dyDescent="0.2">
      <c r="A85" s="25" t="s">
        <v>3799</v>
      </c>
      <c r="B85" s="25"/>
      <c r="C85" s="25"/>
      <c r="D85" s="25"/>
      <c r="E85" s="25"/>
      <c r="F85" s="25"/>
      <c r="G85" s="25"/>
      <c r="H85" s="25"/>
      <c r="I85" s="8"/>
      <c r="J85" s="8"/>
      <c r="K85" s="15" t="str">
        <f>Base_IFData!A86</f>
        <v>BANCO JOHN DEERE S.A.</v>
      </c>
      <c r="L85" s="15" t="str">
        <f>Base_IFData!F86</f>
        <v>b1</v>
      </c>
      <c r="M85" s="17">
        <f>IF(AND(ISNUMBER(Base_IFData!L86),ISNUMBER(Base_IFData!W86)),IF(Base_IFData!L86&gt;$B$4,Base_IFData!W86,""),"")</f>
        <v>1.5262287183605925E-2</v>
      </c>
      <c r="N85" s="50">
        <f>IF(AND(ISNUMBER(Base_IFData!O86),ISNUMBER(Base_IFData!Q86)),IF(Base_IFData!Q86&gt;0,Base_IFData!O86/Base_IFData!Q86,"PL ≤ 0"),"NI")</f>
        <v>2.9109777649049016</v>
      </c>
      <c r="O85" s="107">
        <f>IF(AND(ISNUMBER(Base_IFData!M86),ISNUMBER(Base_IFData!Q86)),IF(Base_IFData!Q86&gt;0,Base_IFData!M86/Base_IFData!Q86,"PL ≤ 0"),"NI")</f>
        <v>3.4130740381606151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" customHeight="1" x14ac:dyDescent="0.2">
      <c r="A86" s="123" t="s">
        <v>8</v>
      </c>
      <c r="B86" s="123" t="s">
        <v>3762</v>
      </c>
      <c r="C86" s="124" t="s">
        <v>3800</v>
      </c>
      <c r="D86" s="8"/>
      <c r="E86" s="8"/>
      <c r="F86" s="8"/>
      <c r="G86" s="8"/>
      <c r="H86" s="8"/>
      <c r="I86" s="8"/>
      <c r="J86" s="8"/>
      <c r="K86" s="12" t="str">
        <f>Base_IFData!A87</f>
        <v>BANCO BRADESCO BBI S.A.</v>
      </c>
      <c r="L86" s="12" t="str">
        <f>Base_IFData!F87</f>
        <v>b1</v>
      </c>
      <c r="M86" s="14">
        <f>IF(AND(ISNUMBER(Base_IFData!L87),ISNUMBER(Base_IFData!W87)),IF(Base_IFData!L87&gt;$B$4,Base_IFData!W87,""),"")</f>
        <v>0.12371684185791927</v>
      </c>
      <c r="N86" s="51">
        <f>IF(AND(ISNUMBER(Base_IFData!O87),ISNUMBER(Base_IFData!Q87)),IF(Base_IFData!Q87&gt;0,Base_IFData!O87/Base_IFData!Q87,"PL ≤ 0"),"NI")</f>
        <v>1.578594623973439</v>
      </c>
      <c r="O86" s="110">
        <f>IF(AND(ISNUMBER(Base_IFData!M87),ISNUMBER(Base_IFData!Q87)),IF(Base_IFData!Q87&gt;0,Base_IFData!M87/Base_IFData!Q87,"PL ≤ 0"),"NI")</f>
        <v>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" customHeight="1" x14ac:dyDescent="0.2">
      <c r="A87" s="67" t="s">
        <v>39</v>
      </c>
      <c r="B87" s="46">
        <f>COUNTIF(Base_IFData!$J$5:$J$1626,$A87)</f>
        <v>684</v>
      </c>
      <c r="C87" s="86">
        <f>B87/B$93</f>
        <v>0.42170160295930947</v>
      </c>
      <c r="D87" s="8"/>
      <c r="E87" s="8"/>
      <c r="F87" s="8"/>
      <c r="G87" s="8"/>
      <c r="H87" s="8"/>
      <c r="I87" s="8"/>
      <c r="J87" s="8"/>
      <c r="K87" s="15" t="str">
        <f>Base_IFData!A88</f>
        <v>SCOTIABANK BRASIL S.A. BANCO MÚLTIPLO</v>
      </c>
      <c r="L87" s="15" t="str">
        <f>Base_IFData!F88</f>
        <v>b1</v>
      </c>
      <c r="M87" s="17">
        <f>IF(AND(ISNUMBER(Base_IFData!L88),ISNUMBER(Base_IFData!W88)),IF(Base_IFData!L88&gt;$B$4,Base_IFData!W88,""),"")</f>
        <v>4.8037514014040515E-2</v>
      </c>
      <c r="N87" s="50">
        <f>IF(AND(ISNUMBER(Base_IFData!O88),ISNUMBER(Base_IFData!Q88)),IF(Base_IFData!Q88&gt;0,Base_IFData!O88/Base_IFData!Q88,"PL ≤ 0"),"NI")</f>
        <v>4.126741100108684</v>
      </c>
      <c r="O87" s="107">
        <f>IF(AND(ISNUMBER(Base_IFData!M88),ISNUMBER(Base_IFData!Q88)),IF(Base_IFData!Q88&gt;0,Base_IFData!M88/Base_IFData!Q88,"PL ≤ 0"),"NI")</f>
        <v>0.7662955400842113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" customHeight="1" x14ac:dyDescent="0.2">
      <c r="A88" s="68" t="s">
        <v>120</v>
      </c>
      <c r="B88" s="49">
        <f>COUNTIF(Base_IFData!$J$5:$J$1626,$A88)</f>
        <v>210</v>
      </c>
      <c r="C88" s="87">
        <f t="shared" ref="C88:C91" si="10">B88/B$93</f>
        <v>0.12946979038224415</v>
      </c>
      <c r="D88" s="8"/>
      <c r="E88" s="8"/>
      <c r="F88" s="8"/>
      <c r="G88" s="8"/>
      <c r="H88" s="8"/>
      <c r="I88" s="8"/>
      <c r="J88" s="8"/>
      <c r="K88" s="12" t="str">
        <f>Base_IFData!A89</f>
        <v>BANCO MORGAN STANLEY S.A.</v>
      </c>
      <c r="L88" s="12" t="str">
        <f>Base_IFData!F89</f>
        <v>b1</v>
      </c>
      <c r="M88" s="14">
        <f>IF(AND(ISNUMBER(Base_IFData!L89),ISNUMBER(Base_IFData!W89)),IF(Base_IFData!L89&gt;$B$4,Base_IFData!W89,""),"")</f>
        <v>6.4128867350225549E-2</v>
      </c>
      <c r="N88" s="51">
        <f>IF(AND(ISNUMBER(Base_IFData!O89),ISNUMBER(Base_IFData!Q89)),IF(Base_IFData!Q89&gt;0,Base_IFData!O89/Base_IFData!Q89,"PL ≤ 0"),"NI")</f>
        <v>2.4034769653436832</v>
      </c>
      <c r="O88" s="110">
        <f>IF(AND(ISNUMBER(Base_IFData!M89),ISNUMBER(Base_IFData!Q89)),IF(Base_IFData!Q89&gt;0,Base_IFData!M89/Base_IFData!Q89,"PL ≤ 0"),"NI")</f>
        <v>4.7301769655268118E-2</v>
      </c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" customHeight="1" x14ac:dyDescent="0.2">
      <c r="A89" s="67" t="s">
        <v>74</v>
      </c>
      <c r="B89" s="46">
        <f>COUNTIF(Base_IFData!$J$5:$J$1626,$A89)</f>
        <v>145</v>
      </c>
      <c r="C89" s="86">
        <f t="shared" si="10"/>
        <v>8.9395807644882863E-2</v>
      </c>
      <c r="D89" s="8"/>
      <c r="E89" s="8"/>
      <c r="F89" s="8"/>
      <c r="G89" s="8"/>
      <c r="H89" s="8"/>
      <c r="I89" s="8"/>
      <c r="J89" s="8"/>
      <c r="K89" s="15" t="str">
        <f>Base_IFData!A90</f>
        <v>BANCO HSBC S.A.</v>
      </c>
      <c r="L89" s="15" t="str">
        <f>Base_IFData!F90</f>
        <v>b1</v>
      </c>
      <c r="M89" s="17">
        <f>IF(AND(ISNUMBER(Base_IFData!L90),ISNUMBER(Base_IFData!W90)),IF(Base_IFData!L90&gt;$B$4,Base_IFData!W90,""),"")</f>
        <v>5.6413267380487082E-2</v>
      </c>
      <c r="N89" s="50">
        <f>IF(AND(ISNUMBER(Base_IFData!O90),ISNUMBER(Base_IFData!Q90)),IF(Base_IFData!Q90&gt;0,Base_IFData!O90/Base_IFData!Q90,"PL ≤ 0"),"NI")</f>
        <v>9.2356362783236321</v>
      </c>
      <c r="O89" s="107">
        <f>IF(AND(ISNUMBER(Base_IFData!M90),ISNUMBER(Base_IFData!Q90)),IF(Base_IFData!Q90&gt;0,Base_IFData!M90/Base_IFData!Q90,"PL ≤ 0"),"NI")</f>
        <v>3.2270785403080886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" customHeight="1" x14ac:dyDescent="0.2">
      <c r="A90" s="68" t="s">
        <v>229</v>
      </c>
      <c r="B90" s="49">
        <f>COUNTIF(Base_IFData!$J$5:$J$1626,$A90)</f>
        <v>121</v>
      </c>
      <c r="C90" s="87">
        <f t="shared" si="10"/>
        <v>7.4599260172626386E-2</v>
      </c>
      <c r="D90" s="8"/>
      <c r="E90" s="8"/>
      <c r="F90" s="8"/>
      <c r="G90" s="8"/>
      <c r="H90" s="8"/>
      <c r="I90" s="8"/>
      <c r="J90" s="8"/>
      <c r="K90" s="12" t="str">
        <f>Base_IFData!A91</f>
        <v>BANK OF CHINA (BRASIL) BANCO MÚLTIPLO S/A</v>
      </c>
      <c r="L90" s="12" t="str">
        <f>Base_IFData!F91</f>
        <v>b1</v>
      </c>
      <c r="M90" s="14">
        <f>IF(AND(ISNUMBER(Base_IFData!L91),ISNUMBER(Base_IFData!W91)),IF(Base_IFData!L91&gt;$B$4,Base_IFData!W91,""),"")</f>
        <v>-2.1162173432231531E-2</v>
      </c>
      <c r="N90" s="51">
        <f>IF(AND(ISNUMBER(Base_IFData!O91),ISNUMBER(Base_IFData!Q91)),IF(Base_IFData!Q91&gt;0,Base_IFData!O91/Base_IFData!Q91,"PL ≤ 0"),"NI")</f>
        <v>12.266989257856881</v>
      </c>
      <c r="O90" s="110">
        <f>IF(AND(ISNUMBER(Base_IFData!M91),ISNUMBER(Base_IFData!Q91)),IF(Base_IFData!Q91&gt;0,Base_IFData!M91/Base_IFData!Q91,"PL ≤ 0"),"NI")</f>
        <v>6.2070148833656642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" customHeight="1" x14ac:dyDescent="0.2">
      <c r="A91" s="67" t="s">
        <v>217</v>
      </c>
      <c r="B91" s="46">
        <f>COUNTIF(Base_IFData!$J$5:$J$1626,$A91)</f>
        <v>118</v>
      </c>
      <c r="C91" s="86">
        <f t="shared" si="10"/>
        <v>7.274969173859433E-2</v>
      </c>
      <c r="D91" s="8"/>
      <c r="E91" s="8"/>
      <c r="F91" s="8"/>
      <c r="G91" s="8"/>
      <c r="H91" s="8"/>
      <c r="I91" s="8"/>
      <c r="J91" s="8"/>
      <c r="K91" s="15" t="str">
        <f>Base_IFData!A92</f>
        <v>BANCO RCI BRASIL S.A.</v>
      </c>
      <c r="L91" s="15" t="str">
        <f>Base_IFData!F92</f>
        <v>b2</v>
      </c>
      <c r="M91" s="17">
        <f>IF(AND(ISNUMBER(Base_IFData!L92),ISNUMBER(Base_IFData!W92)),IF(Base_IFData!L92&gt;$B$4,Base_IFData!W92,""),"")</f>
        <v>0.10568066609439634</v>
      </c>
      <c r="N91" s="50">
        <f>IF(AND(ISNUMBER(Base_IFData!O92),ISNUMBER(Base_IFData!Q92)),IF(Base_IFData!Q92&gt;0,Base_IFData!O92/Base_IFData!Q92,"PL ≤ 0"),"NI")</f>
        <v>10.587909553028616</v>
      </c>
      <c r="O91" s="107">
        <f>IF(AND(ISNUMBER(Base_IFData!M92),ISNUMBER(Base_IFData!Q92)),IF(Base_IFData!Q92&gt;0,Base_IFData!M92/Base_IFData!Q92,"PL ≤ 0"),"NI")</f>
        <v>7.3232211047643272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" customHeight="1" x14ac:dyDescent="0.2">
      <c r="A92" s="19" t="s">
        <v>3801</v>
      </c>
      <c r="B92" s="52">
        <f>B93-SUM(B87:B91)</f>
        <v>344</v>
      </c>
      <c r="C92" s="88">
        <f>B92/B$93</f>
        <v>0.21208384710234279</v>
      </c>
      <c r="D92" s="8"/>
      <c r="E92" s="8"/>
      <c r="F92" s="8"/>
      <c r="G92" s="8"/>
      <c r="H92" s="8"/>
      <c r="I92" s="8"/>
      <c r="J92" s="8"/>
      <c r="K92" s="12" t="str">
        <f>Base_IFData!A93</f>
        <v>BANCO VOLVO BRASIL S.A.</v>
      </c>
      <c r="L92" s="12" t="str">
        <f>Base_IFData!F93</f>
        <v>b2</v>
      </c>
      <c r="M92" s="14">
        <f>IF(AND(ISNUMBER(Base_IFData!L93),ISNUMBER(Base_IFData!W93)),IF(Base_IFData!L93&gt;$B$4,Base_IFData!W93,""),"")</f>
        <v>4.756106999827231E-2</v>
      </c>
      <c r="N92" s="51">
        <f>IF(AND(ISNUMBER(Base_IFData!O93),ISNUMBER(Base_IFData!Q93)),IF(Base_IFData!Q93&gt;0,Base_IFData!O93/Base_IFData!Q93,"PL ≤ 0"),"NI")</f>
        <v>2.914952855157058</v>
      </c>
      <c r="O92" s="110">
        <f>IF(AND(ISNUMBER(Base_IFData!M93),ISNUMBER(Base_IFData!Q93)),IF(Base_IFData!Q93&gt;0,Base_IFData!M93/Base_IFData!Q93,"PL ≤ 0"),"NI")</f>
        <v>3.3575256224056198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" customHeight="1" x14ac:dyDescent="0.2">
      <c r="A93" s="65" t="s">
        <v>3740</v>
      </c>
      <c r="B93" s="93">
        <f>COUNTA(Base_IFData!$A$5:$A$1626)</f>
        <v>1622</v>
      </c>
      <c r="C93" s="89">
        <f>SUM(C87:C92)</f>
        <v>1</v>
      </c>
      <c r="D93" s="8"/>
      <c r="E93" s="8"/>
      <c r="F93" s="8"/>
      <c r="G93" s="8"/>
      <c r="H93" s="8"/>
      <c r="I93" s="8"/>
      <c r="J93" s="8"/>
      <c r="K93" s="15" t="str">
        <f>Base_IFData!A94</f>
        <v>BANCO STELLANTIS S.A.</v>
      </c>
      <c r="L93" s="15" t="str">
        <f>Base_IFData!F94</f>
        <v>b2</v>
      </c>
      <c r="M93" s="17">
        <f>IF(AND(ISNUMBER(Base_IFData!L94),ISNUMBER(Base_IFData!W94)),IF(Base_IFData!L94&gt;$B$4,Base_IFData!W94,""),"")</f>
        <v>8.8630247903914897E-2</v>
      </c>
      <c r="N93" s="50">
        <f>IF(AND(ISNUMBER(Base_IFData!O94),ISNUMBER(Base_IFData!Q94)),IF(Base_IFData!Q94&gt;0,Base_IFData!O94/Base_IFData!Q94,"PL ≤ 0"),"NI")</f>
        <v>9.3333536248902789</v>
      </c>
      <c r="O93" s="107">
        <f>IF(AND(ISNUMBER(Base_IFData!M94),ISNUMBER(Base_IFData!Q94)),IF(Base_IFData!Q94&gt;0,Base_IFData!M94/Base_IFData!Q94,"PL ≤ 0"),"NI")</f>
        <v>4.819309576502115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" customHeight="1" x14ac:dyDescent="0.2">
      <c r="A94" s="92"/>
      <c r="B94" s="92"/>
      <c r="C94" s="8"/>
      <c r="D94" s="8"/>
      <c r="E94" s="8"/>
      <c r="F94" s="8"/>
      <c r="G94" s="8"/>
      <c r="H94" s="8"/>
      <c r="I94" s="8"/>
      <c r="J94" s="8"/>
      <c r="K94" s="12" t="str">
        <f>Base_IFData!A95</f>
        <v>COOPERATIVA DE CRÉDITO, POUPANÇA E INVESTIMENTO DEXIS - SICREDI DEXIS</v>
      </c>
      <c r="L94" s="12" t="str">
        <f>Base_IFData!F95</f>
        <v>b3S</v>
      </c>
      <c r="M94" s="14">
        <f>IF(AND(ISNUMBER(Base_IFData!L95),ISNUMBER(Base_IFData!W95)),IF(Base_IFData!L95&gt;$B$4,Base_IFData!W95,""),"")</f>
        <v>6.0735395381309169E-2</v>
      </c>
      <c r="N94" s="51">
        <f>IF(AND(ISNUMBER(Base_IFData!O95),ISNUMBER(Base_IFData!Q95)),IF(Base_IFData!Q95&gt;0,Base_IFData!O95/Base_IFData!Q95,"PL ≤ 0"),"NI")</f>
        <v>9.7578944207596088</v>
      </c>
      <c r="O94" s="110">
        <f>IF(AND(ISNUMBER(Base_IFData!M95),ISNUMBER(Base_IFData!Q95)),IF(Base_IFData!Q95&gt;0,Base_IFData!M95/Base_IFData!Q95,"PL ≤ 0"),"NI")</f>
        <v>6.0708998182633405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15" t="str">
        <f>Base_IFData!A96</f>
        <v>KIRTON BANK S.A. - BANCO MÚLTIPLO</v>
      </c>
      <c r="L95" s="15" t="str">
        <f>Base_IFData!F96</f>
        <v>b1</v>
      </c>
      <c r="M95" s="17">
        <f>IF(AND(ISNUMBER(Base_IFData!L96),ISNUMBER(Base_IFData!W96)),IF(Base_IFData!L96&gt;$B$4,Base_IFData!W96,""),"")</f>
        <v>3.1925743447475209E-2</v>
      </c>
      <c r="N95" s="50">
        <f>IF(AND(ISNUMBER(Base_IFData!O96),ISNUMBER(Base_IFData!Q96)),IF(Base_IFData!Q96&gt;0,Base_IFData!O96/Base_IFData!Q96,"PL ≤ 0"),"NI")</f>
        <v>0.31255706579684794</v>
      </c>
      <c r="O95" s="107">
        <f>IF(AND(ISNUMBER(Base_IFData!M96),ISNUMBER(Base_IFData!Q96)),IF(Base_IFData!Q96&gt;0,Base_IFData!M96/Base_IFData!Q96,"PL ≤ 0"),"NI")</f>
        <v>0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12" t="str">
        <f>Base_IFData!A97</f>
        <v>BANCO BRADESCARD S.A.</v>
      </c>
      <c r="L96" s="12" t="str">
        <f>Base_IFData!F97</f>
        <v>b1</v>
      </c>
      <c r="M96" s="14">
        <f>IF(AND(ISNUMBER(Base_IFData!L97),ISNUMBER(Base_IFData!W97)),IF(Base_IFData!L97&gt;$B$4,Base_IFData!W97,""),"")</f>
        <v>1.4073795801684091E-2</v>
      </c>
      <c r="N96" s="51">
        <f>IF(AND(ISNUMBER(Base_IFData!O97),ISNUMBER(Base_IFData!Q97)),IF(Base_IFData!Q97&gt;0,Base_IFData!O97/Base_IFData!Q97,"PL ≤ 0"),"NI")</f>
        <v>141.22602369455464</v>
      </c>
      <c r="O96" s="110">
        <f>IF(AND(ISNUMBER(Base_IFData!M97),ISNUMBER(Base_IFData!Q97)),IF(Base_IFData!Q97&gt;0,Base_IFData!M97/Base_IFData!Q97,"PL ≤ 0"),"NI")</f>
        <v>75.901098599034256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15" t="str">
        <f>Base_IFData!A98</f>
        <v>BANCO DE DESENVOLVIMENTO DE MINAS GERAIS S.A.-BDMG</v>
      </c>
      <c r="L97" s="15" t="str">
        <f>Base_IFData!F98</f>
        <v>b4</v>
      </c>
      <c r="M97" s="17">
        <f>IF(AND(ISNUMBER(Base_IFData!L98),ISNUMBER(Base_IFData!W98)),IF(Base_IFData!L98&gt;$B$4,Base_IFData!W98,""),"")</f>
        <v>2.884692864556138E-2</v>
      </c>
      <c r="N97" s="50">
        <f>IF(AND(ISNUMBER(Base_IFData!O98),ISNUMBER(Base_IFData!Q98)),IF(Base_IFData!Q98&gt;0,Base_IFData!O98/Base_IFData!Q98,"PL ≤ 0"),"NI")</f>
        <v>5.2156954463117318</v>
      </c>
      <c r="O97" s="107">
        <f>IF(AND(ISNUMBER(Base_IFData!M98),ISNUMBER(Base_IFData!Q98)),IF(Base_IFData!Q98&gt;0,Base_IFData!M98/Base_IFData!Q98,"PL ≤ 0"),"NI")</f>
        <v>3.728127195781521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12" t="str">
        <f>Base_IFData!A99</f>
        <v>COOPERATIVA CENTRAL DE CREDITO DO ESPIRITO SANTO - SICOOB CENTRAL ES</v>
      </c>
      <c r="L98" s="12" t="str">
        <f>Base_IFData!F99</f>
        <v>b3C</v>
      </c>
      <c r="M98" s="14">
        <f>IF(AND(ISNUMBER(Base_IFData!L99),ISNUMBER(Base_IFData!W99)),IF(Base_IFData!L99&gt;$B$4,Base_IFData!W99,""),"")</f>
        <v>2.4084415915037672E-2</v>
      </c>
      <c r="N98" s="51">
        <f>IF(AND(ISNUMBER(Base_IFData!O99),ISNUMBER(Base_IFData!Q99)),IF(Base_IFData!Q99&gt;0,Base_IFData!O99/Base_IFData!Q99,"PL ≤ 0"),"NI")</f>
        <v>17.699271407300333</v>
      </c>
      <c r="O98" s="110">
        <f>IF(AND(ISNUMBER(Base_IFData!M99),ISNUMBER(Base_IFData!Q99)),IF(Base_IFData!Q99&gt;0,Base_IFData!M99/Base_IFData!Q99,"PL ≤ 0"),"NI")</f>
        <v>0.15501626201023036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15" t="str">
        <f>Base_IFData!A100</f>
        <v>BANCO MIZUHO DO BRASIL S.A.</v>
      </c>
      <c r="L99" s="15" t="str">
        <f>Base_IFData!F100</f>
        <v>b1</v>
      </c>
      <c r="M99" s="17">
        <f>IF(AND(ISNUMBER(Base_IFData!L100),ISNUMBER(Base_IFData!W100)),IF(Base_IFData!L100&gt;$B$4,Base_IFData!W100,""),"")</f>
        <v>3.0219728719052728E-2</v>
      </c>
      <c r="N99" s="50">
        <f>IF(AND(ISNUMBER(Base_IFData!O100),ISNUMBER(Base_IFData!Q100)),IF(Base_IFData!Q100&gt;0,Base_IFData!O100/Base_IFData!Q100,"PL ≤ 0"),"NI")</f>
        <v>10.272631428187934</v>
      </c>
      <c r="O99" s="107">
        <f>IF(AND(ISNUMBER(Base_IFData!M100),ISNUMBER(Base_IFData!Q100)),IF(Base_IFData!Q100&gt;0,Base_IFData!M100/Base_IFData!Q100,"PL ≤ 0"),"NI")</f>
        <v>2.4522483895083904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12" t="str">
        <f>Base_IFData!A101</f>
        <v>COOPERATIVA CENTRAL DE CRÉDITO - AILOS</v>
      </c>
      <c r="L100" s="12" t="str">
        <f>Base_IFData!F101</f>
        <v>b3C</v>
      </c>
      <c r="M100" s="14">
        <f>IF(AND(ISNUMBER(Base_IFData!L101),ISNUMBER(Base_IFData!W101)),IF(Base_IFData!L101&gt;$B$4,Base_IFData!W101,""),"")</f>
        <v>0</v>
      </c>
      <c r="N100" s="51">
        <f>IF(AND(ISNUMBER(Base_IFData!O101),ISNUMBER(Base_IFData!Q101)),IF(Base_IFData!Q101&gt;0,Base_IFData!O101/Base_IFData!Q101,"PL ≤ 0"),"NI")</f>
        <v>13.199362350695768</v>
      </c>
      <c r="O100" s="110">
        <f>IF(AND(ISNUMBER(Base_IFData!M101),ISNUMBER(Base_IFData!Q101)),IF(Base_IFData!Q101&gt;0,Base_IFData!M101/Base_IFData!Q101,"PL ≤ 0"),"NI")</f>
        <v>0.82002154501802194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15" t="str">
        <f>Base_IFData!A102</f>
        <v>BANCO INBURSA S.A.</v>
      </c>
      <c r="L101" s="15" t="str">
        <f>Base_IFData!F102</f>
        <v>b1</v>
      </c>
      <c r="M101" s="17">
        <f>IF(AND(ISNUMBER(Base_IFData!L102),ISNUMBER(Base_IFData!W102)),IF(Base_IFData!L102&gt;$B$4,Base_IFData!W102,""),"")</f>
        <v>3.4914486803194408E-2</v>
      </c>
      <c r="N101" s="50">
        <f>IF(AND(ISNUMBER(Base_IFData!O102),ISNUMBER(Base_IFData!Q102)),IF(Base_IFData!Q102&gt;0,Base_IFData!O102/Base_IFData!Q102,"PL ≤ 0"),"NI")</f>
        <v>9.1064289539561365</v>
      </c>
      <c r="O101" s="107">
        <f>IF(AND(ISNUMBER(Base_IFData!M102),ISNUMBER(Base_IFData!Q102)),IF(Base_IFData!Q102&gt;0,Base_IFData!M102/Base_IFData!Q102,"PL ≤ 0"),"NI")</f>
        <v>9.3455040359129136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12" t="str">
        <f>Base_IFData!A103</f>
        <v>SCANIA BANCO S.A.</v>
      </c>
      <c r="L102" s="12" t="str">
        <f>Base_IFData!F103</f>
        <v>b2</v>
      </c>
      <c r="M102" s="14">
        <f>IF(AND(ISNUMBER(Base_IFData!L103),ISNUMBER(Base_IFData!W103)),IF(Base_IFData!L103&gt;$B$4,Base_IFData!W103,""),"")</f>
        <v>-6.026341620880931E-2</v>
      </c>
      <c r="N102" s="51">
        <f>IF(AND(ISNUMBER(Base_IFData!O103),ISNUMBER(Base_IFData!Q103)),IF(Base_IFData!Q103&gt;0,Base_IFData!O103/Base_IFData!Q103,"PL ≤ 0"),"NI")</f>
        <v>11.003255234067222</v>
      </c>
      <c r="O102" s="110">
        <f>IF(AND(ISNUMBER(Base_IFData!M103),ISNUMBER(Base_IFData!Q103)),IF(Base_IFData!Q103&gt;0,Base_IFData!M103/Base_IFData!Q103,"PL ≤ 0"),"NI")</f>
        <v>11.410263251511918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15" t="str">
        <f>Base_IFData!A104</f>
        <v>SANTANDER LEASING S.A. ARRENDAMENTO MERCANTIL</v>
      </c>
      <c r="L103" s="15" t="str">
        <f>Base_IFData!F104</f>
        <v>n1</v>
      </c>
      <c r="M103" s="17">
        <f>IF(AND(ISNUMBER(Base_IFData!L104),ISNUMBER(Base_IFData!W104)),IF(Base_IFData!L104&gt;$B$4,Base_IFData!W104,""),"")</f>
        <v>5.1116004020711682E-2</v>
      </c>
      <c r="N103" s="50">
        <f>IF(AND(ISNUMBER(Base_IFData!O104),ISNUMBER(Base_IFData!Q104)),IF(Base_IFData!Q104&gt;0,Base_IFData!O104/Base_IFData!Q104,"PL ≤ 0"),"NI")</f>
        <v>0.37112276053659032</v>
      </c>
      <c r="O103" s="107">
        <f>IF(AND(ISNUMBER(Base_IFData!M104),ISNUMBER(Base_IFData!Q104)),IF(Base_IFData!Q104&gt;0,Base_IFData!M104/Base_IFData!Q104,"PL ≤ 0"),"NI")</f>
        <v>0.33005325424701348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12" t="str">
        <f>Base_IFData!A105</f>
        <v>PARANÁ BANCO S.A.</v>
      </c>
      <c r="L104" s="12" t="str">
        <f>Base_IFData!F105</f>
        <v>b1</v>
      </c>
      <c r="M104" s="14">
        <f>IF(AND(ISNUMBER(Base_IFData!L105),ISNUMBER(Base_IFData!W105)),IF(Base_IFData!L105&gt;$B$4,Base_IFData!W105,""),"")</f>
        <v>4.8255401463837631E-2</v>
      </c>
      <c r="N104" s="51">
        <f>IF(AND(ISNUMBER(Base_IFData!O105),ISNUMBER(Base_IFData!Q105)),IF(Base_IFData!Q105&gt;0,Base_IFData!O105/Base_IFData!Q105,"PL ≤ 0"),"NI")</f>
        <v>9.874984082130144</v>
      </c>
      <c r="O104" s="110">
        <f>IF(AND(ISNUMBER(Base_IFData!M105),ISNUMBER(Base_IFData!Q105)),IF(Base_IFData!Q105&gt;0,Base_IFData!M105/Base_IFData!Q105,"PL ≤ 0"),"NI")</f>
        <v>7.7534685796408924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15" t="str">
        <f>Base_IFData!A106</f>
        <v>COOPERATIVA DE CRÉDITO, POUPANÇA E INVESTIMENTO OURO VERDE - SICREDI OURO VERDE MT/PA</v>
      </c>
      <c r="L105" s="15" t="str">
        <f>Base_IFData!F106</f>
        <v>b3S</v>
      </c>
      <c r="M105" s="17">
        <f>IF(AND(ISNUMBER(Base_IFData!L106),ISNUMBER(Base_IFData!W106)),IF(Base_IFData!L106&gt;$B$4,Base_IFData!W106,""),"")</f>
        <v>6.4305941003630351E-2</v>
      </c>
      <c r="N105" s="50">
        <f>IF(AND(ISNUMBER(Base_IFData!O106),ISNUMBER(Base_IFData!Q106)),IF(Base_IFData!Q106&gt;0,Base_IFData!O106/Base_IFData!Q106,"PL ≤ 0"),"NI")</f>
        <v>5.6128182002211471</v>
      </c>
      <c r="O105" s="107">
        <f>IF(AND(ISNUMBER(Base_IFData!M106),ISNUMBER(Base_IFData!Q106)),IF(Base_IFData!Q106&gt;0,Base_IFData!M106/Base_IFData!Q106,"PL ≤ 0"),"NI")</f>
        <v>3.8172404033273066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12" t="str">
        <f>Base_IFData!A107</f>
        <v>COOPERATIVA DE CRÉDITO CONEXÃO - SICOOB CONEXÃO</v>
      </c>
      <c r="L106" s="12" t="str">
        <f>Base_IFData!F107</f>
        <v>b3S</v>
      </c>
      <c r="M106" s="14">
        <f>IF(AND(ISNUMBER(Base_IFData!L107),ISNUMBER(Base_IFData!W107)),IF(Base_IFData!L107&gt;$B$4,Base_IFData!W107,""),"")</f>
        <v>0.12556313598477703</v>
      </c>
      <c r="N106" s="51">
        <f>IF(AND(ISNUMBER(Base_IFData!O107),ISNUMBER(Base_IFData!Q107)),IF(Base_IFData!Q107&gt;0,Base_IFData!O107/Base_IFData!Q107,"PL ≤ 0"),"NI")</f>
        <v>4.1354999392584721</v>
      </c>
      <c r="O106" s="110">
        <f>IF(AND(ISNUMBER(Base_IFData!M107),ISNUMBER(Base_IFData!Q107)),IF(Base_IFData!Q107&gt;0,Base_IFData!M107/Base_IFData!Q107,"PL ≤ 0"),"NI")</f>
        <v>3.0521151367523456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15" t="str">
        <f>Base_IFData!A108</f>
        <v>BANCO SISTEMA S.A.</v>
      </c>
      <c r="L107" s="15" t="str">
        <f>Base_IFData!F108</f>
        <v>b1</v>
      </c>
      <c r="M107" s="17">
        <f>IF(AND(ISNUMBER(Base_IFData!L108),ISNUMBER(Base_IFData!W108)),IF(Base_IFData!L108&gt;$B$4,Base_IFData!W108,""),"")</f>
        <v>7.1448358185013411E-2</v>
      </c>
      <c r="N107" s="50">
        <f>IF(AND(ISNUMBER(Base_IFData!O108),ISNUMBER(Base_IFData!Q108)),IF(Base_IFData!Q108&gt;0,Base_IFData!O108/Base_IFData!Q108,"PL ≤ 0"),"NI")</f>
        <v>0.26857490309231197</v>
      </c>
      <c r="O107" s="107">
        <f>IF(AND(ISNUMBER(Base_IFData!M108),ISNUMBER(Base_IFData!Q108)),IF(Base_IFData!Q108&gt;0,Base_IFData!M108/Base_IFData!Q108,"PL ≤ 0"),"NI")</f>
        <v>1.2304885130169309E-2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12" t="str">
        <f>Base_IFData!A109</f>
        <v>COOPERATIVA DE CRÉDITO, POUPANÇA E INVESTIMENTO VALE DO PIQUIRI ABCD - SICREDI VALE DO PIQUIRI ABCD PR/SP</v>
      </c>
      <c r="L108" s="12" t="str">
        <f>Base_IFData!F109</f>
        <v>b3S</v>
      </c>
      <c r="M108" s="14">
        <f>IF(AND(ISNUMBER(Base_IFData!L109),ISNUMBER(Base_IFData!W109)),IF(Base_IFData!L109&gt;$B$4,Base_IFData!W109,""),"")</f>
        <v>1.2469366330073983E-2</v>
      </c>
      <c r="N108" s="51">
        <f>IF(AND(ISNUMBER(Base_IFData!O109),ISNUMBER(Base_IFData!Q109)),IF(Base_IFData!Q109&gt;0,Base_IFData!O109/Base_IFData!Q109,"PL ≤ 0"),"NI")</f>
        <v>10.551683759993539</v>
      </c>
      <c r="O108" s="110">
        <f>IF(AND(ISNUMBER(Base_IFData!M109),ISNUMBER(Base_IFData!Q109)),IF(Base_IFData!Q109&gt;0,Base_IFData!M109/Base_IFData!Q109,"PL ≤ 0"),"NI")</f>
        <v>6.5237323387725441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15" t="str">
        <f>Base_IFData!A110</f>
        <v>COOPERATIVA DE CRÉDITO, POUPANÇA E INVESTIMENTO CAMPOS GERAIS, GRANDE CURITIBA, VALE DO RIBEIRA E FORÇA DOS VENTOS - SICREDI CAMPOS GERAIS E GRANDE CURITIBA PR/SP</v>
      </c>
      <c r="L109" s="15" t="str">
        <f>Base_IFData!F110</f>
        <v>b3S</v>
      </c>
      <c r="M109" s="17">
        <f>IF(AND(ISNUMBER(Base_IFData!L110),ISNUMBER(Base_IFData!W110)),IF(Base_IFData!L110&gt;$B$4,Base_IFData!W110,""),"")</f>
        <v>7.8458605285497585E-2</v>
      </c>
      <c r="N109" s="50">
        <f>IF(AND(ISNUMBER(Base_IFData!O110),ISNUMBER(Base_IFData!Q110)),IF(Base_IFData!Q110&gt;0,Base_IFData!O110/Base_IFData!Q110,"PL ≤ 0"),"NI")</f>
        <v>8.7238960713639582</v>
      </c>
      <c r="O109" s="107">
        <f>IF(AND(ISNUMBER(Base_IFData!M110),ISNUMBER(Base_IFData!Q110)),IF(Base_IFData!Q110&gt;0,Base_IFData!M110/Base_IFData!Q110,"PL ≤ 0"),"NI")</f>
        <v>5.2285977705721081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12" t="str">
        <f>Base_IFData!A111</f>
        <v>COOPERATIVA DE CRÉDITO SICREDI SERRANA RS/ES</v>
      </c>
      <c r="L110" s="12" t="str">
        <f>Base_IFData!F111</f>
        <v>b3S</v>
      </c>
      <c r="M110" s="14">
        <f>IF(AND(ISNUMBER(Base_IFData!L111),ISNUMBER(Base_IFData!W111)),IF(Base_IFData!L111&gt;$B$4,Base_IFData!W111,""),"")</f>
        <v>8.2637070984677638E-2</v>
      </c>
      <c r="N110" s="51">
        <f>IF(AND(ISNUMBER(Base_IFData!O111),ISNUMBER(Base_IFData!Q111)),IF(Base_IFData!Q111&gt;0,Base_IFData!O111/Base_IFData!Q111,"PL ≤ 0"),"NI")</f>
        <v>8.8521018396989195</v>
      </c>
      <c r="O110" s="110">
        <f>IF(AND(ISNUMBER(Base_IFData!M111),ISNUMBER(Base_IFData!Q111)),IF(Base_IFData!Q111&gt;0,Base_IFData!M111/Base_IFData!Q111,"PL ≤ 0"),"NI")</f>
        <v>4.5685010478379731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15" t="str">
        <f>Base_IFData!A112</f>
        <v>COOPERATIVA DE CRÉDITO, POUPANÇA E INVESTIMENTO VANGUARDA - SICREDI VANGUARDA PR/SP/RJ</v>
      </c>
      <c r="L111" s="15" t="str">
        <f>Base_IFData!F112</f>
        <v>b3S</v>
      </c>
      <c r="M111" s="17">
        <f>IF(AND(ISNUMBER(Base_IFData!L112),ISNUMBER(Base_IFData!W112)),IF(Base_IFData!L112&gt;$B$4,Base_IFData!W112,""),"")</f>
        <v>0.10088408107016653</v>
      </c>
      <c r="N111" s="50">
        <f>IF(AND(ISNUMBER(Base_IFData!O112),ISNUMBER(Base_IFData!Q112)),IF(Base_IFData!Q112&gt;0,Base_IFData!O112/Base_IFData!Q112,"PL ≤ 0"),"NI")</f>
        <v>7.3027475171908067</v>
      </c>
      <c r="O111" s="107">
        <f>IF(AND(ISNUMBER(Base_IFData!M112),ISNUMBER(Base_IFData!Q112)),IF(Base_IFData!Q112&gt;0,Base_IFData!M112/Base_IFData!Q112,"PL ≤ 0"),"NI")</f>
        <v>4.1925081459253164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12" t="str">
        <f>Base_IFData!A113</f>
        <v>SICOOB COCRED COOPERATIVA DE CRÉDITO</v>
      </c>
      <c r="L112" s="12" t="str">
        <f>Base_IFData!F113</f>
        <v>b3S</v>
      </c>
      <c r="M112" s="14">
        <f>IF(AND(ISNUMBER(Base_IFData!L113),ISNUMBER(Base_IFData!W113)),IF(Base_IFData!L113&gt;$B$4,Base_IFData!W113,""),"")</f>
        <v>2.356115301434274E-2</v>
      </c>
      <c r="N112" s="51">
        <f>IF(AND(ISNUMBER(Base_IFData!O113),ISNUMBER(Base_IFData!Q113)),IF(Base_IFData!Q113&gt;0,Base_IFData!O113/Base_IFData!Q113,"PL ≤ 0"),"NI")</f>
        <v>6.2346275514046852</v>
      </c>
      <c r="O112" s="110">
        <f>IF(AND(ISNUMBER(Base_IFData!M113),ISNUMBER(Base_IFData!Q113)),IF(Base_IFData!Q113&gt;0,Base_IFData!M113/Base_IFData!Q113,"PL ≤ 0"),"NI")</f>
        <v>3.8396496626819743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15" t="str">
        <f>Base_IFData!A114</f>
        <v>BANCO DO ESTADO DE SERGIPE S.A.</v>
      </c>
      <c r="L113" s="15" t="str">
        <f>Base_IFData!F114</f>
        <v>b1</v>
      </c>
      <c r="M113" s="17">
        <f>IF(AND(ISNUMBER(Base_IFData!L114),ISNUMBER(Base_IFData!W114)),IF(Base_IFData!L114&gt;$B$4,Base_IFData!W114,""),"")</f>
        <v>6.3824053159930311E-2</v>
      </c>
      <c r="N113" s="50">
        <f>IF(AND(ISNUMBER(Base_IFData!O114),ISNUMBER(Base_IFData!Q114)),IF(Base_IFData!Q114&gt;0,Base_IFData!O114/Base_IFData!Q114,"PL ≤ 0"),"NI")</f>
        <v>12.317668008750154</v>
      </c>
      <c r="O113" s="107">
        <f>IF(AND(ISNUMBER(Base_IFData!M114),ISNUMBER(Base_IFData!Q114)),IF(Base_IFData!Q114&gt;0,Base_IFData!M114/Base_IFData!Q114,"PL ≤ 0"),"NI")</f>
        <v>5.2488037693596139</v>
      </c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12" t="str">
        <f>Base_IFData!A115</f>
        <v>BANCO TOYOTA DO BRASIL S.A.</v>
      </c>
      <c r="L114" s="12" t="str">
        <f>Base_IFData!F115</f>
        <v>b2</v>
      </c>
      <c r="M114" s="14">
        <f>IF(AND(ISNUMBER(Base_IFData!L115),ISNUMBER(Base_IFData!W115)),IF(Base_IFData!L115&gt;$B$4,Base_IFData!W115,""),"")</f>
        <v>9.8958542245652231E-2</v>
      </c>
      <c r="N114" s="51">
        <f>IF(AND(ISNUMBER(Base_IFData!O115),ISNUMBER(Base_IFData!Q115)),IF(Base_IFData!Q115&gt;0,Base_IFData!O115/Base_IFData!Q115,"PL ≤ 0"),"NI")</f>
        <v>8.2850170472452227</v>
      </c>
      <c r="O114" s="110">
        <f>IF(AND(ISNUMBER(Base_IFData!M115),ISNUMBER(Base_IFData!Q115)),IF(Base_IFData!Q115&gt;0,Base_IFData!M115/Base_IFData!Q115,"PL ≤ 0"),"NI")</f>
        <v>7.8452188923588233</v>
      </c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15" t="str">
        <f>Base_IFData!A116</f>
        <v>BANCO DE INVESTIMENTOS UBS (BRASIL) S.A.</v>
      </c>
      <c r="L115" s="15" t="str">
        <f>Base_IFData!F116</f>
        <v>b2</v>
      </c>
      <c r="M115" s="17">
        <f>IF(AND(ISNUMBER(Base_IFData!L116),ISNUMBER(Base_IFData!W116)),IF(Base_IFData!L116&gt;$B$4,Base_IFData!W116,""),"")</f>
        <v>-6.1409738926283153E-2</v>
      </c>
      <c r="N115" s="50">
        <f>IF(AND(ISNUMBER(Base_IFData!O116),ISNUMBER(Base_IFData!Q116)),IF(Base_IFData!Q116&gt;0,Base_IFData!O116/Base_IFData!Q116,"PL ≤ 0"),"NI")</f>
        <v>2.2111841620524615</v>
      </c>
      <c r="O115" s="107">
        <f>IF(AND(ISNUMBER(Base_IFData!M116),ISNUMBER(Base_IFData!Q116)),IF(Base_IFData!Q116&gt;0,Base_IFData!M116/Base_IFData!Q116,"PL ≤ 0"),"NI")</f>
        <v>0.70920983185362996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12" t="str">
        <f>Base_IFData!A117</f>
        <v>BANCO DE LAGE LANDEN BRASIL S.A.</v>
      </c>
      <c r="L116" s="12" t="str">
        <f>Base_IFData!F117</f>
        <v>b2</v>
      </c>
      <c r="M116" s="14">
        <f>IF(AND(ISNUMBER(Base_IFData!L117),ISNUMBER(Base_IFData!W117)),IF(Base_IFData!L117&gt;$B$4,Base_IFData!W117,""),"")</f>
        <v>-5.3270575501659145E-2</v>
      </c>
      <c r="N116" s="51">
        <f>IF(AND(ISNUMBER(Base_IFData!O117),ISNUMBER(Base_IFData!Q117)),IF(Base_IFData!Q117&gt;0,Base_IFData!O117/Base_IFData!Q117,"PL ≤ 0"),"NI")</f>
        <v>7.2522893316433343</v>
      </c>
      <c r="O116" s="110">
        <f>IF(AND(ISNUMBER(Base_IFData!M117),ISNUMBER(Base_IFData!Q117)),IF(Base_IFData!Q117&gt;0,Base_IFData!M117/Base_IFData!Q117,"PL ≤ 0"),"NI")</f>
        <v>6.8835085261662874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15" t="str">
        <f>Base_IFData!A118</f>
        <v>PICPAY INSTITUIÇÃO DE PAGAMENTO S.A.</v>
      </c>
      <c r="L117" s="15" t="str">
        <f>Base_IFData!F118</f>
        <v>n4</v>
      </c>
      <c r="M117" s="17">
        <f>IF(AND(ISNUMBER(Base_IFData!L118),ISNUMBER(Base_IFData!W118)),IF(Base_IFData!L118&gt;$B$4,Base_IFData!W118,""),"")</f>
        <v>0.12463764433348791</v>
      </c>
      <c r="N117" s="50">
        <f>IF(AND(ISNUMBER(Base_IFData!O118),ISNUMBER(Base_IFData!Q118)),IF(Base_IFData!Q118&gt;0,Base_IFData!O118/Base_IFData!Q118,"PL ≤ 0"),"NI")</f>
        <v>3.391106960828532</v>
      </c>
      <c r="O117" s="107">
        <f>IF(AND(ISNUMBER(Base_IFData!M118),ISNUMBER(Base_IFData!Q118)),IF(Base_IFData!Q118&gt;0,Base_IFData!M118/Base_IFData!Q118,"PL ≤ 0"),"NI")</f>
        <v>0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12" t="str">
        <f>Base_IFData!A119</f>
        <v>COOPERATIVA DE CRÉDITO, POUPANÇA E INVESTIMENTO SICREDI PIONEIRA RS - SICREDI PIONEIRA RS</v>
      </c>
      <c r="L118" s="12" t="str">
        <f>Base_IFData!F119</f>
        <v>b3S</v>
      </c>
      <c r="M118" s="14">
        <f>IF(AND(ISNUMBER(Base_IFData!L119),ISNUMBER(Base_IFData!W119)),IF(Base_IFData!L119&gt;$B$4,Base_IFData!W119,""),"")</f>
        <v>7.2572271496476187E-2</v>
      </c>
      <c r="N118" s="51">
        <f>IF(AND(ISNUMBER(Base_IFData!O119),ISNUMBER(Base_IFData!Q119)),IF(Base_IFData!Q119&gt;0,Base_IFData!O119/Base_IFData!Q119,"PL ≤ 0"),"NI")</f>
        <v>8.5024411740018468</v>
      </c>
      <c r="O118" s="110">
        <f>IF(AND(ISNUMBER(Base_IFData!M119),ISNUMBER(Base_IFData!Q119)),IF(Base_IFData!Q119&gt;0,Base_IFData!M119/Base_IFData!Q119,"PL ≤ 0"),"NI")</f>
        <v>4.8263276846696446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15" t="str">
        <f>Base_IFData!A120</f>
        <v>BANCO MUFG BRASIL S.A.</v>
      </c>
      <c r="L119" s="15" t="str">
        <f>Base_IFData!F120</f>
        <v>b1</v>
      </c>
      <c r="M119" s="17">
        <f>IF(AND(ISNUMBER(Base_IFData!L120),ISNUMBER(Base_IFData!W120)),IF(Base_IFData!L120&gt;$B$4,Base_IFData!W120,""),"")</f>
        <v>2.6549512153089476E-2</v>
      </c>
      <c r="N119" s="50">
        <f>IF(AND(ISNUMBER(Base_IFData!O120),ISNUMBER(Base_IFData!Q120)),IF(Base_IFData!Q120&gt;0,Base_IFData!O120/Base_IFData!Q120,"PL ≤ 0"),"NI")</f>
        <v>6.2139723150105768</v>
      </c>
      <c r="O119" s="107">
        <f>IF(AND(ISNUMBER(Base_IFData!M120),ISNUMBER(Base_IFData!Q120)),IF(Base_IFData!Q120&gt;0,Base_IFData!M120/Base_IFData!Q120,"PL ≤ 0"),"NI")</f>
        <v>2.0676290502041876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12" t="str">
        <f>Base_IFData!A121</f>
        <v>BANCO HONDA S.A.</v>
      </c>
      <c r="L120" s="12" t="str">
        <f>Base_IFData!F121</f>
        <v>b2</v>
      </c>
      <c r="M120" s="14">
        <f>IF(AND(ISNUMBER(Base_IFData!L121),ISNUMBER(Base_IFData!W121)),IF(Base_IFData!L121&gt;$B$4,Base_IFData!W121,""),"")</f>
        <v>2.2281585036780654E-2</v>
      </c>
      <c r="N120" s="51">
        <f>IF(AND(ISNUMBER(Base_IFData!O121),ISNUMBER(Base_IFData!Q121)),IF(Base_IFData!Q121&gt;0,Base_IFData!O121/Base_IFData!Q121,"PL ≤ 0"),"NI")</f>
        <v>7.0887967389104753</v>
      </c>
      <c r="O120" s="110">
        <f>IF(AND(ISNUMBER(Base_IFData!M121),ISNUMBER(Base_IFData!Q121)),IF(Base_IFData!Q121&gt;0,Base_IFData!M121/Base_IFData!Q121,"PL ≤ 0"),"NI")</f>
        <v>6.7262347017988651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15" t="str">
        <f>Base_IFData!A122</f>
        <v>COOPERATIVA DE CRÉDITO DE LIVRE ADMISSÃO DE ASSOCIADOS - SICOOB MAXICRÉDITO</v>
      </c>
      <c r="L121" s="15" t="str">
        <f>Base_IFData!F122</f>
        <v>b3S</v>
      </c>
      <c r="M121" s="17">
        <f>IF(AND(ISNUMBER(Base_IFData!L122),ISNUMBER(Base_IFData!W122)),IF(Base_IFData!L122&gt;$B$4,Base_IFData!W122,""),"")</f>
        <v>0.10101949794330826</v>
      </c>
      <c r="N121" s="50">
        <f>IF(AND(ISNUMBER(Base_IFData!O122),ISNUMBER(Base_IFData!Q122)),IF(Base_IFData!Q122&gt;0,Base_IFData!O122/Base_IFData!Q122,"PL ≤ 0"),"NI")</f>
        <v>7.613540579485087</v>
      </c>
      <c r="O121" s="107">
        <f>IF(AND(ISNUMBER(Base_IFData!M122),ISNUMBER(Base_IFData!Q122)),IF(Base_IFData!Q122&gt;0,Base_IFData!M122/Base_IFData!Q122,"PL ≤ 0"),"NI")</f>
        <v>5.646997302284932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12" t="str">
        <f>Base_IFData!A123</f>
        <v>BANCO BV S.A.</v>
      </c>
      <c r="L122" s="12" t="str">
        <f>Base_IFData!F123</f>
        <v>b1</v>
      </c>
      <c r="M122" s="14">
        <f>IF(AND(ISNUMBER(Base_IFData!L123),ISNUMBER(Base_IFData!W123)),IF(Base_IFData!L123&gt;$B$4,Base_IFData!W123,""),"")</f>
        <v>9.2013367724826328E-4</v>
      </c>
      <c r="N122" s="51">
        <f>IF(AND(ISNUMBER(Base_IFData!O123),ISNUMBER(Base_IFData!Q123)),IF(Base_IFData!Q123&gt;0,Base_IFData!O123/Base_IFData!Q123,"PL ≤ 0"),"NI")</f>
        <v>3.2059061413854573</v>
      </c>
      <c r="O122" s="110">
        <f>IF(AND(ISNUMBER(Base_IFData!M123),ISNUMBER(Base_IFData!Q123)),IF(Base_IFData!Q123&gt;0,Base_IFData!M123/Base_IFData!Q123,"PL ≤ 0"),"NI")</f>
        <v>2.3673353611604711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15" t="str">
        <f>Base_IFData!A124</f>
        <v>SISPRIME DO BRASIL - COOPERATIVA DE CRÉDITO</v>
      </c>
      <c r="L123" s="15" t="str">
        <f>Base_IFData!F124</f>
        <v>b3S</v>
      </c>
      <c r="M123" s="17">
        <f>IF(AND(ISNUMBER(Base_IFData!L124),ISNUMBER(Base_IFData!W124)),IF(Base_IFData!L124&gt;$B$4,Base_IFData!W124,""),"")</f>
        <v>8.7420426413378466E-2</v>
      </c>
      <c r="N123" s="50">
        <f>IF(AND(ISNUMBER(Base_IFData!O124),ISNUMBER(Base_IFData!Q124)),IF(Base_IFData!Q124&gt;0,Base_IFData!O124/Base_IFData!Q124,"PL ≤ 0"),"NI")</f>
        <v>5.0763416990855355</v>
      </c>
      <c r="O123" s="107">
        <f>IF(AND(ISNUMBER(Base_IFData!M124),ISNUMBER(Base_IFData!Q124)),IF(Base_IFData!Q124&gt;0,Base_IFData!M124/Base_IFData!Q124,"PL ≤ 0"),"NI")</f>
        <v>3.0351923659879754</v>
      </c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12" t="str">
        <f>Base_IFData!A125</f>
        <v>C6 CORRETORA DE TÍTULOS E VALORES MOBILIÁRIOS LTDA.</v>
      </c>
      <c r="L124" s="12" t="str">
        <f>Base_IFData!F125</f>
        <v>n2</v>
      </c>
      <c r="M124" s="14">
        <f>IF(AND(ISNUMBER(Base_IFData!L125),ISNUMBER(Base_IFData!W125)),IF(Base_IFData!L125&gt;$B$4,Base_IFData!W125,""),"")</f>
        <v>0.13642303752812585</v>
      </c>
      <c r="N124" s="51">
        <f>IF(AND(ISNUMBER(Base_IFData!O125),ISNUMBER(Base_IFData!Q125)),IF(Base_IFData!Q125&gt;0,Base_IFData!O125/Base_IFData!Q125,"PL ≤ 0"),"NI")</f>
        <v>22.97470492542368</v>
      </c>
      <c r="O124" s="110">
        <f>IF(AND(ISNUMBER(Base_IFData!M125),ISNUMBER(Base_IFData!Q125)),IF(Base_IFData!Q125&gt;0,Base_IFData!M125/Base_IFData!Q125,"PL ≤ 0"),"NI")</f>
        <v>0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15" t="str">
        <f>Base_IFData!A126</f>
        <v>ASSOCIACAO DE POUPANCA E EMPRESTIMO - POUPEX</v>
      </c>
      <c r="L125" s="15" t="str">
        <f>Base_IFData!F126</f>
        <v>n1</v>
      </c>
      <c r="M125" s="17">
        <f>IF(AND(ISNUMBER(Base_IFData!L126),ISNUMBER(Base_IFData!W126)),IF(Base_IFData!L126&gt;$B$4,Base_IFData!W126,""),"")</f>
        <v>1.5536005164127469E-2</v>
      </c>
      <c r="N125" s="50">
        <f>IF(AND(ISNUMBER(Base_IFData!O126),ISNUMBER(Base_IFData!Q126)),IF(Base_IFData!Q126&gt;0,Base_IFData!O126/Base_IFData!Q126,"PL ≤ 0"),"NI")</f>
        <v>0.42297103751557052</v>
      </c>
      <c r="O125" s="107">
        <f>IF(AND(ISNUMBER(Base_IFData!M126),ISNUMBER(Base_IFData!Q126)),IF(Base_IFData!Q126&gt;0,Base_IFData!M126/Base_IFData!Q126,"PL ≤ 0"),"NI")</f>
        <v>0.64685663998870346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12" t="str">
        <f>Base_IFData!A127</f>
        <v>SEM PARAR INSTITUICAO DE PAGAMENTO LTDA</v>
      </c>
      <c r="L126" s="12" t="str">
        <f>Base_IFData!F127</f>
        <v>n4</v>
      </c>
      <c r="M126" s="14">
        <f>IF(AND(ISNUMBER(Base_IFData!L127),ISNUMBER(Base_IFData!W127)),IF(Base_IFData!L127&gt;$B$4,Base_IFData!W127,""),"")</f>
        <v>0.12999463121806479</v>
      </c>
      <c r="N126" s="51">
        <f>IF(AND(ISNUMBER(Base_IFData!O127),ISNUMBER(Base_IFData!Q127)),IF(Base_IFData!Q127&gt;0,Base_IFData!O127/Base_IFData!Q127,"PL ≤ 0"),"NI")</f>
        <v>0.87505756489755893</v>
      </c>
      <c r="O126" s="110">
        <f>IF(AND(ISNUMBER(Base_IFData!M127),ISNUMBER(Base_IFData!Q127)),IF(Base_IFData!Q127&gt;0,Base_IFData!M127/Base_IFData!Q127,"PL ≤ 0"),"NI")</f>
        <v>0</v>
      </c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15" t="str">
        <f>Base_IFData!A128</f>
        <v>BANCO BESA S.A.</v>
      </c>
      <c r="L127" s="15" t="str">
        <f>Base_IFData!F128</f>
        <v>b2</v>
      </c>
      <c r="M127" s="17">
        <f>IF(AND(ISNUMBER(Base_IFData!L128),ISNUMBER(Base_IFData!W128)),IF(Base_IFData!L128&gt;$B$4,Base_IFData!W128,""),"")</f>
        <v>0.12964209525094791</v>
      </c>
      <c r="N127" s="50">
        <f>IF(AND(ISNUMBER(Base_IFData!O128),ISNUMBER(Base_IFData!Q128)),IF(Base_IFData!Q128&gt;0,Base_IFData!O128/Base_IFData!Q128,"PL ≤ 0"),"NI")</f>
        <v>0.73592838012140593</v>
      </c>
      <c r="O127" s="107">
        <f>IF(AND(ISNUMBER(Base_IFData!M128),ISNUMBER(Base_IFData!Q128)),IF(Base_IFData!Q128&gt;0,Base_IFData!M128/Base_IFData!Q128,"PL ≤ 0"),"NI")</f>
        <v>2.6208803614667328E-3</v>
      </c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12" t="str">
        <f>Base_IFData!A129</f>
        <v>COOPERATIVA DE CRÉDITO, POUPANÇA E INVESTIMENTO UNIÃO - SICREDI UNIAO RS/ES</v>
      </c>
      <c r="L128" s="12" t="str">
        <f>Base_IFData!F129</f>
        <v>b3S</v>
      </c>
      <c r="M128" s="14">
        <f>IF(AND(ISNUMBER(Base_IFData!L129),ISNUMBER(Base_IFData!W129)),IF(Base_IFData!L129&gt;$B$4,Base_IFData!W129,""),"")</f>
        <v>7.6376755261539156E-2</v>
      </c>
      <c r="N128" s="51">
        <f>IF(AND(ISNUMBER(Base_IFData!O129),ISNUMBER(Base_IFData!Q129)),IF(Base_IFData!Q129&gt;0,Base_IFData!O129/Base_IFData!Q129,"PL ≤ 0"),"NI")</f>
        <v>7.0303318250946267</v>
      </c>
      <c r="O128" s="110">
        <f>IF(AND(ISNUMBER(Base_IFData!M129),ISNUMBER(Base_IFData!Q129)),IF(Base_IFData!Q129&gt;0,Base_IFData!M129/Base_IFData!Q129,"PL ≤ 0"),"NI")</f>
        <v>4.7403258248455593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15" t="str">
        <f>Base_IFData!A130</f>
        <v>SICOOB CREDICOM - COOPERATIVA DE ECONOMIA E CREDITO MUTUO DOS MEDICOS E PROFISSIONAIS DA AREA DE SAUDE DO BRASIL LTDA.</v>
      </c>
      <c r="L129" s="15" t="str">
        <f>Base_IFData!F130</f>
        <v>b3S</v>
      </c>
      <c r="M129" s="17">
        <f>IF(AND(ISNUMBER(Base_IFData!L130),ISNUMBER(Base_IFData!W130)),IF(Base_IFData!L130&gt;$B$4,Base_IFData!W130,""),"")</f>
        <v>7.3428157398487584E-2</v>
      </c>
      <c r="N129" s="50">
        <f>IF(AND(ISNUMBER(Base_IFData!O130),ISNUMBER(Base_IFData!Q130)),IF(Base_IFData!Q130&gt;0,Base_IFData!O130/Base_IFData!Q130,"PL ≤ 0"),"NI")</f>
        <v>6.229552196445189</v>
      </c>
      <c r="O129" s="107">
        <f>IF(AND(ISNUMBER(Base_IFData!M130),ISNUMBER(Base_IFData!Q130)),IF(Base_IFData!Q130&gt;0,Base_IFData!M130/Base_IFData!Q130,"PL ≤ 0"),"NI")</f>
        <v>3.1998973891543612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12" t="str">
        <f>Base_IFData!A131</f>
        <v>BANCO BRADESCO BERJ S.A.</v>
      </c>
      <c r="L130" s="12" t="str">
        <f>Base_IFData!F131</f>
        <v>b1</v>
      </c>
      <c r="M130" s="14">
        <f>IF(AND(ISNUMBER(Base_IFData!L131),ISNUMBER(Base_IFData!W131)),IF(Base_IFData!L131&gt;$B$4,Base_IFData!W131,""),"")</f>
        <v>2.4112412766186468E-2</v>
      </c>
      <c r="N130" s="51">
        <f>IF(AND(ISNUMBER(Base_IFData!O131),ISNUMBER(Base_IFData!Q131)),IF(Base_IFData!Q131&gt;0,Base_IFData!O131/Base_IFData!Q131,"PL ≤ 0"),"NI")</f>
        <v>8.3852361816257339</v>
      </c>
      <c r="O130" s="110">
        <f>IF(AND(ISNUMBER(Base_IFData!M131),ISNUMBER(Base_IFData!Q131)),IF(Base_IFData!Q131&gt;0,Base_IFData!M131/Base_IFData!Q131,"PL ≤ 0"),"NI")</f>
        <v>0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15" t="str">
        <f>Base_IFData!A132</f>
        <v>COOPERATIVA DE CRÉDITO, POUPANÇA E INVESTIMENTO DO SUDOESTE MT/PA - SICREDI SUDOESTE MT/PA</v>
      </c>
      <c r="L131" s="15" t="str">
        <f>Base_IFData!F132</f>
        <v>b3S</v>
      </c>
      <c r="M131" s="17">
        <f>IF(AND(ISNUMBER(Base_IFData!L132),ISNUMBER(Base_IFData!W132)),IF(Base_IFData!L132&gt;$B$4,Base_IFData!W132,""),"")</f>
        <v>5.7972808802705195E-2</v>
      </c>
      <c r="N131" s="50">
        <f>IF(AND(ISNUMBER(Base_IFData!O132),ISNUMBER(Base_IFData!Q132)),IF(Base_IFData!Q132&gt;0,Base_IFData!O132/Base_IFData!Q132,"PL ≤ 0"),"NI")</f>
        <v>7.0702374780435342</v>
      </c>
      <c r="O131" s="107">
        <f>IF(AND(ISNUMBER(Base_IFData!M132),ISNUMBER(Base_IFData!Q132)),IF(Base_IFData!Q132&gt;0,Base_IFData!M132/Base_IFData!Q132,"PL ≤ 0"),"NI")</f>
        <v>3.9772194408548902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12" t="str">
        <f>Base_IFData!A133</f>
        <v>COOPERATIVA DE CRÉDITO DE LIVRE ADMISSÃO CENTRO BRASILEIRA LTDA.</v>
      </c>
      <c r="L132" s="12" t="str">
        <f>Base_IFData!F133</f>
        <v>b3S</v>
      </c>
      <c r="M132" s="14">
        <f>IF(AND(ISNUMBER(Base_IFData!L133),ISNUMBER(Base_IFData!W133)),IF(Base_IFData!L133&gt;$B$4,Base_IFData!W133,""),"")</f>
        <v>-5.8938959298142544E-2</v>
      </c>
      <c r="N132" s="51">
        <f>IF(AND(ISNUMBER(Base_IFData!O133),ISNUMBER(Base_IFData!Q133)),IF(Base_IFData!Q133&gt;0,Base_IFData!O133/Base_IFData!Q133,"PL ≤ 0"),"NI")</f>
        <v>8.5632846675974701</v>
      </c>
      <c r="O132" s="110">
        <f>IF(AND(ISNUMBER(Base_IFData!M133),ISNUMBER(Base_IFData!Q133)),IF(Base_IFData!Q133&gt;0,Base_IFData!M133/Base_IFData!Q133,"PL ≤ 0"),"NI")</f>
        <v>5.4122343540557774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15" t="str">
        <f>Base_IFData!A134</f>
        <v>PAN FINANCEIRA S.A. - SOCIEDADE DE CRÉDITO, FINANCIAMENTO E INVESTIMENTOS</v>
      </c>
      <c r="L133" s="15" t="str">
        <f>Base_IFData!F134</f>
        <v>n1</v>
      </c>
      <c r="M133" s="17">
        <f>IF(AND(ISNUMBER(Base_IFData!L134),ISNUMBER(Base_IFData!W134)),IF(Base_IFData!L134&gt;$B$4,Base_IFData!W134,""),"")</f>
        <v>0.19149095259458651</v>
      </c>
      <c r="N133" s="50">
        <f>IF(AND(ISNUMBER(Base_IFData!O134),ISNUMBER(Base_IFData!Q134)),IF(Base_IFData!Q134&gt;0,Base_IFData!O134/Base_IFData!Q134,"PL ≤ 0"),"NI")</f>
        <v>3.5306758663185716</v>
      </c>
      <c r="O133" s="107">
        <f>IF(AND(ISNUMBER(Base_IFData!M134),ISNUMBER(Base_IFData!Q134)),IF(Base_IFData!Q134&gt;0,Base_IFData!M134/Base_IFData!Q134,"PL ≤ 0"),"NI")</f>
        <v>3.8055641137902891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12" t="str">
        <f>Base_IFData!A135</f>
        <v>BANCO DIGIMAIS S.A.</v>
      </c>
      <c r="L134" s="12" t="str">
        <f>Base_IFData!F135</f>
        <v>b1</v>
      </c>
      <c r="M134" s="14">
        <f>IF(AND(ISNUMBER(Base_IFData!L135),ISNUMBER(Base_IFData!W135)),IF(Base_IFData!L135&gt;$B$4,Base_IFData!W135,""),"")</f>
        <v>-1.756954160710994</v>
      </c>
      <c r="N134" s="51">
        <f>IF(AND(ISNUMBER(Base_IFData!O135),ISNUMBER(Base_IFData!Q135)),IF(Base_IFData!Q135&gt;0,Base_IFData!O135/Base_IFData!Q135,"PL ≤ 0"),"NI")</f>
        <v>28.668829343914034</v>
      </c>
      <c r="O134" s="110">
        <f>IF(AND(ISNUMBER(Base_IFData!M135),ISNUMBER(Base_IFData!Q135)),IF(Base_IFData!Q135&gt;0,Base_IFData!M135/Base_IFData!Q135,"PL ≤ 0"),"NI")</f>
        <v>4.5081576346938963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15" t="str">
        <f>Base_IFData!A136</f>
        <v>ÁGORA CORRETORA DE TITULOS E VALORES MOBILIARIOS S.A.</v>
      </c>
      <c r="L135" s="15" t="str">
        <f>Base_IFData!F136</f>
        <v>n2</v>
      </c>
      <c r="M135" s="17">
        <f>IF(AND(ISNUMBER(Base_IFData!L136),ISNUMBER(Base_IFData!W136)),IF(Base_IFData!L136&gt;$B$4,Base_IFData!W136,""),"")</f>
        <v>5.9861491466377703E-2</v>
      </c>
      <c r="N135" s="50">
        <f>IF(AND(ISNUMBER(Base_IFData!O136),ISNUMBER(Base_IFData!Q136)),IF(Base_IFData!Q136&gt;0,Base_IFData!O136/Base_IFData!Q136,"PL ≤ 0"),"NI")</f>
        <v>1.3563082617331996</v>
      </c>
      <c r="O135" s="107">
        <f>IF(AND(ISNUMBER(Base_IFData!M136),ISNUMBER(Base_IFData!Q136)),IF(Base_IFData!Q136&gt;0,Base_IFData!M136/Base_IFData!Q136,"PL ≤ 0"),"NI")</f>
        <v>4.922800054678894E-3</v>
      </c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12" t="str">
        <f>Base_IFData!A137</f>
        <v>FACTA FINANCEIRA S.A. - CRÉDITO FINANCIAMENTO E INVESTIMENTO</v>
      </c>
      <c r="L136" s="12" t="str">
        <f>Base_IFData!F137</f>
        <v>n1</v>
      </c>
      <c r="M136" s="14">
        <f>IF(AND(ISNUMBER(Base_IFData!L137),ISNUMBER(Base_IFData!W137)),IF(Base_IFData!L137&gt;$B$4,Base_IFData!W137,""),"")</f>
        <v>3.3628455496093557E-2</v>
      </c>
      <c r="N136" s="51">
        <f>IF(AND(ISNUMBER(Base_IFData!O137),ISNUMBER(Base_IFData!Q137)),IF(Base_IFData!Q137&gt;0,Base_IFData!O137/Base_IFData!Q137,"PL ≤ 0"),"NI")</f>
        <v>12.61676078227298</v>
      </c>
      <c r="O136" s="110">
        <f>IF(AND(ISNUMBER(Base_IFData!M137),ISNUMBER(Base_IFData!Q137)),IF(Base_IFData!Q137&gt;0,Base_IFData!M137/Base_IFData!Q137,"PL ≤ 0"),"NI")</f>
        <v>6.2035344336537719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15" t="str">
        <f>Base_IFData!A138</f>
        <v>CENTRAL DAS COOPERATIVAS DE CREDITO UNICOOB - SICOOB CENTRAL UNICOOB</v>
      </c>
      <c r="L137" s="15" t="str">
        <f>Base_IFData!F138</f>
        <v>b3C</v>
      </c>
      <c r="M137" s="17">
        <f>IF(AND(ISNUMBER(Base_IFData!L138),ISNUMBER(Base_IFData!W138)),IF(Base_IFData!L138&gt;$B$4,Base_IFData!W138,""),"")</f>
        <v>8.2576560489796239E-2</v>
      </c>
      <c r="N137" s="50">
        <f>IF(AND(ISNUMBER(Base_IFData!O138),ISNUMBER(Base_IFData!Q138)),IF(Base_IFData!Q138&gt;0,Base_IFData!O138/Base_IFData!Q138,"PL ≤ 0"),"NI")</f>
        <v>18.235627944156228</v>
      </c>
      <c r="O137" s="107">
        <f>IF(AND(ISNUMBER(Base_IFData!M138),ISNUMBER(Base_IFData!Q138)),IF(Base_IFData!Q138&gt;0,Base_IFData!M138/Base_IFData!Q138,"PL ≤ 0"),"NI")</f>
        <v>0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12" t="str">
        <f>Base_IFData!A139</f>
        <v>COOPERATIVA DE CRÉDITO, POUPANÇA E INVESTIMENTO DO CENTRO SUL DO MATO GROSSO DO SUL E BAHIA - SICREDI CENTRO-SUL MS/BA</v>
      </c>
      <c r="L138" s="12" t="str">
        <f>Base_IFData!F139</f>
        <v>b3S</v>
      </c>
      <c r="M138" s="14">
        <f>IF(AND(ISNUMBER(Base_IFData!L139),ISNUMBER(Base_IFData!W139)),IF(Base_IFData!L139&gt;$B$4,Base_IFData!W139,""),"")</f>
        <v>-8.5498111695823612E-3</v>
      </c>
      <c r="N138" s="51">
        <f>IF(AND(ISNUMBER(Base_IFData!O139),ISNUMBER(Base_IFData!Q139)),IF(Base_IFData!Q139&gt;0,Base_IFData!O139/Base_IFData!Q139,"PL ≤ 0"),"NI")</f>
        <v>6.2652009054166724</v>
      </c>
      <c r="O138" s="110">
        <f>IF(AND(ISNUMBER(Base_IFData!M139),ISNUMBER(Base_IFData!Q139)),IF(Base_IFData!Q139&gt;0,Base_IFData!M139/Base_IFData!Q139,"PL ≤ 0"),"NI")</f>
        <v>4.4420365968268012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15" t="str">
        <f>Base_IFData!A140</f>
        <v>COOPERATIVA CENTRAL DE CRÉDITO DE GOIÁS, DISTRITO FEDERAL E TOCANTINS LTDA. - SICOOB NOVA CENTRAL</v>
      </c>
      <c r="L139" s="15" t="str">
        <f>Base_IFData!F140</f>
        <v>b3C</v>
      </c>
      <c r="M139" s="17">
        <f>IF(AND(ISNUMBER(Base_IFData!L140),ISNUMBER(Base_IFData!W140)),IF(Base_IFData!L140&gt;$B$4,Base_IFData!W140,""),"")</f>
        <v>4.7312641470014849E-2</v>
      </c>
      <c r="N139" s="50">
        <f>IF(AND(ISNUMBER(Base_IFData!O140),ISNUMBER(Base_IFData!Q140)),IF(Base_IFData!Q140&gt;0,Base_IFData!O140/Base_IFData!Q140,"PL ≤ 0"),"NI")</f>
        <v>10.618125221747102</v>
      </c>
      <c r="O139" s="107">
        <f>IF(AND(ISNUMBER(Base_IFData!M140),ISNUMBER(Base_IFData!Q140)),IF(Base_IFData!Q140&gt;0,Base_IFData!M140/Base_IFData!Q140,"PL ≤ 0"),"NI")</f>
        <v>0.10477836415849834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12" t="str">
        <f>Base_IFData!A141</f>
        <v>COOPERATIVA DE CRÉDITO, POUPANÇA E INVESTIMENTO UNIÃO DOS ESTADOS DE MATO GROSSO DO SUL, TOCANTINS E OESTE DA BAHIA - SICREDI UNIÃO MS/TO E OESTE DA BA</v>
      </c>
      <c r="L140" s="12" t="str">
        <f>Base_IFData!F141</f>
        <v>b3S</v>
      </c>
      <c r="M140" s="14">
        <f>IF(AND(ISNUMBER(Base_IFData!L141),ISNUMBER(Base_IFData!W141)),IF(Base_IFData!L141&gt;$B$4,Base_IFData!W141,""),"")</f>
        <v>4.615083819532665E-2</v>
      </c>
      <c r="N140" s="51">
        <f>IF(AND(ISNUMBER(Base_IFData!O141),ISNUMBER(Base_IFData!Q141)),IF(Base_IFData!Q141&gt;0,Base_IFData!O141/Base_IFData!Q141,"PL ≤ 0"),"NI")</f>
        <v>8.1364642689695561</v>
      </c>
      <c r="O140" s="110">
        <f>IF(AND(ISNUMBER(Base_IFData!M141),ISNUMBER(Base_IFData!Q141)),IF(Base_IFData!Q141&gt;0,Base_IFData!M141/Base_IFData!Q141,"PL ≤ 0"),"NI")</f>
        <v>5.2438684411726371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15" t="str">
        <f>Base_IFData!A142</f>
        <v>BANCO BS2 S.A.</v>
      </c>
      <c r="L141" s="15" t="str">
        <f>Base_IFData!F142</f>
        <v>b1</v>
      </c>
      <c r="M141" s="17">
        <f>IF(AND(ISNUMBER(Base_IFData!L142),ISNUMBER(Base_IFData!W142)),IF(Base_IFData!L142&gt;$B$4,Base_IFData!W142,""),"")</f>
        <v>4.5029897886625057E-2</v>
      </c>
      <c r="N141" s="50">
        <f>IF(AND(ISNUMBER(Base_IFData!O142),ISNUMBER(Base_IFData!Q142)),IF(Base_IFData!Q142&gt;0,Base_IFData!O142/Base_IFData!Q142,"PL ≤ 0"),"NI")</f>
        <v>7.979011741400142</v>
      </c>
      <c r="O141" s="107">
        <f>IF(AND(ISNUMBER(Base_IFData!M142),ISNUMBER(Base_IFData!Q142)),IF(Base_IFData!Q142&gt;0,Base_IFData!M142/Base_IFData!Q142,"PL ≤ 0"),"NI")</f>
        <v>2.2611406482147021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12" t="str">
        <f>Base_IFData!A143</f>
        <v>FINANCEIRA ITAÚ CBD S.A. CRÉDITO, FINANCIAMENTO E INVESTIMENTO</v>
      </c>
      <c r="L142" s="12" t="str">
        <f>Base_IFData!F143</f>
        <v>n1</v>
      </c>
      <c r="M142" s="14">
        <f>IF(AND(ISNUMBER(Base_IFData!L143),ISNUMBER(Base_IFData!W143)),IF(Base_IFData!L143&gt;$B$4,Base_IFData!W143,""),"")</f>
        <v>0.14833693219932331</v>
      </c>
      <c r="N142" s="51">
        <f>IF(AND(ISNUMBER(Base_IFData!O143),ISNUMBER(Base_IFData!Q143)),IF(Base_IFData!Q143&gt;0,Base_IFData!O143/Base_IFData!Q143,"PL ≤ 0"),"NI")</f>
        <v>5.3910725739831014</v>
      </c>
      <c r="O142" s="110">
        <f>IF(AND(ISNUMBER(Base_IFData!M143),ISNUMBER(Base_IFData!Q143)),IF(Base_IFData!Q143&gt;0,Base_IFData!M143/Base_IFData!Q143,"PL ≤ 0"),"NI")</f>
        <v>5.4963119492843191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15" t="str">
        <f>Base_IFData!A144</f>
        <v>BANCO SUMITOMO MITSUI BRASILEIRO S.A.</v>
      </c>
      <c r="L143" s="15" t="str">
        <f>Base_IFData!F144</f>
        <v>b1</v>
      </c>
      <c r="M143" s="17">
        <f>IF(AND(ISNUMBER(Base_IFData!L144),ISNUMBER(Base_IFData!W144)),IF(Base_IFData!L144&gt;$B$4,Base_IFData!W144,""),"")</f>
        <v>1.194633972416252E-2</v>
      </c>
      <c r="N143" s="50">
        <f>IF(AND(ISNUMBER(Base_IFData!O144),ISNUMBER(Base_IFData!Q144)),IF(Base_IFData!Q144&gt;0,Base_IFData!O144/Base_IFData!Q144,"PL ≤ 0"),"NI")</f>
        <v>3.6230187349075411</v>
      </c>
      <c r="O143" s="107">
        <f>IF(AND(ISNUMBER(Base_IFData!M144),ISNUMBER(Base_IFData!Q144)),IF(Base_IFData!Q144&gt;0,Base_IFData!M144/Base_IFData!Q144,"PL ≤ 0"),"NI")</f>
        <v>0.91581395961298473</v>
      </c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12" t="str">
        <f>Base_IFData!A145</f>
        <v>CENTRAL SICOOB UNI DE COOPERATIVAS DE CRÉDITO</v>
      </c>
      <c r="L144" s="12" t="str">
        <f>Base_IFData!F145</f>
        <v>b3C</v>
      </c>
      <c r="M144" s="14">
        <f>IF(AND(ISNUMBER(Base_IFData!L145),ISNUMBER(Base_IFData!W145)),IF(Base_IFData!L145&gt;$B$4,Base_IFData!W145,""),"")</f>
        <v>7.9080414067698793E-2</v>
      </c>
      <c r="N144" s="51">
        <f>IF(AND(ISNUMBER(Base_IFData!O145),ISNUMBER(Base_IFData!Q145)),IF(Base_IFData!Q145&gt;0,Base_IFData!O145/Base_IFData!Q145,"PL ≤ 0"),"NI")</f>
        <v>23.757794142416536</v>
      </c>
      <c r="O144" s="110">
        <f>IF(AND(ISNUMBER(Base_IFData!M145),ISNUMBER(Base_IFData!Q145)),IF(Base_IFData!Q145&gt;0,Base_IFData!M145/Base_IFData!Q145,"PL ≤ 0"),"NI")</f>
        <v>0.47301353258063356</v>
      </c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15" t="str">
        <f>Base_IFData!A146</f>
        <v>COOPERATIVA DE CRÉDITO, POUPANÇA E INVESTIMENTO UNIÃO DE ESTADOS RIO GRANDE DO SUL, SANTA CATARINA E MINAS GERAIS - SICREDI UNIESTADOS</v>
      </c>
      <c r="L145" s="15" t="str">
        <f>Base_IFData!F146</f>
        <v>b3S</v>
      </c>
      <c r="M145" s="17">
        <f>IF(AND(ISNUMBER(Base_IFData!L146),ISNUMBER(Base_IFData!W146)),IF(Base_IFData!L146&gt;$B$4,Base_IFData!W146,""),"")</f>
        <v>7.4146309650820239E-2</v>
      </c>
      <c r="N145" s="50">
        <f>IF(AND(ISNUMBER(Base_IFData!O146),ISNUMBER(Base_IFData!Q146)),IF(Base_IFData!Q146&gt;0,Base_IFData!O146/Base_IFData!Q146,"PL ≤ 0"),"NI")</f>
        <v>8.0550543787836641</v>
      </c>
      <c r="O145" s="107">
        <f>IF(AND(ISNUMBER(Base_IFData!M146),ISNUMBER(Base_IFData!Q146)),IF(Base_IFData!Q146&gt;0,Base_IFData!M146/Base_IFData!Q146,"PL ≤ 0"),"NI")</f>
        <v>4.4379364492228621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12" t="str">
        <f>Base_IFData!A147</f>
        <v>COOPERATIVA DE CRÉDITO, POUPANÇA E INVESTIMENTO SORRISO - SICREDI CELEIRO MT/RR</v>
      </c>
      <c r="L146" s="12" t="str">
        <f>Base_IFData!F147</f>
        <v>b3S</v>
      </c>
      <c r="M146" s="14">
        <f>IF(AND(ISNUMBER(Base_IFData!L147),ISNUMBER(Base_IFData!W147)),IF(Base_IFData!L147&gt;$B$4,Base_IFData!W147,""),"")</f>
        <v>9.848762311048867E-2</v>
      </c>
      <c r="N146" s="51">
        <f>IF(AND(ISNUMBER(Base_IFData!O147),ISNUMBER(Base_IFData!Q147)),IF(Base_IFData!Q147&gt;0,Base_IFData!O147/Base_IFData!Q147,"PL ≤ 0"),"NI")</f>
        <v>5.3652009732898129</v>
      </c>
      <c r="O146" s="110">
        <f>IF(AND(ISNUMBER(Base_IFData!M147),ISNUMBER(Base_IFData!Q147)),IF(Base_IFData!Q147&gt;0,Base_IFData!M147/Base_IFData!Q147,"PL ≤ 0"),"NI")</f>
        <v>2.3402076341363971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15" t="str">
        <f>Base_IFData!A148</f>
        <v>BANCO PACCAR S.A.</v>
      </c>
      <c r="L147" s="15" t="str">
        <f>Base_IFData!F148</f>
        <v>b2</v>
      </c>
      <c r="M147" s="17">
        <f>IF(AND(ISNUMBER(Base_IFData!L148),ISNUMBER(Base_IFData!W148)),IF(Base_IFData!L148&gt;$B$4,Base_IFData!W148,""),"")</f>
        <v>1.2151778022053639E-2</v>
      </c>
      <c r="N147" s="50">
        <f>IF(AND(ISNUMBER(Base_IFData!O148),ISNUMBER(Base_IFData!Q148)),IF(Base_IFData!Q148&gt;0,Base_IFData!O148/Base_IFData!Q148,"PL ≤ 0"),"NI")</f>
        <v>1.8720761760718472</v>
      </c>
      <c r="O147" s="107">
        <f>IF(AND(ISNUMBER(Base_IFData!M148),ISNUMBER(Base_IFData!Q148)),IF(Base_IFData!Q148&gt;0,Base_IFData!M148/Base_IFData!Q148,"PL ≤ 0"),"NI")</f>
        <v>2.645788842091874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12" t="str">
        <f>Base_IFData!A149</f>
        <v>BANCO SOCIETE GENERALE BRASIL S.A.</v>
      </c>
      <c r="L148" s="12" t="str">
        <f>Base_IFData!F149</f>
        <v>b1</v>
      </c>
      <c r="M148" s="14">
        <f>IF(AND(ISNUMBER(Base_IFData!L149),ISNUMBER(Base_IFData!W149)),IF(Base_IFData!L149&gt;$B$4,Base_IFData!W149,""),"")</f>
        <v>3.3843051281290851E-2</v>
      </c>
      <c r="N148" s="51">
        <f>IF(AND(ISNUMBER(Base_IFData!O149),ISNUMBER(Base_IFData!Q149)),IF(Base_IFData!Q149&gt;0,Base_IFData!O149/Base_IFData!Q149,"PL ≤ 0"),"NI")</f>
        <v>3.6252900099692709</v>
      </c>
      <c r="O148" s="110">
        <f>IF(AND(ISNUMBER(Base_IFData!M149),ISNUMBER(Base_IFData!Q149)),IF(Base_IFData!Q149&gt;0,Base_IFData!M149/Base_IFData!Q149,"PL ≤ 0"),"NI")</f>
        <v>7.104303211839022E-2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15" t="str">
        <f>Base_IFData!A150</f>
        <v>BANCO INDUSTRIAL DO BRASIL S.A.</v>
      </c>
      <c r="L149" s="15" t="str">
        <f>Base_IFData!F150</f>
        <v>b1</v>
      </c>
      <c r="M149" s="17">
        <f>IF(AND(ISNUMBER(Base_IFData!L150),ISNUMBER(Base_IFData!W150)),IF(Base_IFData!L150&gt;$B$4,Base_IFData!W150,""),"")</f>
        <v>5.9520389052058059E-2</v>
      </c>
      <c r="N149" s="50">
        <f>IF(AND(ISNUMBER(Base_IFData!O150),ISNUMBER(Base_IFData!Q150)),IF(Base_IFData!Q150&gt;0,Base_IFData!O150/Base_IFData!Q150,"PL ≤ 0"),"NI")</f>
        <v>9.7265142808496154</v>
      </c>
      <c r="O149" s="107">
        <f>IF(AND(ISNUMBER(Base_IFData!M150),ISNUMBER(Base_IFData!Q150)),IF(Base_IFData!Q150&gt;0,Base_IFData!M150/Base_IFData!Q150,"PL ≤ 0"),"NI")</f>
        <v>7.3716519282339421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12" t="str">
        <f>Base_IFData!A151</f>
        <v>COOPERATIVA DE CRÉDITO DE LIVRE ADMISSÃO DE ASSOCIADOS SÃO MIGUEL DO OESTE - SICOOB SÃO MIGUEL SC/PR/RS</v>
      </c>
      <c r="L150" s="12" t="str">
        <f>Base_IFData!F151</f>
        <v>b3S</v>
      </c>
      <c r="M150" s="14">
        <f>IF(AND(ISNUMBER(Base_IFData!L151),ISNUMBER(Base_IFData!W151)),IF(Base_IFData!L151&gt;$B$4,Base_IFData!W151,""),"")</f>
        <v>0.10298058405466345</v>
      </c>
      <c r="N150" s="51">
        <f>IF(AND(ISNUMBER(Base_IFData!O151),ISNUMBER(Base_IFData!Q151)),IF(Base_IFData!Q151&gt;0,Base_IFData!O151/Base_IFData!Q151,"PL ≤ 0"),"NI")</f>
        <v>8.1519270879737196</v>
      </c>
      <c r="O150" s="110">
        <f>IF(AND(ISNUMBER(Base_IFData!M151),ISNUMBER(Base_IFData!Q151)),IF(Base_IFData!Q151&gt;0,Base_IFData!M151/Base_IFData!Q151,"PL ≤ 0"),"NI")</f>
        <v>5.3336680122357691</v>
      </c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15" t="str">
        <f>Base_IFData!A152</f>
        <v>BANCO HYUNDAI CAPITAL BRASIL S.A.</v>
      </c>
      <c r="L151" s="15" t="str">
        <f>Base_IFData!F152</f>
        <v>b2</v>
      </c>
      <c r="M151" s="17">
        <f>IF(AND(ISNUMBER(Base_IFData!L152),ISNUMBER(Base_IFData!W152)),IF(Base_IFData!L152&gt;$B$4,Base_IFData!W152,""),"")</f>
        <v>0.11031555208055571</v>
      </c>
      <c r="N151" s="50">
        <f>IF(AND(ISNUMBER(Base_IFData!O152),ISNUMBER(Base_IFData!Q152)),IF(Base_IFData!Q152&gt;0,Base_IFData!O152/Base_IFData!Q152,"PL ≤ 0"),"NI")</f>
        <v>7.9614079172749168</v>
      </c>
      <c r="O151" s="107">
        <f>IF(AND(ISNUMBER(Base_IFData!M152),ISNUMBER(Base_IFData!Q152)),IF(Base_IFData!Q152&gt;0,Base_IFData!M152/Base_IFData!Q152,"PL ≤ 0"),"NI")</f>
        <v>5.9668381066875167</v>
      </c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12" t="str">
        <f>Base_IFData!A153</f>
        <v>COOPERATIVA DE CRÉDITO E INVESTIMENTO DO SUDOESTE  DA AMAZÔNIA LTDA - SICOOB CREDISUL</v>
      </c>
      <c r="L152" s="12" t="str">
        <f>Base_IFData!F153</f>
        <v>b3S</v>
      </c>
      <c r="M152" s="14">
        <f>IF(AND(ISNUMBER(Base_IFData!L153),ISNUMBER(Base_IFData!W153)),IF(Base_IFData!L153&gt;$B$4,Base_IFData!W153,""),"")</f>
        <v>7.6544309091154367E-2</v>
      </c>
      <c r="N152" s="51">
        <f>IF(AND(ISNUMBER(Base_IFData!O153),ISNUMBER(Base_IFData!Q153)),IF(Base_IFData!Q153&gt;0,Base_IFData!O153/Base_IFData!Q153,"PL ≤ 0"),"NI")</f>
        <v>4.8438730527038434</v>
      </c>
      <c r="O152" s="110">
        <f>IF(AND(ISNUMBER(Base_IFData!M153),ISNUMBER(Base_IFData!Q153)),IF(Base_IFData!Q153&gt;0,Base_IFData!M153/Base_IFData!Q153,"PL ≤ 0"),"NI")</f>
        <v>3.6681595999658243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15" t="str">
        <f>Base_IFData!A154</f>
        <v>COOPERATIVA DE CRÉDITO SUL-SERRANA DO ESPÍRITO SANTO</v>
      </c>
      <c r="L153" s="15" t="str">
        <f>Base_IFData!F154</f>
        <v>b3S</v>
      </c>
      <c r="M153" s="17">
        <f>IF(AND(ISNUMBER(Base_IFData!L154),ISNUMBER(Base_IFData!W154)),IF(Base_IFData!L154&gt;$B$4,Base_IFData!W154,""),"")</f>
        <v>0.12080580740998732</v>
      </c>
      <c r="N153" s="50">
        <f>IF(AND(ISNUMBER(Base_IFData!O154),ISNUMBER(Base_IFData!Q154)),IF(Base_IFData!Q154&gt;0,Base_IFData!O154/Base_IFData!Q154,"PL ≤ 0"),"NI")</f>
        <v>4.7866492922763282</v>
      </c>
      <c r="O153" s="107">
        <f>IF(AND(ISNUMBER(Base_IFData!M154),ISNUMBER(Base_IFData!Q154)),IF(Base_IFData!Q154&gt;0,Base_IFData!M154/Base_IFData!Q154,"PL ≤ 0"),"NI")</f>
        <v>3.5534619048226692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12" t="str">
        <f>Base_IFData!A155</f>
        <v>CONFEDERAÇÃO NACIONAL DAS COOPERATIVAS CENTRAIS DE CRÉDITO E ECONOMIA FAMILIAR E SOLIDÁRIA - CRESOL CONFEDERAÇÃO</v>
      </c>
      <c r="L154" s="12" t="str">
        <f>Base_IFData!F155</f>
        <v>b3C</v>
      </c>
      <c r="M154" s="14">
        <f>IF(AND(ISNUMBER(Base_IFData!L155),ISNUMBER(Base_IFData!W155)),IF(Base_IFData!L155&gt;$B$4,Base_IFData!W155,""),"")</f>
        <v>8.6021654764881855E-2</v>
      </c>
      <c r="N154" s="51">
        <f>IF(AND(ISNUMBER(Base_IFData!O155),ISNUMBER(Base_IFData!Q155)),IF(Base_IFData!Q155&gt;0,Base_IFData!O155/Base_IFData!Q155,"PL ≤ 0"),"NI")</f>
        <v>34.509544583067047</v>
      </c>
      <c r="O154" s="110">
        <f>IF(AND(ISNUMBER(Base_IFData!M155),ISNUMBER(Base_IFData!Q155)),IF(Base_IFData!Q155&gt;0,Base_IFData!M155/Base_IFData!Q155,"PL ≤ 0"),"NI")</f>
        <v>0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15" t="str">
        <f>Base_IFData!A156</f>
        <v>NEON FINANCEIRA - SOCIEDADE DE CRÉDITO, FINANCIAMENTO E INVESTIMENTO S.A</v>
      </c>
      <c r="L155" s="15" t="str">
        <f>Base_IFData!F156</f>
        <v>n1</v>
      </c>
      <c r="M155" s="17">
        <f>IF(AND(ISNUMBER(Base_IFData!L156),ISNUMBER(Base_IFData!W156)),IF(Base_IFData!L156&gt;$B$4,Base_IFData!W156,""),"")</f>
        <v>-2.4171203087646535E-2</v>
      </c>
      <c r="N155" s="50">
        <f>IF(AND(ISNUMBER(Base_IFData!O156),ISNUMBER(Base_IFData!Q156)),IF(Base_IFData!Q156&gt;0,Base_IFData!O156/Base_IFData!Q156,"PL ≤ 0"),"NI")</f>
        <v>7.7877888188023849</v>
      </c>
      <c r="O155" s="107">
        <f>IF(AND(ISNUMBER(Base_IFData!M156),ISNUMBER(Base_IFData!Q156)),IF(Base_IFData!Q156&gt;0,Base_IFData!M156/Base_IFData!Q156,"PL ≤ 0"),"NI")</f>
        <v>4.9974019989054987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12" t="str">
        <f>Base_IFData!A157</f>
        <v>CREFISA S.A.-CREDITO, FINANCIAMENTO E INVESTIMENTOS</v>
      </c>
      <c r="L156" s="12" t="str">
        <f>Base_IFData!F157</f>
        <v>n1</v>
      </c>
      <c r="M156" s="14">
        <f>IF(AND(ISNUMBER(Base_IFData!L157),ISNUMBER(Base_IFData!W157)),IF(Base_IFData!L157&gt;$B$4,Base_IFData!W157,""),"")</f>
        <v>4.8857780202628508E-2</v>
      </c>
      <c r="N156" s="51">
        <f>IF(AND(ISNUMBER(Base_IFData!O157),ISNUMBER(Base_IFData!Q157)),IF(Base_IFData!Q157&gt;0,Base_IFData!O157/Base_IFData!Q157,"PL ≤ 0"),"NI")</f>
        <v>5.0170790831301756E-2</v>
      </c>
      <c r="O156" s="110">
        <f>IF(AND(ISNUMBER(Base_IFData!M157),ISNUMBER(Base_IFData!Q157)),IF(Base_IFData!Q157&gt;0,Base_IFData!M157/Base_IFData!Q157,"PL ≤ 0"),"NI")</f>
        <v>0.36810541654868539</v>
      </c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15" t="str">
        <f>Base_IFData!A158</f>
        <v>COOPERATIVA DE CRÉDITO, POUPANÇA E INVESTIMENTO PLANALTO - SICREDI PLANALTO RS/MG</v>
      </c>
      <c r="L157" s="15" t="str">
        <f>Base_IFData!F158</f>
        <v>b3S</v>
      </c>
      <c r="M157" s="17">
        <f>IF(AND(ISNUMBER(Base_IFData!L158),ISNUMBER(Base_IFData!W158)),IF(Base_IFData!L158&gt;$B$4,Base_IFData!W158,""),"")</f>
        <v>4.5835703932001225E-2</v>
      </c>
      <c r="N157" s="50">
        <f>IF(AND(ISNUMBER(Base_IFData!O158),ISNUMBER(Base_IFData!Q158)),IF(Base_IFData!Q158&gt;0,Base_IFData!O158/Base_IFData!Q158,"PL ≤ 0"),"NI")</f>
        <v>4.4304830875058254</v>
      </c>
      <c r="O157" s="107">
        <f>IF(AND(ISNUMBER(Base_IFData!M158),ISNUMBER(Base_IFData!Q158)),IF(Base_IFData!Q158&gt;0,Base_IFData!M158/Base_IFData!Q158,"PL ≤ 0"),"NI")</f>
        <v>3.6863119012153667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12" t="str">
        <f>Base_IFData!A159</f>
        <v>ITAU CORRETORA DE VALORES S.A.</v>
      </c>
      <c r="L158" s="12" t="str">
        <f>Base_IFData!F159</f>
        <v>n2</v>
      </c>
      <c r="M158" s="14">
        <f>IF(AND(ISNUMBER(Base_IFData!L159),ISNUMBER(Base_IFData!W159)),IF(Base_IFData!L159&gt;$B$4,Base_IFData!W159,""),"")</f>
        <v>9.3222973140211635E-2</v>
      </c>
      <c r="N158" s="51">
        <f>IF(AND(ISNUMBER(Base_IFData!O159),ISNUMBER(Base_IFData!Q159)),IF(Base_IFData!Q159&gt;0,Base_IFData!O159/Base_IFData!Q159,"PL ≤ 0"),"NI")</f>
        <v>1.1843751816775754</v>
      </c>
      <c r="O158" s="110">
        <f>IF(AND(ISNUMBER(Base_IFData!M159),ISNUMBER(Base_IFData!Q159)),IF(Base_IFData!Q159&gt;0,Base_IFData!M159/Base_IFData!Q159,"PL ≤ 0"),"NI")</f>
        <v>0</v>
      </c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15" t="str">
        <f>Base_IFData!A160</f>
        <v>OMNI S.A. - CREDITO FINANCIAMENTO E INVESTIMENTO</v>
      </c>
      <c r="L159" s="15" t="str">
        <f>Base_IFData!F160</f>
        <v>n1</v>
      </c>
      <c r="M159" s="17">
        <f>IF(AND(ISNUMBER(Base_IFData!L160),ISNUMBER(Base_IFData!W160)),IF(Base_IFData!L160&gt;$B$4,Base_IFData!W160,""),"")</f>
        <v>3.4277306556742019E-3</v>
      </c>
      <c r="N159" s="50">
        <f>IF(AND(ISNUMBER(Base_IFData!O160),ISNUMBER(Base_IFData!Q160)),IF(Base_IFData!Q160&gt;0,Base_IFData!O160/Base_IFData!Q160,"PL ≤ 0"),"NI")</f>
        <v>7.1211869344759826</v>
      </c>
      <c r="O159" s="107">
        <f>IF(AND(ISNUMBER(Base_IFData!M160),ISNUMBER(Base_IFData!Q160)),IF(Base_IFData!Q160&gt;0,Base_IFData!M160/Base_IFData!Q160,"PL ≤ 0"),"NI")</f>
        <v>4.816919686502076</v>
      </c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12" t="str">
        <f>Base_IFData!A161</f>
        <v>COOPERATIVA DE CRÉDITO SICOOB METROPOLITANO</v>
      </c>
      <c r="L160" s="12" t="str">
        <f>Base_IFData!F161</f>
        <v>b3S</v>
      </c>
      <c r="M160" s="14">
        <f>IF(AND(ISNUMBER(Base_IFData!L161),ISNUMBER(Base_IFData!W161)),IF(Base_IFData!L161&gt;$B$4,Base_IFData!W161,""),"")</f>
        <v>8.7635312632769441E-2</v>
      </c>
      <c r="N160" s="51">
        <f>IF(AND(ISNUMBER(Base_IFData!O161),ISNUMBER(Base_IFData!Q161)),IF(Base_IFData!Q161&gt;0,Base_IFData!O161/Base_IFData!Q161,"PL ≤ 0"),"NI")</f>
        <v>7.9166659685362601</v>
      </c>
      <c r="O160" s="110">
        <f>IF(AND(ISNUMBER(Base_IFData!M161),ISNUMBER(Base_IFData!Q161)),IF(Base_IFData!Q161&gt;0,Base_IFData!M161/Base_IFData!Q161,"PL ≤ 0"),"NI")</f>
        <v>4.7168849820181551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15" t="str">
        <f>Base_IFData!A162</f>
        <v>COOPERATIVA CENTRAL DE CRÉDITO E INVESTIMENTO COM INTERAÇÃO SOLIDÁRIA - CENTRAL CRESOL SICOPER</v>
      </c>
      <c r="L161" s="15" t="str">
        <f>Base_IFData!F162</f>
        <v>b3C</v>
      </c>
      <c r="M161" s="17">
        <f>IF(AND(ISNUMBER(Base_IFData!L162),ISNUMBER(Base_IFData!W162)),IF(Base_IFData!L162&gt;$B$4,Base_IFData!W162,""),"")</f>
        <v>3.0672700501512169E-2</v>
      </c>
      <c r="N161" s="50">
        <f>IF(AND(ISNUMBER(Base_IFData!O162),ISNUMBER(Base_IFData!Q162)),IF(Base_IFData!Q162&gt;0,Base_IFData!O162/Base_IFData!Q162,"PL ≤ 0"),"NI")</f>
        <v>22.358213891600865</v>
      </c>
      <c r="O161" s="107">
        <f>IF(AND(ISNUMBER(Base_IFData!M162),ISNUMBER(Base_IFData!Q162)),IF(Base_IFData!Q162&gt;0,Base_IFData!M162/Base_IFData!Q162,"PL ≤ 0"),"NI")</f>
        <v>0.22403315004976959</v>
      </c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12" t="str">
        <f>Base_IFData!A163</f>
        <v>BANCO BANDEPE S.A.</v>
      </c>
      <c r="L162" s="12" t="str">
        <f>Base_IFData!F163</f>
        <v>b1</v>
      </c>
      <c r="M162" s="14">
        <f>IF(AND(ISNUMBER(Base_IFData!L163),ISNUMBER(Base_IFData!W163)),IF(Base_IFData!L163&gt;$B$4,Base_IFData!W163,""),"")</f>
        <v>4.1348756752780907E-2</v>
      </c>
      <c r="N162" s="51">
        <f>IF(AND(ISNUMBER(Base_IFData!O163),ISNUMBER(Base_IFData!Q163)),IF(Base_IFData!Q163&gt;0,Base_IFData!O163/Base_IFData!Q163,"PL ≤ 0"),"NI")</f>
        <v>0.18945137800731066</v>
      </c>
      <c r="O162" s="110">
        <f>IF(AND(ISNUMBER(Base_IFData!M163),ISNUMBER(Base_IFData!Q163)),IF(Base_IFData!Q163&gt;0,Base_IFData!M163/Base_IFData!Q163,"PL ≤ 0"),"NI")</f>
        <v>0</v>
      </c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15" t="str">
        <f>Base_IFData!A164</f>
        <v>CITIBANK DISTRIBUIDORA DE TITULOS E VALORES MOBILIARIOS S.A</v>
      </c>
      <c r="L163" s="15" t="str">
        <f>Base_IFData!F164</f>
        <v>n2</v>
      </c>
      <c r="M163" s="17">
        <f>IF(AND(ISNUMBER(Base_IFData!L164),ISNUMBER(Base_IFData!W164)),IF(Base_IFData!L164&gt;$B$4,Base_IFData!W164,""),"")</f>
        <v>0.63301267298781794</v>
      </c>
      <c r="N163" s="50">
        <f>IF(AND(ISNUMBER(Base_IFData!O164),ISNUMBER(Base_IFData!Q164)),IF(Base_IFData!Q164&gt;0,Base_IFData!O164/Base_IFData!Q164,"PL ≤ 0"),"NI")</f>
        <v>26.684759428027863</v>
      </c>
      <c r="O163" s="107">
        <f>IF(AND(ISNUMBER(Base_IFData!M164),ISNUMBER(Base_IFData!Q164)),IF(Base_IFData!Q164&gt;0,Base_IFData!M164/Base_IFData!Q164,"PL ≤ 0"),"NI")</f>
        <v>0</v>
      </c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12" t="str">
        <f>Base_IFData!A165</f>
        <v>COOPERATIVA CENTRAL DE CRÉDITO DO NORTE DO BRASIL - SICOOB NORTE</v>
      </c>
      <c r="L164" s="12" t="str">
        <f>Base_IFData!F165</f>
        <v>b3C</v>
      </c>
      <c r="M164" s="14">
        <f>IF(AND(ISNUMBER(Base_IFData!L165),ISNUMBER(Base_IFData!W165)),IF(Base_IFData!L165&gt;$B$4,Base_IFData!W165,""),"")</f>
        <v>8.0412213155575993E-2</v>
      </c>
      <c r="N164" s="51">
        <f>IF(AND(ISNUMBER(Base_IFData!O165),ISNUMBER(Base_IFData!Q165)),IF(Base_IFData!Q165&gt;0,Base_IFData!O165/Base_IFData!Q165,"PL ≤ 0"),"NI")</f>
        <v>17.27781225657332</v>
      </c>
      <c r="O164" s="110">
        <f>IF(AND(ISNUMBER(Base_IFData!M165),ISNUMBER(Base_IFData!Q165)),IF(Base_IFData!Q165&gt;0,Base_IFData!M165/Base_IFData!Q165,"PL ≤ 0"),"NI")</f>
        <v>0</v>
      </c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15" t="str">
        <f>Base_IFData!A166</f>
        <v>FISERV DO BRASIL  INSTITUIÇÃO DE PAGAMENTO LTDA</v>
      </c>
      <c r="L165" s="15" t="str">
        <f>Base_IFData!F166</f>
        <v>n4</v>
      </c>
      <c r="M165" s="17">
        <f>IF(AND(ISNUMBER(Base_IFData!L166),ISNUMBER(Base_IFData!W166)),IF(Base_IFData!L166&gt;$B$4,Base_IFData!W166,""),"")</f>
        <v>4.2592965131531737E-3</v>
      </c>
      <c r="N165" s="50">
        <f>IF(AND(ISNUMBER(Base_IFData!O166),ISNUMBER(Base_IFData!Q166)),IF(Base_IFData!Q166&gt;0,Base_IFData!O166/Base_IFData!Q166,"PL ≤ 0"),"NI")</f>
        <v>3.1929636021613534</v>
      </c>
      <c r="O165" s="107">
        <f>IF(AND(ISNUMBER(Base_IFData!M166),ISNUMBER(Base_IFData!Q166)),IF(Base_IFData!Q166&gt;0,Base_IFData!M166/Base_IFData!Q166,"PL ≤ 0"),"NI")</f>
        <v>0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12" t="str">
        <f>Base_IFData!A167</f>
        <v>COOPERATIVA DE CRÉDITO, POUPANÇA E INVESTIMENTO DA REGIÃO DOS VALES - SICREDI REGIÃO DOS VALES RS</v>
      </c>
      <c r="L166" s="12" t="str">
        <f>Base_IFData!F167</f>
        <v>b3S</v>
      </c>
      <c r="M166" s="14">
        <f>IF(AND(ISNUMBER(Base_IFData!L167),ISNUMBER(Base_IFData!W167)),IF(Base_IFData!L167&gt;$B$4,Base_IFData!W167,""),"")</f>
        <v>9.2498287280200958E-2</v>
      </c>
      <c r="N166" s="51">
        <f>IF(AND(ISNUMBER(Base_IFData!O167),ISNUMBER(Base_IFData!Q167)),IF(Base_IFData!Q167&gt;0,Base_IFData!O167/Base_IFData!Q167,"PL ≤ 0"),"NI")</f>
        <v>3.7622066547559876</v>
      </c>
      <c r="O166" s="110">
        <f>IF(AND(ISNUMBER(Base_IFData!M167),ISNUMBER(Base_IFData!Q167)),IF(Base_IFData!Q167&gt;0,Base_IFData!M167/Base_IFData!Q167,"PL ≤ 0"),"NI")</f>
        <v>1.2057715298953562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15" t="str">
        <f>Base_IFData!A168</f>
        <v>HAITONG BANCO DE INVESTIMENTO DO BRASIL S.A.</v>
      </c>
      <c r="L167" s="15" t="str">
        <f>Base_IFData!F168</f>
        <v>b2</v>
      </c>
      <c r="M167" s="17">
        <f>IF(AND(ISNUMBER(Base_IFData!L168),ISNUMBER(Base_IFData!W168)),IF(Base_IFData!L168&gt;$B$4,Base_IFData!W168,""),"")</f>
        <v>-3.9339163936392016E-2</v>
      </c>
      <c r="N167" s="50">
        <f>IF(AND(ISNUMBER(Base_IFData!O168),ISNUMBER(Base_IFData!Q168)),IF(Base_IFData!Q168&gt;0,Base_IFData!O168/Base_IFData!Q168,"PL ≤ 0"),"NI")</f>
        <v>12.452462275791909</v>
      </c>
      <c r="O167" s="107">
        <f>IF(AND(ISNUMBER(Base_IFData!M168),ISNUMBER(Base_IFData!Q168)),IF(Base_IFData!Q168&gt;0,Base_IFData!M168/Base_IFData!Q168,"PL ≤ 0"),"NI")</f>
        <v>0.39886121436943228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12" t="str">
        <f>Base_IFData!A169</f>
        <v>COOPERATIVA DE CRÉDITO ALIANÇA - SICREDI ALIANÇA</v>
      </c>
      <c r="L168" s="12" t="str">
        <f>Base_IFData!F169</f>
        <v>b3S</v>
      </c>
      <c r="M168" s="14">
        <f>IF(AND(ISNUMBER(Base_IFData!L169),ISNUMBER(Base_IFData!W169)),IF(Base_IFData!L169&gt;$B$4,Base_IFData!W169,""),"")</f>
        <v>9.0072735205921475E-2</v>
      </c>
      <c r="N168" s="51">
        <f>IF(AND(ISNUMBER(Base_IFData!O169),ISNUMBER(Base_IFData!Q169)),IF(Base_IFData!Q169&gt;0,Base_IFData!O169/Base_IFData!Q169,"PL ≤ 0"),"NI")</f>
        <v>8.6078758211406914</v>
      </c>
      <c r="O168" s="110">
        <f>IF(AND(ISNUMBER(Base_IFData!M169),ISNUMBER(Base_IFData!Q169)),IF(Base_IFData!Q169&gt;0,Base_IFData!M169/Base_IFData!Q169,"PL ≤ 0"),"NI")</f>
        <v>4.8222571726381025</v>
      </c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15" t="str">
        <f>Base_IFData!A170</f>
        <v>BANCO TRATON BRASIL S.A.</v>
      </c>
      <c r="L169" s="15" t="str">
        <f>Base_IFData!F170</f>
        <v>b2</v>
      </c>
      <c r="M169" s="17">
        <f>IF(AND(ISNUMBER(Base_IFData!L170),ISNUMBER(Base_IFData!W170)),IF(Base_IFData!L170&gt;$B$4,Base_IFData!W170,""),"")</f>
        <v>1.8800904263996832E-2</v>
      </c>
      <c r="N169" s="50">
        <f>IF(AND(ISNUMBER(Base_IFData!O170),ISNUMBER(Base_IFData!Q170)),IF(Base_IFData!Q170&gt;0,Base_IFData!O170/Base_IFData!Q170,"PL ≤ 0"),"NI")</f>
        <v>3.6120514152773455</v>
      </c>
      <c r="O169" s="107">
        <f>IF(AND(ISNUMBER(Base_IFData!M170),ISNUMBER(Base_IFData!Q170)),IF(Base_IFData!Q170&gt;0,Base_IFData!M170/Base_IFData!Q170,"PL ≤ 0"),"NI")</f>
        <v>3.4585753592173649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12" t="str">
        <f>Base_IFData!A171</f>
        <v>COOPERATIVA DE CRÉDITO, POUPANÇA E INVESTIMENTO NORTE MATO-GROSSENSE E OESTE PARAENSE - SICREDI GRANDES RIOS MT/PA/AM</v>
      </c>
      <c r="L170" s="12" t="str">
        <f>Base_IFData!F171</f>
        <v>b3S</v>
      </c>
      <c r="M170" s="14">
        <f>IF(AND(ISNUMBER(Base_IFData!L171),ISNUMBER(Base_IFData!W171)),IF(Base_IFData!L171&gt;$B$4,Base_IFData!W171,""),"")</f>
        <v>3.0497970565249367E-2</v>
      </c>
      <c r="N170" s="51">
        <f>IF(AND(ISNUMBER(Base_IFData!O171),ISNUMBER(Base_IFData!Q171)),IF(Base_IFData!Q171&gt;0,Base_IFData!O171/Base_IFData!Q171,"PL ≤ 0"),"NI")</f>
        <v>6.3543470897916636</v>
      </c>
      <c r="O170" s="110">
        <f>IF(AND(ISNUMBER(Base_IFData!M171),ISNUMBER(Base_IFData!Q171)),IF(Base_IFData!Q171&gt;0,Base_IFData!M171/Base_IFData!Q171,"PL ≤ 0"),"NI")</f>
        <v>3.4353469111268709</v>
      </c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15" t="str">
        <f>Base_IFData!A172</f>
        <v>COOPERATIVA DE CRÉDITO ARACOOP LTDA. - SICOOB ARACOOP</v>
      </c>
      <c r="L171" s="15" t="str">
        <f>Base_IFData!F172</f>
        <v>b3S</v>
      </c>
      <c r="M171" s="17">
        <f>IF(AND(ISNUMBER(Base_IFData!L172),ISNUMBER(Base_IFData!W172)),IF(Base_IFData!L172&gt;$B$4,Base_IFData!W172,""),"")</f>
        <v>-8.4428425573106619E-2</v>
      </c>
      <c r="N171" s="50">
        <f>IF(AND(ISNUMBER(Base_IFData!O172),ISNUMBER(Base_IFData!Q172)),IF(Base_IFData!Q172&gt;0,Base_IFData!O172/Base_IFData!Q172,"PL ≤ 0"),"NI")</f>
        <v>8.2232255496224642</v>
      </c>
      <c r="O171" s="107">
        <f>IF(AND(ISNUMBER(Base_IFData!M172),ISNUMBER(Base_IFData!Q172)),IF(Base_IFData!Q172&gt;0,Base_IFData!M172/Base_IFData!Q172,"PL ≤ 0"),"NI")</f>
        <v>6.1243371810127689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12" t="str">
        <f>Base_IFData!A173</f>
        <v>COOPERATIVA DE CREDITO, POUPANÇA E INVESTIMENTO ALIANÇA - SICREDI ALIANÇA PR/SP</v>
      </c>
      <c r="L172" s="12" t="str">
        <f>Base_IFData!F173</f>
        <v>b3S</v>
      </c>
      <c r="M172" s="14">
        <f>IF(AND(ISNUMBER(Base_IFData!L173),ISNUMBER(Base_IFData!W173)),IF(Base_IFData!L173&gt;$B$4,Base_IFData!W173,""),"")</f>
        <v>1.1487066278447221E-2</v>
      </c>
      <c r="N172" s="51">
        <f>IF(AND(ISNUMBER(Base_IFData!O173),ISNUMBER(Base_IFData!Q173)),IF(Base_IFData!Q173&gt;0,Base_IFData!O173/Base_IFData!Q173,"PL ≤ 0"),"NI")</f>
        <v>10.282073942603173</v>
      </c>
      <c r="O172" s="110">
        <f>IF(AND(ISNUMBER(Base_IFData!M173),ISNUMBER(Base_IFData!Q173)),IF(Base_IFData!Q173&gt;0,Base_IFData!M173/Base_IFData!Q173,"PL ≤ 0"),"NI")</f>
        <v>7.6031965764325369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15" t="str">
        <f>Base_IFData!A174</f>
        <v>COOPERATIVA DE CRÉDITO SUL DO ESPÍRITO SANTO - SICOOB SUL</v>
      </c>
      <c r="L173" s="15" t="str">
        <f>Base_IFData!F174</f>
        <v>b3S</v>
      </c>
      <c r="M173" s="17">
        <f>IF(AND(ISNUMBER(Base_IFData!L174),ISNUMBER(Base_IFData!W174)),IF(Base_IFData!L174&gt;$B$4,Base_IFData!W174,""),"")</f>
        <v>0.11646947424547469</v>
      </c>
      <c r="N173" s="50">
        <f>IF(AND(ISNUMBER(Base_IFData!O174),ISNUMBER(Base_IFData!Q174)),IF(Base_IFData!Q174&gt;0,Base_IFData!O174/Base_IFData!Q174,"PL ≤ 0"),"NI")</f>
        <v>4.6541934416282853</v>
      </c>
      <c r="O173" s="107">
        <f>IF(AND(ISNUMBER(Base_IFData!M174),ISNUMBER(Base_IFData!Q174)),IF(Base_IFData!Q174&gt;0,Base_IFData!M174/Base_IFData!Q174,"PL ≤ 0"),"NI")</f>
        <v>2.2309256552396186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12" t="str">
        <f>Base_IFData!A175</f>
        <v>REALIZE SOCIEDADE DE CRÉDITO, FINANCIAMENTO E INVESTIMENTO S.A.</v>
      </c>
      <c r="L174" s="12" t="str">
        <f>Base_IFData!F175</f>
        <v>n1</v>
      </c>
      <c r="M174" s="14">
        <f>IF(AND(ISNUMBER(Base_IFData!L175),ISNUMBER(Base_IFData!W175)),IF(Base_IFData!L175&gt;$B$4,Base_IFData!W175,""),"")</f>
        <v>8.6687584662593645E-2</v>
      </c>
      <c r="N174" s="51">
        <f>IF(AND(ISNUMBER(Base_IFData!O175),ISNUMBER(Base_IFData!Q175)),IF(Base_IFData!Q175&gt;0,Base_IFData!O175/Base_IFData!Q175,"PL ≤ 0"),"NI")</f>
        <v>5.0493610072232249</v>
      </c>
      <c r="O174" s="110">
        <f>IF(AND(ISNUMBER(Base_IFData!M175),ISNUMBER(Base_IFData!Q175)),IF(Base_IFData!Q175&gt;0,Base_IFData!M175/Base_IFData!Q175,"PL ≤ 0"),"NI")</f>
        <v>4.9884483691466803</v>
      </c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15" t="str">
        <f>Base_IFData!A176</f>
        <v>COOPERATIVA DE CRÉDITO, POUPANÇA E INVESTIMENTO CONEXÃO - SICREDI CONEXÃO</v>
      </c>
      <c r="L175" s="15" t="str">
        <f>Base_IFData!F176</f>
        <v>b3S</v>
      </c>
      <c r="M175" s="17">
        <f>IF(AND(ISNUMBER(Base_IFData!L176),ISNUMBER(Base_IFData!W176)),IF(Base_IFData!L176&gt;$B$4,Base_IFData!W176,""),"")</f>
        <v>5.6020289884805154E-2</v>
      </c>
      <c r="N175" s="50">
        <f>IF(AND(ISNUMBER(Base_IFData!O176),ISNUMBER(Base_IFData!Q176)),IF(Base_IFData!Q176&gt;0,Base_IFData!O176/Base_IFData!Q176,"PL ≤ 0"),"NI")</f>
        <v>6.7260468062408325</v>
      </c>
      <c r="O175" s="107">
        <f>IF(AND(ISNUMBER(Base_IFData!M176),ISNUMBER(Base_IFData!Q176)),IF(Base_IFData!Q176&gt;0,Base_IFData!M176/Base_IFData!Q176,"PL ≤ 0"),"NI")</f>
        <v>5.0059482289946349</v>
      </c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12" t="str">
        <f>Base_IFData!A177</f>
        <v>COOPERATIVA DE CRÉDITO DE LIVRE ADMISSÃO DO CENTRO SUL RONDONIENSE - SICOOB CREDIP.</v>
      </c>
      <c r="L176" s="12" t="str">
        <f>Base_IFData!F177</f>
        <v>b3S</v>
      </c>
      <c r="M176" s="14">
        <f>IF(AND(ISNUMBER(Base_IFData!L177),ISNUMBER(Base_IFData!W177)),IF(Base_IFData!L177&gt;$B$4,Base_IFData!W177,""),"")</f>
        <v>9.7513354549563558E-2</v>
      </c>
      <c r="N176" s="51">
        <f>IF(AND(ISNUMBER(Base_IFData!O177),ISNUMBER(Base_IFData!Q177)),IF(Base_IFData!Q177&gt;0,Base_IFData!O177/Base_IFData!Q177,"PL ≤ 0"),"NI")</f>
        <v>5.8753891344078628</v>
      </c>
      <c r="O176" s="110">
        <f>IF(AND(ISNUMBER(Base_IFData!M177),ISNUMBER(Base_IFData!Q177)),IF(Base_IFData!Q177&gt;0,Base_IFData!M177/Base_IFData!Q177,"PL ≤ 0"),"NI")</f>
        <v>3.138668833758544</v>
      </c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15" t="str">
        <f>Base_IFData!A178</f>
        <v>MIDWAY S.A. - SOCIEDADE DE CRÉDITO, FINANCIAMENTO E INVESTIMENTO</v>
      </c>
      <c r="L177" s="15" t="str">
        <f>Base_IFData!F178</f>
        <v>n1</v>
      </c>
      <c r="M177" s="17">
        <f>IF(AND(ISNUMBER(Base_IFData!L178),ISNUMBER(Base_IFData!W178)),IF(Base_IFData!L178&gt;$B$4,Base_IFData!W178,""),"")</f>
        <v>4.0953786284057644E-2</v>
      </c>
      <c r="N177" s="50">
        <f>IF(AND(ISNUMBER(Base_IFData!O178),ISNUMBER(Base_IFData!Q178)),IF(Base_IFData!Q178&gt;0,Base_IFData!O178/Base_IFData!Q178,"PL ≤ 0"),"NI")</f>
        <v>3.52586125700756</v>
      </c>
      <c r="O177" s="107">
        <f>IF(AND(ISNUMBER(Base_IFData!M178),ISNUMBER(Base_IFData!Q178)),IF(Base_IFData!Q178&gt;0,Base_IFData!M178/Base_IFData!Q178,"PL ≤ 0"),"NI")</f>
        <v>3.7609025423631475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12" t="str">
        <f>Base_IFData!A179</f>
        <v>BANCO CATERPILLAR S.A.</v>
      </c>
      <c r="L178" s="12" t="str">
        <f>Base_IFData!F179</f>
        <v>b2</v>
      </c>
      <c r="M178" s="14">
        <f>IF(AND(ISNUMBER(Base_IFData!L179),ISNUMBER(Base_IFData!W179)),IF(Base_IFData!L179&gt;$B$4,Base_IFData!W179,""),"")</f>
        <v>1.6212589553855926E-2</v>
      </c>
      <c r="N178" s="51">
        <f>IF(AND(ISNUMBER(Base_IFData!O179),ISNUMBER(Base_IFData!Q179)),IF(Base_IFData!Q179&gt;0,Base_IFData!O179/Base_IFData!Q179,"PL ≤ 0"),"NI")</f>
        <v>3.3999636609236528</v>
      </c>
      <c r="O178" s="110">
        <f>IF(AND(ISNUMBER(Base_IFData!M179),ISNUMBER(Base_IFData!Q179)),IF(Base_IFData!Q179&gt;0,Base_IFData!M179/Base_IFData!Q179,"PL ≤ 0"),"NI")</f>
        <v>4.244040726573024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15" t="str">
        <f>Base_IFData!A180</f>
        <v>COOPERATIVA DE CRÉDITO DE LIVRE ADMISSÃO DE ASSOCIADOS DO VALE DO CANOINHAS - SICOOB CREDICANOINHAS/SC</v>
      </c>
      <c r="L179" s="15" t="str">
        <f>Base_IFData!F180</f>
        <v>b3S</v>
      </c>
      <c r="M179" s="17">
        <f>IF(AND(ISNUMBER(Base_IFData!L180),ISNUMBER(Base_IFData!W180)),IF(Base_IFData!L180&gt;$B$4,Base_IFData!W180,""),"")</f>
        <v>0.14047498736735725</v>
      </c>
      <c r="N179" s="50">
        <f>IF(AND(ISNUMBER(Base_IFData!O180),ISNUMBER(Base_IFData!Q180)),IF(Base_IFData!Q180&gt;0,Base_IFData!O180/Base_IFData!Q180,"PL ≤ 0"),"NI")</f>
        <v>7.5161392901325996</v>
      </c>
      <c r="O179" s="107">
        <f>IF(AND(ISNUMBER(Base_IFData!M180),ISNUMBER(Base_IFData!Q180)),IF(Base_IFData!Q180&gt;0,Base_IFData!M180/Base_IFData!Q180,"PL ≤ 0"),"NI")</f>
        <v>5.0596159095793185</v>
      </c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12" t="str">
        <f>Base_IFData!A181</f>
        <v>BANRISUL SOLUÇÕES EM PAGAMENTOS S.A. - INSTITUIÇÃO DE PAGAMENTO</v>
      </c>
      <c r="L180" s="12" t="str">
        <f>Base_IFData!F181</f>
        <v>n4</v>
      </c>
      <c r="M180" s="14">
        <f>IF(AND(ISNUMBER(Base_IFData!L181),ISNUMBER(Base_IFData!W181)),IF(Base_IFData!L181&gt;$B$4,Base_IFData!W181,""),"")</f>
        <v>7.8368316239735419E-2</v>
      </c>
      <c r="N180" s="51">
        <f>IF(AND(ISNUMBER(Base_IFData!O181),ISNUMBER(Base_IFData!Q181)),IF(Base_IFData!Q181&gt;0,Base_IFData!O181/Base_IFData!Q181,"PL ≤ 0"),"NI")</f>
        <v>0.94851969475408204</v>
      </c>
      <c r="O180" s="110">
        <f>IF(AND(ISNUMBER(Base_IFData!M181),ISNUMBER(Base_IFData!Q181)),IF(Base_IFData!Q181&gt;0,Base_IFData!M181/Base_IFData!Q181,"PL ≤ 0"),"NI")</f>
        <v>4.477998852975707E-3</v>
      </c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15" t="str">
        <f>Base_IFData!A182</f>
        <v>COOPERATIVA CENTRAL DE CRÉDITO E ECONOMIA COM INTERAÇÃO SOLIDÁRIA - CRESOL CENTRAL BRASIL</v>
      </c>
      <c r="L181" s="15" t="str">
        <f>Base_IFData!F182</f>
        <v>b3C</v>
      </c>
      <c r="M181" s="17">
        <f>IF(AND(ISNUMBER(Base_IFData!L182),ISNUMBER(Base_IFData!W182)),IF(Base_IFData!L182&gt;$B$4,Base_IFData!W182,""),"")</f>
        <v>1.7449458267601747E-2</v>
      </c>
      <c r="N181" s="50">
        <f>IF(AND(ISNUMBER(Base_IFData!O182),ISNUMBER(Base_IFData!Q182)),IF(Base_IFData!Q182&gt;0,Base_IFData!O182/Base_IFData!Q182,"PL ≤ 0"),"NI")</f>
        <v>13.988928458002071</v>
      </c>
      <c r="O181" s="107">
        <f>IF(AND(ISNUMBER(Base_IFData!M182),ISNUMBER(Base_IFData!Q182)),IF(Base_IFData!Q182&gt;0,Base_IFData!M182/Base_IFData!Q182,"PL ≤ 0"),"NI")</f>
        <v>0.304781094294238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12" t="str">
        <f>Base_IFData!A183</f>
        <v>COOPERATIVA DE CRÉDITO DO VALE DO ITAJAÍ E LITORAL CATARINENSE - SICREDI VALE LITORAL SC</v>
      </c>
      <c r="L182" s="12" t="str">
        <f>Base_IFData!F183</f>
        <v>b3S</v>
      </c>
      <c r="M182" s="14">
        <f>IF(AND(ISNUMBER(Base_IFData!L183),ISNUMBER(Base_IFData!W183)),IF(Base_IFData!L183&gt;$B$4,Base_IFData!W183,""),"")</f>
        <v>0.12712067898069826</v>
      </c>
      <c r="N182" s="51">
        <f>IF(AND(ISNUMBER(Base_IFData!O183),ISNUMBER(Base_IFData!Q183)),IF(Base_IFData!Q183&gt;0,Base_IFData!O183/Base_IFData!Q183,"PL ≤ 0"),"NI")</f>
        <v>6.4238035223616361</v>
      </c>
      <c r="O182" s="110">
        <f>IF(AND(ISNUMBER(Base_IFData!M183),ISNUMBER(Base_IFData!Q183)),IF(Base_IFData!Q183&gt;0,Base_IFData!M183/Base_IFData!Q183,"PL ≤ 0"),"NI")</f>
        <v>4.3350176325752905</v>
      </c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15" t="str">
        <f>Base_IFData!A184</f>
        <v>NEON PAGAMENTOS S.A. - INSTITUIÇÃO DE PAGAMENTO</v>
      </c>
      <c r="L183" s="15" t="str">
        <f>Base_IFData!F184</f>
        <v>n4</v>
      </c>
      <c r="M183" s="17">
        <f>IF(AND(ISNUMBER(Base_IFData!L184),ISNUMBER(Base_IFData!W184)),IF(Base_IFData!L184&gt;$B$4,Base_IFData!W184,""),"")</f>
        <v>0.13000330182838746</v>
      </c>
      <c r="N183" s="50">
        <f>IF(AND(ISNUMBER(Base_IFData!O184),ISNUMBER(Base_IFData!Q184)),IF(Base_IFData!Q184&gt;0,Base_IFData!O184/Base_IFData!Q184,"PL ≤ 0"),"NI")</f>
        <v>10.749541871311239</v>
      </c>
      <c r="O183" s="107">
        <f>IF(AND(ISNUMBER(Base_IFData!M184),ISNUMBER(Base_IFData!Q184)),IF(Base_IFData!Q184&gt;0,Base_IFData!M184/Base_IFData!Q184,"PL ≤ 0"),"NI")</f>
        <v>5.6739155557389909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12" t="str">
        <f>Base_IFData!A185</f>
        <v>BB-BANCO DE INVESTIMENTO S/A</v>
      </c>
      <c r="L184" s="12" t="str">
        <f>Base_IFData!F185</f>
        <v>b2</v>
      </c>
      <c r="M184" s="14">
        <f>IF(AND(ISNUMBER(Base_IFData!L185),ISNUMBER(Base_IFData!W185)),IF(Base_IFData!L185&gt;$B$4,Base_IFData!W185,""),"")</f>
        <v>0.24611074847693645</v>
      </c>
      <c r="N184" s="51">
        <f>IF(AND(ISNUMBER(Base_IFData!O185),ISNUMBER(Base_IFData!Q185)),IF(Base_IFData!Q185&gt;0,Base_IFData!O185/Base_IFData!Q185,"PL ≤ 0"),"NI")</f>
        <v>6.3519934518629038</v>
      </c>
      <c r="O184" s="110">
        <f>IF(AND(ISNUMBER(Base_IFData!M185),ISNUMBER(Base_IFData!Q185)),IF(Base_IFData!Q185&gt;0,Base_IFData!M185/Base_IFData!Q185,"PL ≤ 0"),"NI")</f>
        <v>0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15" t="str">
        <f>Base_IFData!A186</f>
        <v>WARREN RENA DISTRIBUIDORA DE TÍTULOS E VALORES MOBILIÁRIOS LTDA</v>
      </c>
      <c r="L185" s="15" t="str">
        <f>Base_IFData!F186</f>
        <v>n2</v>
      </c>
      <c r="M185" s="17">
        <f>IF(AND(ISNUMBER(Base_IFData!L186),ISNUMBER(Base_IFData!W186)),IF(Base_IFData!L186&gt;$B$4,Base_IFData!W186,""),"")</f>
        <v>-0.23406901452937459</v>
      </c>
      <c r="N185" s="50">
        <f>IF(AND(ISNUMBER(Base_IFData!O186),ISNUMBER(Base_IFData!Q186)),IF(Base_IFData!Q186&gt;0,Base_IFData!O186/Base_IFData!Q186,"PL ≤ 0"),"NI")</f>
        <v>110.98215413771321</v>
      </c>
      <c r="O185" s="107">
        <f>IF(AND(ISNUMBER(Base_IFData!M186),ISNUMBER(Base_IFData!Q186)),IF(Base_IFData!Q186&gt;0,Base_IFData!M186/Base_IFData!Q186,"PL ≤ 0"),"NI")</f>
        <v>0</v>
      </c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12" t="str">
        <f>Base_IFData!A187</f>
        <v>MAREE INSTITUIÇÃO DE PAGAMENTO LTDA.</v>
      </c>
      <c r="L186" s="12" t="str">
        <f>Base_IFData!F187</f>
        <v>n4</v>
      </c>
      <c r="M186" s="14">
        <f>IF(AND(ISNUMBER(Base_IFData!L187),ISNUMBER(Base_IFData!W187)),IF(Base_IFData!L187&gt;$B$4,Base_IFData!W187,""),"")</f>
        <v>0.44348271422117969</v>
      </c>
      <c r="N186" s="51">
        <f>IF(AND(ISNUMBER(Base_IFData!O187),ISNUMBER(Base_IFData!Q187)),IF(Base_IFData!Q187&gt;0,Base_IFData!O187/Base_IFData!Q187,"PL ≤ 0"),"NI")</f>
        <v>12.540759458199361</v>
      </c>
      <c r="O186" s="110">
        <f>IF(AND(ISNUMBER(Base_IFData!M187),ISNUMBER(Base_IFData!Q187)),IF(Base_IFData!Q187&gt;0,Base_IFData!M187/Base_IFData!Q187,"PL ≤ 0"),"NI")</f>
        <v>0</v>
      </c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15" t="str">
        <f>Base_IFData!A188</f>
        <v>IFOOD PAGO INSTITUIÇÃO DE PAGAMENTO S.A.</v>
      </c>
      <c r="L187" s="15" t="str">
        <f>Base_IFData!F188</f>
        <v>n4</v>
      </c>
      <c r="M187" s="17">
        <f>IF(AND(ISNUMBER(Base_IFData!L188),ISNUMBER(Base_IFData!W188)),IF(Base_IFData!L188&gt;$B$4,Base_IFData!W188,""),"")</f>
        <v>0.34971189893960186</v>
      </c>
      <c r="N187" s="50">
        <f>IF(AND(ISNUMBER(Base_IFData!O188),ISNUMBER(Base_IFData!Q188)),IF(Base_IFData!Q188&gt;0,Base_IFData!O188/Base_IFData!Q188,"PL ≤ 0"),"NI")</f>
        <v>11.419199790713812</v>
      </c>
      <c r="O187" s="107">
        <f>IF(AND(ISNUMBER(Base_IFData!M188),ISNUMBER(Base_IFData!Q188)),IF(Base_IFData!Q188&gt;0,Base_IFData!M188/Base_IFData!Q188,"PL ≤ 0"),"NI")</f>
        <v>0</v>
      </c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12" t="str">
        <f>Base_IFData!A189</f>
        <v>COOPERATIVA DE CRÉDITO, POUPANÇA E INVESTIMENTO OURO BRANCO - SICREDI OURO BRANCO RS/MG</v>
      </c>
      <c r="L188" s="12" t="str">
        <f>Base_IFData!F189</f>
        <v>b3S</v>
      </c>
      <c r="M188" s="14">
        <f>IF(AND(ISNUMBER(Base_IFData!L189),ISNUMBER(Base_IFData!W189)),IF(Base_IFData!L189&gt;$B$4,Base_IFData!W189,""),"")</f>
        <v>8.7580193837288101E-2</v>
      </c>
      <c r="N188" s="51">
        <f>IF(AND(ISNUMBER(Base_IFData!O189),ISNUMBER(Base_IFData!Q189)),IF(Base_IFData!Q189&gt;0,Base_IFData!O189/Base_IFData!Q189,"PL ≤ 0"),"NI")</f>
        <v>6.6487991540234477</v>
      </c>
      <c r="O188" s="110">
        <f>IF(AND(ISNUMBER(Base_IFData!M189),ISNUMBER(Base_IFData!Q189)),IF(Base_IFData!Q189&gt;0,Base_IFData!M189/Base_IFData!Q189,"PL ≤ 0"),"NI")</f>
        <v>4.1773335384521566</v>
      </c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15" t="str">
        <f>Base_IFData!A190</f>
        <v>COOPERATIVA DE CRÉDITO, POUPANÇA E INVESTIMENTO INTERESTADOS - SICREDI INTERESTADOS</v>
      </c>
      <c r="L189" s="15" t="str">
        <f>Base_IFData!F190</f>
        <v>b3S</v>
      </c>
      <c r="M189" s="17">
        <f>IF(AND(ISNUMBER(Base_IFData!L190),ISNUMBER(Base_IFData!W190)),IF(Base_IFData!L190&gt;$B$4,Base_IFData!W190,""),"")</f>
        <v>9.2409678760558445E-2</v>
      </c>
      <c r="N189" s="50">
        <f>IF(AND(ISNUMBER(Base_IFData!O190),ISNUMBER(Base_IFData!Q190)),IF(Base_IFData!Q190&gt;0,Base_IFData!O190/Base_IFData!Q190,"PL ≤ 0"),"NI")</f>
        <v>6.4960255372226356</v>
      </c>
      <c r="O189" s="107">
        <f>IF(AND(ISNUMBER(Base_IFData!M190),ISNUMBER(Base_IFData!Q190)),IF(Base_IFData!Q190&gt;0,Base_IFData!M190/Base_IFData!Q190,"PL ≤ 0"),"NI")</f>
        <v>3.3017774300844676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12" t="str">
        <f>Base_IFData!A191</f>
        <v>PEFISA S.A. - CRÉDITO, FINANCIAMENTO E INVESTIMENTO</v>
      </c>
      <c r="L190" s="12" t="str">
        <f>Base_IFData!F191</f>
        <v>n1</v>
      </c>
      <c r="M190" s="14">
        <f>IF(AND(ISNUMBER(Base_IFData!L191),ISNUMBER(Base_IFData!W191)),IF(Base_IFData!L191&gt;$B$4,Base_IFData!W191,""),"")</f>
        <v>5.2775525221125975E-3</v>
      </c>
      <c r="N190" s="51">
        <f>IF(AND(ISNUMBER(Base_IFData!O191),ISNUMBER(Base_IFData!Q191)),IF(Base_IFData!Q191&gt;0,Base_IFData!O191/Base_IFData!Q191,"PL ≤ 0"),"NI")</f>
        <v>4.0649008499647099</v>
      </c>
      <c r="O190" s="110">
        <f>IF(AND(ISNUMBER(Base_IFData!M191),ISNUMBER(Base_IFData!Q191)),IF(Base_IFData!Q191&gt;0,Base_IFData!M191/Base_IFData!Q191,"PL ≤ 0"),"NI")</f>
        <v>2.9533401660885104</v>
      </c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15" t="str">
        <f>Base_IFData!A192</f>
        <v>BANCO GENIAL S.A.</v>
      </c>
      <c r="L191" s="15" t="str">
        <f>Base_IFData!F192</f>
        <v>b1</v>
      </c>
      <c r="M191" s="17">
        <f>IF(AND(ISNUMBER(Base_IFData!L192),ISNUMBER(Base_IFData!W192)),IF(Base_IFData!L192&gt;$B$4,Base_IFData!W192,""),"")</f>
        <v>-0.51866469330702192</v>
      </c>
      <c r="N191" s="50">
        <f>IF(AND(ISNUMBER(Base_IFData!O192),ISNUMBER(Base_IFData!Q192)),IF(Base_IFData!Q192&gt;0,Base_IFData!O192/Base_IFData!Q192,"PL ≤ 0"),"NI")</f>
        <v>37.29980766893317</v>
      </c>
      <c r="O191" s="107">
        <f>IF(AND(ISNUMBER(Base_IFData!M192),ISNUMBER(Base_IFData!Q192)),IF(Base_IFData!Q192&gt;0,Base_IFData!M192/Base_IFData!Q192,"PL ≤ 0"),"NI")</f>
        <v>2.4962570515432958</v>
      </c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12" t="str">
        <f>Base_IFData!A193</f>
        <v>BB-LEASING S/A ARRENDAMENTO MERCANTIL</v>
      </c>
      <c r="L192" s="12" t="str">
        <f>Base_IFData!F193</f>
        <v>n1</v>
      </c>
      <c r="M192" s="14">
        <f>IF(AND(ISNUMBER(Base_IFData!L193),ISNUMBER(Base_IFData!W193)),IF(Base_IFData!L193&gt;$B$4,Base_IFData!W193,""),"")</f>
        <v>4.0269514157136789E-2</v>
      </c>
      <c r="N192" s="51">
        <f>IF(AND(ISNUMBER(Base_IFData!O193),ISNUMBER(Base_IFData!Q193)),IF(Base_IFData!Q193&gt;0,Base_IFData!O193/Base_IFData!Q193,"PL ≤ 0"),"NI")</f>
        <v>0.10226296213809839</v>
      </c>
      <c r="O192" s="110">
        <f>IF(AND(ISNUMBER(Base_IFData!M193),ISNUMBER(Base_IFData!Q193)),IF(Base_IFData!Q193&gt;0,Base_IFData!M193/Base_IFData!Q193,"PL ≤ 0"),"NI")</f>
        <v>0.16224374821144219</v>
      </c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15" t="str">
        <f>Base_IFData!A194</f>
        <v>COOPERATIVA DE CRÉDITO DE LIVRE ADMISSÃO DO SUDOESTE GOIANO</v>
      </c>
      <c r="L193" s="15" t="str">
        <f>Base_IFData!F194</f>
        <v>b3S</v>
      </c>
      <c r="M193" s="17">
        <f>IF(AND(ISNUMBER(Base_IFData!L194),ISNUMBER(Base_IFData!W194)),IF(Base_IFData!L194&gt;$B$4,Base_IFData!W194,""),"")</f>
        <v>3.622808040748085E-2</v>
      </c>
      <c r="N193" s="50">
        <f>IF(AND(ISNUMBER(Base_IFData!O194),ISNUMBER(Base_IFData!Q194)),IF(Base_IFData!Q194&gt;0,Base_IFData!O194/Base_IFData!Q194,"PL ≤ 0"),"NI")</f>
        <v>2.4055212100003889</v>
      </c>
      <c r="O193" s="107">
        <f>IF(AND(ISNUMBER(Base_IFData!M194),ISNUMBER(Base_IFData!Q194)),IF(Base_IFData!Q194&gt;0,Base_IFData!M194/Base_IFData!Q194,"PL ≤ 0"),"NI")</f>
        <v>1.5645288178648729</v>
      </c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12" t="str">
        <f>Base_IFData!A195</f>
        <v>COOPERATIVA DE CRÉDITO, POUPANÇA E INVESTIMENTO DA REGIÃO ALTOS DA SERRA - SICREDI ALTOS DA SERRA RS/SC</v>
      </c>
      <c r="L194" s="12" t="str">
        <f>Base_IFData!F195</f>
        <v>b3S</v>
      </c>
      <c r="M194" s="14">
        <f>IF(AND(ISNUMBER(Base_IFData!L195),ISNUMBER(Base_IFData!W195)),IF(Base_IFData!L195&gt;$B$4,Base_IFData!W195,""),"")</f>
        <v>7.8064572923812942E-2</v>
      </c>
      <c r="N194" s="51">
        <f>IF(AND(ISNUMBER(Base_IFData!O195),ISNUMBER(Base_IFData!Q195)),IF(Base_IFData!Q195&gt;0,Base_IFData!O195/Base_IFData!Q195,"PL ≤ 0"),"NI")</f>
        <v>6.9487001633143715</v>
      </c>
      <c r="O194" s="110">
        <f>IF(AND(ISNUMBER(Base_IFData!M195),ISNUMBER(Base_IFData!Q195)),IF(Base_IFData!Q195&gt;0,Base_IFData!M195/Base_IFData!Q195,"PL ≤ 0"),"NI")</f>
        <v>4.9629734750748273</v>
      </c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15" t="str">
        <f>Base_IFData!A196</f>
        <v>COOPERATIVA DE CRÉDITO, POUPANÇA E INVESTIMENTO DO NORTE E NORDESTE DE SANTA CATARINA - SICREDI NORTE SC</v>
      </c>
      <c r="L195" s="15" t="str">
        <f>Base_IFData!F196</f>
        <v>b3S</v>
      </c>
      <c r="M195" s="17">
        <f>IF(AND(ISNUMBER(Base_IFData!L196),ISNUMBER(Base_IFData!W196)),IF(Base_IFData!L196&gt;$B$4,Base_IFData!W196,""),"")</f>
        <v>0.10815805720785773</v>
      </c>
      <c r="N195" s="50">
        <f>IF(AND(ISNUMBER(Base_IFData!O196),ISNUMBER(Base_IFData!Q196)),IF(Base_IFData!Q196&gt;0,Base_IFData!O196/Base_IFData!Q196,"PL ≤ 0"),"NI")</f>
        <v>6.061433668417064</v>
      </c>
      <c r="O195" s="107">
        <f>IF(AND(ISNUMBER(Base_IFData!M196),ISNUMBER(Base_IFData!Q196)),IF(Base_IFData!Q196&gt;0,Base_IFData!M196/Base_IFData!Q196,"PL ≤ 0"),"NI")</f>
        <v>3.3801608455944439</v>
      </c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12" t="str">
        <f>Base_IFData!A197</f>
        <v>NU INVESTIMENTOS S.A. - CORRETORA DE TÍTULOS E VALORES MOBILIÁRIOS</v>
      </c>
      <c r="L196" s="12" t="str">
        <f>Base_IFData!F197</f>
        <v>n2</v>
      </c>
      <c r="M196" s="14">
        <f>IF(AND(ISNUMBER(Base_IFData!L197),ISNUMBER(Base_IFData!W197)),IF(Base_IFData!L197&gt;$B$4,Base_IFData!W197,""),"")</f>
        <v>2.0815707664387357E-2</v>
      </c>
      <c r="N196" s="51">
        <f>IF(AND(ISNUMBER(Base_IFData!O197),ISNUMBER(Base_IFData!Q197)),IF(Base_IFData!Q197&gt;0,Base_IFData!O197/Base_IFData!Q197,"PL ≤ 0"),"NI")</f>
        <v>7.7874974701981042E-2</v>
      </c>
      <c r="O196" s="110">
        <f>IF(AND(ISNUMBER(Base_IFData!M197),ISNUMBER(Base_IFData!Q197)),IF(Base_IFData!Q197&gt;0,Base_IFData!M197/Base_IFData!Q197,"PL ≤ 0"),"NI")</f>
        <v>0</v>
      </c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15" t="str">
        <f>Base_IFData!A198</f>
        <v>COOPERATIVA DE CRÉDITO, POUPANÇA E INVESTIMENTO FRONTEIRAS DO PARANÁ, SANTA CATARINA E SÃO PAULO - SICREDI FRONTEIRAS PR/SC/SP</v>
      </c>
      <c r="L197" s="15" t="str">
        <f>Base_IFData!F198</f>
        <v>b3S</v>
      </c>
      <c r="M197" s="17">
        <f>IF(AND(ISNUMBER(Base_IFData!L198),ISNUMBER(Base_IFData!W198)),IF(Base_IFData!L198&gt;$B$4,Base_IFData!W198,""),"")</f>
        <v>2.6058626191619652E-2</v>
      </c>
      <c r="N197" s="50">
        <f>IF(AND(ISNUMBER(Base_IFData!O198),ISNUMBER(Base_IFData!Q198)),IF(Base_IFData!Q198&gt;0,Base_IFData!O198/Base_IFData!Q198,"PL ≤ 0"),"NI")</f>
        <v>8.0081168231450839</v>
      </c>
      <c r="O197" s="107">
        <f>IF(AND(ISNUMBER(Base_IFData!M198),ISNUMBER(Base_IFData!Q198)),IF(Base_IFData!Q198&gt;0,Base_IFData!M198/Base_IFData!Q198,"PL ≤ 0"),"NI")</f>
        <v>5.2903989627917367</v>
      </c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12" t="str">
        <f>Base_IFData!A199</f>
        <v>COOPERATIVA DE CRÉDITO, POUPANÇA E INVESTIMENTO DAS REGIÕES CENTRO DO RS E MG - SICREDI REGIÃO CENTRO RS/MG</v>
      </c>
      <c r="L198" s="12" t="str">
        <f>Base_IFData!F199</f>
        <v>b3S</v>
      </c>
      <c r="M198" s="14">
        <f>IF(AND(ISNUMBER(Base_IFData!L199),ISNUMBER(Base_IFData!W199)),IF(Base_IFData!L199&gt;$B$4,Base_IFData!W199,""),"")</f>
        <v>5.8611641431895532E-2</v>
      </c>
      <c r="N198" s="51">
        <f>IF(AND(ISNUMBER(Base_IFData!O199),ISNUMBER(Base_IFData!Q199)),IF(Base_IFData!Q199&gt;0,Base_IFData!O199/Base_IFData!Q199,"PL ≤ 0"),"NI")</f>
        <v>6.4720245572025732</v>
      </c>
      <c r="O198" s="110">
        <f>IF(AND(ISNUMBER(Base_IFData!M199),ISNUMBER(Base_IFData!Q199)),IF(Base_IFData!Q199&gt;0,Base_IFData!M199/Base_IFData!Q199,"PL ≤ 0"),"NI")</f>
        <v>4.1563727235020194</v>
      </c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15" t="str">
        <f>Base_IFData!A200</f>
        <v>COOPERATIVA DE CRÉDITO, POUPANÇA E INVESTIMENTO DE LAJEADO - SICREDI INTEGRAÇÃO RS/MG</v>
      </c>
      <c r="L199" s="15" t="str">
        <f>Base_IFData!F200</f>
        <v>b3S</v>
      </c>
      <c r="M199" s="17">
        <f>IF(AND(ISNUMBER(Base_IFData!L200),ISNUMBER(Base_IFData!W200)),IF(Base_IFData!L200&gt;$B$4,Base_IFData!W200,""),"")</f>
        <v>0.12587958372920061</v>
      </c>
      <c r="N199" s="50">
        <f>IF(AND(ISNUMBER(Base_IFData!O200),ISNUMBER(Base_IFData!Q200)),IF(Base_IFData!Q200&gt;0,Base_IFData!O200/Base_IFData!Q200,"PL ≤ 0"),"NI")</f>
        <v>5.9039714506736756</v>
      </c>
      <c r="O199" s="107">
        <f>IF(AND(ISNUMBER(Base_IFData!M200),ISNUMBER(Base_IFData!Q200)),IF(Base_IFData!Q200&gt;0,Base_IFData!M200/Base_IFData!Q200,"PL ≤ 0"),"NI")</f>
        <v>3.1067869459639463</v>
      </c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12" t="str">
        <f>Base_IFData!A201</f>
        <v>COOPERATIVA DE CRÉDITO COOPERMAIS - SICOOB COOPERMAIS</v>
      </c>
      <c r="L200" s="12" t="str">
        <f>Base_IFData!F201</f>
        <v>b3S</v>
      </c>
      <c r="M200" s="14">
        <f>IF(AND(ISNUMBER(Base_IFData!L201),ISNUMBER(Base_IFData!W201)),IF(Base_IFData!L201&gt;$B$4,Base_IFData!W201,""),"")</f>
        <v>0.12700022776884151</v>
      </c>
      <c r="N200" s="51">
        <f>IF(AND(ISNUMBER(Base_IFData!O201),ISNUMBER(Base_IFData!Q201)),IF(Base_IFData!Q201&gt;0,Base_IFData!O201/Base_IFData!Q201,"PL ≤ 0"),"NI")</f>
        <v>6.0759800072716263</v>
      </c>
      <c r="O200" s="110">
        <f>IF(AND(ISNUMBER(Base_IFData!M201),ISNUMBER(Base_IFData!Q201)),IF(Base_IFData!Q201&gt;0,Base_IFData!M201/Base_IFData!Q201,"PL ≤ 0"),"NI")</f>
        <v>3.4883646904536563</v>
      </c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15" t="str">
        <f>Base_IFData!A202</f>
        <v>COOPERATIVA DE CRÉDITO E INVESTIMENTO DE LIVRE ADMISSÃO AGROEMPRESARIAL - SICREDI AGROEMPRESARIAL PR/SP</v>
      </c>
      <c r="L201" s="15" t="str">
        <f>Base_IFData!F202</f>
        <v>b3S</v>
      </c>
      <c r="M201" s="17">
        <f>IF(AND(ISNUMBER(Base_IFData!L202),ISNUMBER(Base_IFData!W202)),IF(Base_IFData!L202&gt;$B$4,Base_IFData!W202,""),"")</f>
        <v>0.11483860929240319</v>
      </c>
      <c r="N201" s="50">
        <f>IF(AND(ISNUMBER(Base_IFData!O202),ISNUMBER(Base_IFData!Q202)),IF(Base_IFData!Q202&gt;0,Base_IFData!O202/Base_IFData!Q202,"PL ≤ 0"),"NI")</f>
        <v>9.2396620274259789</v>
      </c>
      <c r="O201" s="107">
        <f>IF(AND(ISNUMBER(Base_IFData!M202),ISNUMBER(Base_IFData!Q202)),IF(Base_IFData!Q202&gt;0,Base_IFData!M202/Base_IFData!Q202,"PL ≤ 0"),"NI")</f>
        <v>4.924869278235696</v>
      </c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12" t="str">
        <f>Base_IFData!A203</f>
        <v>FINANCEIRA ALFA S.A. - SOCIEDADE DE CRÉDITO, FINANCIAMENTO E INVESTIMENTO</v>
      </c>
      <c r="L202" s="12" t="str">
        <f>Base_IFData!F203</f>
        <v>n1</v>
      </c>
      <c r="M202" s="14">
        <f>IF(AND(ISNUMBER(Base_IFData!L203),ISNUMBER(Base_IFData!W203)),IF(Base_IFData!L203&gt;$B$4,Base_IFData!W203,""),"")</f>
        <v>6.5627009069547673E-2</v>
      </c>
      <c r="N202" s="51">
        <f>IF(AND(ISNUMBER(Base_IFData!O203),ISNUMBER(Base_IFData!Q203)),IF(Base_IFData!Q203&gt;0,Base_IFData!O203/Base_IFData!Q203,"PL ≤ 0"),"NI")</f>
        <v>3.7127973422930558</v>
      </c>
      <c r="O202" s="110">
        <f>IF(AND(ISNUMBER(Base_IFData!M203),ISNUMBER(Base_IFData!Q203)),IF(Base_IFData!Q203&gt;0,Base_IFData!M203/Base_IFData!Q203,"PL ≤ 0"),"NI")</f>
        <v>2.8788303899235221</v>
      </c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15" t="str">
        <f>Base_IFData!A204</f>
        <v>J.P. MORGAN CORRETORA DE TÍTULOS E VALORES MOBILIÁRIOS S.A.</v>
      </c>
      <c r="L203" s="15" t="str">
        <f>Base_IFData!F204</f>
        <v>n2</v>
      </c>
      <c r="M203" s="17">
        <f>IF(AND(ISNUMBER(Base_IFData!L204),ISNUMBER(Base_IFData!W204)),IF(Base_IFData!L204&gt;$B$4,Base_IFData!W204,""),"")</f>
        <v>8.3294328619575295E-2</v>
      </c>
      <c r="N203" s="50">
        <f>IF(AND(ISNUMBER(Base_IFData!O204),ISNUMBER(Base_IFData!Q204)),IF(Base_IFData!Q204&gt;0,Base_IFData!O204/Base_IFData!Q204,"PL ≤ 0"),"NI")</f>
        <v>1.1738797239387464</v>
      </c>
      <c r="O203" s="107">
        <f>IF(AND(ISNUMBER(Base_IFData!M204),ISNUMBER(Base_IFData!Q204)),IF(Base_IFData!Q204&gt;0,Base_IFData!M204/Base_IFData!Q204,"PL ≤ 0"),"NI")</f>
        <v>0</v>
      </c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12" t="str">
        <f>Base_IFData!A205</f>
        <v>COOPERATIVA DE CRÉDITO, POUPANÇA E INVESTIMENTO CELEIRO CENTRO OESTE - SICREDI CELEIRO CENTRO OESTE</v>
      </c>
      <c r="L204" s="12" t="str">
        <f>Base_IFData!F205</f>
        <v>b3S</v>
      </c>
      <c r="M204" s="14">
        <f>IF(AND(ISNUMBER(Base_IFData!L205),ISNUMBER(Base_IFData!W205)),IF(Base_IFData!L205&gt;$B$4,Base_IFData!W205,""),"")</f>
        <v>2.2755243222858948E-2</v>
      </c>
      <c r="N204" s="51">
        <f>IF(AND(ISNUMBER(Base_IFData!O205),ISNUMBER(Base_IFData!Q205)),IF(Base_IFData!Q205&gt;0,Base_IFData!O205/Base_IFData!Q205,"PL ≤ 0"),"NI")</f>
        <v>5.3132620222749383</v>
      </c>
      <c r="O204" s="110">
        <f>IF(AND(ISNUMBER(Base_IFData!M205),ISNUMBER(Base_IFData!Q205)),IF(Base_IFData!Q205&gt;0,Base_IFData!M205/Base_IFData!Q205,"PL ≤ 0"),"NI")</f>
        <v>3.2405219398714262</v>
      </c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15" t="str">
        <f>Base_IFData!A206</f>
        <v>COOPERATIVA DE CRÉDITO DE LIVRE ADMISSÃO DO CENTRO NORTE BRASILEIRO</v>
      </c>
      <c r="L205" s="15" t="str">
        <f>Base_IFData!F206</f>
        <v>b3S</v>
      </c>
      <c r="M205" s="17">
        <f>IF(AND(ISNUMBER(Base_IFData!L206),ISNUMBER(Base_IFData!W206)),IF(Base_IFData!L206&gt;$B$4,Base_IFData!W206,""),"")</f>
        <v>7.4702260308772528E-2</v>
      </c>
      <c r="N205" s="50">
        <f>IF(AND(ISNUMBER(Base_IFData!O206),ISNUMBER(Base_IFData!Q206)),IF(Base_IFData!Q206&gt;0,Base_IFData!O206/Base_IFData!Q206,"PL ≤ 0"),"NI")</f>
        <v>7.9885874858535812</v>
      </c>
      <c r="O205" s="107">
        <f>IF(AND(ISNUMBER(Base_IFData!M206),ISNUMBER(Base_IFData!Q206)),IF(Base_IFData!Q206&gt;0,Base_IFData!M206/Base_IFData!Q206,"PL ≤ 0"),"NI")</f>
        <v>5.1486213088623991</v>
      </c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12" t="str">
        <f>Base_IFData!A207</f>
        <v>NOVO BANCO CONTINENTAL S.A. - BANCO MÚLTIPLO</v>
      </c>
      <c r="L206" s="12" t="str">
        <f>Base_IFData!F207</f>
        <v>b1</v>
      </c>
      <c r="M206" s="14">
        <f>IF(AND(ISNUMBER(Base_IFData!L207),ISNUMBER(Base_IFData!W207)),IF(Base_IFData!L207&gt;$B$4,Base_IFData!W207,""),"")</f>
        <v>-5.2658029930757203E-2</v>
      </c>
      <c r="N206" s="51">
        <f>IF(AND(ISNUMBER(Base_IFData!O207),ISNUMBER(Base_IFData!Q207)),IF(Base_IFData!Q207&gt;0,Base_IFData!O207/Base_IFData!Q207,"PL ≤ 0"),"NI")</f>
        <v>15.987708007594371</v>
      </c>
      <c r="O206" s="110">
        <f>IF(AND(ISNUMBER(Base_IFData!M207),ISNUMBER(Base_IFData!Q207)),IF(Base_IFData!Q207&gt;0,Base_IFData!M207/Base_IFData!Q207,"PL ≤ 0"),"NI")</f>
        <v>14.163589596828233</v>
      </c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15" t="str">
        <f>Base_IFData!A208</f>
        <v>COOPERATIVA DE CRÉDITO, POUPANÇA E INVESTIMENTO SUL RIOGRANDENSE - SICREDI ORIGENS RS</v>
      </c>
      <c r="L207" s="15" t="str">
        <f>Base_IFData!F208</f>
        <v>b3S</v>
      </c>
      <c r="M207" s="17">
        <f>IF(AND(ISNUMBER(Base_IFData!L208),ISNUMBER(Base_IFData!W208)),IF(Base_IFData!L208&gt;$B$4,Base_IFData!W208,""),"")</f>
        <v>7.6754300382882584E-2</v>
      </c>
      <c r="N207" s="50">
        <f>IF(AND(ISNUMBER(Base_IFData!O208),ISNUMBER(Base_IFData!Q208)),IF(Base_IFData!Q208&gt;0,Base_IFData!O208/Base_IFData!Q208,"PL ≤ 0"),"NI")</f>
        <v>9.457063381594752</v>
      </c>
      <c r="O207" s="107">
        <f>IF(AND(ISNUMBER(Base_IFData!M208),ISNUMBER(Base_IFData!Q208)),IF(Base_IFData!Q208&gt;0,Base_IFData!M208/Base_IFData!Q208,"PL ≤ 0"),"NI")</f>
        <v>4.4742909300621374</v>
      </c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12" t="str">
        <f>Base_IFData!A209</f>
        <v>COOPERATIVA DE CRÉDITO, POUPANÇA E INVESTIMENTO DO ARAGUAIA E XINGU - SICREDI ARAXINGU</v>
      </c>
      <c r="L208" s="12" t="str">
        <f>Base_IFData!F209</f>
        <v>b3S</v>
      </c>
      <c r="M208" s="14">
        <f>IF(AND(ISNUMBER(Base_IFData!L209),ISNUMBER(Base_IFData!W209)),IF(Base_IFData!L209&gt;$B$4,Base_IFData!W209,""),"")</f>
        <v>-0.16938412768874705</v>
      </c>
      <c r="N208" s="51">
        <f>IF(AND(ISNUMBER(Base_IFData!O209),ISNUMBER(Base_IFData!Q209)),IF(Base_IFData!Q209&gt;0,Base_IFData!O209/Base_IFData!Q209,"PL ≤ 0"),"NI")</f>
        <v>7.6080734457310299</v>
      </c>
      <c r="O208" s="110">
        <f>IF(AND(ISNUMBER(Base_IFData!M209),ISNUMBER(Base_IFData!Q209)),IF(Base_IFData!Q209&gt;0,Base_IFData!M209/Base_IFData!Q209,"PL ≤ 0"),"NI")</f>
        <v>5.4227103250392448</v>
      </c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15" t="str">
        <f>Base_IFData!A210</f>
        <v>CREDICOAMO CREDITO RURAL COOPERATIVA</v>
      </c>
      <c r="L209" s="15" t="str">
        <f>Base_IFData!F210</f>
        <v>b3S</v>
      </c>
      <c r="M209" s="17">
        <f>IF(AND(ISNUMBER(Base_IFData!L210),ISNUMBER(Base_IFData!W210)),IF(Base_IFData!L210&gt;$B$4,Base_IFData!W210,""),"")</f>
        <v>8.2875814551898949E-2</v>
      </c>
      <c r="N209" s="50">
        <f>IF(AND(ISNUMBER(Base_IFData!O210),ISNUMBER(Base_IFData!Q210)),IF(Base_IFData!Q210&gt;0,Base_IFData!O210/Base_IFData!Q210,"PL ≤ 0"),"NI")</f>
        <v>1.6159528567959804</v>
      </c>
      <c r="O209" s="107">
        <f>IF(AND(ISNUMBER(Base_IFData!M210),ISNUMBER(Base_IFData!Q210)),IF(Base_IFData!Q210&gt;0,Base_IFData!M210/Base_IFData!Q210,"PL ≤ 0"),"NI")</f>
        <v>1.1606964906286017</v>
      </c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12" t="str">
        <f>Base_IFData!A211</f>
        <v>COOPERATIVA DE CRÉDITO, POUPANÇA E INVESTIMENTO DA REGIÃO DA PRODUÇÃO - SICREDI REGIÃO DA PRODUÇÃO RS/SC/MG</v>
      </c>
      <c r="L210" s="12" t="str">
        <f>Base_IFData!F211</f>
        <v>b3S</v>
      </c>
      <c r="M210" s="14">
        <f>IF(AND(ISNUMBER(Base_IFData!L211),ISNUMBER(Base_IFData!W211)),IF(Base_IFData!L211&gt;$B$4,Base_IFData!W211,""),"")</f>
        <v>-4.6764215480030541E-2</v>
      </c>
      <c r="N210" s="51">
        <f>IF(AND(ISNUMBER(Base_IFData!O211),ISNUMBER(Base_IFData!Q211)),IF(Base_IFData!Q211&gt;0,Base_IFData!O211/Base_IFData!Q211,"PL ≤ 0"),"NI")</f>
        <v>9.5599039204293756</v>
      </c>
      <c r="O210" s="110">
        <f>IF(AND(ISNUMBER(Base_IFData!M211),ISNUMBER(Base_IFData!Q211)),IF(Base_IFData!Q211&gt;0,Base_IFData!M211/Base_IFData!Q211,"PL ≤ 0"),"NI")</f>
        <v>5.8971507821491462</v>
      </c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15" t="str">
        <f>Base_IFData!A212</f>
        <v>SAFRA LEASING S.A. ARRENDAMENTO MERCANTIL</v>
      </c>
      <c r="L211" s="15" t="str">
        <f>Base_IFData!F212</f>
        <v>n1</v>
      </c>
      <c r="M211" s="17">
        <f>IF(AND(ISNUMBER(Base_IFData!L212),ISNUMBER(Base_IFData!W212)),IF(Base_IFData!L212&gt;$B$4,Base_IFData!W212,""),"")</f>
        <v>5.600690630415478E-2</v>
      </c>
      <c r="N211" s="50">
        <f>IF(AND(ISNUMBER(Base_IFData!O212),ISNUMBER(Base_IFData!Q212)),IF(Base_IFData!Q212&gt;0,Base_IFData!O212/Base_IFData!Q212,"PL ≤ 0"),"NI")</f>
        <v>2.7749345160565193</v>
      </c>
      <c r="O211" s="107">
        <f>IF(AND(ISNUMBER(Base_IFData!M212),ISNUMBER(Base_IFData!Q212)),IF(Base_IFData!Q212&gt;0,Base_IFData!M212/Base_IFData!Q212,"PL ≤ 0"),"NI")</f>
        <v>2.3064425359464202</v>
      </c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12" t="str">
        <f>Base_IFData!A213</f>
        <v>COOPERATIVA DE CRÉDITO, POUPANÇA E INVESTIMENTO SOMA PR/SC/SP - SICREDI SOMA</v>
      </c>
      <c r="L212" s="12" t="str">
        <f>Base_IFData!F213</f>
        <v>b3S</v>
      </c>
      <c r="M212" s="14">
        <f>IF(AND(ISNUMBER(Base_IFData!L213),ISNUMBER(Base_IFData!W213)),IF(Base_IFData!L213&gt;$B$4,Base_IFData!W213,""),"")</f>
        <v>6.8093063709502064E-2</v>
      </c>
      <c r="N212" s="51">
        <f>IF(AND(ISNUMBER(Base_IFData!O213),ISNUMBER(Base_IFData!Q213)),IF(Base_IFData!Q213&gt;0,Base_IFData!O213/Base_IFData!Q213,"PL ≤ 0"),"NI")</f>
        <v>9.2436768862796264</v>
      </c>
      <c r="O212" s="110">
        <f>IF(AND(ISNUMBER(Base_IFData!M213),ISNUMBER(Base_IFData!Q213)),IF(Base_IFData!Q213&gt;0,Base_IFData!M213/Base_IFData!Q213,"PL ≤ 0"),"NI")</f>
        <v>5.6630050010871926</v>
      </c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15" t="str">
        <f>Base_IFData!A214</f>
        <v>COOPERATIVA DE CRÉDITO, POUPANÇA E INVESTIMENTO DE IBIRAIARAS - SICREDI IBIRAIARAS RS/MG</v>
      </c>
      <c r="L213" s="15" t="str">
        <f>Base_IFData!F214</f>
        <v>b3S</v>
      </c>
      <c r="M213" s="17">
        <f>IF(AND(ISNUMBER(Base_IFData!L214),ISNUMBER(Base_IFData!W214)),IF(Base_IFData!L214&gt;$B$4,Base_IFData!W214,""),"")</f>
        <v>5.9612142916518472E-2</v>
      </c>
      <c r="N213" s="50">
        <f>IF(AND(ISNUMBER(Base_IFData!O214),ISNUMBER(Base_IFData!Q214)),IF(Base_IFData!Q214&gt;0,Base_IFData!O214/Base_IFData!Q214,"PL ≤ 0"),"NI")</f>
        <v>5.4167112957141121</v>
      </c>
      <c r="O213" s="107">
        <f>IF(AND(ISNUMBER(Base_IFData!M214),ISNUMBER(Base_IFData!Q214)),IF(Base_IFData!Q214&gt;0,Base_IFData!M214/Base_IFData!Q214,"PL ≤ 0"),"NI")</f>
        <v>3.3288717913077606</v>
      </c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12" t="str">
        <f>Base_IFData!A215</f>
        <v>BANCO TRIANGULO S.A.</v>
      </c>
      <c r="L214" s="12" t="str">
        <f>Base_IFData!F215</f>
        <v>b1</v>
      </c>
      <c r="M214" s="14">
        <f>IF(AND(ISNUMBER(Base_IFData!L215),ISNUMBER(Base_IFData!W215)),IF(Base_IFData!L215&gt;$B$4,Base_IFData!W215,""),"")</f>
        <v>1.2181470025040506E-2</v>
      </c>
      <c r="N214" s="51">
        <f>IF(AND(ISNUMBER(Base_IFData!O215),ISNUMBER(Base_IFData!Q215)),IF(Base_IFData!Q215&gt;0,Base_IFData!O215/Base_IFData!Q215,"PL ≤ 0"),"NI")</f>
        <v>7.6429628811312416</v>
      </c>
      <c r="O214" s="110">
        <f>IF(AND(ISNUMBER(Base_IFData!M215),ISNUMBER(Base_IFData!Q215)),IF(Base_IFData!Q215&gt;0,Base_IFData!M215/Base_IFData!Q215,"PL ≤ 0"),"NI")</f>
        <v>3.8319174399764324</v>
      </c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15" t="str">
        <f>Base_IFData!A216</f>
        <v>AGÊNCIA DE FOMENTO DO PARANÁ S.A.</v>
      </c>
      <c r="L215" s="15" t="str">
        <f>Base_IFData!F216</f>
        <v>n1</v>
      </c>
      <c r="M215" s="17">
        <f>IF(AND(ISNUMBER(Base_IFData!L216),ISNUMBER(Base_IFData!W216)),IF(Base_IFData!L216&gt;$B$4,Base_IFData!W216,""),"")</f>
        <v>4.3831247495654216E-2</v>
      </c>
      <c r="N215" s="50">
        <f>IF(AND(ISNUMBER(Base_IFData!O216),ISNUMBER(Base_IFData!Q216)),IF(Base_IFData!Q216&gt;0,Base_IFData!O216/Base_IFData!Q216,"PL ≤ 0"),"NI")</f>
        <v>0.15440200342743318</v>
      </c>
      <c r="O215" s="107">
        <f>IF(AND(ISNUMBER(Base_IFData!M216),ISNUMBER(Base_IFData!Q216)),IF(Base_IFData!Q216&gt;0,Base_IFData!M216/Base_IFData!Q216,"PL ≤ 0"),"NI")</f>
        <v>0.41946774181249574</v>
      </c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12" t="str">
        <f>Base_IFData!A217</f>
        <v>BANCO RENDIMENTO S.A.</v>
      </c>
      <c r="L216" s="12" t="str">
        <f>Base_IFData!F217</f>
        <v>b1</v>
      </c>
      <c r="M216" s="14">
        <f>IF(AND(ISNUMBER(Base_IFData!L217),ISNUMBER(Base_IFData!W217)),IF(Base_IFData!L217&gt;$B$4,Base_IFData!W217,""),"")</f>
        <v>0.13915054060090121</v>
      </c>
      <c r="N216" s="51">
        <f>IF(AND(ISNUMBER(Base_IFData!O217),ISNUMBER(Base_IFData!Q217)),IF(Base_IFData!Q217&gt;0,Base_IFData!O217/Base_IFData!Q217,"PL ≤ 0"),"NI")</f>
        <v>7.7478609620650376</v>
      </c>
      <c r="O216" s="110">
        <f>IF(AND(ISNUMBER(Base_IFData!M217),ISNUMBER(Base_IFData!Q217)),IF(Base_IFData!Q217&gt;0,Base_IFData!M217/Base_IFData!Q217,"PL ≤ 0"),"NI")</f>
        <v>0.97458115394504474</v>
      </c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15" t="str">
        <f>Base_IFData!A218</f>
        <v>COOPERATIVA DE CRÉDITO, POUPANÇA E INVESTIMENTO IGUAÇU - SICREDI IGUAÇU PR/SC E REGIÃO METROPOLITANA DE CAMPINAS/SP</v>
      </c>
      <c r="L217" s="15" t="str">
        <f>Base_IFData!F218</f>
        <v>b3S</v>
      </c>
      <c r="M217" s="17">
        <f>IF(AND(ISNUMBER(Base_IFData!L218),ISNUMBER(Base_IFData!W218)),IF(Base_IFData!L218&gt;$B$4,Base_IFData!W218,""),"")</f>
        <v>6.8640430892190074E-2</v>
      </c>
      <c r="N217" s="50">
        <f>IF(AND(ISNUMBER(Base_IFData!O218),ISNUMBER(Base_IFData!Q218)),IF(Base_IFData!Q218&gt;0,Base_IFData!O218/Base_IFData!Q218,"PL ≤ 0"),"NI")</f>
        <v>7.0417982799061765</v>
      </c>
      <c r="O217" s="107">
        <f>IF(AND(ISNUMBER(Base_IFData!M218),ISNUMBER(Base_IFData!Q218)),IF(Base_IFData!Q218&gt;0,Base_IFData!M218/Base_IFData!Q218,"PL ≤ 0"),"NI")</f>
        <v>4.795258448440622</v>
      </c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12" t="str">
        <f>Base_IFData!A219</f>
        <v>COOPERATIVA DE CRÉDITO UNICRED UNIÃO LTDA - UNICRED UNIÃO</v>
      </c>
      <c r="L218" s="12" t="str">
        <f>Base_IFData!F219</f>
        <v>b3S</v>
      </c>
      <c r="M218" s="14">
        <f>IF(AND(ISNUMBER(Base_IFData!L219),ISNUMBER(Base_IFData!W219)),IF(Base_IFData!L219&gt;$B$4,Base_IFData!W219,""),"")</f>
        <v>1.1990783009434373E-2</v>
      </c>
      <c r="N218" s="51">
        <f>IF(AND(ISNUMBER(Base_IFData!O219),ISNUMBER(Base_IFData!Q219)),IF(Base_IFData!Q219&gt;0,Base_IFData!O219/Base_IFData!Q219,"PL ≤ 0"),"NI")</f>
        <v>12.402081068939031</v>
      </c>
      <c r="O218" s="110">
        <f>IF(AND(ISNUMBER(Base_IFData!M219),ISNUMBER(Base_IFData!Q219)),IF(Base_IFData!Q219&gt;0,Base_IFData!M219/Base_IFData!Q219,"PL ≤ 0"),"NI")</f>
        <v>6.4536440444618348</v>
      </c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15" t="str">
        <f>Base_IFData!A220</f>
        <v>COOPERATIVA DE CRÉDITO, POUPANÇA E INVESTIMENTO SICREDI EVOLUÇÃO - SICREDI EVOLUÇÃO</v>
      </c>
      <c r="L219" s="15" t="str">
        <f>Base_IFData!F220</f>
        <v>b3S</v>
      </c>
      <c r="M219" s="17">
        <f>IF(AND(ISNUMBER(Base_IFData!L220),ISNUMBER(Base_IFData!W220)),IF(Base_IFData!L220&gt;$B$4,Base_IFData!W220,""),"")</f>
        <v>9.0903298839538654E-2</v>
      </c>
      <c r="N219" s="50">
        <f>IF(AND(ISNUMBER(Base_IFData!O220),ISNUMBER(Base_IFData!Q220)),IF(Base_IFData!Q220&gt;0,Base_IFData!O220/Base_IFData!Q220,"PL ≤ 0"),"NI")</f>
        <v>5.8446430899802042</v>
      </c>
      <c r="O219" s="107">
        <f>IF(AND(ISNUMBER(Base_IFData!M220),ISNUMBER(Base_IFData!Q220)),IF(Base_IFData!Q220&gt;0,Base_IFData!M220/Base_IFData!Q220,"PL ≤ 0"),"NI")</f>
        <v>3.2652747650036154</v>
      </c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12" t="str">
        <f>Base_IFData!A221</f>
        <v>COOPERATIVA DE CRÉDITO, POUPANÇA E INVESTIMENTO NOVOS HORIZONTES - SICREDI NOVOS HORIZONTES PR/SP/RJ</v>
      </c>
      <c r="L220" s="12" t="str">
        <f>Base_IFData!F221</f>
        <v>b3S</v>
      </c>
      <c r="M220" s="14">
        <f>IF(AND(ISNUMBER(Base_IFData!L221),ISNUMBER(Base_IFData!W221)),IF(Base_IFData!L221&gt;$B$4,Base_IFData!W221,""),"")</f>
        <v>0.12126911705503202</v>
      </c>
      <c r="N220" s="51">
        <f>IF(AND(ISNUMBER(Base_IFData!O221),ISNUMBER(Base_IFData!Q221)),IF(Base_IFData!Q221&gt;0,Base_IFData!O221/Base_IFData!Q221,"PL ≤ 0"),"NI")</f>
        <v>8.9807887936072301</v>
      </c>
      <c r="O220" s="110">
        <f>IF(AND(ISNUMBER(Base_IFData!M221),ISNUMBER(Base_IFData!Q221)),IF(Base_IFData!Q221&gt;0,Base_IFData!M221/Base_IFData!Q221,"PL ≤ 0"),"NI")</f>
        <v>5.4349100259295016</v>
      </c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ht="1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15" t="str">
        <f>Base_IFData!A222</f>
        <v>COOPERATIVA DE CRÉDITO UNICRED VALOR CAPITAL LTDA - UNICRED VALOR CAPITAL</v>
      </c>
      <c r="L221" s="15" t="str">
        <f>Base_IFData!F222</f>
        <v>b3S</v>
      </c>
      <c r="M221" s="17">
        <f>IF(AND(ISNUMBER(Base_IFData!L222),ISNUMBER(Base_IFData!W222)),IF(Base_IFData!L222&gt;$B$4,Base_IFData!W222,""),"")</f>
        <v>7.3965773073498858E-2</v>
      </c>
      <c r="N221" s="50">
        <f>IF(AND(ISNUMBER(Base_IFData!O222),ISNUMBER(Base_IFData!Q222)),IF(Base_IFData!Q222&gt;0,Base_IFData!O222/Base_IFData!Q222,"PL ≤ 0"),"NI")</f>
        <v>8.0851894351567903</v>
      </c>
      <c r="O221" s="107">
        <f>IF(AND(ISNUMBER(Base_IFData!M222),ISNUMBER(Base_IFData!Q222)),IF(Base_IFData!Q222&gt;0,Base_IFData!M222/Base_IFData!Q222,"PL ≤ 0"),"NI")</f>
        <v>4.1924245721634188</v>
      </c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ht="1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12" t="str">
        <f>Base_IFData!A223</f>
        <v>COOPERATIVA DE CRÉDITO SICOOB ENGECRED LTDA.</v>
      </c>
      <c r="L222" s="12" t="str">
        <f>Base_IFData!F223</f>
        <v>b3S</v>
      </c>
      <c r="M222" s="14">
        <f>IF(AND(ISNUMBER(Base_IFData!L223),ISNUMBER(Base_IFData!W223)),IF(Base_IFData!L223&gt;$B$4,Base_IFData!W223,""),"")</f>
        <v>3.4884542170862787E-2</v>
      </c>
      <c r="N222" s="51">
        <f>IF(AND(ISNUMBER(Base_IFData!O223),ISNUMBER(Base_IFData!Q223)),IF(Base_IFData!Q223&gt;0,Base_IFData!O223/Base_IFData!Q223,"PL ≤ 0"),"NI")</f>
        <v>6.6960378424553877</v>
      </c>
      <c r="O222" s="110">
        <f>IF(AND(ISNUMBER(Base_IFData!M223),ISNUMBER(Base_IFData!Q223)),IF(Base_IFData!Q223&gt;0,Base_IFData!M223/Base_IFData!Q223,"PL ≤ 0"),"NI")</f>
        <v>3.2268428522422292</v>
      </c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spans="1:30" ht="1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15" t="str">
        <f>Base_IFData!A224</f>
        <v>DM SOCIEDADE DE CRÉDITO, FINANCIAMENTO E INVESTIMENTO S.A</v>
      </c>
      <c r="L223" s="15" t="str">
        <f>Base_IFData!F224</f>
        <v>n1</v>
      </c>
      <c r="M223" s="17">
        <f>IF(AND(ISNUMBER(Base_IFData!L224),ISNUMBER(Base_IFData!W224)),IF(Base_IFData!L224&gt;$B$4,Base_IFData!W224,""),"")</f>
        <v>0.12198410825269451</v>
      </c>
      <c r="N223" s="50">
        <f>IF(AND(ISNUMBER(Base_IFData!O224),ISNUMBER(Base_IFData!Q224)),IF(Base_IFData!Q224&gt;0,Base_IFData!O224/Base_IFData!Q224,"PL ≤ 0"),"NI")</f>
        <v>5.9651404295492094</v>
      </c>
      <c r="O223" s="107">
        <f>IF(AND(ISNUMBER(Base_IFData!M224),ISNUMBER(Base_IFData!Q224)),IF(Base_IFData!Q224&gt;0,Base_IFData!M224/Base_IFData!Q224,"PL ≤ 0"),"NI")</f>
        <v>4.7352073007631184</v>
      </c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30" ht="1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12" t="str">
        <f>Base_IFData!A225</f>
        <v>COOPERATIVA DE CRÉDITO, POUPANÇA E INVESTIMENTO ESSÊNCIA RS/ES - SICREDI ESSÊNCIA</v>
      </c>
      <c r="L224" s="12" t="str">
        <f>Base_IFData!F225</f>
        <v>b3S</v>
      </c>
      <c r="M224" s="14">
        <f>IF(AND(ISNUMBER(Base_IFData!L225),ISNUMBER(Base_IFData!W225)),IF(Base_IFData!L225&gt;$B$4,Base_IFData!W225,""),"")</f>
        <v>6.934096582216398E-2</v>
      </c>
      <c r="N224" s="51">
        <f>IF(AND(ISNUMBER(Base_IFData!O225),ISNUMBER(Base_IFData!Q225)),IF(Base_IFData!Q225&gt;0,Base_IFData!O225/Base_IFData!Q225,"PL ≤ 0"),"NI")</f>
        <v>5.4367120760711227</v>
      </c>
      <c r="O224" s="110">
        <f>IF(AND(ISNUMBER(Base_IFData!M225),ISNUMBER(Base_IFData!Q225)),IF(Base_IFData!Q225&gt;0,Base_IFData!M225/Base_IFData!Q225,"PL ≤ 0"),"NI")</f>
        <v>3.5410624483013566</v>
      </c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30" ht="1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15" t="str">
        <f>Base_IFData!A226</f>
        <v>COOPERATIVA DE CRÉDITO, POUPANÇA E INVESTIMENTO UNIVALES - SICREDI UNIVALES MT/RO</v>
      </c>
      <c r="L225" s="15" t="str">
        <f>Base_IFData!F226</f>
        <v>b3S</v>
      </c>
      <c r="M225" s="17">
        <f>IF(AND(ISNUMBER(Base_IFData!L226),ISNUMBER(Base_IFData!W226)),IF(Base_IFData!L226&gt;$B$4,Base_IFData!W226,""),"")</f>
        <v>1.7868126706490777E-2</v>
      </c>
      <c r="N225" s="50">
        <f>IF(AND(ISNUMBER(Base_IFData!O226),ISNUMBER(Base_IFData!Q226)),IF(Base_IFData!Q226&gt;0,Base_IFData!O226/Base_IFData!Q226,"PL ≤ 0"),"NI")</f>
        <v>5.9560454307985538</v>
      </c>
      <c r="O225" s="107">
        <f>IF(AND(ISNUMBER(Base_IFData!M226),ISNUMBER(Base_IFData!Q226)),IF(Base_IFData!Q226&gt;0,Base_IFData!M226/Base_IFData!Q226,"PL ≤ 0"),"NI")</f>
        <v>3.3441531571976566</v>
      </c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30" ht="1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12" t="str">
        <f>Base_IFData!A227</f>
        <v>COOPERATIVA DE CRÉDITO, POUPANÇA E INVESTIMENTO DO SUL DO ESTADO DE SANTA CATARINA - SICREDI SUL SC</v>
      </c>
      <c r="L226" s="12" t="str">
        <f>Base_IFData!F227</f>
        <v>b3S</v>
      </c>
      <c r="M226" s="14">
        <f>IF(AND(ISNUMBER(Base_IFData!L227),ISNUMBER(Base_IFData!W227)),IF(Base_IFData!L227&gt;$B$4,Base_IFData!W227,""),"")</f>
        <v>8.3448018378675937E-2</v>
      </c>
      <c r="N226" s="51">
        <f>IF(AND(ISNUMBER(Base_IFData!O227),ISNUMBER(Base_IFData!Q227)),IF(Base_IFData!Q227&gt;0,Base_IFData!O227/Base_IFData!Q227,"PL ≤ 0"),"NI")</f>
        <v>10.699305349273873</v>
      </c>
      <c r="O226" s="110">
        <f>IF(AND(ISNUMBER(Base_IFData!M227),ISNUMBER(Base_IFData!Q227)),IF(Base_IFData!Q227&gt;0,Base_IFData!M227/Base_IFData!Q227,"PL ≤ 0"),"NI")</f>
        <v>5.265013748579495</v>
      </c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spans="1:30" ht="1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15" t="str">
        <f>Base_IFData!A228</f>
        <v>COOPERATIVA DE CRÉDITO, POUPANÇA E INVESTIMENTO VALE DO CERRADO - SICREDI VALE DO CERRADO</v>
      </c>
      <c r="L227" s="15" t="str">
        <f>Base_IFData!F228</f>
        <v>b3S</v>
      </c>
      <c r="M227" s="17">
        <f>IF(AND(ISNUMBER(Base_IFData!L228),ISNUMBER(Base_IFData!W228)),IF(Base_IFData!L228&gt;$B$4,Base_IFData!W228,""),"")</f>
        <v>-0.10428289777255757</v>
      </c>
      <c r="N227" s="50">
        <f>IF(AND(ISNUMBER(Base_IFData!O228),ISNUMBER(Base_IFData!Q228)),IF(Base_IFData!Q228&gt;0,Base_IFData!O228/Base_IFData!Q228,"PL ≤ 0"),"NI")</f>
        <v>8.4444375757549004</v>
      </c>
      <c r="O227" s="107">
        <f>IF(AND(ISNUMBER(Base_IFData!M228),ISNUMBER(Base_IFData!Q228)),IF(Base_IFData!Q228&gt;0,Base_IFData!M228/Base_IFData!Q228,"PL ≤ 0"),"NI")</f>
        <v>6.4297976999211821</v>
      </c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spans="1:30" ht="1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12" t="str">
        <f>Base_IFData!A229</f>
        <v>DLOCAL BRASIL INSTITUIÇÃO DE PAGAMENTO S.A.</v>
      </c>
      <c r="L228" s="12" t="str">
        <f>Base_IFData!F229</f>
        <v>n4</v>
      </c>
      <c r="M228" s="14">
        <f>IF(AND(ISNUMBER(Base_IFData!L229),ISNUMBER(Base_IFData!W229)),IF(Base_IFData!L229&gt;$B$4,Base_IFData!W229,""),"")</f>
        <v>0.12507486569893703</v>
      </c>
      <c r="N228" s="51">
        <f>IF(AND(ISNUMBER(Base_IFData!O229),ISNUMBER(Base_IFData!Q229)),IF(Base_IFData!Q229&gt;0,Base_IFData!O229/Base_IFData!Q229,"PL ≤ 0"),"NI")</f>
        <v>18.536097839753115</v>
      </c>
      <c r="O228" s="110">
        <f>IF(AND(ISNUMBER(Base_IFData!M229),ISNUMBER(Base_IFData!Q229)),IF(Base_IFData!Q229&gt;0,Base_IFData!M229/Base_IFData!Q229,"PL ≤ 0"),"NI")</f>
        <v>0</v>
      </c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spans="1:30" ht="1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15" t="str">
        <f>Base_IFData!A230</f>
        <v>COOPERATIVA DE CRÉDITO SICOOB PRIMAVERA - SICOOB PRIMAVERA</v>
      </c>
      <c r="L229" s="15" t="str">
        <f>Base_IFData!F230</f>
        <v>b3S</v>
      </c>
      <c r="M229" s="17">
        <f>IF(AND(ISNUMBER(Base_IFData!L230),ISNUMBER(Base_IFData!W230)),IF(Base_IFData!L230&gt;$B$4,Base_IFData!W230,""),"")</f>
        <v>4.7331993748604599E-3</v>
      </c>
      <c r="N229" s="50">
        <f>IF(AND(ISNUMBER(Base_IFData!O230),ISNUMBER(Base_IFData!Q230)),IF(Base_IFData!Q230&gt;0,Base_IFData!O230/Base_IFData!Q230,"PL ≤ 0"),"NI")</f>
        <v>7.1933874991506253</v>
      </c>
      <c r="O229" s="107">
        <f>IF(AND(ISNUMBER(Base_IFData!M230),ISNUMBER(Base_IFData!Q230)),IF(Base_IFData!Q230&gt;0,Base_IFData!M230/Base_IFData!Q230,"PL ≤ 0"),"NI")</f>
        <v>5.5116805964064186</v>
      </c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0" ht="1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12" t="str">
        <f>Base_IFData!A231</f>
        <v>DESENVOLVE SP - AGÊNCIA DE FOMENTO DO ESTADO DE SÃO PAULO S.A.</v>
      </c>
      <c r="L230" s="12" t="str">
        <f>Base_IFData!F231</f>
        <v>n1</v>
      </c>
      <c r="M230" s="14">
        <f>IF(AND(ISNUMBER(Base_IFData!L231),ISNUMBER(Base_IFData!W231)),IF(Base_IFData!L231&gt;$B$4,Base_IFData!W231,""),"")</f>
        <v>4.2331798074336117E-2</v>
      </c>
      <c r="N230" s="51">
        <f>IF(AND(ISNUMBER(Base_IFData!O231),ISNUMBER(Base_IFData!Q231)),IF(Base_IFData!Q231&gt;0,Base_IFData!O231/Base_IFData!Q231,"PL ≤ 0"),"NI")</f>
        <v>0.25079786105901131</v>
      </c>
      <c r="O230" s="110">
        <f>IF(AND(ISNUMBER(Base_IFData!M231),ISNUMBER(Base_IFData!Q231)),IF(Base_IFData!Q231&gt;0,Base_IFData!M231/Base_IFData!Q231,"PL ≤ 0"),"NI")</f>
        <v>0.70346561952253805</v>
      </c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0" ht="1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15" t="str">
        <f>Base_IFData!A232</f>
        <v>BANCO LUSO BRASILEIRO S.A.</v>
      </c>
      <c r="L231" s="15" t="str">
        <f>Base_IFData!F232</f>
        <v>b1</v>
      </c>
      <c r="M231" s="17">
        <f>IF(AND(ISNUMBER(Base_IFData!L232),ISNUMBER(Base_IFData!W232)),IF(Base_IFData!L232&gt;$B$4,Base_IFData!W232,""),"")</f>
        <v>3.2904256375237279E-2</v>
      </c>
      <c r="N231" s="50">
        <f>IF(AND(ISNUMBER(Base_IFData!O232),ISNUMBER(Base_IFData!Q232)),IF(Base_IFData!Q232&gt;0,Base_IFData!O232/Base_IFData!Q232,"PL ≤ 0"),"NI")</f>
        <v>11.665118419825582</v>
      </c>
      <c r="O231" s="107">
        <f>IF(AND(ISNUMBER(Base_IFData!M232),ISNUMBER(Base_IFData!Q232)),IF(Base_IFData!Q232&gt;0,Base_IFData!M232/Base_IFData!Q232,"PL ≤ 0"),"NI")</f>
        <v>8.5653978864024012</v>
      </c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0" ht="1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12" t="str">
        <f>Base_IFData!A233</f>
        <v>COOPERATIVA DE CRÉDITO DE LIVRE ADMISSÃO DE ASSOCIADOS DO ALTO URUGUAI CATARINENSE - SICOOB CREDIAUC</v>
      </c>
      <c r="L232" s="12" t="str">
        <f>Base_IFData!F233</f>
        <v>b3S</v>
      </c>
      <c r="M232" s="14">
        <f>IF(AND(ISNUMBER(Base_IFData!L233),ISNUMBER(Base_IFData!W233)),IF(Base_IFData!L233&gt;$B$4,Base_IFData!W233,""),"")</f>
        <v>7.0282087976735352E-2</v>
      </c>
      <c r="N232" s="51">
        <f>IF(AND(ISNUMBER(Base_IFData!O233),ISNUMBER(Base_IFData!Q233)),IF(Base_IFData!Q233&gt;0,Base_IFData!O233/Base_IFData!Q233,"PL ≤ 0"),"NI")</f>
        <v>7.7804503561042573</v>
      </c>
      <c r="O232" s="110">
        <f>IF(AND(ISNUMBER(Base_IFData!M233),ISNUMBER(Base_IFData!Q233)),IF(Base_IFData!Q233&gt;0,Base_IFData!M233/Base_IFData!Q233,"PL ≤ 0"),"NI")</f>
        <v>4.4965057139400111</v>
      </c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spans="1:30" ht="1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15" t="str">
        <f>Base_IFData!A234</f>
        <v>COOPERATIVA DE CRÉDITO, POUPANÇA E INVESTIMENTO DO PLANALTO CENTRAL - SICREDI PLANALTO CENTRAL</v>
      </c>
      <c r="L233" s="15" t="str">
        <f>Base_IFData!F234</f>
        <v>b3S</v>
      </c>
      <c r="M233" s="17">
        <f>IF(AND(ISNUMBER(Base_IFData!L234),ISNUMBER(Base_IFData!W234)),IF(Base_IFData!L234&gt;$B$4,Base_IFData!W234,""),"")</f>
        <v>-2.9041579047491734E-2</v>
      </c>
      <c r="N233" s="50">
        <f>IF(AND(ISNUMBER(Base_IFData!O234),ISNUMBER(Base_IFData!Q234)),IF(Base_IFData!Q234&gt;0,Base_IFData!O234/Base_IFData!Q234,"PL ≤ 0"),"NI")</f>
        <v>9.7900713121539145</v>
      </c>
      <c r="O233" s="107">
        <f>IF(AND(ISNUMBER(Base_IFData!M234),ISNUMBER(Base_IFData!Q234)),IF(Base_IFData!Q234&gt;0,Base_IFData!M234/Base_IFData!Q234,"PL ≤ 0"),"NI")</f>
        <v>5.9540764124896528</v>
      </c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spans="1:30" ht="1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12" t="str">
        <f>Base_IFData!A235</f>
        <v>BANCO CARGILL S.A.</v>
      </c>
      <c r="L234" s="12" t="str">
        <f>Base_IFData!F235</f>
        <v>b1</v>
      </c>
      <c r="M234" s="14">
        <f>IF(AND(ISNUMBER(Base_IFData!L235),ISNUMBER(Base_IFData!W235)),IF(Base_IFData!L235&gt;$B$4,Base_IFData!W235,""),"")</f>
        <v>3.8099092508133182E-2</v>
      </c>
      <c r="N234" s="51">
        <f>IF(AND(ISNUMBER(Base_IFData!O235),ISNUMBER(Base_IFData!Q235)),IF(Base_IFData!Q235&gt;0,Base_IFData!O235/Base_IFData!Q235,"PL ≤ 0"),"NI")</f>
        <v>3.3270675404324206</v>
      </c>
      <c r="O234" s="110">
        <f>IF(AND(ISNUMBER(Base_IFData!M235),ISNUMBER(Base_IFData!Q235)),IF(Base_IFData!Q235&gt;0,Base_IFData!M235/Base_IFData!Q235,"PL ≤ 0"),"NI")</f>
        <v>3.1287995060421627</v>
      </c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spans="1:30" ht="1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15" t="str">
        <f>Base_IFData!A236</f>
        <v>COOPERATIVA DE CRÉDITO DE LIVRE ADMISSÃO DO MÉDIO PIRACICABA, CIRCUITO DO OURO, GRANDE BH E RIO GRANDE DO NORTE LTDA. -  SICOOB CREDIMEPI</v>
      </c>
      <c r="L235" s="15" t="str">
        <f>Base_IFData!F236</f>
        <v>b3S</v>
      </c>
      <c r="M235" s="17">
        <f>IF(AND(ISNUMBER(Base_IFData!L236),ISNUMBER(Base_IFData!W236)),IF(Base_IFData!L236&gt;$B$4,Base_IFData!W236,""),"")</f>
        <v>0.12342635811118351</v>
      </c>
      <c r="N235" s="50">
        <f>IF(AND(ISNUMBER(Base_IFData!O236),ISNUMBER(Base_IFData!Q236)),IF(Base_IFData!Q236&gt;0,Base_IFData!O236/Base_IFData!Q236,"PL ≤ 0"),"NI")</f>
        <v>6.4349721996626474</v>
      </c>
      <c r="O235" s="107">
        <f>IF(AND(ISNUMBER(Base_IFData!M236),ISNUMBER(Base_IFData!Q236)),IF(Base_IFData!Q236&gt;0,Base_IFData!M236/Base_IFData!Q236,"PL ≤ 0"),"NI")</f>
        <v>3.3950128961436516</v>
      </c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0" ht="1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12" t="str">
        <f>Base_IFData!A237</f>
        <v>COOPERATIVA DE CRÉDITO DE LIVRE ADMISSÃO DO OESTE MINEIRO LTDA. - SICOOB CREDICOPA</v>
      </c>
      <c r="L236" s="12" t="str">
        <f>Base_IFData!F237</f>
        <v>b3S</v>
      </c>
      <c r="M236" s="14">
        <f>IF(AND(ISNUMBER(Base_IFData!L237),ISNUMBER(Base_IFData!W237)),IF(Base_IFData!L237&gt;$B$4,Base_IFData!W237,""),"")</f>
        <v>-0.47095249997984212</v>
      </c>
      <c r="N236" s="51">
        <f>IF(AND(ISNUMBER(Base_IFData!O237),ISNUMBER(Base_IFData!Q237)),IF(Base_IFData!Q237&gt;0,Base_IFData!O237/Base_IFData!Q237,"PL ≤ 0"),"NI")</f>
        <v>10.125051402585045</v>
      </c>
      <c r="O236" s="110">
        <f>IF(AND(ISNUMBER(Base_IFData!M237),ISNUMBER(Base_IFData!Q237)),IF(Base_IFData!Q237&gt;0,Base_IFData!M237/Base_IFData!Q237,"PL ≤ 0"),"NI")</f>
        <v>5.927603658520197</v>
      </c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0" ht="1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15" t="str">
        <f>Base_IFData!A238</f>
        <v>BANCO YAMAHA MOTOR DO BRASIL S.A.</v>
      </c>
      <c r="L237" s="15" t="str">
        <f>Base_IFData!F238</f>
        <v>b1</v>
      </c>
      <c r="M237" s="17">
        <f>IF(AND(ISNUMBER(Base_IFData!L238),ISNUMBER(Base_IFData!W238)),IF(Base_IFData!L238&gt;$B$4,Base_IFData!W238,""),"")</f>
        <v>7.5499117399014146E-2</v>
      </c>
      <c r="N237" s="50">
        <f>IF(AND(ISNUMBER(Base_IFData!O238),ISNUMBER(Base_IFData!Q238)),IF(Base_IFData!Q238&gt;0,Base_IFData!O238/Base_IFData!Q238,"PL ≤ 0"),"NI")</f>
        <v>7.2182550465252495</v>
      </c>
      <c r="O237" s="107">
        <f>IF(AND(ISNUMBER(Base_IFData!M238),ISNUMBER(Base_IFData!Q238)),IF(Base_IFData!Q238&gt;0,Base_IFData!M238/Base_IFData!Q238,"PL ≤ 0"),"NI")</f>
        <v>6.1850241633405592</v>
      </c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0" ht="1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12" t="str">
        <f>Base_IFData!A239</f>
        <v>BANCO ANDBANK (BRASIL) S.A.</v>
      </c>
      <c r="L238" s="12" t="str">
        <f>Base_IFData!F239</f>
        <v>b1</v>
      </c>
      <c r="M238" s="14">
        <f>IF(AND(ISNUMBER(Base_IFData!L239),ISNUMBER(Base_IFData!W239)),IF(Base_IFData!L239&gt;$B$4,Base_IFData!W239,""),"")</f>
        <v>-5.0081210426202741E-2</v>
      </c>
      <c r="N238" s="51">
        <f>IF(AND(ISNUMBER(Base_IFData!O239),ISNUMBER(Base_IFData!Q239)),IF(Base_IFData!Q239&gt;0,Base_IFData!O239/Base_IFData!Q239,"PL ≤ 0"),"NI")</f>
        <v>16.621372673343004</v>
      </c>
      <c r="O238" s="110">
        <f>IF(AND(ISNUMBER(Base_IFData!M239),ISNUMBER(Base_IFData!Q239)),IF(Base_IFData!Q239&gt;0,Base_IFData!M239/Base_IFData!Q239,"PL ≤ 0"),"NI")</f>
        <v>10.145731458400284</v>
      </c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0" ht="1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15" t="str">
        <f>Base_IFData!A240</f>
        <v>INTESA SANPAOLO BRASIL S.A. - BANCO MÚLTIPLO</v>
      </c>
      <c r="L239" s="15" t="str">
        <f>Base_IFData!F240</f>
        <v>b1</v>
      </c>
      <c r="M239" s="17">
        <f>IF(AND(ISNUMBER(Base_IFData!L240),ISNUMBER(Base_IFData!W240)),IF(Base_IFData!L240&gt;$B$4,Base_IFData!W240,""),"")</f>
        <v>3.2852683574379669E-2</v>
      </c>
      <c r="N239" s="50">
        <f>IF(AND(ISNUMBER(Base_IFData!O240),ISNUMBER(Base_IFData!Q240)),IF(Base_IFData!Q240&gt;0,Base_IFData!O240/Base_IFData!Q240,"PL ≤ 0"),"NI")</f>
        <v>2.2188776074608128</v>
      </c>
      <c r="O239" s="107">
        <f>IF(AND(ISNUMBER(Base_IFData!M240),ISNUMBER(Base_IFData!Q240)),IF(Base_IFData!Q240&gt;0,Base_IFData!M240/Base_IFData!Q240,"PL ≤ 0"),"NI")</f>
        <v>0.84111383126596218</v>
      </c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0" ht="1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12" t="str">
        <f>Base_IFData!A241</f>
        <v>DAYCOVAL LEASING SOCIEDADE DE ARRENDAMENTO MERCANTIL S.A.</v>
      </c>
      <c r="L240" s="12" t="str">
        <f>Base_IFData!F241</f>
        <v>n1</v>
      </c>
      <c r="M240" s="14">
        <f>IF(AND(ISNUMBER(Base_IFData!L241),ISNUMBER(Base_IFData!W241)),IF(Base_IFData!L241&gt;$B$4,Base_IFData!W241,""),"")</f>
        <v>0.56020092425155721</v>
      </c>
      <c r="N240" s="51">
        <f>IF(AND(ISNUMBER(Base_IFData!O241),ISNUMBER(Base_IFData!Q241)),IF(Base_IFData!Q241&gt;0,Base_IFData!O241/Base_IFData!Q241,"PL ≤ 0"),"NI")</f>
        <v>31.097705445047218</v>
      </c>
      <c r="O240" s="110">
        <f>IF(AND(ISNUMBER(Base_IFData!M241),ISNUMBER(Base_IFData!Q241)),IF(Base_IFData!Q241&gt;0,Base_IFData!M241/Base_IFData!Q241,"PL ≤ 0"),"NI")</f>
        <v>24.824625276270847</v>
      </c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0" ht="1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15" t="str">
        <f>Base_IFData!A242</f>
        <v>OURIBANK S.A. BANCO MÚLTIPLO</v>
      </c>
      <c r="L241" s="15" t="str">
        <f>Base_IFData!F242</f>
        <v>b1</v>
      </c>
      <c r="M241" s="17">
        <f>IF(AND(ISNUMBER(Base_IFData!L242),ISNUMBER(Base_IFData!W242)),IF(Base_IFData!L242&gt;$B$4,Base_IFData!W242,""),"")</f>
        <v>0.35799526510203344</v>
      </c>
      <c r="N241" s="50">
        <f>IF(AND(ISNUMBER(Base_IFData!O242),ISNUMBER(Base_IFData!Q242)),IF(Base_IFData!Q242&gt;0,Base_IFData!O242/Base_IFData!Q242,"PL ≤ 0"),"NI")</f>
        <v>6.9870533901949825</v>
      </c>
      <c r="O241" s="107">
        <f>IF(AND(ISNUMBER(Base_IFData!M242),ISNUMBER(Base_IFData!Q242)),IF(Base_IFData!Q242&gt;0,Base_IFData!M242/Base_IFData!Q242,"PL ≤ 0"),"NI")</f>
        <v>2.9770892033875822</v>
      </c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spans="1:30" ht="1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12" t="str">
        <f>Base_IFData!A243</f>
        <v>COOPERATIVA DE CREDITO E INVESTIMENTO COM INTERACAO SOLIDARIA PIONEIRA - CRESOL PIONEIRA</v>
      </c>
      <c r="L242" s="12" t="str">
        <f>Base_IFData!F243</f>
        <v>b3S</v>
      </c>
      <c r="M242" s="14">
        <f>IF(AND(ISNUMBER(Base_IFData!L243),ISNUMBER(Base_IFData!W243)),IF(Base_IFData!L243&gt;$B$4,Base_IFData!W243,""),"")</f>
        <v>9.6148528400348848E-2</v>
      </c>
      <c r="N242" s="51">
        <f>IF(AND(ISNUMBER(Base_IFData!O243),ISNUMBER(Base_IFData!Q243)),IF(Base_IFData!Q243&gt;0,Base_IFData!O243/Base_IFData!Q243,"PL ≤ 0"),"NI")</f>
        <v>6.0415476080744765</v>
      </c>
      <c r="O242" s="110">
        <f>IF(AND(ISNUMBER(Base_IFData!M243),ISNUMBER(Base_IFData!Q243)),IF(Base_IFData!Q243&gt;0,Base_IFData!M243/Base_IFData!Q243,"PL ≤ 0"),"NI")</f>
        <v>5.2898547898778334</v>
      </c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0" ht="1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15" t="str">
        <f>Base_IFData!A244</f>
        <v>COOPERATIVA DE CRÉDITO UNICRED CENTRO-SUL LTDA - UNICRED CENTRO-SUL</v>
      </c>
      <c r="L243" s="15" t="str">
        <f>Base_IFData!F244</f>
        <v>b3S</v>
      </c>
      <c r="M243" s="17">
        <f>IF(AND(ISNUMBER(Base_IFData!L244),ISNUMBER(Base_IFData!W244)),IF(Base_IFData!L244&gt;$B$4,Base_IFData!W244,""),"")</f>
        <v>6.5009224281823777E-2</v>
      </c>
      <c r="N243" s="50">
        <f>IF(AND(ISNUMBER(Base_IFData!O244),ISNUMBER(Base_IFData!Q244)),IF(Base_IFData!Q244&gt;0,Base_IFData!O244/Base_IFData!Q244,"PL ≤ 0"),"NI")</f>
        <v>10.529590910421975</v>
      </c>
      <c r="O243" s="107">
        <f>IF(AND(ISNUMBER(Base_IFData!M244),ISNUMBER(Base_IFData!Q244)),IF(Base_IFData!Q244&gt;0,Base_IFData!M244/Base_IFData!Q244,"PL ≤ 0"),"NI")</f>
        <v>5.5528390289613165</v>
      </c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ht="1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12" t="str">
        <f>Base_IFData!A245</f>
        <v>COOPERATIVA DE CRÉDITO, POUPANÇA E INVESTIMENTO INTEGRAÇÃO DE ESTADOS DO RIO GRANDE DO SUL, SANTA CATARINA E MINAS GERAIS - SICREDI INTEGRAÇÃO DE ESTADOS RS/SC/MG</v>
      </c>
      <c r="L244" s="12" t="str">
        <f>Base_IFData!F245</f>
        <v>b3S</v>
      </c>
      <c r="M244" s="14">
        <f>IF(AND(ISNUMBER(Base_IFData!L245),ISNUMBER(Base_IFData!W245)),IF(Base_IFData!L245&gt;$B$4,Base_IFData!W245,""),"")</f>
        <v>6.7465421151199261E-3</v>
      </c>
      <c r="N244" s="51">
        <f>IF(AND(ISNUMBER(Base_IFData!O245),ISNUMBER(Base_IFData!Q245)),IF(Base_IFData!Q245&gt;0,Base_IFData!O245/Base_IFData!Q245,"PL ≤ 0"),"NI")</f>
        <v>7.8576276540535659</v>
      </c>
      <c r="O244" s="110">
        <f>IF(AND(ISNUMBER(Base_IFData!M245),ISNUMBER(Base_IFData!Q245)),IF(Base_IFData!Q245&gt;0,Base_IFData!M245/Base_IFData!Q245,"PL ≤ 0"),"NI")</f>
        <v>5.6636408763735639</v>
      </c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ht="1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15" t="str">
        <f>Base_IFData!A246</f>
        <v>BMW FINANCEIRA S.A. - CREDITO, FINANCIAMENTO E INVESTIMENTO</v>
      </c>
      <c r="L245" s="15" t="str">
        <f>Base_IFData!F246</f>
        <v>n1</v>
      </c>
      <c r="M245" s="17">
        <f>IF(AND(ISNUMBER(Base_IFData!L246),ISNUMBER(Base_IFData!W246)),IF(Base_IFData!L246&gt;$B$4,Base_IFData!W246,""),"")</f>
        <v>8.1162497588766036E-2</v>
      </c>
      <c r="N245" s="50">
        <f>IF(AND(ISNUMBER(Base_IFData!O246),ISNUMBER(Base_IFData!Q246)),IF(Base_IFData!Q246&gt;0,Base_IFData!O246/Base_IFData!Q246,"PL ≤ 0"),"NI")</f>
        <v>4.605105869487339</v>
      </c>
      <c r="O245" s="107">
        <f>IF(AND(ISNUMBER(Base_IFData!M246),ISNUMBER(Base_IFData!Q246)),IF(Base_IFData!Q246&gt;0,Base_IFData!M246/Base_IFData!Q246,"PL ≤ 0"),"NI")</f>
        <v>5.321643381035881</v>
      </c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ht="1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12" t="str">
        <f>Base_IFData!A247</f>
        <v>BB GESTÃO DE RECURSOS - DISTRIBUIDORA DE TÍTULOS E VALORES MOBILIÁRIOS S.A.</v>
      </c>
      <c r="L246" s="12" t="str">
        <f>Base_IFData!F247</f>
        <v>n2</v>
      </c>
      <c r="M246" s="14">
        <f>IF(AND(ISNUMBER(Base_IFData!L247),ISNUMBER(Base_IFData!W247)),IF(Base_IFData!L247&gt;$B$4,Base_IFData!W247,""),"")</f>
        <v>0.87126300576821647</v>
      </c>
      <c r="N246" s="51">
        <f>IF(AND(ISNUMBER(Base_IFData!O247),ISNUMBER(Base_IFData!Q247)),IF(Base_IFData!Q247&gt;0,Base_IFData!O247/Base_IFData!Q247,"PL ≤ 0"),"NI")</f>
        <v>1.6872250024133333</v>
      </c>
      <c r="O246" s="110">
        <f>IF(AND(ISNUMBER(Base_IFData!M247),ISNUMBER(Base_IFData!Q247)),IF(Base_IFData!Q247&gt;0,Base_IFData!M247/Base_IFData!Q247,"PL ≤ 0"),"NI")</f>
        <v>0</v>
      </c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ht="1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15" t="str">
        <f>Base_IFData!A248</f>
        <v>BANCO RODOBENS S.A.</v>
      </c>
      <c r="L247" s="15" t="str">
        <f>Base_IFData!F248</f>
        <v>b1</v>
      </c>
      <c r="M247" s="17">
        <f>IF(AND(ISNUMBER(Base_IFData!L248),ISNUMBER(Base_IFData!W248)),IF(Base_IFData!L248&gt;$B$4,Base_IFData!W248,""),"")</f>
        <v>8.4464622853546709E-2</v>
      </c>
      <c r="N247" s="50">
        <f>IF(AND(ISNUMBER(Base_IFData!O248),ISNUMBER(Base_IFData!Q248)),IF(Base_IFData!Q248&gt;0,Base_IFData!O248/Base_IFData!Q248,"PL ≤ 0"),"NI")</f>
        <v>4.0754041704787642</v>
      </c>
      <c r="O247" s="107">
        <f>IF(AND(ISNUMBER(Base_IFData!M248),ISNUMBER(Base_IFData!Q248)),IF(Base_IFData!Q248&gt;0,Base_IFData!M248/Base_IFData!Q248,"PL ≤ 0"),"NI")</f>
        <v>2.8681150874446697</v>
      </c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ht="1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12" t="str">
        <f>Base_IFData!A249</f>
        <v>COOPERATIVA DE CRÉDITO, POUPANÇA E INVESTIMENTO REGIÕES DAS CULTURAS - SICREDI DAS CULTURAS RS/MG</v>
      </c>
      <c r="L248" s="12" t="str">
        <f>Base_IFData!F249</f>
        <v>b3S</v>
      </c>
      <c r="M248" s="14">
        <f>IF(AND(ISNUMBER(Base_IFData!L249),ISNUMBER(Base_IFData!W249)),IF(Base_IFData!L249&gt;$B$4,Base_IFData!W249,""),"")</f>
        <v>6.9906908644758486E-2</v>
      </c>
      <c r="N248" s="51">
        <f>IF(AND(ISNUMBER(Base_IFData!O249),ISNUMBER(Base_IFData!Q249)),IF(Base_IFData!Q249&gt;0,Base_IFData!O249/Base_IFData!Q249,"PL ≤ 0"),"NI")</f>
        <v>4.7748189470598632</v>
      </c>
      <c r="O248" s="110">
        <f>IF(AND(ISNUMBER(Base_IFData!M249),ISNUMBER(Base_IFData!Q249)),IF(Base_IFData!Q249&gt;0,Base_IFData!M249/Base_IFData!Q249,"PL ≤ 0"),"NI")</f>
        <v>3.1791687505571731</v>
      </c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ht="1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15" t="str">
        <f>Base_IFData!A250</f>
        <v>MORGAN STANLEY CORRETORA DE TÍTULOS E VALORES MOBILIÁRIOS S.A.</v>
      </c>
      <c r="L249" s="15" t="str">
        <f>Base_IFData!F250</f>
        <v>n2</v>
      </c>
      <c r="M249" s="17">
        <f>IF(AND(ISNUMBER(Base_IFData!L250),ISNUMBER(Base_IFData!W250)),IF(Base_IFData!L250&gt;$B$4,Base_IFData!W250,""),"")</f>
        <v>5.8199421866404893E-2</v>
      </c>
      <c r="N249" s="50">
        <f>IF(AND(ISNUMBER(Base_IFData!O250),ISNUMBER(Base_IFData!Q250)),IF(Base_IFData!Q250&gt;0,Base_IFData!O250/Base_IFData!Q250,"PL ≤ 0"),"NI")</f>
        <v>0.58234230083147398</v>
      </c>
      <c r="O249" s="107">
        <f>IF(AND(ISNUMBER(Base_IFData!M250),ISNUMBER(Base_IFData!Q250)),IF(Base_IFData!Q250&gt;0,Base_IFData!M250/Base_IFData!Q250,"PL ≤ 0"),"NI")</f>
        <v>0</v>
      </c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ht="1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12" t="str">
        <f>Base_IFData!A251</f>
        <v>BADESUL DESENVOLVIMENTO S.A - AGÊNCIA DE FOMENTO/RS</v>
      </c>
      <c r="L250" s="12" t="str">
        <f>Base_IFData!F251</f>
        <v>n1</v>
      </c>
      <c r="M250" s="14">
        <f>IF(AND(ISNUMBER(Base_IFData!L251),ISNUMBER(Base_IFData!W251)),IF(Base_IFData!L251&gt;$B$4,Base_IFData!W251,""),"")</f>
        <v>1.9172552976791119E-2</v>
      </c>
      <c r="N250" s="51">
        <f>IF(AND(ISNUMBER(Base_IFData!O251),ISNUMBER(Base_IFData!Q251)),IF(Base_IFData!Q251&gt;0,Base_IFData!O251/Base_IFData!Q251,"PL ≤ 0"),"NI")</f>
        <v>2.2220936779875782</v>
      </c>
      <c r="O250" s="110">
        <f>IF(AND(ISNUMBER(Base_IFData!M251),ISNUMBER(Base_IFData!Q251)),IF(Base_IFData!Q251&gt;0,Base_IFData!M251/Base_IFData!Q251,"PL ≤ 0"),"NI")</f>
        <v>2.4400348265635428</v>
      </c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ht="1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15" t="str">
        <f>Base_IFData!A252</f>
        <v>BANCO J. SAFRA S.A.</v>
      </c>
      <c r="L251" s="15" t="str">
        <f>Base_IFData!F252</f>
        <v>b1</v>
      </c>
      <c r="M251" s="17">
        <f>IF(AND(ISNUMBER(Base_IFData!L252),ISNUMBER(Base_IFData!W252)),IF(Base_IFData!L252&gt;$B$4,Base_IFData!W252,""),"")</f>
        <v>8.7825236507168919E-2</v>
      </c>
      <c r="N251" s="50">
        <f>IF(AND(ISNUMBER(Base_IFData!O252),ISNUMBER(Base_IFData!Q252)),IF(Base_IFData!Q252&gt;0,Base_IFData!O252/Base_IFData!Q252,"PL ≤ 0"),"NI")</f>
        <v>2.1344225984510419</v>
      </c>
      <c r="O251" s="107">
        <f>IF(AND(ISNUMBER(Base_IFData!M252),ISNUMBER(Base_IFData!Q252)),IF(Base_IFData!Q252&gt;0,Base_IFData!M252/Base_IFData!Q252,"PL ≤ 0"),"NI")</f>
        <v>0.96995626068531327</v>
      </c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ht="1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12" t="str">
        <f>Base_IFData!A253</f>
        <v>COOPERFORTE COOPERATIVA DE CRÉDITO E INVESTIMENTOS LTDA</v>
      </c>
      <c r="L252" s="12" t="str">
        <f>Base_IFData!F253</f>
        <v>b3S</v>
      </c>
      <c r="M252" s="14">
        <f>IF(AND(ISNUMBER(Base_IFData!L253),ISNUMBER(Base_IFData!W253)),IF(Base_IFData!L253&gt;$B$4,Base_IFData!W253,""),"")</f>
        <v>4.4635689327696168E-2</v>
      </c>
      <c r="N252" s="51">
        <f>IF(AND(ISNUMBER(Base_IFData!O253),ISNUMBER(Base_IFData!Q253)),IF(Base_IFData!Q253&gt;0,Base_IFData!O253/Base_IFData!Q253,"PL ≤ 0"),"NI")</f>
        <v>4.0050347313884842</v>
      </c>
      <c r="O252" s="110">
        <f>IF(AND(ISNUMBER(Base_IFData!M253),ISNUMBER(Base_IFData!Q253)),IF(Base_IFData!Q253&gt;0,Base_IFData!M253/Base_IFData!Q253,"PL ≤ 0"),"NI")</f>
        <v>3.1939488458294583</v>
      </c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ht="1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15" t="str">
        <f>Base_IFData!A254</f>
        <v>COOPERATIVA DE CRÉDITO, POUPANÇA E INVESTIMENTO RAÍZES - SICREDI RAÍZES RS/SC/MG</v>
      </c>
      <c r="L253" s="15" t="str">
        <f>Base_IFData!F254</f>
        <v>b3S</v>
      </c>
      <c r="M253" s="17">
        <f>IF(AND(ISNUMBER(Base_IFData!L254),ISNUMBER(Base_IFData!W254)),IF(Base_IFData!L254&gt;$B$4,Base_IFData!W254,""),"")</f>
        <v>7.6340247430294828E-2</v>
      </c>
      <c r="N253" s="50">
        <f>IF(AND(ISNUMBER(Base_IFData!O254),ISNUMBER(Base_IFData!Q254)),IF(Base_IFData!Q254&gt;0,Base_IFData!O254/Base_IFData!Q254,"PL ≤ 0"),"NI")</f>
        <v>4.5425647811903733</v>
      </c>
      <c r="O253" s="107">
        <f>IF(AND(ISNUMBER(Base_IFData!M254),ISNUMBER(Base_IFData!Q254)),IF(Base_IFData!Q254&gt;0,Base_IFData!M254/Base_IFData!Q254,"PL ≤ 0"),"NI")</f>
        <v>3.2666492275497014</v>
      </c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ht="1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12" t="str">
        <f>Base_IFData!A255</f>
        <v>COOPERATIVA DE ECONOMIA E CREDITO MUTUO DOS MEDICOS DE PORTO ALEGRE LTDA-UNICRED PORTO ALEGRE</v>
      </c>
      <c r="L254" s="12" t="str">
        <f>Base_IFData!F255</f>
        <v>b3S</v>
      </c>
      <c r="M254" s="14">
        <f>IF(AND(ISNUMBER(Base_IFData!L255),ISNUMBER(Base_IFData!W255)),IF(Base_IFData!L255&gt;$B$4,Base_IFData!W255,""),"")</f>
        <v>0.1094234298918457</v>
      </c>
      <c r="N254" s="51">
        <f>IF(AND(ISNUMBER(Base_IFData!O255),ISNUMBER(Base_IFData!Q255)),IF(Base_IFData!Q255&gt;0,Base_IFData!O255/Base_IFData!Q255,"PL ≤ 0"),"NI")</f>
        <v>8.1009692930784283</v>
      </c>
      <c r="O254" s="110">
        <f>IF(AND(ISNUMBER(Base_IFData!M255),ISNUMBER(Base_IFData!Q255)),IF(Base_IFData!Q255&gt;0,Base_IFData!M255/Base_IFData!Q255,"PL ≤ 0"),"NI")</f>
        <v>4.9845782791382041</v>
      </c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ht="1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15" t="str">
        <f>Base_IFData!A256</f>
        <v>COOPERATIVA DE CREDITO CREDIROCHAS - SICOOB CREDIROCHAS</v>
      </c>
      <c r="L255" s="15" t="str">
        <f>Base_IFData!F256</f>
        <v>b3S</v>
      </c>
      <c r="M255" s="17">
        <f>IF(AND(ISNUMBER(Base_IFData!L256),ISNUMBER(Base_IFData!W256)),IF(Base_IFData!L256&gt;$B$4,Base_IFData!W256,""),"")</f>
        <v>0.10753104130064527</v>
      </c>
      <c r="N255" s="50">
        <f>IF(AND(ISNUMBER(Base_IFData!O256),ISNUMBER(Base_IFData!Q256)),IF(Base_IFData!Q256&gt;0,Base_IFData!O256/Base_IFData!Q256,"PL ≤ 0"),"NI")</f>
        <v>8.6569311691730739</v>
      </c>
      <c r="O255" s="107">
        <f>IF(AND(ISNUMBER(Base_IFData!M256),ISNUMBER(Base_IFData!Q256)),IF(Base_IFData!Q256&gt;0,Base_IFData!M256/Base_IFData!Q256,"PL ≤ 0"),"NI")</f>
        <v>4.5785851291887623</v>
      </c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ht="1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12" t="str">
        <f>Base_IFData!A257</f>
        <v>COOPERATIVA DE CRÉDITO, POUPANÇA E INVESTIMENTO CENTRO SUL - SICREDI CENTRO SUL PR/SC/RJ</v>
      </c>
      <c r="L256" s="12" t="str">
        <f>Base_IFData!F257</f>
        <v>b3S</v>
      </c>
      <c r="M256" s="14">
        <f>IF(AND(ISNUMBER(Base_IFData!L257),ISNUMBER(Base_IFData!W257)),IF(Base_IFData!L257&gt;$B$4,Base_IFData!W257,""),"")</f>
        <v>0.10511247188462972</v>
      </c>
      <c r="N256" s="51">
        <f>IF(AND(ISNUMBER(Base_IFData!O257),ISNUMBER(Base_IFData!Q257)),IF(Base_IFData!Q257&gt;0,Base_IFData!O257/Base_IFData!Q257,"PL ≤ 0"),"NI")</f>
        <v>6.449648258771683</v>
      </c>
      <c r="O256" s="110">
        <f>IF(AND(ISNUMBER(Base_IFData!M257),ISNUMBER(Base_IFData!Q257)),IF(Base_IFData!Q257&gt;0,Base_IFData!M257/Base_IFData!Q257,"PL ≤ 0"),"NI")</f>
        <v>4.2166022692042802</v>
      </c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ht="1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15" t="str">
        <f>Base_IFData!A258</f>
        <v>VORTX DISTRIBUIDORA DE TITULOS E VALORES MOBILIARIOS LTDA.</v>
      </c>
      <c r="L257" s="15" t="str">
        <f>Base_IFData!F258</f>
        <v>n2</v>
      </c>
      <c r="M257" s="17">
        <f>IF(AND(ISNUMBER(Base_IFData!L258),ISNUMBER(Base_IFData!W258)),IF(Base_IFData!L258&gt;$B$4,Base_IFData!W258,""),"")</f>
        <v>0.29878534709998333</v>
      </c>
      <c r="N257" s="50">
        <f>IF(AND(ISNUMBER(Base_IFData!O258),ISNUMBER(Base_IFData!Q258)),IF(Base_IFData!Q258&gt;0,Base_IFData!O258/Base_IFData!Q258,"PL ≤ 0"),"NI")</f>
        <v>30.316589163579678</v>
      </c>
      <c r="O257" s="107">
        <f>IF(AND(ISNUMBER(Base_IFData!M258),ISNUMBER(Base_IFData!Q258)),IF(Base_IFData!Q258&gt;0,Base_IFData!M258/Base_IFData!Q258,"PL ≤ 0"),"NI")</f>
        <v>0</v>
      </c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ht="1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12" t="str">
        <f>Base_IFData!A259</f>
        <v>COOPERATIVA DE CRÉDITO AGROCREDI LTDA. - SICOOB AGROCREDI</v>
      </c>
      <c r="L258" s="12" t="str">
        <f>Base_IFData!F259</f>
        <v>b3S</v>
      </c>
      <c r="M258" s="14">
        <f>IF(AND(ISNUMBER(Base_IFData!L259),ISNUMBER(Base_IFData!W259)),IF(Base_IFData!L259&gt;$B$4,Base_IFData!W259,""),"")</f>
        <v>0.10469071875111817</v>
      </c>
      <c r="N258" s="51">
        <f>IF(AND(ISNUMBER(Base_IFData!O259),ISNUMBER(Base_IFData!Q259)),IF(Base_IFData!Q259&gt;0,Base_IFData!O259/Base_IFData!Q259,"PL ≤ 0"),"NI")</f>
        <v>3.5494055134411213</v>
      </c>
      <c r="O258" s="110">
        <f>IF(AND(ISNUMBER(Base_IFData!M259),ISNUMBER(Base_IFData!Q259)),IF(Base_IFData!Q259&gt;0,Base_IFData!M259/Base_IFData!Q259,"PL ≤ 0"),"NI")</f>
        <v>1.0787566898906615</v>
      </c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ht="1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15" t="str">
        <f>Base_IFData!A260</f>
        <v>COOPERATIVA DE CRÉDITO CREDIVAR LTDA. - SICOOB CREDIVAR</v>
      </c>
      <c r="L259" s="15" t="str">
        <f>Base_IFData!F260</f>
        <v>b3S</v>
      </c>
      <c r="M259" s="17">
        <f>IF(AND(ISNUMBER(Base_IFData!L260),ISNUMBER(Base_IFData!W260)),IF(Base_IFData!L260&gt;$B$4,Base_IFData!W260,""),"")</f>
        <v>7.061760447351341E-2</v>
      </c>
      <c r="N259" s="50">
        <f>IF(AND(ISNUMBER(Base_IFData!O260),ISNUMBER(Base_IFData!Q260)),IF(Base_IFData!Q260&gt;0,Base_IFData!O260/Base_IFData!Q260,"PL ≤ 0"),"NI")</f>
        <v>6.063521893254781</v>
      </c>
      <c r="O259" s="107">
        <f>IF(AND(ISNUMBER(Base_IFData!M260),ISNUMBER(Base_IFData!Q260)),IF(Base_IFData!Q260&gt;0,Base_IFData!M260/Base_IFData!Q260,"PL ≤ 0"),"NI")</f>
        <v>3.8891467372310151</v>
      </c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0" ht="1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12" t="str">
        <f>Base_IFData!A261</f>
        <v>COOPERATIVA DE CRÉDITO, POUPANÇA E INVESTIMENTO BOTUCARAÍ - SICREDI BOTUCARAÍ RS/MG</v>
      </c>
      <c r="L260" s="12" t="str">
        <f>Base_IFData!F261</f>
        <v>b3S</v>
      </c>
      <c r="M260" s="14">
        <f>IF(AND(ISNUMBER(Base_IFData!L261),ISNUMBER(Base_IFData!W261)),IF(Base_IFData!L261&gt;$B$4,Base_IFData!W261,""),"")</f>
        <v>7.8750636437769833E-2</v>
      </c>
      <c r="N260" s="51">
        <f>IF(AND(ISNUMBER(Base_IFData!O261),ISNUMBER(Base_IFData!Q261)),IF(Base_IFData!Q261&gt;0,Base_IFData!O261/Base_IFData!Q261,"PL ≤ 0"),"NI")</f>
        <v>6.3131625679384387</v>
      </c>
      <c r="O260" s="110">
        <f>IF(AND(ISNUMBER(Base_IFData!M261),ISNUMBER(Base_IFData!Q261)),IF(Base_IFData!Q261&gt;0,Base_IFData!M261/Base_IFData!Q261,"PL ≤ 0"),"NI")</f>
        <v>5.0514759147111299</v>
      </c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0" ht="1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15" t="str">
        <f>Base_IFData!A262</f>
        <v>COOPERATIVA DE CRÉDITO SICOOB VALE SUL</v>
      </c>
      <c r="L261" s="15" t="str">
        <f>Base_IFData!F262</f>
        <v>b3S</v>
      </c>
      <c r="M261" s="17">
        <f>IF(AND(ISNUMBER(Base_IFData!L262),ISNUMBER(Base_IFData!W262)),IF(Base_IFData!L262&gt;$B$4,Base_IFData!W262,""),"")</f>
        <v>0.11469295660812609</v>
      </c>
      <c r="N261" s="50">
        <f>IF(AND(ISNUMBER(Base_IFData!O262),ISNUMBER(Base_IFData!Q262)),IF(Base_IFData!Q262&gt;0,Base_IFData!O262/Base_IFData!Q262,"PL ≤ 0"),"NI")</f>
        <v>8.8823042426487504</v>
      </c>
      <c r="O261" s="107">
        <f>IF(AND(ISNUMBER(Base_IFData!M262),ISNUMBER(Base_IFData!Q262)),IF(Base_IFData!Q262&gt;0,Base_IFData!M262/Base_IFData!Q262,"PL ≤ 0"),"NI")</f>
        <v>6.2504195501972868</v>
      </c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0" ht="1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12" t="str">
        <f>Base_IFData!A263</f>
        <v>COOPERATIVA DE CRÉDITO, POUPANÇA E INVESTIMENTO PROGRESSO - SICREDI PROGRESSO PR/SP</v>
      </c>
      <c r="L262" s="12" t="str">
        <f>Base_IFData!F263</f>
        <v>b3S</v>
      </c>
      <c r="M262" s="14">
        <f>IF(AND(ISNUMBER(Base_IFData!L263),ISNUMBER(Base_IFData!W263)),IF(Base_IFData!L263&gt;$B$4,Base_IFData!W263,""),"")</f>
        <v>2.9274200391351191E-2</v>
      </c>
      <c r="N262" s="51">
        <f>IF(AND(ISNUMBER(Base_IFData!O263),ISNUMBER(Base_IFData!Q263)),IF(Base_IFData!Q263&gt;0,Base_IFData!O263/Base_IFData!Q263,"PL ≤ 0"),"NI")</f>
        <v>7.9910930320460567</v>
      </c>
      <c r="O262" s="110">
        <f>IF(AND(ISNUMBER(Base_IFData!M263),ISNUMBER(Base_IFData!Q263)),IF(Base_IFData!Q263&gt;0,Base_IFData!M263/Base_IFData!Q263,"PL ≤ 0"),"NI")</f>
        <v>5.6136396946329343</v>
      </c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spans="1:30" ht="1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15" t="str">
        <f>Base_IFData!A264</f>
        <v>CREDSYSTEM INSTITUIÇÃO DE PAGAMENTO LTDA</v>
      </c>
      <c r="L263" s="15" t="str">
        <f>Base_IFData!F264</f>
        <v>n4</v>
      </c>
      <c r="M263" s="17">
        <f>IF(AND(ISNUMBER(Base_IFData!L264),ISNUMBER(Base_IFData!W264)),IF(Base_IFData!L264&gt;$B$4,Base_IFData!W264,""),"")</f>
        <v>0.10395035184477192</v>
      </c>
      <c r="N263" s="50">
        <f>IF(AND(ISNUMBER(Base_IFData!O264),ISNUMBER(Base_IFData!Q264)),IF(Base_IFData!Q264&gt;0,Base_IFData!O264/Base_IFData!Q264,"PL ≤ 0"),"NI")</f>
        <v>5.604991312708429</v>
      </c>
      <c r="O263" s="107">
        <f>IF(AND(ISNUMBER(Base_IFData!M264),ISNUMBER(Base_IFData!Q264)),IF(Base_IFData!Q264&gt;0,Base_IFData!M264/Base_IFData!Q264,"PL ≤ 0"),"NI")</f>
        <v>5.0185726344637533</v>
      </c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spans="1:30" ht="1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12" t="str">
        <f>Base_IFData!A265</f>
        <v>COOPERATIVA DE CRÉDITO, POUPANÇA E INVESTIMENTO DE CAMPO GRANDE E REGIÃO - SICREDI CAMPO GRANDE MS/GO</v>
      </c>
      <c r="L264" s="12" t="str">
        <f>Base_IFData!F265</f>
        <v>b3S</v>
      </c>
      <c r="M264" s="14">
        <f>IF(AND(ISNUMBER(Base_IFData!L265),ISNUMBER(Base_IFData!W265)),IF(Base_IFData!L265&gt;$B$4,Base_IFData!W265,""),"")</f>
        <v>-4.1698930008600914E-2</v>
      </c>
      <c r="N264" s="51">
        <f>IF(AND(ISNUMBER(Base_IFData!O265),ISNUMBER(Base_IFData!Q265)),IF(Base_IFData!Q265&gt;0,Base_IFData!O265/Base_IFData!Q265,"PL ≤ 0"),"NI")</f>
        <v>7.0315422314240585</v>
      </c>
      <c r="O264" s="110">
        <f>IF(AND(ISNUMBER(Base_IFData!M265),ISNUMBER(Base_IFData!Q265)),IF(Base_IFData!Q265&gt;0,Base_IFData!M265/Base_IFData!Q265,"PL ≤ 0"),"NI")</f>
        <v>5.5918903657888652</v>
      </c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0" ht="1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15" t="str">
        <f>Base_IFData!A266</f>
        <v>99PAY INSTITUICAO DE PAGAMENTO S.A.</v>
      </c>
      <c r="L265" s="15" t="str">
        <f>Base_IFData!F266</f>
        <v>n4</v>
      </c>
      <c r="M265" s="17">
        <f>IF(AND(ISNUMBER(Base_IFData!L266),ISNUMBER(Base_IFData!W266)),IF(Base_IFData!L266&gt;$B$4,Base_IFData!W266,""),"")</f>
        <v>-0.19653057101401364</v>
      </c>
      <c r="N265" s="50">
        <f>IF(AND(ISNUMBER(Base_IFData!O266),ISNUMBER(Base_IFData!Q266)),IF(Base_IFData!Q266&gt;0,Base_IFData!O266/Base_IFData!Q266,"PL ≤ 0"),"NI")</f>
        <v>29.81419545613165</v>
      </c>
      <c r="O265" s="107">
        <f>IF(AND(ISNUMBER(Base_IFData!M266),ISNUMBER(Base_IFData!Q266)),IF(Base_IFData!Q266&gt;0,Base_IFData!M266/Base_IFData!Q266,"PL ≤ 0"),"NI")</f>
        <v>0</v>
      </c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0" ht="1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12" t="str">
        <f>Base_IFData!A267</f>
        <v>BBVA BRASIL BANCO DE INVESTIMENTO S.A.</v>
      </c>
      <c r="L266" s="12" t="str">
        <f>Base_IFData!F267</f>
        <v>b2</v>
      </c>
      <c r="M266" s="14">
        <f>IF(AND(ISNUMBER(Base_IFData!L267),ISNUMBER(Base_IFData!W267)),IF(Base_IFData!L267&gt;$B$4,Base_IFData!W267,""),"")</f>
        <v>-3.6960461302757946E-3</v>
      </c>
      <c r="N266" s="51">
        <f>IF(AND(ISNUMBER(Base_IFData!O267),ISNUMBER(Base_IFData!Q267)),IF(Base_IFData!Q267&gt;0,Base_IFData!O267/Base_IFData!Q267,"PL ≤ 0"),"NI")</f>
        <v>0.8041806639846405</v>
      </c>
      <c r="O266" s="110">
        <f>IF(AND(ISNUMBER(Base_IFData!M267),ISNUMBER(Base_IFData!Q267)),IF(Base_IFData!Q267&gt;0,Base_IFData!M267/Base_IFData!Q267,"PL ≤ 0"),"NI")</f>
        <v>0.52862240533359761</v>
      </c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0" ht="1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15" t="str">
        <f>Base_IFData!A268</f>
        <v>QI CORRETORA DE TÍTULOS E VALORES MOBILIÁRIOS S.A.</v>
      </c>
      <c r="L267" s="15" t="str">
        <f>Base_IFData!F268</f>
        <v>n2</v>
      </c>
      <c r="M267" s="17">
        <f>IF(AND(ISNUMBER(Base_IFData!L268),ISNUMBER(Base_IFData!W268)),IF(Base_IFData!L268&gt;$B$4,Base_IFData!W268,""),"")</f>
        <v>0.10934027251491976</v>
      </c>
      <c r="N267" s="50">
        <f>IF(AND(ISNUMBER(Base_IFData!O268),ISNUMBER(Base_IFData!Q268)),IF(Base_IFData!Q268&gt;0,Base_IFData!O268/Base_IFData!Q268,"PL ≤ 0"),"NI")</f>
        <v>3.6994233245460326</v>
      </c>
      <c r="O267" s="107">
        <f>IF(AND(ISNUMBER(Base_IFData!M268),ISNUMBER(Base_IFData!Q268)),IF(Base_IFData!Q268&gt;0,Base_IFData!M268/Base_IFData!Q268,"PL ≤ 0"),"NI")</f>
        <v>0</v>
      </c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0" ht="1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12" t="str">
        <f>Base_IFData!A269</f>
        <v>COOPERATIVA DE CRÉDITO, POUPANÇA E INVESTIMENTO INTEGRAÇÃO DO SUL DE MATO GROSSO, AMAPÁ E PARÁ - SICREDI INTEGRAÇÃO MT/AP/PA</v>
      </c>
      <c r="L268" s="12" t="str">
        <f>Base_IFData!F269</f>
        <v>b3S</v>
      </c>
      <c r="M268" s="14">
        <f>IF(AND(ISNUMBER(Base_IFData!L269),ISNUMBER(Base_IFData!W269)),IF(Base_IFData!L269&gt;$B$4,Base_IFData!W269,""),"")</f>
        <v>3.5278621748058341E-2</v>
      </c>
      <c r="N268" s="51">
        <f>IF(AND(ISNUMBER(Base_IFData!O269),ISNUMBER(Base_IFData!Q269)),IF(Base_IFData!Q269&gt;0,Base_IFData!O269/Base_IFData!Q269,"PL ≤ 0"),"NI")</f>
        <v>6.8845400846706042</v>
      </c>
      <c r="O268" s="110">
        <f>IF(AND(ISNUMBER(Base_IFData!M269),ISNUMBER(Base_IFData!Q269)),IF(Base_IFData!Q269&gt;0,Base_IFData!M269/Base_IFData!Q269,"PL ≤ 0"),"NI")</f>
        <v>3.7140586192141556</v>
      </c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0" ht="1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15" t="str">
        <f>Base_IFData!A270</f>
        <v>COOPERATIVA DE CRÉDITO, POUPANÇA E INVESTIMENTO CAMINHO DAS ÁGUAS RS - SICREDI CAMINHO DAS ÁGUAS RS</v>
      </c>
      <c r="L269" s="15" t="str">
        <f>Base_IFData!F270</f>
        <v>b3S</v>
      </c>
      <c r="M269" s="17">
        <f>IF(AND(ISNUMBER(Base_IFData!L270),ISNUMBER(Base_IFData!W270)),IF(Base_IFData!L270&gt;$B$4,Base_IFData!W270,""),"")</f>
        <v>3.8310696445526982E-2</v>
      </c>
      <c r="N269" s="50">
        <f>IF(AND(ISNUMBER(Base_IFData!O270),ISNUMBER(Base_IFData!Q270)),IF(Base_IFData!Q270&gt;0,Base_IFData!O270/Base_IFData!Q270,"PL ≤ 0"),"NI")</f>
        <v>12.361561326012467</v>
      </c>
      <c r="O269" s="107">
        <f>IF(AND(ISNUMBER(Base_IFData!M270),ISNUMBER(Base_IFData!Q270)),IF(Base_IFData!Q270&gt;0,Base_IFData!M270/Base_IFData!Q270,"PL ≤ 0"),"NI")</f>
        <v>7.3271188539817524</v>
      </c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spans="1:30" ht="1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12" t="str">
        <f>Base_IFData!A271</f>
        <v>COOPERATIVA DE CRÉDITO, POUPANÇA E INVESTIMENTO DO CERRADO DE GOIÁS - SICREDI CERRADO GO</v>
      </c>
      <c r="L270" s="12" t="str">
        <f>Base_IFData!F271</f>
        <v>b3S</v>
      </c>
      <c r="M270" s="14">
        <f>IF(AND(ISNUMBER(Base_IFData!L271),ISNUMBER(Base_IFData!W271)),IF(Base_IFData!L271&gt;$B$4,Base_IFData!W271,""),"")</f>
        <v>-0.1546599835163911</v>
      </c>
      <c r="N270" s="51">
        <f>IF(AND(ISNUMBER(Base_IFData!O271),ISNUMBER(Base_IFData!Q271)),IF(Base_IFData!Q271&gt;0,Base_IFData!O271/Base_IFData!Q271,"PL ≤ 0"),"NI")</f>
        <v>12.472999680419827</v>
      </c>
      <c r="O270" s="110">
        <f>IF(AND(ISNUMBER(Base_IFData!M271),ISNUMBER(Base_IFData!Q271)),IF(Base_IFData!Q271&gt;0,Base_IFData!M271/Base_IFData!Q271,"PL ≤ 0"),"NI")</f>
        <v>7.9883563487124283</v>
      </c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0" ht="1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15" t="str">
        <f>Base_IFData!A272</f>
        <v>ADYEN DO BRASIL INSTITUICAO DE PAGAMENTO LTDA.</v>
      </c>
      <c r="L271" s="15" t="str">
        <f>Base_IFData!F272</f>
        <v>n4</v>
      </c>
      <c r="M271" s="17">
        <f>IF(AND(ISNUMBER(Base_IFData!L272),ISNUMBER(Base_IFData!W272)),IF(Base_IFData!L272&gt;$B$4,Base_IFData!W272,""),"")</f>
        <v>9.9431791880757306E-2</v>
      </c>
      <c r="N271" s="50">
        <f>IF(AND(ISNUMBER(Base_IFData!O272),ISNUMBER(Base_IFData!Q272)),IF(Base_IFData!Q272&gt;0,Base_IFData!O272/Base_IFData!Q272,"PL ≤ 0"),"NI")</f>
        <v>2.6784624820626766</v>
      </c>
      <c r="O271" s="107">
        <f>IF(AND(ISNUMBER(Base_IFData!M272),ISNUMBER(Base_IFData!Q272)),IF(Base_IFData!Q272&gt;0,Base_IFData!M272/Base_IFData!Q272,"PL ≤ 0"),"NI")</f>
        <v>0</v>
      </c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spans="1:30" ht="1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12" t="str">
        <f>Base_IFData!A273</f>
        <v>COOPERATIVA DE CRÉDITO, POUPANÇA E INVESTIMENTO PARANAPANEMA SERRANA PR/SP/RJ - SICREDI PARANAPANEMA SERRANA PR/SP/RJ</v>
      </c>
      <c r="L272" s="12" t="str">
        <f>Base_IFData!F273</f>
        <v>b3S</v>
      </c>
      <c r="M272" s="14">
        <f>IF(AND(ISNUMBER(Base_IFData!L273),ISNUMBER(Base_IFData!W273)),IF(Base_IFData!L273&gt;$B$4,Base_IFData!W273,""),"")</f>
        <v>4.0678191958424294E-2</v>
      </c>
      <c r="N272" s="51">
        <f>IF(AND(ISNUMBER(Base_IFData!O273),ISNUMBER(Base_IFData!Q273)),IF(Base_IFData!Q273&gt;0,Base_IFData!O273/Base_IFData!Q273,"PL ≤ 0"),"NI")</f>
        <v>11.455016480566258</v>
      </c>
      <c r="O272" s="110">
        <f>IF(AND(ISNUMBER(Base_IFData!M273),ISNUMBER(Base_IFData!Q273)),IF(Base_IFData!Q273&gt;0,Base_IFData!M273/Base_IFData!Q273,"PL ≤ 0"),"NI")</f>
        <v>7.4596373099639814</v>
      </c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spans="1:30" ht="1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15" t="str">
        <f>Base_IFData!A274</f>
        <v>COOPERATIVA DE CRÉDITO DE LIVRE ADMISSÃO DE ASSOCIADOS SUL CATARINENSE - SICOOB CREDISULCA SC</v>
      </c>
      <c r="L273" s="15" t="str">
        <f>Base_IFData!F274</f>
        <v>b3S</v>
      </c>
      <c r="M273" s="17">
        <f>IF(AND(ISNUMBER(Base_IFData!L274),ISNUMBER(Base_IFData!W274)),IF(Base_IFData!L274&gt;$B$4,Base_IFData!W274,""),"")</f>
        <v>0.12823867769147806</v>
      </c>
      <c r="N273" s="50">
        <f>IF(AND(ISNUMBER(Base_IFData!O274),ISNUMBER(Base_IFData!Q274)),IF(Base_IFData!Q274&gt;0,Base_IFData!O274/Base_IFData!Q274,"PL ≤ 0"),"NI")</f>
        <v>5.6261945171349979</v>
      </c>
      <c r="O273" s="107">
        <f>IF(AND(ISNUMBER(Base_IFData!M274),ISNUMBER(Base_IFData!Q274)),IF(Base_IFData!Q274&gt;0,Base_IFData!M274/Base_IFData!Q274,"PL ≤ 0"),"NI")</f>
        <v>2.785634860252991</v>
      </c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spans="1:30" ht="1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12" t="str">
        <f>Base_IFData!A275</f>
        <v>COOPERATIVA DE CRÉDITO, POUPANÇA E INVESTIMENTO RIO PARANÁ - SICREDI RIO PARANÁ</v>
      </c>
      <c r="L274" s="12" t="str">
        <f>Base_IFData!F275</f>
        <v>b3S</v>
      </c>
      <c r="M274" s="14">
        <f>IF(AND(ISNUMBER(Base_IFData!L275),ISNUMBER(Base_IFData!W275)),IF(Base_IFData!L275&gt;$B$4,Base_IFData!W275,""),"")</f>
        <v>0.11515123126908222</v>
      </c>
      <c r="N274" s="51">
        <f>IF(AND(ISNUMBER(Base_IFData!O275),ISNUMBER(Base_IFData!Q275)),IF(Base_IFData!Q275&gt;0,Base_IFData!O275/Base_IFData!Q275,"PL ≤ 0"),"NI")</f>
        <v>5.7365727157754884</v>
      </c>
      <c r="O274" s="110">
        <f>IF(AND(ISNUMBER(Base_IFData!M275),ISNUMBER(Base_IFData!Q275)),IF(Base_IFData!Q275&gt;0,Base_IFData!M275/Base_IFData!Q275,"PL ≤ 0"),"NI")</f>
        <v>4.0325116356312201</v>
      </c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spans="1:30" ht="1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15" t="str">
        <f>Base_IFData!A276</f>
        <v>CREDISIS - CENTRAL DE COOPERATIVAS DE CRÉDITO</v>
      </c>
      <c r="L275" s="15" t="str">
        <f>Base_IFData!F276</f>
        <v>b3C</v>
      </c>
      <c r="M275" s="17">
        <f>IF(AND(ISNUMBER(Base_IFData!L276),ISNUMBER(Base_IFData!W276)),IF(Base_IFData!L276&gt;$B$4,Base_IFData!W276,""),"")</f>
        <v>4.639144461703907E-2</v>
      </c>
      <c r="N275" s="50">
        <f>IF(AND(ISNUMBER(Base_IFData!O276),ISNUMBER(Base_IFData!Q276)),IF(Base_IFData!Q276&gt;0,Base_IFData!O276/Base_IFData!Q276,"PL ≤ 0"),"NI")</f>
        <v>17.815031664476042</v>
      </c>
      <c r="O275" s="107">
        <f>IF(AND(ISNUMBER(Base_IFData!M276),ISNUMBER(Base_IFData!Q276)),IF(Base_IFData!Q276&gt;0,Base_IFData!M276/Base_IFData!Q276,"PL ≤ 0"),"NI")</f>
        <v>0.58371967977058192</v>
      </c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spans="1:30" ht="1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12" t="str">
        <f>Base_IFData!A277</f>
        <v>COOPERATIVA DE CREDITO DE LIVRE ADMISSÃO DO SUL DE MINAS LTDA - SICOOB CREDIVASS</v>
      </c>
      <c r="L276" s="12" t="str">
        <f>Base_IFData!F277</f>
        <v>b3S</v>
      </c>
      <c r="M276" s="14">
        <f>IF(AND(ISNUMBER(Base_IFData!L277),ISNUMBER(Base_IFData!W277)),IF(Base_IFData!L277&gt;$B$4,Base_IFData!W277,""),"")</f>
        <v>0.11651455114419146</v>
      </c>
      <c r="N276" s="51">
        <f>IF(AND(ISNUMBER(Base_IFData!O277),ISNUMBER(Base_IFData!Q277)),IF(Base_IFData!Q277&gt;0,Base_IFData!O277/Base_IFData!Q277,"PL ≤ 0"),"NI")</f>
        <v>6.9018672943680031</v>
      </c>
      <c r="O276" s="110">
        <f>IF(AND(ISNUMBER(Base_IFData!M277),ISNUMBER(Base_IFData!Q277)),IF(Base_IFData!Q277&gt;0,Base_IFData!M277/Base_IFData!Q277,"PL ≤ 0"),"NI")</f>
        <v>2.8553718904567482</v>
      </c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spans="1:30" ht="1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15" t="str">
        <f>Base_IFData!A278</f>
        <v>CORA SOCIEDADE DE CRÉDITO, FINANCIAMENTO E INVESTIMENTO S.A.</v>
      </c>
      <c r="L277" s="15" t="str">
        <f>Base_IFData!F278</f>
        <v>n1</v>
      </c>
      <c r="M277" s="17">
        <f>IF(AND(ISNUMBER(Base_IFData!L278),ISNUMBER(Base_IFData!W278)),IF(Base_IFData!L278&gt;$B$4,Base_IFData!W278,""),"")</f>
        <v>0.10622332915589257</v>
      </c>
      <c r="N277" s="50">
        <f>IF(AND(ISNUMBER(Base_IFData!O278),ISNUMBER(Base_IFData!Q278)),IF(Base_IFData!Q278&gt;0,Base_IFData!O278/Base_IFData!Q278,"PL ≤ 0"),"NI")</f>
        <v>11.379479512032615</v>
      </c>
      <c r="O277" s="107">
        <f>IF(AND(ISNUMBER(Base_IFData!M278),ISNUMBER(Base_IFData!Q278)),IF(Base_IFData!Q278&gt;0,Base_IFData!M278/Base_IFData!Q278,"PL ≤ 0"),"NI")</f>
        <v>1.2798673794755462</v>
      </c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spans="1:30" ht="1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12" t="str">
        <f>Base_IFData!A279</f>
        <v>COOPERATIVA DE CRÉDITO SICOOB OURO VERDE</v>
      </c>
      <c r="L278" s="12" t="str">
        <f>Base_IFData!F279</f>
        <v>b3S</v>
      </c>
      <c r="M278" s="14">
        <f>IF(AND(ISNUMBER(Base_IFData!L279),ISNUMBER(Base_IFData!W279)),IF(Base_IFData!L279&gt;$B$4,Base_IFData!W279,""),"")</f>
        <v>0.10274784107252602</v>
      </c>
      <c r="N278" s="51">
        <f>IF(AND(ISNUMBER(Base_IFData!O279),ISNUMBER(Base_IFData!Q279)),IF(Base_IFData!Q279&gt;0,Base_IFData!O279/Base_IFData!Q279,"PL ≤ 0"),"NI")</f>
        <v>8.8550429884751605</v>
      </c>
      <c r="O278" s="110">
        <f>IF(AND(ISNUMBER(Base_IFData!M279),ISNUMBER(Base_IFData!Q279)),IF(Base_IFData!Q279&gt;0,Base_IFData!M279/Base_IFData!Q279,"PL ≤ 0"),"NI")</f>
        <v>6.528143670841966</v>
      </c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spans="1:30" ht="1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15" t="str">
        <f>Base_IFData!A280</f>
        <v>COOPERATIVA DE CRÉDITO DE LIVRE ADMISSÃO DO PONTAL DO TRIANGULO LTDA - SICOOB CREDIPONTAL</v>
      </c>
      <c r="L279" s="15" t="str">
        <f>Base_IFData!F280</f>
        <v>b3S</v>
      </c>
      <c r="M279" s="17">
        <f>IF(AND(ISNUMBER(Base_IFData!L280),ISNUMBER(Base_IFData!W280)),IF(Base_IFData!L280&gt;$B$4,Base_IFData!W280,""),"")</f>
        <v>-2.6446357585205929E-3</v>
      </c>
      <c r="N279" s="50">
        <f>IF(AND(ISNUMBER(Base_IFData!O280),ISNUMBER(Base_IFData!Q280)),IF(Base_IFData!Q280&gt;0,Base_IFData!O280/Base_IFData!Q280,"PL ≤ 0"),"NI")</f>
        <v>9.2306724789074579</v>
      </c>
      <c r="O279" s="107">
        <f>IF(AND(ISNUMBER(Base_IFData!M280),ISNUMBER(Base_IFData!Q280)),IF(Base_IFData!Q280&gt;0,Base_IFData!M280/Base_IFData!Q280,"PL ≤ 0"),"NI")</f>
        <v>6.6802771075165248</v>
      </c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spans="1:30" ht="1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12" t="str">
        <f>Base_IFData!A281</f>
        <v>BANCO KDB DO BRASIL S.A.</v>
      </c>
      <c r="L280" s="12" t="str">
        <f>Base_IFData!F281</f>
        <v>b1</v>
      </c>
      <c r="M280" s="14">
        <f>IF(AND(ISNUMBER(Base_IFData!L281),ISNUMBER(Base_IFData!W281)),IF(Base_IFData!L281&gt;$B$4,Base_IFData!W281,""),"")</f>
        <v>4.6951866805788688E-2</v>
      </c>
      <c r="N280" s="51">
        <f>IF(AND(ISNUMBER(Base_IFData!O281),ISNUMBER(Base_IFData!Q281)),IF(Base_IFData!Q281&gt;0,Base_IFData!O281/Base_IFData!Q281,"PL ≤ 0"),"NI")</f>
        <v>4.5982125844939441</v>
      </c>
      <c r="O280" s="110">
        <f>IF(AND(ISNUMBER(Base_IFData!M281),ISNUMBER(Base_IFData!Q281)),IF(Base_IFData!Q281&gt;0,Base_IFData!M281/Base_IFData!Q281,"PL ≤ 0"),"NI")</f>
        <v>1.3333157918613618</v>
      </c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spans="1:30" ht="1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15" t="str">
        <f>Base_IFData!A282</f>
        <v>COOPERATIVA DE CRÉDITO ROTA DAS TERRAS - SICREDI   ROTA DAS TERRAS</v>
      </c>
      <c r="L281" s="15" t="str">
        <f>Base_IFData!F282</f>
        <v>b3S</v>
      </c>
      <c r="M281" s="17">
        <f>IF(AND(ISNUMBER(Base_IFData!L282),ISNUMBER(Base_IFData!W282)),IF(Base_IFData!L282&gt;$B$4,Base_IFData!W282,""),"")</f>
        <v>-4.4088929789908422E-2</v>
      </c>
      <c r="N281" s="50">
        <f>IF(AND(ISNUMBER(Base_IFData!O282),ISNUMBER(Base_IFData!Q282)),IF(Base_IFData!Q282&gt;0,Base_IFData!O282/Base_IFData!Q282,"PL ≤ 0"),"NI")</f>
        <v>7.6285211662776078</v>
      </c>
      <c r="O281" s="107">
        <f>IF(AND(ISNUMBER(Base_IFData!M282),ISNUMBER(Base_IFData!Q282)),IF(Base_IFData!Q282&gt;0,Base_IFData!M282/Base_IFData!Q282,"PL ≤ 0"),"NI")</f>
        <v>5.5092335922068596</v>
      </c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spans="1:30" ht="1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12" t="str">
        <f>Base_IFData!A283</f>
        <v>ASA SOCIEDADE DE CRÉDITO FINANCIAMENTO E INVESTIMENTO S.A.</v>
      </c>
      <c r="L282" s="12" t="str">
        <f>Base_IFData!F283</f>
        <v>n1</v>
      </c>
      <c r="M282" s="14">
        <f>IF(AND(ISNUMBER(Base_IFData!L283),ISNUMBER(Base_IFData!W283)),IF(Base_IFData!L283&gt;$B$4,Base_IFData!W283,""),"")</f>
        <v>-0.30351756438712962</v>
      </c>
      <c r="N282" s="51">
        <f>IF(AND(ISNUMBER(Base_IFData!O283),ISNUMBER(Base_IFData!Q283)),IF(Base_IFData!Q283&gt;0,Base_IFData!O283/Base_IFData!Q283,"PL ≤ 0"),"NI")</f>
        <v>9.2816830208134551</v>
      </c>
      <c r="O282" s="110">
        <f>IF(AND(ISNUMBER(Base_IFData!M283),ISNUMBER(Base_IFData!Q283)),IF(Base_IFData!Q283&gt;0,Base_IFData!M283/Base_IFData!Q283,"PL ≤ 0"),"NI")</f>
        <v>4.6550898724811764</v>
      </c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spans="1:30" ht="1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15" t="str">
        <f>Base_IFData!A284</f>
        <v>COOPERATIVA DE CRÉDITO DE LIVRE ADMISSÃO DE ASSOCIADOS DO VALE DO VINHO - SICOOB VALE DO VINHO</v>
      </c>
      <c r="L283" s="15" t="str">
        <f>Base_IFData!F284</f>
        <v>b3S</v>
      </c>
      <c r="M283" s="17">
        <f>IF(AND(ISNUMBER(Base_IFData!L284),ISNUMBER(Base_IFData!W284)),IF(Base_IFData!L284&gt;$B$4,Base_IFData!W284,""),"")</f>
        <v>6.0956194597387499E-2</v>
      </c>
      <c r="N283" s="50">
        <f>IF(AND(ISNUMBER(Base_IFData!O284),ISNUMBER(Base_IFData!Q284)),IF(Base_IFData!Q284&gt;0,Base_IFData!O284/Base_IFData!Q284,"PL ≤ 0"),"NI")</f>
        <v>8.8615729901667937</v>
      </c>
      <c r="O283" s="107">
        <f>IF(AND(ISNUMBER(Base_IFData!M284),ISNUMBER(Base_IFData!Q284)),IF(Base_IFData!Q284&gt;0,Base_IFData!M284/Base_IFData!Q284,"PL ≤ 0"),"NI")</f>
        <v>4.9081717339705815</v>
      </c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spans="1:30" ht="1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12" t="str">
        <f>Base_IFData!A285</f>
        <v>COOPERATIVA DE CRÉDITO, POUPANÇA E INVESTIMENTO TERRA DOS PINHEIRAIS DO PARANÁ E NOROESTE PAULISTA - SICREDI PLANALTO DAS ÁGUAS PR/SP</v>
      </c>
      <c r="L284" s="12" t="str">
        <f>Base_IFData!F285</f>
        <v>b3S</v>
      </c>
      <c r="M284" s="14">
        <f>IF(AND(ISNUMBER(Base_IFData!L285),ISNUMBER(Base_IFData!W285)),IF(Base_IFData!L285&gt;$B$4,Base_IFData!W285,""),"")</f>
        <v>6.514883211063327E-2</v>
      </c>
      <c r="N284" s="51">
        <f>IF(AND(ISNUMBER(Base_IFData!O285),ISNUMBER(Base_IFData!Q285)),IF(Base_IFData!Q285&gt;0,Base_IFData!O285/Base_IFData!Q285,"PL ≤ 0"),"NI")</f>
        <v>9.1796171683953123</v>
      </c>
      <c r="O284" s="110">
        <f>IF(AND(ISNUMBER(Base_IFData!M285),ISNUMBER(Base_IFData!Q285)),IF(Base_IFData!Q285&gt;0,Base_IFData!M285/Base_IFData!Q285,"PL ≤ 0"),"NI")</f>
        <v>6.0875486971920063</v>
      </c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spans="1:30" ht="1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15" t="str">
        <f>Base_IFData!A286</f>
        <v>ASAAS GESTÃO FINANCEIRA INSTITUIÇÃO DE PAGAMENTO S.A.</v>
      </c>
      <c r="L285" s="15" t="str">
        <f>Base_IFData!F286</f>
        <v>n4</v>
      </c>
      <c r="M285" s="17">
        <f>IF(AND(ISNUMBER(Base_IFData!L286),ISNUMBER(Base_IFData!W286)),IF(Base_IFData!L286&gt;$B$4,Base_IFData!W286,""),"")</f>
        <v>6.8332631135453971E-3</v>
      </c>
      <c r="N285" s="50">
        <f>IF(AND(ISNUMBER(Base_IFData!O286),ISNUMBER(Base_IFData!Q286)),IF(Base_IFData!Q286&gt;0,Base_IFData!O286/Base_IFData!Q286,"PL ≤ 0"),"NI")</f>
        <v>6.9405677269854644</v>
      </c>
      <c r="O285" s="107">
        <f>IF(AND(ISNUMBER(Base_IFData!M286),ISNUMBER(Base_IFData!Q286)),IF(Base_IFData!Q286&gt;0,Base_IFData!M286/Base_IFData!Q286,"PL ≤ 0"),"NI")</f>
        <v>1.7416262902886032E-2</v>
      </c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spans="1:30" ht="1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12" t="str">
        <f>Base_IFData!A287</f>
        <v>BANCO BRASILEIRO DE CRÉDITO SOCIEDADE ANÔNIMA</v>
      </c>
      <c r="L286" s="12" t="str">
        <f>Base_IFData!F287</f>
        <v>b1</v>
      </c>
      <c r="M286" s="14">
        <f>IF(AND(ISNUMBER(Base_IFData!L287),ISNUMBER(Base_IFData!W287)),IF(Base_IFData!L287&gt;$B$4,Base_IFData!W287,""),"")</f>
        <v>-1.4889940407939149E-3</v>
      </c>
      <c r="N286" s="51">
        <f>IF(AND(ISNUMBER(Base_IFData!O287),ISNUMBER(Base_IFData!Q287)),IF(Base_IFData!Q287&gt;0,Base_IFData!O287/Base_IFData!Q287,"PL ≤ 0"),"NI")</f>
        <v>8.7086804153679687</v>
      </c>
      <c r="O286" s="110">
        <f>IF(AND(ISNUMBER(Base_IFData!M287),ISNUMBER(Base_IFData!Q287)),IF(Base_IFData!Q287&gt;0,Base_IFData!M287/Base_IFData!Q287,"PL ≤ 0"),"NI")</f>
        <v>8.1898354354742331</v>
      </c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spans="1:30" ht="1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15" t="str">
        <f>Base_IFData!A288</f>
        <v>COOPERATIVA DE CRÉDITO, POUPANÇA E INVESTIMENTO NORTE SUL - SICREDI NORTE SUL</v>
      </c>
      <c r="L287" s="15" t="str">
        <f>Base_IFData!F288</f>
        <v>b3S</v>
      </c>
      <c r="M287" s="17">
        <f>IF(AND(ISNUMBER(Base_IFData!L288),ISNUMBER(Base_IFData!W288)),IF(Base_IFData!L288&gt;$B$4,Base_IFData!W288,""),"")</f>
        <v>4.9885785622269148E-2</v>
      </c>
      <c r="N287" s="50">
        <f>IF(AND(ISNUMBER(Base_IFData!O288),ISNUMBER(Base_IFData!Q288)),IF(Base_IFData!Q288&gt;0,Base_IFData!O288/Base_IFData!Q288,"PL ≤ 0"),"NI")</f>
        <v>8.9389451106949807</v>
      </c>
      <c r="O287" s="107">
        <f>IF(AND(ISNUMBER(Base_IFData!M288),ISNUMBER(Base_IFData!Q288)),IF(Base_IFData!Q288&gt;0,Base_IFData!M288/Base_IFData!Q288,"PL ≤ 0"),"NI")</f>
        <v>5.4716920992868241</v>
      </c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spans="1:30" ht="1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12" t="str">
        <f>Base_IFData!A289</f>
        <v>COOPERATIVA DE CRÉDITO E INVESTIMENTO COM INTERAÇÃO SOLIDÁRIA FRONTEIRAS PR/SC/SP/ES - CRESOL FRONTEIRAS PR/SC/SP/ES</v>
      </c>
      <c r="L288" s="12" t="str">
        <f>Base_IFData!F289</f>
        <v>b3S</v>
      </c>
      <c r="M288" s="14">
        <f>IF(AND(ISNUMBER(Base_IFData!L289),ISNUMBER(Base_IFData!W289)),IF(Base_IFData!L289&gt;$B$4,Base_IFData!W289,""),"")</f>
        <v>6.8006827633950037E-2</v>
      </c>
      <c r="N288" s="51">
        <f>IF(AND(ISNUMBER(Base_IFData!O289),ISNUMBER(Base_IFData!Q289)),IF(Base_IFData!Q289&gt;0,Base_IFData!O289/Base_IFData!Q289,"PL ≤ 0"),"NI")</f>
        <v>6.9089023468670563</v>
      </c>
      <c r="O288" s="110">
        <f>IF(AND(ISNUMBER(Base_IFData!M289),ISNUMBER(Base_IFData!Q289)),IF(Base_IFData!Q289&gt;0,Base_IFData!M289/Base_IFData!Q289,"PL ≤ 0"),"NI")</f>
        <v>6.0275139908365967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spans="1:30" ht="1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15" t="str">
        <f>Base_IFData!A290</f>
        <v>COOPERATIVA DE CRÉDITO, POUPANÇA E INVESTIMENTO SUL MINAS DO RIO GRANDE DO SUL E MINAS GERAIS - SICREDI SUL MINAS RS/MG.</v>
      </c>
      <c r="L289" s="15" t="str">
        <f>Base_IFData!F290</f>
        <v>b3S</v>
      </c>
      <c r="M289" s="17">
        <f>IF(AND(ISNUMBER(Base_IFData!L290),ISNUMBER(Base_IFData!W290)),IF(Base_IFData!L290&gt;$B$4,Base_IFData!W290,""),"")</f>
        <v>3.3496428128606447E-2</v>
      </c>
      <c r="N289" s="50">
        <f>IF(AND(ISNUMBER(Base_IFData!O290),ISNUMBER(Base_IFData!Q290)),IF(Base_IFData!Q290&gt;0,Base_IFData!O290/Base_IFData!Q290,"PL ≤ 0"),"NI")</f>
        <v>8.5160503718116232</v>
      </c>
      <c r="O289" s="107">
        <f>IF(AND(ISNUMBER(Base_IFData!M290),ISNUMBER(Base_IFData!Q290)),IF(Base_IFData!Q290&gt;0,Base_IFData!M290/Base_IFData!Q290,"PL ≤ 0"),"NI")</f>
        <v>6.0775065889661439</v>
      </c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spans="1:30" ht="1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12" t="str">
        <f>Base_IFData!A291</f>
        <v>COOPERATIVA DE CRÉDITO, POUPANÇA E INVESTIMENTO NOSSA TERRA - SICREDI NOSSA TERRA PR/SP</v>
      </c>
      <c r="L290" s="12" t="str">
        <f>Base_IFData!F291</f>
        <v>b3S</v>
      </c>
      <c r="M290" s="14">
        <f>IF(AND(ISNUMBER(Base_IFData!L291),ISNUMBER(Base_IFData!W291)),IF(Base_IFData!L291&gt;$B$4,Base_IFData!W291,""),"")</f>
        <v>4.4272795125930811E-2</v>
      </c>
      <c r="N290" s="51">
        <f>IF(AND(ISNUMBER(Base_IFData!O291),ISNUMBER(Base_IFData!Q291)),IF(Base_IFData!Q291&gt;0,Base_IFData!O291/Base_IFData!Q291,"PL ≤ 0"),"NI")</f>
        <v>9.386061689607887</v>
      </c>
      <c r="O290" s="110">
        <f>IF(AND(ISNUMBER(Base_IFData!M291),ISNUMBER(Base_IFData!Q291)),IF(Base_IFData!Q291&gt;0,Base_IFData!M291/Base_IFData!Q291,"PL ≤ 0"),"NI")</f>
        <v>6.1622919234174027</v>
      </c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spans="1:30" ht="1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15" t="str">
        <f>Base_IFData!A292</f>
        <v>COOPERATIVA CENTRAL DE ECONOMIA E CRÉDITO SICOOB UNIMAIS RIO LTDA.</v>
      </c>
      <c r="L291" s="15" t="str">
        <f>Base_IFData!F292</f>
        <v>b3C</v>
      </c>
      <c r="M291" s="17">
        <f>IF(AND(ISNUMBER(Base_IFData!L292),ISNUMBER(Base_IFData!W292)),IF(Base_IFData!L292&gt;$B$4,Base_IFData!W292,""),"")</f>
        <v>4.777769393299125E-2</v>
      </c>
      <c r="N291" s="50">
        <f>IF(AND(ISNUMBER(Base_IFData!O292),ISNUMBER(Base_IFData!Q292)),IF(Base_IFData!Q292&gt;0,Base_IFData!O292/Base_IFData!Q292,"PL ≤ 0"),"NI")</f>
        <v>10.211394506489587</v>
      </c>
      <c r="O291" s="107">
        <f>IF(AND(ISNUMBER(Base_IFData!M292),ISNUMBER(Base_IFData!Q292)),IF(Base_IFData!Q292&gt;0,Base_IFData!M292/Base_IFData!Q292,"PL ≤ 0"),"NI")</f>
        <v>0.11054180501056445</v>
      </c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spans="1:30" ht="1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12" t="str">
        <f>Base_IFData!A293</f>
        <v>BANCO ALFA DE INVESTIMENTO S.A.</v>
      </c>
      <c r="L292" s="12" t="str">
        <f>Base_IFData!F293</f>
        <v>b2</v>
      </c>
      <c r="M292" s="14">
        <f>IF(AND(ISNUMBER(Base_IFData!L293),ISNUMBER(Base_IFData!W293)),IF(Base_IFData!L293&gt;$B$4,Base_IFData!W293,""),"")</f>
        <v>-1.7942857065821483E-2</v>
      </c>
      <c r="N292" s="51">
        <f>IF(AND(ISNUMBER(Base_IFData!O293),ISNUMBER(Base_IFData!Q293)),IF(Base_IFData!Q293&gt;0,Base_IFData!O293/Base_IFData!Q293,"PL ≤ 0"),"NI")</f>
        <v>0.99025104092028338</v>
      </c>
      <c r="O292" s="110">
        <f>IF(AND(ISNUMBER(Base_IFData!M293),ISNUMBER(Base_IFData!Q293)),IF(Base_IFData!Q293&gt;0,Base_IFData!M293/Base_IFData!Q293,"PL ≤ 0"),"NI")</f>
        <v>0.61844449402545121</v>
      </c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spans="1:30" ht="1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15" t="str">
        <f>Base_IFData!A294</f>
        <v>COOPERATIVA DE CRÉDITO, POUPANÇA E INVESTIMENTO DO NOROESTE DE MATO GROSSO, ACRE E AMAZONAS - SICREDI BIOMAS</v>
      </c>
      <c r="L293" s="15" t="str">
        <f>Base_IFData!F294</f>
        <v>b3S</v>
      </c>
      <c r="M293" s="17">
        <f>IF(AND(ISNUMBER(Base_IFData!L294),ISNUMBER(Base_IFData!W294)),IF(Base_IFData!L294&gt;$B$4,Base_IFData!W294,""),"")</f>
        <v>-0.11401728856897883</v>
      </c>
      <c r="N293" s="50">
        <f>IF(AND(ISNUMBER(Base_IFData!O294),ISNUMBER(Base_IFData!Q294)),IF(Base_IFData!Q294&gt;0,Base_IFData!O294/Base_IFData!Q294,"PL ≤ 0"),"NI")</f>
        <v>8.0061605401991276</v>
      </c>
      <c r="O293" s="107">
        <f>IF(AND(ISNUMBER(Base_IFData!M294),ISNUMBER(Base_IFData!Q294)),IF(Base_IFData!Q294&gt;0,Base_IFData!M294/Base_IFData!Q294,"PL ≤ 0"),"NI")</f>
        <v>5.9671285291900977</v>
      </c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spans="1:30" ht="1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12" t="str">
        <f>Base_IFData!A295</f>
        <v>COOPERATIVA DE CRÉDITO, POUPANÇA E INVESTIMENTO CONFIANÇA - SICREDI CONFIANÇA</v>
      </c>
      <c r="L294" s="12" t="str">
        <f>Base_IFData!F295</f>
        <v>b3S</v>
      </c>
      <c r="M294" s="14">
        <f>IF(AND(ISNUMBER(Base_IFData!L295),ISNUMBER(Base_IFData!W295)),IF(Base_IFData!L295&gt;$B$4,Base_IFData!W295,""),"")</f>
        <v>8.0693317003592044E-2</v>
      </c>
      <c r="N294" s="51">
        <f>IF(AND(ISNUMBER(Base_IFData!O295),ISNUMBER(Base_IFData!Q295)),IF(Base_IFData!Q295&gt;0,Base_IFData!O295/Base_IFData!Q295,"PL ≤ 0"),"NI")</f>
        <v>3.4028512325718596</v>
      </c>
      <c r="O294" s="110">
        <f>IF(AND(ISNUMBER(Base_IFData!M295),ISNUMBER(Base_IFData!Q295)),IF(Base_IFData!Q295&gt;0,Base_IFData!M295/Base_IFData!Q295,"PL ≤ 0"),"NI")</f>
        <v>2.3963960061833958</v>
      </c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spans="1:30" ht="1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15" t="str">
        <f>Base_IFData!A296</f>
        <v>COOPERATIVA DE CRÉDITO E INVESTIMENTO COM INTERAÇÃO SOLIDÁRIA RAIZ - CRESOL RAIZ</v>
      </c>
      <c r="L295" s="15" t="str">
        <f>Base_IFData!F296</f>
        <v>b3S</v>
      </c>
      <c r="M295" s="17">
        <f>IF(AND(ISNUMBER(Base_IFData!L296),ISNUMBER(Base_IFData!W296)),IF(Base_IFData!L296&gt;$B$4,Base_IFData!W296,""),"")</f>
        <v>7.3277889198709881E-2</v>
      </c>
      <c r="N295" s="50">
        <f>IF(AND(ISNUMBER(Base_IFData!O296),ISNUMBER(Base_IFData!Q296)),IF(Base_IFData!Q296&gt;0,Base_IFData!O296/Base_IFData!Q296,"PL ≤ 0"),"NI")</f>
        <v>7.9145854888479619</v>
      </c>
      <c r="O295" s="107">
        <f>IF(AND(ISNUMBER(Base_IFData!M296),ISNUMBER(Base_IFData!Q296)),IF(Base_IFData!Q296&gt;0,Base_IFData!M296/Base_IFData!Q296,"PL ≤ 0"),"NI")</f>
        <v>6.7336587970787152</v>
      </c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spans="1:30" ht="1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12" t="str">
        <f>Base_IFData!A297</f>
        <v>INTER PAG INSTITUIÇÃO DE PAGAMENTO S.A.</v>
      </c>
      <c r="L296" s="12" t="str">
        <f>Base_IFData!F297</f>
        <v>n4</v>
      </c>
      <c r="M296" s="14">
        <f>IF(AND(ISNUMBER(Base_IFData!L297),ISNUMBER(Base_IFData!W297)),IF(Base_IFData!L297&gt;$B$4,Base_IFData!W297,""),"")</f>
        <v>2.5027235521008155E-2</v>
      </c>
      <c r="N296" s="51">
        <f>IF(AND(ISNUMBER(Base_IFData!O297),ISNUMBER(Base_IFData!Q297)),IF(Base_IFData!Q297&gt;0,Base_IFData!O297/Base_IFData!Q297,"PL ≤ 0"),"NI")</f>
        <v>0.34433565571357067</v>
      </c>
      <c r="O296" s="110">
        <f>IF(AND(ISNUMBER(Base_IFData!M297),ISNUMBER(Base_IFData!Q297)),IF(Base_IFData!Q297&gt;0,Base_IFData!M297/Base_IFData!Q297,"PL ≤ 0"),"NI")</f>
        <v>0</v>
      </c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spans="1:30" ht="1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15" t="str">
        <f>Base_IFData!A298</f>
        <v>BANCO ABN AMRO CLEARING S.A.</v>
      </c>
      <c r="L297" s="15" t="str">
        <f>Base_IFData!F298</f>
        <v>b1</v>
      </c>
      <c r="M297" s="17">
        <f>IF(AND(ISNUMBER(Base_IFData!L298),ISNUMBER(Base_IFData!W298)),IF(Base_IFData!L298&gt;$B$4,Base_IFData!W298,""),"")</f>
        <v>3.6446801395362841E-2</v>
      </c>
      <c r="N297" s="50">
        <f>IF(AND(ISNUMBER(Base_IFData!O298),ISNUMBER(Base_IFData!Q298)),IF(Base_IFData!Q298&gt;0,Base_IFData!O298/Base_IFData!Q298,"PL ≤ 0"),"NI")</f>
        <v>3.6079005051137418</v>
      </c>
      <c r="O297" s="107">
        <f>IF(AND(ISNUMBER(Base_IFData!M298),ISNUMBER(Base_IFData!Q298)),IF(Base_IFData!Q298&gt;0,Base_IFData!M298/Base_IFData!Q298,"PL ≤ 0"),"NI")</f>
        <v>0</v>
      </c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spans="1:30" ht="1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12" t="str">
        <f>Base_IFData!A299</f>
        <v>COOPERATIVA DE CRÉDITO, POUPANÇA E INVESTIMENTO DO VALE DO RIO PARDO - SICREDI VALE DO RIO PARDO RS</v>
      </c>
      <c r="L298" s="12" t="str">
        <f>Base_IFData!F299</f>
        <v>b3S</v>
      </c>
      <c r="M298" s="14">
        <f>IF(AND(ISNUMBER(Base_IFData!L299),ISNUMBER(Base_IFData!W299)),IF(Base_IFData!L299&gt;$B$4,Base_IFData!W299,""),"")</f>
        <v>0.11359751094091904</v>
      </c>
      <c r="N298" s="51">
        <f>IF(AND(ISNUMBER(Base_IFData!O299),ISNUMBER(Base_IFData!Q299)),IF(Base_IFData!Q299&gt;0,Base_IFData!O299/Base_IFData!Q299,"PL ≤ 0"),"NI")</f>
        <v>4.4943395939703379</v>
      </c>
      <c r="O298" s="110">
        <f>IF(AND(ISNUMBER(Base_IFData!M299),ISNUMBER(Base_IFData!Q299)),IF(Base_IFData!Q299&gt;0,Base_IFData!M299/Base_IFData!Q299,"PL ≤ 0"),"NI")</f>
        <v>2.7870946541453927</v>
      </c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spans="1:30" ht="1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15" t="str">
        <f>Base_IFData!A300</f>
        <v>COOPERATIVA DE CRÉDITO DE LIVRE ADMISSÃO DE ASSOCIADOS AURIVERDE -  SICOOB - CREDIAL SC/RS</v>
      </c>
      <c r="L299" s="15" t="str">
        <f>Base_IFData!F300</f>
        <v>b3S</v>
      </c>
      <c r="M299" s="17">
        <f>IF(AND(ISNUMBER(Base_IFData!L300),ISNUMBER(Base_IFData!W300)),IF(Base_IFData!L300&gt;$B$4,Base_IFData!W300,""),"")</f>
        <v>0.10229338809434911</v>
      </c>
      <c r="N299" s="50">
        <f>IF(AND(ISNUMBER(Base_IFData!O300),ISNUMBER(Base_IFData!Q300)),IF(Base_IFData!Q300&gt;0,Base_IFData!O300/Base_IFData!Q300,"PL ≤ 0"),"NI")</f>
        <v>4.8536509147578775</v>
      </c>
      <c r="O299" s="107">
        <f>IF(AND(ISNUMBER(Base_IFData!M300),ISNUMBER(Base_IFData!Q300)),IF(Base_IFData!Q300&gt;0,Base_IFData!M300/Base_IFData!Q300,"PL ≤ 0"),"NI")</f>
        <v>1.9108354572166035</v>
      </c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spans="1:30" ht="1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12" t="str">
        <f>Base_IFData!A301</f>
        <v>COOPERATIVA DE CREDITO DE LIVRE ADMISSÃO DE ASSOCIADOS ITAIPU SICOOB CREDITAIPU</v>
      </c>
      <c r="L300" s="12" t="str">
        <f>Base_IFData!F301</f>
        <v>b3S</v>
      </c>
      <c r="M300" s="14">
        <f>IF(AND(ISNUMBER(Base_IFData!L301),ISNUMBER(Base_IFData!W301)),IF(Base_IFData!L301&gt;$B$4,Base_IFData!W301,""),"")</f>
        <v>-1.2294978071843233E-2</v>
      </c>
      <c r="N300" s="51">
        <f>IF(AND(ISNUMBER(Base_IFData!O301),ISNUMBER(Base_IFData!Q301)),IF(Base_IFData!Q301&gt;0,Base_IFData!O301/Base_IFData!Q301,"PL ≤ 0"),"NI")</f>
        <v>7.0540612861701915</v>
      </c>
      <c r="O300" s="110">
        <f>IF(AND(ISNUMBER(Base_IFData!M301),ISNUMBER(Base_IFData!Q301)),IF(Base_IFData!Q301&gt;0,Base_IFData!M301/Base_IFData!Q301,"PL ≤ 0"),"NI")</f>
        <v>4.7692628364922838</v>
      </c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spans="1:30" ht="1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15" t="str">
        <f>Base_IFData!A302</f>
        <v>COOPERATIVA DE CRÉDITO GERAÇÕES - SICREDI GERAÇÕES RS/MG</v>
      </c>
      <c r="L301" s="15" t="str">
        <f>Base_IFData!F302</f>
        <v>b3S</v>
      </c>
      <c r="M301" s="17">
        <f>IF(AND(ISNUMBER(Base_IFData!L302),ISNUMBER(Base_IFData!W302)),IF(Base_IFData!L302&gt;$B$4,Base_IFData!W302,""),"")</f>
        <v>3.9052867574948712E-2</v>
      </c>
      <c r="N301" s="50">
        <f>IF(AND(ISNUMBER(Base_IFData!O302),ISNUMBER(Base_IFData!Q302)),IF(Base_IFData!Q302&gt;0,Base_IFData!O302/Base_IFData!Q302,"PL ≤ 0"),"NI")</f>
        <v>6.3359082005359086</v>
      </c>
      <c r="O301" s="107">
        <f>IF(AND(ISNUMBER(Base_IFData!M302),ISNUMBER(Base_IFData!Q302)),IF(Base_IFData!Q302&gt;0,Base_IFData!M302/Base_IFData!Q302,"PL ≤ 0"),"NI")</f>
        <v>4.5678804836048483</v>
      </c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spans="1:30" ht="1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12" t="str">
        <f>Base_IFData!A303</f>
        <v>SUMUP INSTITUICAO DE PAGAMENTO BRASIL LTDA</v>
      </c>
      <c r="L302" s="12" t="str">
        <f>Base_IFData!F303</f>
        <v>n4</v>
      </c>
      <c r="M302" s="14">
        <f>IF(AND(ISNUMBER(Base_IFData!L303),ISNUMBER(Base_IFData!W303)),IF(Base_IFData!L303&gt;$B$4,Base_IFData!W303,""),"")</f>
        <v>-5.2574915220049673E-2</v>
      </c>
      <c r="N302" s="51">
        <f>IF(AND(ISNUMBER(Base_IFData!O303),ISNUMBER(Base_IFData!Q303)),IF(Base_IFData!Q303&gt;0,Base_IFData!O303/Base_IFData!Q303,"PL ≤ 0"),"NI")</f>
        <v>6.1694464405027549</v>
      </c>
      <c r="O302" s="110">
        <f>IF(AND(ISNUMBER(Base_IFData!M303),ISNUMBER(Base_IFData!Q303)),IF(Base_IFData!Q303&gt;0,Base_IFData!M303/Base_IFData!Q303,"PL ≤ 0"),"NI")</f>
        <v>0</v>
      </c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spans="1:30" ht="1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15" t="str">
        <f>Base_IFData!A304</f>
        <v>COOPERATIVA DE CRÉDITO LITORÂNEA</v>
      </c>
      <c r="L303" s="15" t="str">
        <f>Base_IFData!F304</f>
        <v>b3S</v>
      </c>
      <c r="M303" s="17">
        <f>IF(AND(ISNUMBER(Base_IFData!L304),ISNUMBER(Base_IFData!W304)),IF(Base_IFData!L304&gt;$B$4,Base_IFData!W304,""),"")</f>
        <v>0.11148516593050073</v>
      </c>
      <c r="N303" s="50">
        <f>IF(AND(ISNUMBER(Base_IFData!O304),ISNUMBER(Base_IFData!Q304)),IF(Base_IFData!Q304&gt;0,Base_IFData!O304/Base_IFData!Q304,"PL ≤ 0"),"NI")</f>
        <v>5.9435660399484034</v>
      </c>
      <c r="O303" s="107">
        <f>IF(AND(ISNUMBER(Base_IFData!M304),ISNUMBER(Base_IFData!Q304)),IF(Base_IFData!Q304&gt;0,Base_IFData!M304/Base_IFData!Q304,"PL ≤ 0"),"NI")</f>
        <v>3.444494390806395</v>
      </c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spans="1:30" ht="1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12" t="str">
        <f>Base_IFData!A305</f>
        <v>COOPERATIVA CENTRAL DE CRÉDITO, POUPANÇA E INVESTIMENTO DO SUL E SUDESTE - CENTRAL SICREDI SUL/SUDESTE</v>
      </c>
      <c r="L304" s="12" t="str">
        <f>Base_IFData!F305</f>
        <v>b3C</v>
      </c>
      <c r="M304" s="14">
        <f>IF(AND(ISNUMBER(Base_IFData!L305),ISNUMBER(Base_IFData!W305)),IF(Base_IFData!L305&gt;$B$4,Base_IFData!W305,""),"")</f>
        <v>0</v>
      </c>
      <c r="N304" s="51">
        <f>IF(AND(ISNUMBER(Base_IFData!O305),ISNUMBER(Base_IFData!Q305)),IF(Base_IFData!Q305&gt;0,Base_IFData!O305/Base_IFData!Q305,"PL ≤ 0"),"NI")</f>
        <v>7.3756201869941806E-2</v>
      </c>
      <c r="O304" s="110">
        <f>IF(AND(ISNUMBER(Base_IFData!M305),ISNUMBER(Base_IFData!Q305)),IF(Base_IFData!Q305&gt;0,Base_IFData!M305/Base_IFData!Q305,"PL ≤ 0"),"NI")</f>
        <v>0</v>
      </c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spans="1:30" ht="1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15" t="str">
        <f>Base_IFData!A306</f>
        <v>COOPERATIVA DE CRÉDITO SUL - SICOOB SUL</v>
      </c>
      <c r="L305" s="15" t="str">
        <f>Base_IFData!F306</f>
        <v>b3S</v>
      </c>
      <c r="M305" s="17">
        <f>IF(AND(ISNUMBER(Base_IFData!L306),ISNUMBER(Base_IFData!W306)),IF(Base_IFData!L306&gt;$B$4,Base_IFData!W306,""),"")</f>
        <v>4.9551112328433608E-2</v>
      </c>
      <c r="N305" s="50">
        <f>IF(AND(ISNUMBER(Base_IFData!O306),ISNUMBER(Base_IFData!Q306)),IF(Base_IFData!Q306&gt;0,Base_IFData!O306/Base_IFData!Q306,"PL ≤ 0"),"NI")</f>
        <v>7.5826714142244134</v>
      </c>
      <c r="O305" s="107">
        <f>IF(AND(ISNUMBER(Base_IFData!M306),ISNUMBER(Base_IFData!Q306)),IF(Base_IFData!Q306&gt;0,Base_IFData!M306/Base_IFData!Q306,"PL ≤ 0"),"NI")</f>
        <v>6.0202227700173472</v>
      </c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spans="1:30" ht="1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12" t="str">
        <f>Base_IFData!A307</f>
        <v>OMNI BANCO S.A.</v>
      </c>
      <c r="L306" s="12" t="str">
        <f>Base_IFData!F307</f>
        <v>b1</v>
      </c>
      <c r="M306" s="14">
        <f>IF(AND(ISNUMBER(Base_IFData!L307),ISNUMBER(Base_IFData!W307)),IF(Base_IFData!L307&gt;$B$4,Base_IFData!W307,""),"")</f>
        <v>5.0968702190244679E-2</v>
      </c>
      <c r="N306" s="51">
        <f>IF(AND(ISNUMBER(Base_IFData!O307),ISNUMBER(Base_IFData!Q307)),IF(Base_IFData!Q307&gt;0,Base_IFData!O307/Base_IFData!Q307,"PL ≤ 0"),"NI")</f>
        <v>4.8326230416812841</v>
      </c>
      <c r="O306" s="110">
        <f>IF(AND(ISNUMBER(Base_IFData!M307),ISNUMBER(Base_IFData!Q307)),IF(Base_IFData!Q307&gt;0,Base_IFData!M307/Base_IFData!Q307,"PL ≤ 0"),"NI")</f>
        <v>1.0612297006395739</v>
      </c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spans="1:30" ht="1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15" t="str">
        <f>Base_IFData!A308</f>
        <v>PAYPAL DO BRASIL INSTITUIÇÃO DE PAGAMENTO LTDA.</v>
      </c>
      <c r="L307" s="15" t="str">
        <f>Base_IFData!F308</f>
        <v>n4</v>
      </c>
      <c r="M307" s="17">
        <f>IF(AND(ISNUMBER(Base_IFData!L308),ISNUMBER(Base_IFData!W308)),IF(Base_IFData!L308&gt;$B$4,Base_IFData!W308,""),"")</f>
        <v>4.5719028586877347E-3</v>
      </c>
      <c r="N307" s="50">
        <f>IF(AND(ISNUMBER(Base_IFData!O308),ISNUMBER(Base_IFData!Q308)),IF(Base_IFData!Q308&gt;0,Base_IFData!O308/Base_IFData!Q308,"PL ≤ 0"),"NI")</f>
        <v>3.795461159489669</v>
      </c>
      <c r="O307" s="107">
        <f>IF(AND(ISNUMBER(Base_IFData!M308),ISNUMBER(Base_IFData!Q308)),IF(Base_IFData!Q308&gt;0,Base_IFData!M308/Base_IFData!Q308,"PL ≤ 0"),"NI")</f>
        <v>0</v>
      </c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spans="1:30" ht="1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12" t="str">
        <f>Base_IFData!A309</f>
        <v>BANCO AFINZ S.A. - BANCO MÚLTIPLO</v>
      </c>
      <c r="L308" s="12" t="str">
        <f>Base_IFData!F309</f>
        <v>b1</v>
      </c>
      <c r="M308" s="14">
        <f>IF(AND(ISNUMBER(Base_IFData!L309),ISNUMBER(Base_IFData!W309)),IF(Base_IFData!L309&gt;$B$4,Base_IFData!W309,""),"")</f>
        <v>-0.92434562230230066</v>
      </c>
      <c r="N308" s="51">
        <f>IF(AND(ISNUMBER(Base_IFData!O309),ISNUMBER(Base_IFData!Q309)),IF(Base_IFData!Q309&gt;0,Base_IFData!O309/Base_IFData!Q309,"PL ≤ 0"),"NI")</f>
        <v>26.336761968874985</v>
      </c>
      <c r="O308" s="110">
        <f>IF(AND(ISNUMBER(Base_IFData!M309),ISNUMBER(Base_IFData!Q309)),IF(Base_IFData!Q309&gt;0,Base_IFData!M309/Base_IFData!Q309,"PL ≤ 0"),"NI")</f>
        <v>5.7993307725814756</v>
      </c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spans="1:30" ht="1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15" t="str">
        <f>Base_IFData!A310</f>
        <v>COOPERATIVA DE CRÉDITO, POUPANÇA E INVESTIMENTO SEMENTES DO SUL - SICREDI SEMENTES DO SUL</v>
      </c>
      <c r="L309" s="15" t="str">
        <f>Base_IFData!F310</f>
        <v>b3S</v>
      </c>
      <c r="M309" s="17">
        <f>IF(AND(ISNUMBER(Base_IFData!L310),ISNUMBER(Base_IFData!W310)),IF(Base_IFData!L310&gt;$B$4,Base_IFData!W310,""),"")</f>
        <v>6.4149265694949026E-2</v>
      </c>
      <c r="N309" s="50">
        <f>IF(AND(ISNUMBER(Base_IFData!O310),ISNUMBER(Base_IFData!Q310)),IF(Base_IFData!Q310&gt;0,Base_IFData!O310/Base_IFData!Q310,"PL ≤ 0"),"NI")</f>
        <v>3.4007012852569458</v>
      </c>
      <c r="O309" s="107">
        <f>IF(AND(ISNUMBER(Base_IFData!M310),ISNUMBER(Base_IFData!Q310)),IF(Base_IFData!Q310&gt;0,Base_IFData!M310/Base_IFData!Q310,"PL ≤ 0"),"NI")</f>
        <v>2.8014837002289479</v>
      </c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spans="1:30" ht="1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12" t="str">
        <f>Base_IFData!A311</f>
        <v>COOPERATIVA DE CRÉDITO DOS TRANSPORTES, CORREIOS E LOGÍSTICA DO BRASIL - TRANSPOCRED</v>
      </c>
      <c r="L310" s="12" t="str">
        <f>Base_IFData!F311</f>
        <v>b3S</v>
      </c>
      <c r="M310" s="14">
        <f>IF(AND(ISNUMBER(Base_IFData!L311),ISNUMBER(Base_IFData!W311)),IF(Base_IFData!L311&gt;$B$4,Base_IFData!W311,""),"")</f>
        <v>-7.480847228481298E-2</v>
      </c>
      <c r="N310" s="51">
        <f>IF(AND(ISNUMBER(Base_IFData!O311),ISNUMBER(Base_IFData!Q311)),IF(Base_IFData!Q311&gt;0,Base_IFData!O311/Base_IFData!Q311,"PL ≤ 0"),"NI")</f>
        <v>8.9258143820735185</v>
      </c>
      <c r="O310" s="110">
        <f>IF(AND(ISNUMBER(Base_IFData!M311),ISNUMBER(Base_IFData!Q311)),IF(Base_IFData!Q311&gt;0,Base_IFData!M311/Base_IFData!Q311,"PL ≤ 0"),"NI")</f>
        <v>7.7391156200881523</v>
      </c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spans="1:30" ht="1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15" t="str">
        <f>Base_IFData!A312</f>
        <v>COOPERATIVA DE CRÉDITO PRO</v>
      </c>
      <c r="L311" s="15" t="str">
        <f>Base_IFData!F312</f>
        <v>b3S</v>
      </c>
      <c r="M311" s="17">
        <f>IF(AND(ISNUMBER(Base_IFData!L312),ISNUMBER(Base_IFData!W312)),IF(Base_IFData!L312&gt;$B$4,Base_IFData!W312,""),"")</f>
        <v>6.071688850537197E-2</v>
      </c>
      <c r="N311" s="50">
        <f>IF(AND(ISNUMBER(Base_IFData!O312),ISNUMBER(Base_IFData!Q312)),IF(Base_IFData!Q312&gt;0,Base_IFData!O312/Base_IFData!Q312,"PL ≤ 0"),"NI")</f>
        <v>5.0357348844903669</v>
      </c>
      <c r="O311" s="107">
        <f>IF(AND(ISNUMBER(Base_IFData!M312),ISNUMBER(Base_IFData!Q312)),IF(Base_IFData!Q312&gt;0,Base_IFData!M312/Base_IFData!Q312,"PL ≤ 0"),"NI")</f>
        <v>2.7457446760946254</v>
      </c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spans="1:30" ht="1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12" t="str">
        <f>Base_IFData!A313</f>
        <v>COOPERATIVA DE CRÉDITO, POUPANÇA E INVESTIMENTO CENTRO SERRA - SICREDI CENTRO SERRA RS</v>
      </c>
      <c r="L312" s="12" t="str">
        <f>Base_IFData!F313</f>
        <v>b3S</v>
      </c>
      <c r="M312" s="14">
        <f>IF(AND(ISNUMBER(Base_IFData!L313),ISNUMBER(Base_IFData!W313)),IF(Base_IFData!L313&gt;$B$4,Base_IFData!W313,""),"")</f>
        <v>0.11959660846251208</v>
      </c>
      <c r="N312" s="51">
        <f>IF(AND(ISNUMBER(Base_IFData!O313),ISNUMBER(Base_IFData!Q313)),IF(Base_IFData!Q313&gt;0,Base_IFData!O313/Base_IFData!Q313,"PL ≤ 0"),"NI")</f>
        <v>2.6581311158593848</v>
      </c>
      <c r="O312" s="110">
        <f>IF(AND(ISNUMBER(Base_IFData!M313),ISNUMBER(Base_IFData!Q313)),IF(Base_IFData!Q313&gt;0,Base_IFData!M313/Base_IFData!Q313,"PL ≤ 0"),"NI")</f>
        <v>1.4051662424976523</v>
      </c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spans="1:30" ht="1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15" t="str">
        <f>Base_IFData!A314</f>
        <v>COOPERATIVA DE CRÉDITO DE EMPRESÁRIOS - SICOOB/TRANSCREDI</v>
      </c>
      <c r="L313" s="15" t="str">
        <f>Base_IFData!F314</f>
        <v>b3S</v>
      </c>
      <c r="M313" s="17">
        <f>IF(AND(ISNUMBER(Base_IFData!L314),ISNUMBER(Base_IFData!W314)),IF(Base_IFData!L314&gt;$B$4,Base_IFData!W314,""),"")</f>
        <v>0.11179707274127874</v>
      </c>
      <c r="N313" s="50">
        <f>IF(AND(ISNUMBER(Base_IFData!O314),ISNUMBER(Base_IFData!Q314)),IF(Base_IFData!Q314&gt;0,Base_IFData!O314/Base_IFData!Q314,"PL ≤ 0"),"NI")</f>
        <v>4.9067833168262354</v>
      </c>
      <c r="O313" s="107">
        <f>IF(AND(ISNUMBER(Base_IFData!M314),ISNUMBER(Base_IFData!Q314)),IF(Base_IFData!Q314&gt;0,Base_IFData!M314/Base_IFData!Q314,"PL ≤ 0"),"NI")</f>
        <v>3.2517530538131396</v>
      </c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spans="1:30" ht="1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12" t="str">
        <f>Base_IFData!A315</f>
        <v>BANCO RANDON S.A.</v>
      </c>
      <c r="L314" s="12" t="str">
        <f>Base_IFData!F315</f>
        <v>b2</v>
      </c>
      <c r="M314" s="14">
        <f>IF(AND(ISNUMBER(Base_IFData!L315),ISNUMBER(Base_IFData!W315)),IF(Base_IFData!L315&gt;$B$4,Base_IFData!W315,""),"")</f>
        <v>7.5623965234582835E-3</v>
      </c>
      <c r="N314" s="51">
        <f>IF(AND(ISNUMBER(Base_IFData!O315),ISNUMBER(Base_IFData!Q315)),IF(Base_IFData!Q315&gt;0,Base_IFData!O315/Base_IFData!Q315,"PL ≤ 0"),"NI")</f>
        <v>6.2484004180924932</v>
      </c>
      <c r="O314" s="110">
        <f>IF(AND(ISNUMBER(Base_IFData!M315),ISNUMBER(Base_IFData!Q315)),IF(Base_IFData!Q315&gt;0,Base_IFData!M315/Base_IFData!Q315,"PL ≤ 0"),"NI")</f>
        <v>5.0126481081854841</v>
      </c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spans="1:30" ht="1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15" t="str">
        <f>Base_IFData!A316</f>
        <v>BTG PACTUAL SERVIÇOS FINANCEIROS S.A. DISTRIBUIDORA DE TÍTULOS E VALORES MOBILIÁRIOS</v>
      </c>
      <c r="L315" s="15" t="str">
        <f>Base_IFData!F316</f>
        <v>n2</v>
      </c>
      <c r="M315" s="17">
        <f>IF(AND(ISNUMBER(Base_IFData!L316),ISNUMBER(Base_IFData!W316)),IF(Base_IFData!L316&gt;$B$4,Base_IFData!W316,""),"")</f>
        <v>0.46930622135114231</v>
      </c>
      <c r="N315" s="50">
        <f>IF(AND(ISNUMBER(Base_IFData!O316),ISNUMBER(Base_IFData!Q316)),IF(Base_IFData!Q316&gt;0,Base_IFData!O316/Base_IFData!Q316,"PL ≤ 0"),"NI")</f>
        <v>5.0495914721377382</v>
      </c>
      <c r="O315" s="107">
        <f>IF(AND(ISNUMBER(Base_IFData!M316),ISNUMBER(Base_IFData!Q316)),IF(Base_IFData!Q316&gt;0,Base_IFData!M316/Base_IFData!Q316,"PL ≤ 0"),"NI")</f>
        <v>0</v>
      </c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spans="1:30" ht="1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12" t="str">
        <f>Base_IFData!A317</f>
        <v>COOPERATIVA DE CRÉDITO E INVESTIMENTO COM INTERAÇÃO SOLIDÁRIA DO VALE EUROPEU - CRESOL VALE EUROPEU</v>
      </c>
      <c r="L316" s="12" t="str">
        <f>Base_IFData!F317</f>
        <v>b3S</v>
      </c>
      <c r="M316" s="14">
        <f>IF(AND(ISNUMBER(Base_IFData!L317),ISNUMBER(Base_IFData!W317)),IF(Base_IFData!L317&gt;$B$4,Base_IFData!W317,""),"")</f>
        <v>0.10391253427925605</v>
      </c>
      <c r="N316" s="51">
        <f>IF(AND(ISNUMBER(Base_IFData!O317),ISNUMBER(Base_IFData!Q317)),IF(Base_IFData!Q317&gt;0,Base_IFData!O317/Base_IFData!Q317,"PL ≤ 0"),"NI")</f>
        <v>5.3735559336247576</v>
      </c>
      <c r="O316" s="110">
        <f>IF(AND(ISNUMBER(Base_IFData!M317),ISNUMBER(Base_IFData!Q317)),IF(Base_IFData!Q317&gt;0,Base_IFData!M317/Base_IFData!Q317,"PL ≤ 0"),"NI")</f>
        <v>4.0183312689469703</v>
      </c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spans="1:30" ht="1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15" t="str">
        <f>Base_IFData!A318</f>
        <v>DOCK INSTITUIÇÃO DE PAGAMENTO S.A.</v>
      </c>
      <c r="L317" s="15" t="str">
        <f>Base_IFData!F318</f>
        <v>n4</v>
      </c>
      <c r="M317" s="17">
        <f>IF(AND(ISNUMBER(Base_IFData!L318),ISNUMBER(Base_IFData!W318)),IF(Base_IFData!L318&gt;$B$4,Base_IFData!W318,""),"")</f>
        <v>2.7217913083128386E-2</v>
      </c>
      <c r="N317" s="50">
        <f>IF(AND(ISNUMBER(Base_IFData!O318),ISNUMBER(Base_IFData!Q318)),IF(Base_IFData!Q318&gt;0,Base_IFData!O318/Base_IFData!Q318,"PL ≤ 0"),"NI")</f>
        <v>11.660404266775325</v>
      </c>
      <c r="O317" s="107">
        <f>IF(AND(ISNUMBER(Base_IFData!M318),ISNUMBER(Base_IFData!Q318)),IF(Base_IFData!Q318&gt;0,Base_IFData!M318/Base_IFData!Q318,"PL ≤ 0"),"NI")</f>
        <v>0.13976648185068227</v>
      </c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spans="1:30" ht="1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12" t="str">
        <f>Base_IFData!A319</f>
        <v>COOPERATIVA DE CRÉDITO DE LIVRE ADMISSÃO DO VALE - SICOOB CREDIVALE/SC</v>
      </c>
      <c r="L318" s="12" t="str">
        <f>Base_IFData!F319</f>
        <v>b3S</v>
      </c>
      <c r="M318" s="14">
        <f>IF(AND(ISNUMBER(Base_IFData!L319),ISNUMBER(Base_IFData!W319)),IF(Base_IFData!L319&gt;$B$4,Base_IFData!W319,""),"")</f>
        <v>0.10721041504395237</v>
      </c>
      <c r="N318" s="51">
        <f>IF(AND(ISNUMBER(Base_IFData!O319),ISNUMBER(Base_IFData!Q319)),IF(Base_IFData!Q319&gt;0,Base_IFData!O319/Base_IFData!Q319,"PL ≤ 0"),"NI")</f>
        <v>7.4519011120638305</v>
      </c>
      <c r="O318" s="110">
        <f>IF(AND(ISNUMBER(Base_IFData!M319),ISNUMBER(Base_IFData!Q319)),IF(Base_IFData!Q319&gt;0,Base_IFData!M319/Base_IFData!Q319,"PL ≤ 0"),"NI")</f>
        <v>4.7652556961362489</v>
      </c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spans="1:30" ht="1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15" t="str">
        <f>Base_IFData!A320</f>
        <v>COOPERATIVA DE CRÉDITO DE LIVRE ADMISSÃO DA REGIÃO CENTRAL E OESTE MINEIRO LTDA. - SICOOB DIVICRED</v>
      </c>
      <c r="L319" s="15" t="str">
        <f>Base_IFData!F320</f>
        <v>b3S</v>
      </c>
      <c r="M319" s="17">
        <f>IF(AND(ISNUMBER(Base_IFData!L320),ISNUMBER(Base_IFData!W320)),IF(Base_IFData!L320&gt;$B$4,Base_IFData!W320,""),"")</f>
        <v>9.3832614954266647E-2</v>
      </c>
      <c r="N319" s="50">
        <f>IF(AND(ISNUMBER(Base_IFData!O320),ISNUMBER(Base_IFData!Q320)),IF(Base_IFData!Q320&gt;0,Base_IFData!O320/Base_IFData!Q320,"PL ≤ 0"),"NI")</f>
        <v>7.4356318195632216</v>
      </c>
      <c r="O319" s="107">
        <f>IF(AND(ISNUMBER(Base_IFData!M320),ISNUMBER(Base_IFData!Q320)),IF(Base_IFData!Q320&gt;0,Base_IFData!M320/Base_IFData!Q320,"PL ≤ 0"),"NI")</f>
        <v>3.2876446425478658</v>
      </c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spans="1:30" ht="1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12" t="str">
        <f>Base_IFData!A321</f>
        <v>COOPERATIVA DE CRÉDITO SUL-LITORÂNEA DO ESPÍRITO SANTO</v>
      </c>
      <c r="L320" s="12" t="str">
        <f>Base_IFData!F321</f>
        <v>b3S</v>
      </c>
      <c r="M320" s="14">
        <f>IF(AND(ISNUMBER(Base_IFData!L321),ISNUMBER(Base_IFData!W321)),IF(Base_IFData!L321&gt;$B$4,Base_IFData!W321,""),"")</f>
        <v>0.10750743278592301</v>
      </c>
      <c r="N320" s="51">
        <f>IF(AND(ISNUMBER(Base_IFData!O321),ISNUMBER(Base_IFData!Q321)),IF(Base_IFData!Q321&gt;0,Base_IFData!O321/Base_IFData!Q321,"PL ≤ 0"),"NI")</f>
        <v>7.1847063252051191</v>
      </c>
      <c r="O320" s="110">
        <f>IF(AND(ISNUMBER(Base_IFData!M321),ISNUMBER(Base_IFData!Q321)),IF(Base_IFData!Q321&gt;0,Base_IFData!M321/Base_IFData!Q321,"PL ≤ 0"),"NI")</f>
        <v>2.7193150352818081</v>
      </c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ht="1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15" t="str">
        <f>Base_IFData!A322</f>
        <v>S3 CACEIS BRASIL DISTRIBUIDORA DE TÍTULOS E VALORES MOBILIÁRIOS S.A.</v>
      </c>
      <c r="L321" s="15" t="str">
        <f>Base_IFData!F322</f>
        <v>n2</v>
      </c>
      <c r="M321" s="17">
        <f>IF(AND(ISNUMBER(Base_IFData!L322),ISNUMBER(Base_IFData!W322)),IF(Base_IFData!L322&gt;$B$4,Base_IFData!W322,""),"")</f>
        <v>0.10708898359683737</v>
      </c>
      <c r="N321" s="50">
        <f>IF(AND(ISNUMBER(Base_IFData!O322),ISNUMBER(Base_IFData!Q322)),IF(Base_IFData!Q322&gt;0,Base_IFData!O322/Base_IFData!Q322,"PL ≤ 0"),"NI")</f>
        <v>1.4764377109009192</v>
      </c>
      <c r="O321" s="107">
        <f>IF(AND(ISNUMBER(Base_IFData!M322),ISNUMBER(Base_IFData!Q322)),IF(Base_IFData!Q322&gt;0,Base_IFData!M322/Base_IFData!Q322,"PL ≤ 0"),"NI")</f>
        <v>0</v>
      </c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ht="1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12" t="str">
        <f>Base_IFData!A323</f>
        <v>BRASIL CARD INSTITUIÇÃO DE PAGAMENTOS LTDA</v>
      </c>
      <c r="L322" s="12" t="str">
        <f>Base_IFData!F323</f>
        <v>n4</v>
      </c>
      <c r="M322" s="14">
        <f>IF(AND(ISNUMBER(Base_IFData!L323),ISNUMBER(Base_IFData!W323)),IF(Base_IFData!L323&gt;$B$4,Base_IFData!W323,""),"")</f>
        <v>0.19923232908458866</v>
      </c>
      <c r="N322" s="51">
        <f>IF(AND(ISNUMBER(Base_IFData!O323),ISNUMBER(Base_IFData!Q323)),IF(Base_IFData!Q323&gt;0,Base_IFData!O323/Base_IFData!Q323,"PL ≤ 0"),"NI")</f>
        <v>183.71161645422944</v>
      </c>
      <c r="O322" s="110">
        <f>IF(AND(ISNUMBER(Base_IFData!M323),ISNUMBER(Base_IFData!Q323)),IF(Base_IFData!Q323&gt;0,Base_IFData!M323/Base_IFData!Q323,"PL ≤ 0"),"NI")</f>
        <v>131.85254924681345</v>
      </c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ht="1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15" t="str">
        <f>Base_IFData!A324</f>
        <v>CENTRAL DAS COOPERATIVAS DE CRÉDITO DOS ESTADOS DE MATO GROSSO, MATO GROSSO DO SUL E DO MUNICÍPIO DE CACOAL/RO - SICOOB CENTRAL RONDON</v>
      </c>
      <c r="L323" s="15" t="str">
        <f>Base_IFData!F324</f>
        <v>b3C</v>
      </c>
      <c r="M323" s="17">
        <f>IF(AND(ISNUMBER(Base_IFData!L324),ISNUMBER(Base_IFData!W324)),IF(Base_IFData!L324&gt;$B$4,Base_IFData!W324,""),"")</f>
        <v>4.5164204142202725E-5</v>
      </c>
      <c r="N323" s="50">
        <f>IF(AND(ISNUMBER(Base_IFData!O324),ISNUMBER(Base_IFData!Q324)),IF(Base_IFData!Q324&gt;0,Base_IFData!O324/Base_IFData!Q324,"PL ≤ 0"),"NI")</f>
        <v>15.434260274856442</v>
      </c>
      <c r="O323" s="107">
        <f>IF(AND(ISNUMBER(Base_IFData!M324),ISNUMBER(Base_IFData!Q324)),IF(Base_IFData!Q324&gt;0,Base_IFData!M324/Base_IFData!Q324,"PL ≤ 0"),"NI")</f>
        <v>0</v>
      </c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ht="1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12" t="str">
        <f>Base_IFData!A325</f>
        <v>COOPERATIVA DE CRÉDITO DE LIVRE ADMISSÃO DA UNIÃO DOS VALES DO PIRANGA E MATIPÓ LTDA. - SICOOB UNIÃO DOS VALES</v>
      </c>
      <c r="L324" s="12" t="str">
        <f>Base_IFData!F325</f>
        <v>b3S</v>
      </c>
      <c r="M324" s="14">
        <f>IF(AND(ISNUMBER(Base_IFData!L325),ISNUMBER(Base_IFData!W325)),IF(Base_IFData!L325&gt;$B$4,Base_IFData!W325,""),"")</f>
        <v>0.10063591400020187</v>
      </c>
      <c r="N324" s="51">
        <f>IF(AND(ISNUMBER(Base_IFData!O325),ISNUMBER(Base_IFData!Q325)),IF(Base_IFData!Q325&gt;0,Base_IFData!O325/Base_IFData!Q325,"PL ≤ 0"),"NI")</f>
        <v>9.2781427273644894</v>
      </c>
      <c r="O324" s="110">
        <f>IF(AND(ISNUMBER(Base_IFData!M325),ISNUMBER(Base_IFData!Q325)),IF(Base_IFData!Q325&gt;0,Base_IFData!M325/Base_IFData!Q325,"PL ≤ 0"),"NI")</f>
        <v>4.6713515695972543</v>
      </c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1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15" t="str">
        <f>Base_IFData!A326</f>
        <v>COOPERATIVA DE CRÉDITO, POUPANÇA E INVESTIMENTO DA REGIÃO CENTRO OESTE PAULISTA - SICREDI CENTRO OESTE PAULISTA</v>
      </c>
      <c r="L325" s="15" t="str">
        <f>Base_IFData!F326</f>
        <v>b3S</v>
      </c>
      <c r="M325" s="17">
        <f>IF(AND(ISNUMBER(Base_IFData!L326),ISNUMBER(Base_IFData!W326)),IF(Base_IFData!L326&gt;$B$4,Base_IFData!W326,""),"")</f>
        <v>6.220397852857594E-2</v>
      </c>
      <c r="N325" s="50">
        <f>IF(AND(ISNUMBER(Base_IFData!O326),ISNUMBER(Base_IFData!Q326)),IF(Base_IFData!Q326&gt;0,Base_IFData!O326/Base_IFData!Q326,"PL ≤ 0"),"NI")</f>
        <v>11.693957027079856</v>
      </c>
      <c r="O325" s="107">
        <f>IF(AND(ISNUMBER(Base_IFData!M326),ISNUMBER(Base_IFData!Q326)),IF(Base_IFData!Q326&gt;0,Base_IFData!M326/Base_IFData!Q326,"PL ≤ 0"),"NI")</f>
        <v>6.2194205121265433</v>
      </c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ht="1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12" t="str">
        <f>Base_IFData!A327</f>
        <v>COOPERATIVA DE CRÉDITO, POUPANÇA E INVESTIMENTO GRANDES LAGOS DO PARANÁ E LITORAL PAULISTA - SICREDI GRANDES LAGOS PR/SP</v>
      </c>
      <c r="L326" s="12" t="str">
        <f>Base_IFData!F327</f>
        <v>b3S</v>
      </c>
      <c r="M326" s="14">
        <f>IF(AND(ISNUMBER(Base_IFData!L327),ISNUMBER(Base_IFData!W327)),IF(Base_IFData!L327&gt;$B$4,Base_IFData!W327,""),"")</f>
        <v>7.8325241932291345E-2</v>
      </c>
      <c r="N326" s="51">
        <f>IF(AND(ISNUMBER(Base_IFData!O327),ISNUMBER(Base_IFData!Q327)),IF(Base_IFData!Q327&gt;0,Base_IFData!O327/Base_IFData!Q327,"PL ≤ 0"),"NI")</f>
        <v>8.0962654795279754</v>
      </c>
      <c r="O326" s="110">
        <f>IF(AND(ISNUMBER(Base_IFData!M327),ISNUMBER(Base_IFData!Q327)),IF(Base_IFData!Q327&gt;0,Base_IFData!M327/Base_IFData!Q327,"PL ≤ 0"),"NI")</f>
        <v>4.5786437396308308</v>
      </c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1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15" t="str">
        <f>Base_IFData!A328</f>
        <v>FLASH TECNOLOGIA E  INSTITUICAO DE PAGAMENTO LTDA</v>
      </c>
      <c r="L327" s="15" t="str">
        <f>Base_IFData!F328</f>
        <v>n4</v>
      </c>
      <c r="M327" s="17">
        <f>IF(AND(ISNUMBER(Base_IFData!L328),ISNUMBER(Base_IFData!W328)),IF(Base_IFData!L328&gt;$B$4,Base_IFData!W328,""),"")</f>
        <v>-4.8313187471763525E-2</v>
      </c>
      <c r="N327" s="50">
        <f>IF(AND(ISNUMBER(Base_IFData!O328),ISNUMBER(Base_IFData!Q328)),IF(Base_IFData!Q328&gt;0,Base_IFData!O328/Base_IFData!Q328,"PL ≤ 0"),"NI")</f>
        <v>10.646115121843277</v>
      </c>
      <c r="O327" s="107">
        <f>IF(AND(ISNUMBER(Base_IFData!M328),ISNUMBER(Base_IFData!Q328)),IF(Base_IFData!Q328&gt;0,Base_IFData!M328/Base_IFData!Q328,"PL ≤ 0"),"NI")</f>
        <v>0.19774753593523819</v>
      </c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spans="1:30" ht="1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12" t="str">
        <f>Base_IFData!A329</f>
        <v>COOPERATIVA DE CRÉDITO DOS MÉDICOS, PROFISSIONAIS DA SAÚDE E EMPRESÁRIOS - UNICRED RAÍZES</v>
      </c>
      <c r="L328" s="12" t="str">
        <f>Base_IFData!F329</f>
        <v>b3S</v>
      </c>
      <c r="M328" s="14">
        <f>IF(AND(ISNUMBER(Base_IFData!L329),ISNUMBER(Base_IFData!W329)),IF(Base_IFData!L329&gt;$B$4,Base_IFData!W329,""),"")</f>
        <v>0.15528420040059868</v>
      </c>
      <c r="N328" s="51">
        <f>IF(AND(ISNUMBER(Base_IFData!O329),ISNUMBER(Base_IFData!Q329)),IF(Base_IFData!Q329&gt;0,Base_IFData!O329/Base_IFData!Q329,"PL ≤ 0"),"NI")</f>
        <v>6.9537761014090567</v>
      </c>
      <c r="O328" s="110">
        <f>IF(AND(ISNUMBER(Base_IFData!M329),ISNUMBER(Base_IFData!Q329)),IF(Base_IFData!Q329&gt;0,Base_IFData!M329/Base_IFData!Q329,"PL ≤ 0"),"NI")</f>
        <v>4.663617349150547</v>
      </c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ht="1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15" t="str">
        <f>Base_IFData!A330</f>
        <v>COOPERATIVA DE CRÉDITO CREDILIVRE LTDA. - SICOOB CREDILIVRE</v>
      </c>
      <c r="L329" s="15" t="str">
        <f>Base_IFData!F330</f>
        <v>b3S</v>
      </c>
      <c r="M329" s="17">
        <f>IF(AND(ISNUMBER(Base_IFData!L330),ISNUMBER(Base_IFData!W330)),IF(Base_IFData!L330&gt;$B$4,Base_IFData!W330,""),"")</f>
        <v>0.13689055462405891</v>
      </c>
      <c r="N329" s="50">
        <f>IF(AND(ISNUMBER(Base_IFData!O330),ISNUMBER(Base_IFData!Q330)),IF(Base_IFData!Q330&gt;0,Base_IFData!O330/Base_IFData!Q330,"PL ≤ 0"),"NI")</f>
        <v>4.4888121774007956</v>
      </c>
      <c r="O329" s="107">
        <f>IF(AND(ISNUMBER(Base_IFData!M330),ISNUMBER(Base_IFData!Q330)),IF(Base_IFData!Q330&gt;0,Base_IFData!M330/Base_IFData!Q330,"PL ≤ 0"),"NI")</f>
        <v>2.7193521166891323</v>
      </c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ht="1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12" t="str">
        <f>Base_IFData!A331</f>
        <v>COOPERATIVA DE CRÉDITO E INVESTIMENTO COM INTERAÇÃO SOLIDÁRIA TRADIÇÃO - CRESOL TRADIÇÃO</v>
      </c>
      <c r="L330" s="12" t="str">
        <f>Base_IFData!F331</f>
        <v>b3S</v>
      </c>
      <c r="M330" s="14">
        <f>IF(AND(ISNUMBER(Base_IFData!L331),ISNUMBER(Base_IFData!W331)),IF(Base_IFData!L331&gt;$B$4,Base_IFData!W331,""),"")</f>
        <v>6.2447263317770153E-2</v>
      </c>
      <c r="N330" s="51">
        <f>IF(AND(ISNUMBER(Base_IFData!O331),ISNUMBER(Base_IFData!Q331)),IF(Base_IFData!Q331&gt;0,Base_IFData!O331/Base_IFData!Q331,"PL ≤ 0"),"NI")</f>
        <v>7.791124064802835</v>
      </c>
      <c r="O330" s="110">
        <f>IF(AND(ISNUMBER(Base_IFData!M331),ISNUMBER(Base_IFData!Q331)),IF(Base_IFData!Q331&gt;0,Base_IFData!M331/Base_IFData!Q331,"PL ≤ 0"),"NI")</f>
        <v>6.5902148844011927</v>
      </c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ht="1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15" t="str">
        <f>Base_IFData!A332</f>
        <v>COOPERATIVA DE CRÉDITO - SICREDI EXPANSÃO</v>
      </c>
      <c r="L331" s="15" t="str">
        <f>Base_IFData!F332</f>
        <v>b3S</v>
      </c>
      <c r="M331" s="17">
        <f>IF(AND(ISNUMBER(Base_IFData!L332),ISNUMBER(Base_IFData!W332)),IF(Base_IFData!L332&gt;$B$4,Base_IFData!W332,""),"")</f>
        <v>6.7265110712148413E-2</v>
      </c>
      <c r="N331" s="50">
        <f>IF(AND(ISNUMBER(Base_IFData!O332),ISNUMBER(Base_IFData!Q332)),IF(Base_IFData!Q332&gt;0,Base_IFData!O332/Base_IFData!Q332,"PL ≤ 0"),"NI")</f>
        <v>5.4286368485416183</v>
      </c>
      <c r="O331" s="107">
        <f>IF(AND(ISNUMBER(Base_IFData!M332),ISNUMBER(Base_IFData!Q332)),IF(Base_IFData!Q332&gt;0,Base_IFData!M332/Base_IFData!Q332,"PL ≤ 0"),"NI")</f>
        <v>3.4819608149246739</v>
      </c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ht="1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12" t="str">
        <f>Base_IFData!A333</f>
        <v>COOPERATIVA DE CRÉDITO, POUPANÇA E INVESTIMENTO DO RIO GRANDE DO NORTE - SICREDI RIO GRANDE DO NORTE</v>
      </c>
      <c r="L332" s="12" t="str">
        <f>Base_IFData!F333</f>
        <v>b3S</v>
      </c>
      <c r="M332" s="14">
        <f>IF(AND(ISNUMBER(Base_IFData!L333),ISNUMBER(Base_IFData!W333)),IF(Base_IFData!L333&gt;$B$4,Base_IFData!W333,""),"")</f>
        <v>0.12167579155409983</v>
      </c>
      <c r="N332" s="51">
        <f>IF(AND(ISNUMBER(Base_IFData!O333),ISNUMBER(Base_IFData!Q333)),IF(Base_IFData!Q333&gt;0,Base_IFData!O333/Base_IFData!Q333,"PL ≤ 0"),"NI")</f>
        <v>8.8428447334656237</v>
      </c>
      <c r="O332" s="110">
        <f>IF(AND(ISNUMBER(Base_IFData!M333),ISNUMBER(Base_IFData!Q333)),IF(Base_IFData!Q333&gt;0,Base_IFData!M333/Base_IFData!Q333,"PL ≤ 0"),"NI")</f>
        <v>4.9602927933312611</v>
      </c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ht="1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15" t="str">
        <f>Base_IFData!A334</f>
        <v>BANCO CREFISA S.A.</v>
      </c>
      <c r="L333" s="15" t="str">
        <f>Base_IFData!F334</f>
        <v>b1</v>
      </c>
      <c r="M333" s="17">
        <f>IF(AND(ISNUMBER(Base_IFData!L334),ISNUMBER(Base_IFData!W334)),IF(Base_IFData!L334&gt;$B$4,Base_IFData!W334,""),"")</f>
        <v>9.0053874566780101E-2</v>
      </c>
      <c r="N333" s="50">
        <f>IF(AND(ISNUMBER(Base_IFData!O334),ISNUMBER(Base_IFData!Q334)),IF(Base_IFData!Q334&gt;0,Base_IFData!O334/Base_IFData!Q334,"PL ≤ 0"),"NI")</f>
        <v>4.4638128713512888</v>
      </c>
      <c r="O333" s="107">
        <f>IF(AND(ISNUMBER(Base_IFData!M334),ISNUMBER(Base_IFData!Q334)),IF(Base_IFData!Q334&gt;0,Base_IFData!M334/Base_IFData!Q334,"PL ≤ 0"),"NI")</f>
        <v>3.5146685853848201</v>
      </c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ht="1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12" t="str">
        <f>Base_IFData!A335</f>
        <v>COOPERATIVA DE CRÉDITO UNICRED DESBRAVADORA LTDA - UNICRED DESBRAVADORA</v>
      </c>
      <c r="L334" s="12" t="str">
        <f>Base_IFData!F335</f>
        <v>b3S</v>
      </c>
      <c r="M334" s="14">
        <f>IF(AND(ISNUMBER(Base_IFData!L335),ISNUMBER(Base_IFData!W335)),IF(Base_IFData!L335&gt;$B$4,Base_IFData!W335,""),"")</f>
        <v>2.0249302265983815E-2</v>
      </c>
      <c r="N334" s="51">
        <f>IF(AND(ISNUMBER(Base_IFData!O335),ISNUMBER(Base_IFData!Q335)),IF(Base_IFData!Q335&gt;0,Base_IFData!O335/Base_IFData!Q335,"PL ≤ 0"),"NI")</f>
        <v>8.6131570412073497</v>
      </c>
      <c r="O334" s="110">
        <f>IF(AND(ISNUMBER(Base_IFData!M335),ISNUMBER(Base_IFData!Q335)),IF(Base_IFData!Q335&gt;0,Base_IFData!M335/Base_IFData!Q335,"PL ≤ 0"),"NI")</f>
        <v>5.897944637758922</v>
      </c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1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15" t="str">
        <f>Base_IFData!A336</f>
        <v>COOPERATIVA DE CRÉDITO, POUPANÇA E INVESTIMENTO INTEGRAÇÃO - SICREDI INTEGRAÇÃO PR/SC</v>
      </c>
      <c r="L335" s="15" t="str">
        <f>Base_IFData!F336</f>
        <v>b3S</v>
      </c>
      <c r="M335" s="17">
        <f>IF(AND(ISNUMBER(Base_IFData!L336),ISNUMBER(Base_IFData!W336)),IF(Base_IFData!L336&gt;$B$4,Base_IFData!W336,""),"")</f>
        <v>9.4772241968129875E-2</v>
      </c>
      <c r="N335" s="50">
        <f>IF(AND(ISNUMBER(Base_IFData!O336),ISNUMBER(Base_IFData!Q336)),IF(Base_IFData!Q336&gt;0,Base_IFData!O336/Base_IFData!Q336,"PL ≤ 0"),"NI")</f>
        <v>7.3312733444157727</v>
      </c>
      <c r="O335" s="107">
        <f>IF(AND(ISNUMBER(Base_IFData!M336),ISNUMBER(Base_IFData!Q336)),IF(Base_IFData!Q336&gt;0,Base_IFData!M336/Base_IFData!Q336,"PL ≤ 0"),"NI")</f>
        <v>3.2663193550855181</v>
      </c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ht="1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12" t="str">
        <f>Base_IFData!A337</f>
        <v>COOPERATIVA DE CRÉDITO DE LIVRE ADMISSÃO DE ASSOCIADOS OESTE CATARINENSE</v>
      </c>
      <c r="L336" s="12" t="str">
        <f>Base_IFData!F337</f>
        <v>b3S</v>
      </c>
      <c r="M336" s="14">
        <f>IF(AND(ISNUMBER(Base_IFData!L337),ISNUMBER(Base_IFData!W337)),IF(Base_IFData!L337&gt;$B$4,Base_IFData!W337,""),"")</f>
        <v>6.9579084928715396E-2</v>
      </c>
      <c r="N336" s="51">
        <f>IF(AND(ISNUMBER(Base_IFData!O337),ISNUMBER(Base_IFData!Q337)),IF(Base_IFData!Q337&gt;0,Base_IFData!O337/Base_IFData!Q337,"PL ≤ 0"),"NI")</f>
        <v>7.8108060217213149</v>
      </c>
      <c r="O336" s="110">
        <f>IF(AND(ISNUMBER(Base_IFData!M337),ISNUMBER(Base_IFData!Q337)),IF(Base_IFData!Q337&gt;0,Base_IFData!M337/Base_IFData!Q337,"PL ≤ 0"),"NI")</f>
        <v>4.8766233766233764</v>
      </c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0" ht="1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15" t="str">
        <f>Base_IFData!A338</f>
        <v>BANCO DA CHINA BRASIL S.A.</v>
      </c>
      <c r="L337" s="15" t="str">
        <f>Base_IFData!F338</f>
        <v>b1</v>
      </c>
      <c r="M337" s="17">
        <f>IF(AND(ISNUMBER(Base_IFData!L338),ISNUMBER(Base_IFData!W338)),IF(Base_IFData!L338&gt;$B$4,Base_IFData!W338,""),"")</f>
        <v>4.2583109240422461E-2</v>
      </c>
      <c r="N337" s="50">
        <f>IF(AND(ISNUMBER(Base_IFData!O338),ISNUMBER(Base_IFData!Q338)),IF(Base_IFData!Q338&gt;0,Base_IFData!O338/Base_IFData!Q338,"PL ≤ 0"),"NI")</f>
        <v>2.6773342686776571</v>
      </c>
      <c r="O337" s="107">
        <f>IF(AND(ISNUMBER(Base_IFData!M338),ISNUMBER(Base_IFData!Q338)),IF(Base_IFData!Q338&gt;0,Base_IFData!M338/Base_IFData!Q338,"PL ≤ 0"),"NI")</f>
        <v>0.63612923340738148</v>
      </c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0" ht="1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12" t="str">
        <f>Base_IFData!A339</f>
        <v>COOPERATIVA DE CRÉDITO DA REGIÃO MERIDIONAL DO BRASIL - SICOOB UNICOOB MERIDIONAL</v>
      </c>
      <c r="L338" s="12" t="str">
        <f>Base_IFData!F339</f>
        <v>b3S</v>
      </c>
      <c r="M338" s="14">
        <f>IF(AND(ISNUMBER(Base_IFData!L339),ISNUMBER(Base_IFData!W339)),IF(Base_IFData!L339&gt;$B$4,Base_IFData!W339,""),"")</f>
        <v>5.947835323840147E-2</v>
      </c>
      <c r="N338" s="51">
        <f>IF(AND(ISNUMBER(Base_IFData!O339),ISNUMBER(Base_IFData!Q339)),IF(Base_IFData!Q339&gt;0,Base_IFData!O339/Base_IFData!Q339,"PL ≤ 0"),"NI")</f>
        <v>7.4383110358291225</v>
      </c>
      <c r="O338" s="110">
        <f>IF(AND(ISNUMBER(Base_IFData!M339),ISNUMBER(Base_IFData!Q339)),IF(Base_IFData!Q339&gt;0,Base_IFData!M339/Base_IFData!Q339,"PL ≤ 0"),"NI")</f>
        <v>4.9891084347726231</v>
      </c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0" ht="1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15" t="str">
        <f>Base_IFData!A340</f>
        <v>COOPERATIVA DE CRÉDITO DE LIVRE ADMISSÃO DA REGIÃO DO CIRCUITO CAMPOS DAS VERTENTES LTDA - SICOOB COPERMEC</v>
      </c>
      <c r="L339" s="15" t="str">
        <f>Base_IFData!F340</f>
        <v>b3S</v>
      </c>
      <c r="M339" s="17">
        <f>IF(AND(ISNUMBER(Base_IFData!L340),ISNUMBER(Base_IFData!W340)),IF(Base_IFData!L340&gt;$B$4,Base_IFData!W340,""),"")</f>
        <v>9.1113224410087429E-2</v>
      </c>
      <c r="N339" s="50">
        <f>IF(AND(ISNUMBER(Base_IFData!O340),ISNUMBER(Base_IFData!Q340)),IF(Base_IFData!Q340&gt;0,Base_IFData!O340/Base_IFData!Q340,"PL ≤ 0"),"NI")</f>
        <v>6.4473507606286038</v>
      </c>
      <c r="O339" s="107">
        <f>IF(AND(ISNUMBER(Base_IFData!M340),ISNUMBER(Base_IFData!Q340)),IF(Base_IFData!Q340&gt;0,Base_IFData!M340/Base_IFData!Q340,"PL ≤ 0"),"NI")</f>
        <v>3.3722293431209467</v>
      </c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0" ht="1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12" t="str">
        <f>Base_IFData!A341</f>
        <v>COOPERATIVA DE CRÉDITO DO NORTE CATARINENSE E SUL PARANAENSE - SICOOB CREDINORTE</v>
      </c>
      <c r="L340" s="12" t="str">
        <f>Base_IFData!F341</f>
        <v>b3S</v>
      </c>
      <c r="M340" s="14">
        <f>IF(AND(ISNUMBER(Base_IFData!L341),ISNUMBER(Base_IFData!W341)),IF(Base_IFData!L341&gt;$B$4,Base_IFData!W341,""),"")</f>
        <v>0.13160497386674891</v>
      </c>
      <c r="N340" s="51">
        <f>IF(AND(ISNUMBER(Base_IFData!O341),ISNUMBER(Base_IFData!Q341)),IF(Base_IFData!Q341&gt;0,Base_IFData!O341/Base_IFData!Q341,"PL ≤ 0"),"NI")</f>
        <v>6.8032680812259665</v>
      </c>
      <c r="O340" s="110">
        <f>IF(AND(ISNUMBER(Base_IFData!M341),ISNUMBER(Base_IFData!Q341)),IF(Base_IFData!Q341&gt;0,Base_IFData!M341/Base_IFData!Q341,"PL ≤ 0"),"NI")</f>
        <v>3.6616825187156992</v>
      </c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0" ht="1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15" t="str">
        <f>Base_IFData!A342</f>
        <v>BTG PACTUAL ASSET MANAGEMENT S.A. DISTRIBUIDORA DE TÍTULOS E VALORES MOBILIÁRIOS</v>
      </c>
      <c r="L341" s="15" t="str">
        <f>Base_IFData!F342</f>
        <v>n2</v>
      </c>
      <c r="M341" s="17">
        <f>IF(AND(ISNUMBER(Base_IFData!L342),ISNUMBER(Base_IFData!W342)),IF(Base_IFData!L342&gt;$B$4,Base_IFData!W342,""),"")</f>
        <v>0.26022223289171065</v>
      </c>
      <c r="N341" s="50">
        <f>IF(AND(ISNUMBER(Base_IFData!O342),ISNUMBER(Base_IFData!Q342)),IF(Base_IFData!Q342&gt;0,Base_IFData!O342/Base_IFData!Q342,"PL ≤ 0"),"NI")</f>
        <v>1.1837822520591328</v>
      </c>
      <c r="O341" s="107">
        <f>IF(AND(ISNUMBER(Base_IFData!M342),ISNUMBER(Base_IFData!Q342)),IF(Base_IFData!Q342&gt;0,Base_IFData!M342/Base_IFData!Q342,"PL ≤ 0"),"NI")</f>
        <v>0</v>
      </c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spans="1:30" ht="1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12" t="str">
        <f>Base_IFData!A343</f>
        <v>COOPERATIVA DE CRÉDITO, POUPANÇA E INVESTIMENTO VALOR SUSTENTÁVEL - SICREDI VALOR SUSTENTÁVEL PR/SP</v>
      </c>
      <c r="L342" s="12" t="str">
        <f>Base_IFData!F343</f>
        <v>b3S</v>
      </c>
      <c r="M342" s="14">
        <f>IF(AND(ISNUMBER(Base_IFData!L343),ISNUMBER(Base_IFData!W343)),IF(Base_IFData!L343&gt;$B$4,Base_IFData!W343,""),"")</f>
        <v>-5.0257408194122777E-2</v>
      </c>
      <c r="N342" s="51">
        <f>IF(AND(ISNUMBER(Base_IFData!O343),ISNUMBER(Base_IFData!Q343)),IF(Base_IFData!Q343&gt;0,Base_IFData!O343/Base_IFData!Q343,"PL ≤ 0"),"NI")</f>
        <v>9.5741458935741601</v>
      </c>
      <c r="O342" s="110">
        <f>IF(AND(ISNUMBER(Base_IFData!M343),ISNUMBER(Base_IFData!Q343)),IF(Base_IFData!Q343&gt;0,Base_IFData!M343/Base_IFData!Q343,"PL ≤ 0"),"NI")</f>
        <v>6.777345338102351</v>
      </c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spans="1:30" ht="1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15" t="str">
        <f>Base_IFData!A344</f>
        <v>COOPERATIVA DE CRÉDITO DE LIVRE ADMISSÃO DA ZONA DA MATA LTDA   SICOOB COOPEMATA</v>
      </c>
      <c r="L343" s="15" t="str">
        <f>Base_IFData!F344</f>
        <v>b3S</v>
      </c>
      <c r="M343" s="17">
        <f>IF(AND(ISNUMBER(Base_IFData!L344),ISNUMBER(Base_IFData!W344)),IF(Base_IFData!L344&gt;$B$4,Base_IFData!W344,""),"")</f>
        <v>5.5393355232913916E-2</v>
      </c>
      <c r="N343" s="50">
        <f>IF(AND(ISNUMBER(Base_IFData!O344),ISNUMBER(Base_IFData!Q344)),IF(Base_IFData!Q344&gt;0,Base_IFData!O344/Base_IFData!Q344,"PL ≤ 0"),"NI")</f>
        <v>6.0421774962020773</v>
      </c>
      <c r="O343" s="107">
        <f>IF(AND(ISNUMBER(Base_IFData!M344),ISNUMBER(Base_IFData!Q344)),IF(Base_IFData!Q344&gt;0,Base_IFData!M344/Base_IFData!Q344,"PL ≤ 0"),"NI")</f>
        <v>4.018860227296944</v>
      </c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spans="1:30" ht="1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12" t="str">
        <f>Base_IFData!A345</f>
        <v>MAGALUPAY INSTITUIÇÃO DE PAGAMENTO S.A.</v>
      </c>
      <c r="L344" s="12" t="str">
        <f>Base_IFData!F345</f>
        <v>n4</v>
      </c>
      <c r="M344" s="14">
        <f>IF(AND(ISNUMBER(Base_IFData!L345),ISNUMBER(Base_IFData!W345)),IF(Base_IFData!L345&gt;$B$4,Base_IFData!W345,""),"")</f>
        <v>3.7067812571717984E-2</v>
      </c>
      <c r="N344" s="51">
        <f>IF(AND(ISNUMBER(Base_IFData!O345),ISNUMBER(Base_IFData!Q345)),IF(Base_IFData!Q345&gt;0,Base_IFData!O345/Base_IFData!Q345,"PL ≤ 0"),"NI")</f>
        <v>3.5666136448169166</v>
      </c>
      <c r="O344" s="110">
        <f>IF(AND(ISNUMBER(Base_IFData!M345),ISNUMBER(Base_IFData!Q345)),IF(Base_IFData!Q345&gt;0,Base_IFData!M345/Base_IFData!Q345,"PL ≤ 0"),"NI")</f>
        <v>6.4298884958413464E-4</v>
      </c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spans="1:30" ht="1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15" t="str">
        <f>Base_IFData!A346</f>
        <v>COOPERATIVA DE CRÉDITO DE LIVRE ADMISSÃO DO ALTO VALE DO ITAJAÍ - VIACREDI ALTO VALE</v>
      </c>
      <c r="L345" s="15" t="str">
        <f>Base_IFData!F346</f>
        <v>b3S</v>
      </c>
      <c r="M345" s="17">
        <f>IF(AND(ISNUMBER(Base_IFData!L346),ISNUMBER(Base_IFData!W346)),IF(Base_IFData!L346&gt;$B$4,Base_IFData!W346,""),"")</f>
        <v>8.482103149896443E-2</v>
      </c>
      <c r="N345" s="50">
        <f>IF(AND(ISNUMBER(Base_IFData!O346),ISNUMBER(Base_IFData!Q346)),IF(Base_IFData!Q346&gt;0,Base_IFData!O346/Base_IFData!Q346,"PL ≤ 0"),"NI")</f>
        <v>6.273802111790193</v>
      </c>
      <c r="O345" s="107">
        <f>IF(AND(ISNUMBER(Base_IFData!M346),ISNUMBER(Base_IFData!Q346)),IF(Base_IFData!Q346&gt;0,Base_IFData!M346/Base_IFData!Q346,"PL ≤ 0"),"NI")</f>
        <v>4.5241134166020762</v>
      </c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spans="1:30" ht="1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12" t="str">
        <f>Base_IFData!A347</f>
        <v>COOPERATIVA DE CRÉDITO E INVESTIMENTO COM INTERAÇÃO SOLIDÁRIA CENTRO SUL - CRESOL CENTRO SUL</v>
      </c>
      <c r="L346" s="12" t="str">
        <f>Base_IFData!F347</f>
        <v>b3S</v>
      </c>
      <c r="M346" s="14">
        <f>IF(AND(ISNUMBER(Base_IFData!L347),ISNUMBER(Base_IFData!W347)),IF(Base_IFData!L347&gt;$B$4,Base_IFData!W347,""),"")</f>
        <v>3.7095790115924343E-2</v>
      </c>
      <c r="N346" s="51">
        <f>IF(AND(ISNUMBER(Base_IFData!O347),ISNUMBER(Base_IFData!Q347)),IF(Base_IFData!Q347&gt;0,Base_IFData!O347/Base_IFData!Q347,"PL ≤ 0"),"NI")</f>
        <v>6.5295351483270947</v>
      </c>
      <c r="O346" s="110">
        <f>IF(AND(ISNUMBER(Base_IFData!M347),ISNUMBER(Base_IFData!Q347)),IF(Base_IFData!Q347&gt;0,Base_IFData!M347/Base_IFData!Q347,"PL ≤ 0"),"NI")</f>
        <v>5.3043385056807875</v>
      </c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spans="1:30" ht="1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15" t="str">
        <f>Base_IFData!A348</f>
        <v>COOPERATIVA DE CRÉDITO E INVESTIMENTO COM INTERAÇÃO SOLIDÁRIA UNIÃO DOS VALES - CRESOL UNIÃO DOS VALES</v>
      </c>
      <c r="L347" s="15" t="str">
        <f>Base_IFData!F348</f>
        <v>b3S</v>
      </c>
      <c r="M347" s="17">
        <f>IF(AND(ISNUMBER(Base_IFData!L348),ISNUMBER(Base_IFData!W348)),IF(Base_IFData!L348&gt;$B$4,Base_IFData!W348,""),"")</f>
        <v>0.12464685987134426</v>
      </c>
      <c r="N347" s="50">
        <f>IF(AND(ISNUMBER(Base_IFData!O348),ISNUMBER(Base_IFData!Q348)),IF(Base_IFData!Q348&gt;0,Base_IFData!O348/Base_IFData!Q348,"PL ≤ 0"),"NI")</f>
        <v>6.5630678426951388</v>
      </c>
      <c r="O347" s="107">
        <f>IF(AND(ISNUMBER(Base_IFData!M348),ISNUMBER(Base_IFData!Q348)),IF(Base_IFData!Q348&gt;0,Base_IFData!M348/Base_IFData!Q348,"PL ≤ 0"),"NI")</f>
        <v>6.0566516347237878</v>
      </c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spans="1:30" ht="1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12" t="str">
        <f>Base_IFData!A349</f>
        <v>CENTRAL DAS COOPERATIVAS DE CRÉDITO DO ESTADO DE SÃO PAULO - SICOOB CENTRAL CECRESP</v>
      </c>
      <c r="L348" s="12" t="str">
        <f>Base_IFData!F349</f>
        <v>b3C</v>
      </c>
      <c r="M348" s="14">
        <f>IF(AND(ISNUMBER(Base_IFData!L349),ISNUMBER(Base_IFData!W349)),IF(Base_IFData!L349&gt;$B$4,Base_IFData!W349,""),"")</f>
        <v>7.1763797003928168E-2</v>
      </c>
      <c r="N348" s="51">
        <f>IF(AND(ISNUMBER(Base_IFData!O349),ISNUMBER(Base_IFData!Q349)),IF(Base_IFData!Q349&gt;0,Base_IFData!O349/Base_IFData!Q349,"PL ≤ 0"),"NI")</f>
        <v>4.6789854725997575</v>
      </c>
      <c r="O348" s="110">
        <f>IF(AND(ISNUMBER(Base_IFData!M349),ISNUMBER(Base_IFData!Q349)),IF(Base_IFData!Q349&gt;0,Base_IFData!M349/Base_IFData!Q349,"PL ≤ 0"),"NI")</f>
        <v>2.8949110061476595E-2</v>
      </c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spans="1:30" ht="1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15" t="str">
        <f>Base_IFData!A350</f>
        <v>COOPERATIVA DE CRÉDITO E ECONOMIA COM INTERAÇÃO SOLIDÁRIA - CRESOL NOROESTE</v>
      </c>
      <c r="L349" s="15" t="str">
        <f>Base_IFData!F350</f>
        <v>b3S</v>
      </c>
      <c r="M349" s="17">
        <f>IF(AND(ISNUMBER(Base_IFData!L350),ISNUMBER(Base_IFData!W350)),IF(Base_IFData!L350&gt;$B$4,Base_IFData!W350,""),"")</f>
        <v>5.5235624619561927E-2</v>
      </c>
      <c r="N349" s="50">
        <f>IF(AND(ISNUMBER(Base_IFData!O350),ISNUMBER(Base_IFData!Q350)),IF(Base_IFData!Q350&gt;0,Base_IFData!O350/Base_IFData!Q350,"PL ≤ 0"),"NI")</f>
        <v>6.1122654828336778</v>
      </c>
      <c r="O349" s="107">
        <f>IF(AND(ISNUMBER(Base_IFData!M350),ISNUMBER(Base_IFData!Q350)),IF(Base_IFData!Q350&gt;0,Base_IFData!M350/Base_IFData!Q350,"PL ≤ 0"),"NI")</f>
        <v>5.2022161812462757</v>
      </c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spans="1:30" ht="1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12" t="str">
        <f>Base_IFData!A351</f>
        <v>COOPERATIVA DE CRÉDITO COCRE</v>
      </c>
      <c r="L350" s="12" t="str">
        <f>Base_IFData!F351</f>
        <v>b3S</v>
      </c>
      <c r="M350" s="14">
        <f>IF(AND(ISNUMBER(Base_IFData!L351),ISNUMBER(Base_IFData!W351)),IF(Base_IFData!L351&gt;$B$4,Base_IFData!W351,""),"")</f>
        <v>7.4496039057458927E-2</v>
      </c>
      <c r="N350" s="51">
        <f>IF(AND(ISNUMBER(Base_IFData!O351),ISNUMBER(Base_IFData!Q351)),IF(Base_IFData!Q351&gt;0,Base_IFData!O351/Base_IFData!Q351,"PL ≤ 0"),"NI")</f>
        <v>7.6065878365246329</v>
      </c>
      <c r="O350" s="110">
        <f>IF(AND(ISNUMBER(Base_IFData!M351),ISNUMBER(Base_IFData!Q351)),IF(Base_IFData!Q351&gt;0,Base_IFData!M351/Base_IFData!Q351,"PL ≤ 0"),"NI")</f>
        <v>3.0426258055989615</v>
      </c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spans="1:30" ht="1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15" t="str">
        <f>Base_IFData!A352</f>
        <v>BANCO DE DESENVOLVIMENTO DO ESPIRITO SANTO S.A.</v>
      </c>
      <c r="L351" s="15" t="str">
        <f>Base_IFData!F352</f>
        <v>b4</v>
      </c>
      <c r="M351" s="17">
        <f>IF(AND(ISNUMBER(Base_IFData!L352),ISNUMBER(Base_IFData!W352)),IF(Base_IFData!L352&gt;$B$4,Base_IFData!W352,""),"")</f>
        <v>1.3970487035222209E-2</v>
      </c>
      <c r="N351" s="50">
        <f>IF(AND(ISNUMBER(Base_IFData!O352),ISNUMBER(Base_IFData!Q352)),IF(Base_IFData!Q352&gt;0,Base_IFData!O352/Base_IFData!Q352,"PL ≤ 0"),"NI")</f>
        <v>2.6557705158882161</v>
      </c>
      <c r="O351" s="107">
        <f>IF(AND(ISNUMBER(Base_IFData!M352),ISNUMBER(Base_IFData!Q352)),IF(Base_IFData!Q352&gt;0,Base_IFData!M352/Base_IFData!Q352,"PL ≤ 0"),"NI")</f>
        <v>1.0800355521949003</v>
      </c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spans="1:30" ht="1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12" t="str">
        <f>Base_IFData!A353</f>
        <v>SANTANDER INSTITUCIONAL CORRETORA DE CÂMBIO E VALORES MOBILIÁRIOS S.A.</v>
      </c>
      <c r="L352" s="12" t="str">
        <f>Base_IFData!F353</f>
        <v>n2</v>
      </c>
      <c r="M352" s="14">
        <f>IF(AND(ISNUMBER(Base_IFData!L353),ISNUMBER(Base_IFData!W353)),IF(Base_IFData!L353&gt;$B$4,Base_IFData!W353,""),"")</f>
        <v>5.5440643371532025E-2</v>
      </c>
      <c r="N352" s="51">
        <f>IF(AND(ISNUMBER(Base_IFData!O353),ISNUMBER(Base_IFData!Q353)),IF(Base_IFData!Q353&gt;0,Base_IFData!O353/Base_IFData!Q353,"PL ≤ 0"),"NI")</f>
        <v>0.87296778443328638</v>
      </c>
      <c r="O352" s="110">
        <f>IF(AND(ISNUMBER(Base_IFData!M353),ISNUMBER(Base_IFData!Q353)),IF(Base_IFData!Q353&gt;0,Base_IFData!M353/Base_IFData!Q353,"PL ≤ 0"),"NI")</f>
        <v>0</v>
      </c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spans="1:30" ht="1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15" t="str">
        <f>Base_IFData!A354</f>
        <v>AGÊNCIA DE FOMENTO DO ESTADO DE SANTA CATARINA S.A.-BADESC</v>
      </c>
      <c r="L353" s="15" t="str">
        <f>Base_IFData!F354</f>
        <v>n1</v>
      </c>
      <c r="M353" s="17">
        <f>IF(AND(ISNUMBER(Base_IFData!L354),ISNUMBER(Base_IFData!W354)),IF(Base_IFData!L354&gt;$B$4,Base_IFData!W354,""),"")</f>
        <v>3.4930004534834511E-2</v>
      </c>
      <c r="N353" s="50">
        <f>IF(AND(ISNUMBER(Base_IFData!O354),ISNUMBER(Base_IFData!Q354)),IF(Base_IFData!Q354&gt;0,Base_IFData!O354/Base_IFData!Q354,"PL ≤ 0"),"NI")</f>
        <v>0.83671735192587438</v>
      </c>
      <c r="O353" s="107">
        <f>IF(AND(ISNUMBER(Base_IFData!M354),ISNUMBER(Base_IFData!Q354)),IF(Base_IFData!Q354&gt;0,Base_IFData!M354/Base_IFData!Q354,"PL ≤ 0"),"NI")</f>
        <v>1.3310151550972298</v>
      </c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spans="1:30" ht="1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12" t="str">
        <f>Base_IFData!A355</f>
        <v>COOPERATIVA DE CRÉDITO, POUPANÇA E INVESTIMENTO VALE DO JAGUARI E ZONA DA MATA - SICREDI VALE DO JAGUARI E ZONA DA MATA RS/MG</v>
      </c>
      <c r="L354" s="12" t="str">
        <f>Base_IFData!F355</f>
        <v>b3S</v>
      </c>
      <c r="M354" s="14">
        <f>IF(AND(ISNUMBER(Base_IFData!L355),ISNUMBER(Base_IFData!W355)),IF(Base_IFData!L355&gt;$B$4,Base_IFData!W355,""),"")</f>
        <v>6.9002175083066816E-2</v>
      </c>
      <c r="N354" s="51">
        <f>IF(AND(ISNUMBER(Base_IFData!O355),ISNUMBER(Base_IFData!Q355)),IF(Base_IFData!Q355&gt;0,Base_IFData!O355/Base_IFData!Q355,"PL ≤ 0"),"NI")</f>
        <v>3.8404338601274803</v>
      </c>
      <c r="O354" s="110">
        <f>IF(AND(ISNUMBER(Base_IFData!M355),ISNUMBER(Base_IFData!Q355)),IF(Base_IFData!Q355&gt;0,Base_IFData!M355/Base_IFData!Q355,"PL ≤ 0"),"NI")</f>
        <v>2.9221596039480651</v>
      </c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spans="1:30" ht="1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15" t="str">
        <f>Base_IFData!A356</f>
        <v>BANCO PAULISTA S.A.</v>
      </c>
      <c r="L355" s="15" t="str">
        <f>Base_IFData!F356</f>
        <v>b1</v>
      </c>
      <c r="M355" s="17">
        <f>IF(AND(ISNUMBER(Base_IFData!L356),ISNUMBER(Base_IFData!W356)),IF(Base_IFData!L356&gt;$B$4,Base_IFData!W356,""),"")</f>
        <v>-0.23385285451983431</v>
      </c>
      <c r="N355" s="50">
        <f>IF(AND(ISNUMBER(Base_IFData!O356),ISNUMBER(Base_IFData!Q356)),IF(Base_IFData!Q356&gt;0,Base_IFData!O356/Base_IFData!Q356,"PL ≤ 0"),"NI")</f>
        <v>17.53198684828558</v>
      </c>
      <c r="O355" s="107">
        <f>IF(AND(ISNUMBER(Base_IFData!M356),ISNUMBER(Base_IFData!Q356)),IF(Base_IFData!Q356&gt;0,Base_IFData!M356/Base_IFData!Q356,"PL ≤ 0"),"NI")</f>
        <v>8.9274691489815954</v>
      </c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spans="1:30" ht="1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12" t="str">
        <f>Base_IFData!A357</f>
        <v>EBANX INSTITUICAO DE PAGAMENTOS LTDA.</v>
      </c>
      <c r="L356" s="12" t="str">
        <f>Base_IFData!F357</f>
        <v>n4</v>
      </c>
      <c r="M356" s="14">
        <f>IF(AND(ISNUMBER(Base_IFData!L357),ISNUMBER(Base_IFData!W357)),IF(Base_IFData!L357&gt;$B$4,Base_IFData!W357,""),"")</f>
        <v>0.36642233554119447</v>
      </c>
      <c r="N356" s="51">
        <f>IF(AND(ISNUMBER(Base_IFData!O357),ISNUMBER(Base_IFData!Q357)),IF(Base_IFData!Q357&gt;0,Base_IFData!O357/Base_IFData!Q357,"PL ≤ 0"),"NI")</f>
        <v>12.367345547824256</v>
      </c>
      <c r="O356" s="110">
        <f>IF(AND(ISNUMBER(Base_IFData!M357),ISNUMBER(Base_IFData!Q357)),IF(Base_IFData!Q357&gt;0,Base_IFData!M357/Base_IFData!Q357,"PL ≤ 0"),"NI")</f>
        <v>0</v>
      </c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spans="1:30" ht="1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15" t="str">
        <f>Base_IFData!A358</f>
        <v>COOPERATIVA DE CRÉDITO ALTO VALE DO ITAJAÍ - SICOOB ALTO VALE</v>
      </c>
      <c r="L357" s="15" t="str">
        <f>Base_IFData!F358</f>
        <v>b3S</v>
      </c>
      <c r="M357" s="17">
        <f>IF(AND(ISNUMBER(Base_IFData!L358),ISNUMBER(Base_IFData!W358)),IF(Base_IFData!L358&gt;$B$4,Base_IFData!W358,""),"")</f>
        <v>0.11018608645863155</v>
      </c>
      <c r="N357" s="50">
        <f>IF(AND(ISNUMBER(Base_IFData!O358),ISNUMBER(Base_IFData!Q358)),IF(Base_IFData!Q358&gt;0,Base_IFData!O358/Base_IFData!Q358,"PL ≤ 0"),"NI")</f>
        <v>7.2257887202977384</v>
      </c>
      <c r="O357" s="107">
        <f>IF(AND(ISNUMBER(Base_IFData!M358),ISNUMBER(Base_IFData!Q358)),IF(Base_IFData!Q358&gt;0,Base_IFData!M358/Base_IFData!Q358,"PL ≤ 0"),"NI")</f>
        <v>3.720206126538792</v>
      </c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spans="1:30" ht="1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12" t="str">
        <f>Base_IFData!A359</f>
        <v>GOLDMAN SACHS DO BRASIL CORRETORA DE TÍTULOS E VALORES MOBILIÁRIOS S.A.</v>
      </c>
      <c r="L358" s="12" t="str">
        <f>Base_IFData!F359</f>
        <v>n2</v>
      </c>
      <c r="M358" s="14">
        <f>IF(AND(ISNUMBER(Base_IFData!L359),ISNUMBER(Base_IFData!W359)),IF(Base_IFData!L359&gt;$B$4,Base_IFData!W359,""),"")</f>
        <v>0.16514394413421013</v>
      </c>
      <c r="N358" s="51">
        <f>IF(AND(ISNUMBER(Base_IFData!O359),ISNUMBER(Base_IFData!Q359)),IF(Base_IFData!Q359&gt;0,Base_IFData!O359/Base_IFData!Q359,"PL ≤ 0"),"NI")</f>
        <v>0.58165811718593197</v>
      </c>
      <c r="O358" s="110">
        <f>IF(AND(ISNUMBER(Base_IFData!M359),ISNUMBER(Base_IFData!Q359)),IF(Base_IFData!Q359&gt;0,Base_IFData!M359/Base_IFData!Q359,"PL ≤ 0"),"NI")</f>
        <v>0</v>
      </c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spans="1:30" ht="1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15" t="str">
        <f>Base_IFData!A360</f>
        <v>COOPERATIVA DE CREDITO CREDICERIPA - SICOOB CREDICERIPA</v>
      </c>
      <c r="L359" s="15" t="str">
        <f>Base_IFData!F360</f>
        <v>b3S</v>
      </c>
      <c r="M359" s="17">
        <f>IF(AND(ISNUMBER(Base_IFData!L360),ISNUMBER(Base_IFData!W360)),IF(Base_IFData!L360&gt;$B$4,Base_IFData!W360,""),"")</f>
        <v>6.1300309597523223E-2</v>
      </c>
      <c r="N359" s="50">
        <f>IF(AND(ISNUMBER(Base_IFData!O360),ISNUMBER(Base_IFData!Q360)),IF(Base_IFData!Q360&gt;0,Base_IFData!O360/Base_IFData!Q360,"PL ≤ 0"),"NI")</f>
        <v>6.929329702711776</v>
      </c>
      <c r="O359" s="107">
        <f>IF(AND(ISNUMBER(Base_IFData!M360),ISNUMBER(Base_IFData!Q360)),IF(Base_IFData!Q360&gt;0,Base_IFData!M360/Base_IFData!Q360,"PL ≤ 0"),"NI")</f>
        <v>3.3741989630348019</v>
      </c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spans="1:30" ht="1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12" t="str">
        <f>Base_IFData!A361</f>
        <v>COOPERATIVA DE ECONOMIA E CRÉDITO MÚTUO UNICRED PREMIUM CAPITAL - UNICRED PREMIUM CAPITAL</v>
      </c>
      <c r="L360" s="12" t="str">
        <f>Base_IFData!F361</f>
        <v>b3S</v>
      </c>
      <c r="M360" s="14">
        <f>IF(AND(ISNUMBER(Base_IFData!L361),ISNUMBER(Base_IFData!W361)),IF(Base_IFData!L361&gt;$B$4,Base_IFData!W361,""),"")</f>
        <v>1.8952639092921726E-2</v>
      </c>
      <c r="N360" s="51">
        <f>IF(AND(ISNUMBER(Base_IFData!O361),ISNUMBER(Base_IFData!Q361)),IF(Base_IFData!Q361&gt;0,Base_IFData!O361/Base_IFData!Q361,"PL ≤ 0"),"NI")</f>
        <v>7.7905236804535392</v>
      </c>
      <c r="O360" s="110">
        <f>IF(AND(ISNUMBER(Base_IFData!M361),ISNUMBER(Base_IFData!Q361)),IF(Base_IFData!Q361&gt;0,Base_IFData!M361/Base_IFData!Q361,"PL ≤ 0"),"NI")</f>
        <v>4.7497961970577887</v>
      </c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spans="1:30" ht="1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15" t="str">
        <f>Base_IFData!A362</f>
        <v>SICOOB MANTIQUEIRA - COOPERATIVA DE CRÉDITO DE LIVRE ADMISSÃO</v>
      </c>
      <c r="L361" s="15" t="str">
        <f>Base_IFData!F362</f>
        <v>b3S</v>
      </c>
      <c r="M361" s="17">
        <f>IF(AND(ISNUMBER(Base_IFData!L362),ISNUMBER(Base_IFData!W362)),IF(Base_IFData!L362&gt;$B$4,Base_IFData!W362,""),"")</f>
        <v>7.643049044778534E-2</v>
      </c>
      <c r="N361" s="50">
        <f>IF(AND(ISNUMBER(Base_IFData!O362),ISNUMBER(Base_IFData!Q362)),IF(Base_IFData!Q362&gt;0,Base_IFData!O362/Base_IFData!Q362,"PL ≤ 0"),"NI")</f>
        <v>7.993715592228793</v>
      </c>
      <c r="O361" s="107">
        <f>IF(AND(ISNUMBER(Base_IFData!M362),ISNUMBER(Base_IFData!Q362)),IF(Base_IFData!Q362&gt;0,Base_IFData!M362/Base_IFData!Q362,"PL ≤ 0"),"NI")</f>
        <v>5.6389658828187867</v>
      </c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spans="1:30" ht="1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12" t="str">
        <f>Base_IFData!A363</f>
        <v>PAGUEVELOZ INSTITUIÇÃO DE PAGAMENTO LTDA.</v>
      </c>
      <c r="L362" s="12" t="str">
        <f>Base_IFData!F363</f>
        <v>n4</v>
      </c>
      <c r="M362" s="14">
        <f>IF(AND(ISNUMBER(Base_IFData!L363),ISNUMBER(Base_IFData!W363)),IF(Base_IFData!L363&gt;$B$4,Base_IFData!W363,""),"")</f>
        <v>-0.55463827938301113</v>
      </c>
      <c r="N362" s="51">
        <f>IF(AND(ISNUMBER(Base_IFData!O363),ISNUMBER(Base_IFData!Q363)),IF(Base_IFData!Q363&gt;0,Base_IFData!O363/Base_IFData!Q363,"PL ≤ 0"),"NI")</f>
        <v>31.735017535147886</v>
      </c>
      <c r="O362" s="110">
        <f>IF(AND(ISNUMBER(Base_IFData!M363),ISNUMBER(Base_IFData!Q363)),IF(Base_IFData!Q363&gt;0,Base_IFData!M363/Base_IFData!Q363,"PL ≤ 0"),"NI")</f>
        <v>0</v>
      </c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spans="1:30" ht="1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15" t="str">
        <f>Base_IFData!A364</f>
        <v>COOPERATIVA CENTRAL DE CRÉDITO, POUPANÇA E INVESTIMENTO DOS ESTADOS DO PARANÁ, SÃO PAULO E RIO DE JANEIRO - CENTRAL SICREDI PR/SP/RJ</v>
      </c>
      <c r="L363" s="15" t="str">
        <f>Base_IFData!F364</f>
        <v>b3C</v>
      </c>
      <c r="M363" s="17">
        <f>IF(AND(ISNUMBER(Base_IFData!L364),ISNUMBER(Base_IFData!W364)),IF(Base_IFData!L364&gt;$B$4,Base_IFData!W364,""),"")</f>
        <v>0</v>
      </c>
      <c r="N363" s="50">
        <f>IF(AND(ISNUMBER(Base_IFData!O364),ISNUMBER(Base_IFData!Q364)),IF(Base_IFData!Q364&gt;0,Base_IFData!O364/Base_IFData!Q364,"PL ≤ 0"),"NI")</f>
        <v>8.8091169216204745E-2</v>
      </c>
      <c r="O363" s="107">
        <f>IF(AND(ISNUMBER(Base_IFData!M364),ISNUMBER(Base_IFData!Q364)),IF(Base_IFData!Q364&gt;0,Base_IFData!M364/Base_IFData!Q364,"PL ≤ 0"),"NI")</f>
        <v>0</v>
      </c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spans="1:30" ht="1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12" t="str">
        <f>Base_IFData!A365</f>
        <v>SICREDI VEREDAS COOPERATIVA DE CREDITO</v>
      </c>
      <c r="L364" s="12" t="str">
        <f>Base_IFData!F365</f>
        <v>b3S</v>
      </c>
      <c r="M364" s="14">
        <f>IF(AND(ISNUMBER(Base_IFData!L365),ISNUMBER(Base_IFData!W365)),IF(Base_IFData!L365&gt;$B$4,Base_IFData!W365,""),"")</f>
        <v>0.11640628403002629</v>
      </c>
      <c r="N364" s="51">
        <f>IF(AND(ISNUMBER(Base_IFData!O365),ISNUMBER(Base_IFData!Q365)),IF(Base_IFData!Q365&gt;0,Base_IFData!O365/Base_IFData!Q365,"PL ≤ 0"),"NI")</f>
        <v>6.5897666719904748</v>
      </c>
      <c r="O364" s="110">
        <f>IF(AND(ISNUMBER(Base_IFData!M365),ISNUMBER(Base_IFData!Q365)),IF(Base_IFData!Q365&gt;0,Base_IFData!M365/Base_IFData!Q365,"PL ≤ 0"),"NI")</f>
        <v>2.535322259811537</v>
      </c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spans="1:30" ht="1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15" t="str">
        <f>Base_IFData!A366</f>
        <v>COOPERATIVA CENTRAL DE CRÉDITO DA BAHIA LTDA - SICOOB CENTRAL BA</v>
      </c>
      <c r="L365" s="15" t="str">
        <f>Base_IFData!F366</f>
        <v>b3C</v>
      </c>
      <c r="M365" s="17">
        <f>IF(AND(ISNUMBER(Base_IFData!L366),ISNUMBER(Base_IFData!W366)),IF(Base_IFData!L366&gt;$B$4,Base_IFData!W366,""),"")</f>
        <v>4.5578194133391599E-2</v>
      </c>
      <c r="N365" s="50">
        <f>IF(AND(ISNUMBER(Base_IFData!O366),ISNUMBER(Base_IFData!Q366)),IF(Base_IFData!Q366&gt;0,Base_IFData!O366/Base_IFData!Q366,"PL ≤ 0"),"NI")</f>
        <v>10.392478286994047</v>
      </c>
      <c r="O365" s="107">
        <f>IF(AND(ISNUMBER(Base_IFData!M366),ISNUMBER(Base_IFData!Q366)),IF(Base_IFData!Q366&gt;0,Base_IFData!M366/Base_IFData!Q366,"PL ≤ 0"),"NI")</f>
        <v>8.6835636641721739E-2</v>
      </c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spans="1:30" ht="1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12" t="str">
        <f>Base_IFData!A367</f>
        <v>COOPERATIVA DE CRÉDITO CREDIGUAÇU - SICOOB CREDIGUAÇU</v>
      </c>
      <c r="L366" s="12" t="str">
        <f>Base_IFData!F367</f>
        <v>b3S</v>
      </c>
      <c r="M366" s="14">
        <f>IF(AND(ISNUMBER(Base_IFData!L367),ISNUMBER(Base_IFData!W367)),IF(Base_IFData!L367&gt;$B$4,Base_IFData!W367,""),"")</f>
        <v>7.2356524221947272E-2</v>
      </c>
      <c r="N366" s="51">
        <f>IF(AND(ISNUMBER(Base_IFData!O367),ISNUMBER(Base_IFData!Q367)),IF(Base_IFData!Q367&gt;0,Base_IFData!O367/Base_IFData!Q367,"PL ≤ 0"),"NI")</f>
        <v>6.0867109002161826</v>
      </c>
      <c r="O366" s="110">
        <f>IF(AND(ISNUMBER(Base_IFData!M367),ISNUMBER(Base_IFData!Q367)),IF(Base_IFData!Q367&gt;0,Base_IFData!M367/Base_IFData!Q367,"PL ≤ 0"),"NI")</f>
        <v>2.7216923411603151</v>
      </c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spans="1:30" ht="1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15" t="str">
        <f>Base_IFData!A368</f>
        <v>J.P. MORGAN S.A. - DISTRIBUIDORA DE TÍTULOS E VALORES MOBILIÁRIOS</v>
      </c>
      <c r="L367" s="15" t="str">
        <f>Base_IFData!F368</f>
        <v>n2</v>
      </c>
      <c r="M367" s="17">
        <f>IF(AND(ISNUMBER(Base_IFData!L368),ISNUMBER(Base_IFData!W368)),IF(Base_IFData!L368&gt;$B$4,Base_IFData!W368,""),"")</f>
        <v>0.10152128023111244</v>
      </c>
      <c r="N367" s="50">
        <f>IF(AND(ISNUMBER(Base_IFData!O368),ISNUMBER(Base_IFData!Q368)),IF(Base_IFData!Q368&gt;0,Base_IFData!O368/Base_IFData!Q368,"PL ≤ 0"),"NI")</f>
        <v>1.5139101288616694</v>
      </c>
      <c r="O367" s="107">
        <f>IF(AND(ISNUMBER(Base_IFData!M368),ISNUMBER(Base_IFData!Q368)),IF(Base_IFData!Q368&gt;0,Base_IFData!M368/Base_IFData!Q368,"PL ≤ 0"),"NI")</f>
        <v>0</v>
      </c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spans="1:30" ht="1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12" t="str">
        <f>Base_IFData!A369</f>
        <v>BANCO TOPÁZIO S.A.</v>
      </c>
      <c r="L368" s="12" t="str">
        <f>Base_IFData!F369</f>
        <v>b1</v>
      </c>
      <c r="M368" s="14">
        <f>IF(AND(ISNUMBER(Base_IFData!L369),ISNUMBER(Base_IFData!W369)),IF(Base_IFData!L369&gt;$B$4,Base_IFData!W369,""),"")</f>
        <v>-1.554779653271642E-2</v>
      </c>
      <c r="N368" s="51">
        <f>IF(AND(ISNUMBER(Base_IFData!O369),ISNUMBER(Base_IFData!Q369)),IF(Base_IFData!Q369&gt;0,Base_IFData!O369/Base_IFData!Q369,"PL ≤ 0"),"NI")</f>
        <v>6.2886070887955903</v>
      </c>
      <c r="O368" s="110">
        <f>IF(AND(ISNUMBER(Base_IFData!M369),ISNUMBER(Base_IFData!Q369)),IF(Base_IFData!Q369&gt;0,Base_IFData!M369/Base_IFData!Q369,"PL ≤ 0"),"NI")</f>
        <v>0.35690672036100879</v>
      </c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spans="1:30" ht="1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15" t="str">
        <f>Base_IFData!A370</f>
        <v>BANCO BARI DE INVESTIMENTOS E FINANCIAMENTOS S.A.</v>
      </c>
      <c r="L369" s="15" t="str">
        <f>Base_IFData!F370</f>
        <v>b1</v>
      </c>
      <c r="M369" s="17">
        <f>IF(AND(ISNUMBER(Base_IFData!L370),ISNUMBER(Base_IFData!W370)),IF(Base_IFData!L370&gt;$B$4,Base_IFData!W370,""),"")</f>
        <v>0.13590387309210647</v>
      </c>
      <c r="N369" s="50">
        <f>IF(AND(ISNUMBER(Base_IFData!O370),ISNUMBER(Base_IFData!Q370)),IF(Base_IFData!Q370&gt;0,Base_IFData!O370/Base_IFData!Q370,"PL ≤ 0"),"NI")</f>
        <v>8.246966472011497</v>
      </c>
      <c r="O369" s="107">
        <f>IF(AND(ISNUMBER(Base_IFData!M370),ISNUMBER(Base_IFData!Q370)),IF(Base_IFData!Q370&gt;0,Base_IFData!M370/Base_IFData!Q370,"PL ≤ 0"),"NI")</f>
        <v>6.8078053084465786</v>
      </c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spans="1:30" ht="1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12" t="str">
        <f>Base_IFData!A371</f>
        <v>CREDISIS PRIMACREDI COOPERATIVA DE CRÉDITO</v>
      </c>
      <c r="L370" s="12" t="str">
        <f>Base_IFData!F371</f>
        <v>b3S</v>
      </c>
      <c r="M370" s="14">
        <f>IF(AND(ISNUMBER(Base_IFData!L371),ISNUMBER(Base_IFData!W371)),IF(Base_IFData!L371&gt;$B$4,Base_IFData!W371,""),"")</f>
        <v>-0.29697733772024232</v>
      </c>
      <c r="N370" s="51">
        <f>IF(AND(ISNUMBER(Base_IFData!O371),ISNUMBER(Base_IFData!Q371)),IF(Base_IFData!Q371&gt;0,Base_IFData!O371/Base_IFData!Q371,"PL ≤ 0"),"NI")</f>
        <v>11.424814735094246</v>
      </c>
      <c r="O370" s="110">
        <f>IF(AND(ISNUMBER(Base_IFData!M371),ISNUMBER(Base_IFData!Q371)),IF(Base_IFData!Q371&gt;0,Base_IFData!M371/Base_IFData!Q371,"PL ≤ 0"),"NI")</f>
        <v>7.8559330893883956</v>
      </c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spans="1:30" ht="1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15" t="str">
        <f>Base_IFData!A372</f>
        <v>QI SOCIEDADE DE CRÉDITO DIRETO S.A.</v>
      </c>
      <c r="L371" s="15" t="str">
        <f>Base_IFData!F372</f>
        <v>n1</v>
      </c>
      <c r="M371" s="17">
        <f>IF(AND(ISNUMBER(Base_IFData!L372),ISNUMBER(Base_IFData!W372)),IF(Base_IFData!L372&gt;$B$4,Base_IFData!W372,""),"")</f>
        <v>0.33722247115768117</v>
      </c>
      <c r="N371" s="50">
        <f>IF(AND(ISNUMBER(Base_IFData!O372),ISNUMBER(Base_IFData!Q372)),IF(Base_IFData!Q372&gt;0,Base_IFData!O372/Base_IFData!Q372,"PL ≤ 0"),"NI")</f>
        <v>3.9671249267555284</v>
      </c>
      <c r="O371" s="107">
        <f>IF(AND(ISNUMBER(Base_IFData!M372),ISNUMBER(Base_IFData!Q372)),IF(Base_IFData!Q372&gt;0,Base_IFData!M372/Base_IFData!Q372,"PL ≤ 0"),"NI")</f>
        <v>0.49742228700015262</v>
      </c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spans="1:30" ht="1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12" t="str">
        <f>Base_IFData!A373</f>
        <v>CITIGROUP GLOBAL MARKETS BRASIL, CORRETORA DE CÂMBIO, TÍTULOS E VALORES MOBILIÁRIOS S.A.</v>
      </c>
      <c r="L372" s="12" t="str">
        <f>Base_IFData!F373</f>
        <v>n2</v>
      </c>
      <c r="M372" s="14">
        <f>IF(AND(ISNUMBER(Base_IFData!L373),ISNUMBER(Base_IFData!W373)),IF(Base_IFData!L373&gt;$B$4,Base_IFData!W373,""),"")</f>
        <v>6.7896435582975465E-2</v>
      </c>
      <c r="N372" s="51">
        <f>IF(AND(ISNUMBER(Base_IFData!O373),ISNUMBER(Base_IFData!Q373)),IF(Base_IFData!Q373&gt;0,Base_IFData!O373/Base_IFData!Q373,"PL ≤ 0"),"NI")</f>
        <v>1.3865604846054664</v>
      </c>
      <c r="O372" s="110">
        <f>IF(AND(ISNUMBER(Base_IFData!M373),ISNUMBER(Base_IFData!Q373)),IF(Base_IFData!Q373&gt;0,Base_IFData!M373/Base_IFData!Q373,"PL ≤ 0"),"NI")</f>
        <v>0</v>
      </c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spans="1:30" ht="1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15" t="str">
        <f>Base_IFData!A374</f>
        <v>HPE FINANCIAL SERVICES ARRENDAMENTO MERCANTIL S.A.</v>
      </c>
      <c r="L373" s="15" t="str">
        <f>Base_IFData!F374</f>
        <v>n1</v>
      </c>
      <c r="M373" s="17">
        <f>IF(AND(ISNUMBER(Base_IFData!L374),ISNUMBER(Base_IFData!W374)),IF(Base_IFData!L374&gt;$B$4,Base_IFData!W374,""),"")</f>
        <v>4.2339286380539007E-2</v>
      </c>
      <c r="N373" s="50">
        <f>IF(AND(ISNUMBER(Base_IFData!O374),ISNUMBER(Base_IFData!Q374)),IF(Base_IFData!Q374&gt;0,Base_IFData!O374/Base_IFData!Q374,"PL ≤ 0"),"NI")</f>
        <v>0.54561092317833026</v>
      </c>
      <c r="O373" s="107">
        <f>IF(AND(ISNUMBER(Base_IFData!M374),ISNUMBER(Base_IFData!Q374)),IF(Base_IFData!Q374&gt;0,Base_IFData!M374/Base_IFData!Q374,"PL ≤ 0"),"NI")</f>
        <v>1.415338527740122</v>
      </c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spans="1:30" ht="1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12" t="str">
        <f>Base_IFData!A375</f>
        <v>COOPERATIVA DE CRÉDITO DE LIVRE ADMISSÃO DA REGIÃO METROPOLITANA DE GOIÂNIA LTDA.</v>
      </c>
      <c r="L374" s="12" t="str">
        <f>Base_IFData!F375</f>
        <v>b3S</v>
      </c>
      <c r="M374" s="14">
        <f>IF(AND(ISNUMBER(Base_IFData!L375),ISNUMBER(Base_IFData!W375)),IF(Base_IFData!L375&gt;$B$4,Base_IFData!W375,""),"")</f>
        <v>-9.0530673041016238E-3</v>
      </c>
      <c r="N374" s="51">
        <f>IF(AND(ISNUMBER(Base_IFData!O375),ISNUMBER(Base_IFData!Q375)),IF(Base_IFData!Q375&gt;0,Base_IFData!O375/Base_IFData!Q375,"PL ≤ 0"),"NI")</f>
        <v>3.1941398742148981</v>
      </c>
      <c r="O374" s="110">
        <f>IF(AND(ISNUMBER(Base_IFData!M375),ISNUMBER(Base_IFData!Q375)),IF(Base_IFData!Q375&gt;0,Base_IFData!M375/Base_IFData!Q375,"PL ≤ 0"),"NI")</f>
        <v>2.2184761900743277</v>
      </c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spans="1:30" ht="1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15" t="str">
        <f>Base_IFData!A376</f>
        <v>COOPERATIVA DE CRÉDITO DE LIVRE ADMISSÃO DE ASSOCIADOS DO PLANALTO CATARINENSE SICOOB CREDIPLANALTO SC/RS</v>
      </c>
      <c r="L375" s="15" t="str">
        <f>Base_IFData!F376</f>
        <v>b3S</v>
      </c>
      <c r="M375" s="17">
        <f>IF(AND(ISNUMBER(Base_IFData!L376),ISNUMBER(Base_IFData!W376)),IF(Base_IFData!L376&gt;$B$4,Base_IFData!W376,""),"")</f>
        <v>6.8402497557660452E-2</v>
      </c>
      <c r="N375" s="50">
        <f>IF(AND(ISNUMBER(Base_IFData!O376),ISNUMBER(Base_IFData!Q376)),IF(Base_IFData!Q376&gt;0,Base_IFData!O376/Base_IFData!Q376,"PL ≤ 0"),"NI")</f>
        <v>7.4268190120205579</v>
      </c>
      <c r="O375" s="107">
        <f>IF(AND(ISNUMBER(Base_IFData!M376),ISNUMBER(Base_IFData!Q376)),IF(Base_IFData!Q376&gt;0,Base_IFData!M376/Base_IFData!Q376,"PL ≤ 0"),"NI")</f>
        <v>5.4225502272437671</v>
      </c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spans="1:30" ht="1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12" t="str">
        <f>Base_IFData!A377</f>
        <v>COOPERATIVA DE CRÉDITO UNICRED EVOLUÇÃO LTDA. - UNICRED EVOLUÇÃO</v>
      </c>
      <c r="L376" s="12" t="str">
        <f>Base_IFData!F377</f>
        <v>b3S</v>
      </c>
      <c r="M376" s="14">
        <f>IF(AND(ISNUMBER(Base_IFData!L377),ISNUMBER(Base_IFData!W377)),IF(Base_IFData!L377&gt;$B$4,Base_IFData!W377,""),"")</f>
        <v>6.162041964195468E-2</v>
      </c>
      <c r="N376" s="51">
        <f>IF(AND(ISNUMBER(Base_IFData!O377),ISNUMBER(Base_IFData!Q377)),IF(Base_IFData!Q377&gt;0,Base_IFData!O377/Base_IFData!Q377,"PL ≤ 0"),"NI")</f>
        <v>10.594645373414748</v>
      </c>
      <c r="O376" s="110">
        <f>IF(AND(ISNUMBER(Base_IFData!M377),ISNUMBER(Base_IFData!Q377)),IF(Base_IFData!Q377&gt;0,Base_IFData!M377/Base_IFData!Q377,"PL ≤ 0"),"NI")</f>
        <v>6.2475935097597377</v>
      </c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spans="1:30" ht="1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15" t="str">
        <f>Base_IFData!A378</f>
        <v>COOPERATIVA DE CRÉDITO DE LIVRE ADMISSÃO SICOOB ARENITO PARANÁ / SÃO PAULO</v>
      </c>
      <c r="L377" s="15" t="str">
        <f>Base_IFData!F378</f>
        <v>b3S</v>
      </c>
      <c r="M377" s="17">
        <f>IF(AND(ISNUMBER(Base_IFData!L378),ISNUMBER(Base_IFData!W378)),IF(Base_IFData!L378&gt;$B$4,Base_IFData!W378,""),"")</f>
        <v>9.6900571142227512E-2</v>
      </c>
      <c r="N377" s="50">
        <f>IF(AND(ISNUMBER(Base_IFData!O378),ISNUMBER(Base_IFData!Q378)),IF(Base_IFData!Q378&gt;0,Base_IFData!O378/Base_IFData!Q378,"PL ≤ 0"),"NI")</f>
        <v>9.9984454453827443</v>
      </c>
      <c r="O377" s="107">
        <f>IF(AND(ISNUMBER(Base_IFData!M378),ISNUMBER(Base_IFData!Q378)),IF(Base_IFData!Q378&gt;0,Base_IFData!M378/Base_IFData!Q378,"PL ≤ 0"),"NI")</f>
        <v>5.5585406547351282</v>
      </c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spans="1:30" ht="1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12" t="str">
        <f>Base_IFData!A379</f>
        <v>COOPERATIVA DE CRÉDITO E INVESTIMENTO LIBERDADE - SICREDI LIBERDADE</v>
      </c>
      <c r="L378" s="12" t="str">
        <f>Base_IFData!F379</f>
        <v>b3S</v>
      </c>
      <c r="M378" s="14">
        <f>IF(AND(ISNUMBER(Base_IFData!L379),ISNUMBER(Base_IFData!W379)),IF(Base_IFData!L379&gt;$B$4,Base_IFData!W379,""),"")</f>
        <v>7.9445391934573048E-2</v>
      </c>
      <c r="N378" s="51">
        <f>IF(AND(ISNUMBER(Base_IFData!O379),ISNUMBER(Base_IFData!Q379)),IF(Base_IFData!Q379&gt;0,Base_IFData!O379/Base_IFData!Q379,"PL ≤ 0"),"NI")</f>
        <v>4.4489107331870947</v>
      </c>
      <c r="O378" s="110">
        <f>IF(AND(ISNUMBER(Base_IFData!M379),ISNUMBER(Base_IFData!Q379)),IF(Base_IFData!Q379&gt;0,Base_IFData!M379/Base_IFData!Q379,"PL ≤ 0"),"NI")</f>
        <v>2.9293402536372741</v>
      </c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spans="1:30" ht="1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15" t="str">
        <f>Base_IFData!A380</f>
        <v>COOPERATIVA DE CRÉDITO DE LIVRE ADMISSÃO DA PARAÍBA - SICOOB PARAÍBA</v>
      </c>
      <c r="L379" s="15" t="str">
        <f>Base_IFData!F380</f>
        <v>b3S</v>
      </c>
      <c r="M379" s="17">
        <f>IF(AND(ISNUMBER(Base_IFData!L380),ISNUMBER(Base_IFData!W380)),IF(Base_IFData!L380&gt;$B$4,Base_IFData!W380,""),"")</f>
        <v>0.13781915685113161</v>
      </c>
      <c r="N379" s="50">
        <f>IF(AND(ISNUMBER(Base_IFData!O380),ISNUMBER(Base_IFData!Q380)),IF(Base_IFData!Q380&gt;0,Base_IFData!O380/Base_IFData!Q380,"PL ≤ 0"),"NI")</f>
        <v>4.5997362424468768</v>
      </c>
      <c r="O379" s="107">
        <f>IF(AND(ISNUMBER(Base_IFData!M380),ISNUMBER(Base_IFData!Q380)),IF(Base_IFData!Q380&gt;0,Base_IFData!M380/Base_IFData!Q380,"PL ≤ 0"),"NI")</f>
        <v>3.2140754334931243</v>
      </c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spans="1:30" ht="1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12" t="str">
        <f>Base_IFData!A381</f>
        <v>DAYCOVAL LEASING - BANCO MÚLTIPLO S.A.</v>
      </c>
      <c r="L380" s="12" t="str">
        <f>Base_IFData!F381</f>
        <v>b2</v>
      </c>
      <c r="M380" s="14">
        <f>IF(AND(ISNUMBER(Base_IFData!L381),ISNUMBER(Base_IFData!W381)),IF(Base_IFData!L381&gt;$B$4,Base_IFData!W381,""),"")</f>
        <v>5.7117093994002111E-2</v>
      </c>
      <c r="N380" s="51">
        <f>IF(AND(ISNUMBER(Base_IFData!O381),ISNUMBER(Base_IFData!Q381)),IF(Base_IFData!Q381&gt;0,Base_IFData!O381/Base_IFData!Q381,"PL ≤ 0"),"NI")</f>
        <v>0.29058371383027587</v>
      </c>
      <c r="O380" s="110">
        <f>IF(AND(ISNUMBER(Base_IFData!M381),ISNUMBER(Base_IFData!Q381)),IF(Base_IFData!Q381&gt;0,Base_IFData!M381/Base_IFData!Q381,"PL ≤ 0"),"NI")</f>
        <v>0.62191189582038742</v>
      </c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spans="1:30" ht="1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15" t="str">
        <f>Base_IFData!A382</f>
        <v>COOPERATIVA DE CRÉDITO DA AMAZÔNIA - SICOOB AMAZÔNIA</v>
      </c>
      <c r="L381" s="15" t="str">
        <f>Base_IFData!F382</f>
        <v>b3S</v>
      </c>
      <c r="M381" s="17">
        <f>IF(AND(ISNUMBER(Base_IFData!L382),ISNUMBER(Base_IFData!W382)),IF(Base_IFData!L382&gt;$B$4,Base_IFData!W382,""),"")</f>
        <v>5.4996255928113823E-2</v>
      </c>
      <c r="N381" s="50">
        <f>IF(AND(ISNUMBER(Base_IFData!O382),ISNUMBER(Base_IFData!Q382)),IF(Base_IFData!Q382&gt;0,Base_IFData!O382/Base_IFData!Q382,"PL ≤ 0"),"NI")</f>
        <v>6.2229235528594877</v>
      </c>
      <c r="O381" s="107">
        <f>IF(AND(ISNUMBER(Base_IFData!M382),ISNUMBER(Base_IFData!Q382)),IF(Base_IFData!Q382&gt;0,Base_IFData!M382/Base_IFData!Q382,"PL ≤ 0"),"NI")</f>
        <v>5.0038877837363565</v>
      </c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spans="1:30" ht="1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12" t="str">
        <f>Base_IFData!A383</f>
        <v>LEASEPLAN ARRENDAMENTO MERCANTIL S.A.</v>
      </c>
      <c r="L382" s="12" t="str">
        <f>Base_IFData!F383</f>
        <v>n1</v>
      </c>
      <c r="M382" s="14">
        <f>IF(AND(ISNUMBER(Base_IFData!L383),ISNUMBER(Base_IFData!W383)),IF(Base_IFData!L383&gt;$B$4,Base_IFData!W383,""),"")</f>
        <v>7.2551333807218246E-2</v>
      </c>
      <c r="N382" s="51">
        <f>IF(AND(ISNUMBER(Base_IFData!O383),ISNUMBER(Base_IFData!Q383)),IF(Base_IFData!Q383&gt;0,Base_IFData!O383/Base_IFData!Q383,"PL ≤ 0"),"NI")</f>
        <v>3.2119003232252785</v>
      </c>
      <c r="O382" s="110">
        <f>IF(AND(ISNUMBER(Base_IFData!M383),ISNUMBER(Base_IFData!Q383)),IF(Base_IFData!Q383&gt;0,Base_IFData!M383/Base_IFData!Q383,"PL ≤ 0"),"NI")</f>
        <v>0</v>
      </c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spans="1:30" ht="1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15" t="str">
        <f>Base_IFData!A384</f>
        <v>CLOUDWALK FINANCEIRA S.A. CRÉDITO, FINANCIAMENTO E INVESTIMENTO</v>
      </c>
      <c r="L383" s="15" t="str">
        <f>Base_IFData!F384</f>
        <v>n1</v>
      </c>
      <c r="M383" s="17">
        <f>IF(AND(ISNUMBER(Base_IFData!L384),ISNUMBER(Base_IFData!W384)),IF(Base_IFData!L384&gt;$B$4,Base_IFData!W384,""),"")</f>
        <v>0.44460719691421319</v>
      </c>
      <c r="N383" s="50">
        <f>IF(AND(ISNUMBER(Base_IFData!O384),ISNUMBER(Base_IFData!Q384)),IF(Base_IFData!Q384&gt;0,Base_IFData!O384/Base_IFData!Q384,"PL ≤ 0"),"NI")</f>
        <v>10.47498901420829</v>
      </c>
      <c r="O383" s="107">
        <f>IF(AND(ISNUMBER(Base_IFData!M384),ISNUMBER(Base_IFData!Q384)),IF(Base_IFData!Q384&gt;0,Base_IFData!M384/Base_IFData!Q384,"PL ≤ 0"),"NI")</f>
        <v>5.7354560324202923</v>
      </c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spans="1:30" ht="1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12" t="str">
        <f>Base_IFData!A385</f>
        <v>AFINZ INSTITUIÇÃO DE PAGAMENTO S.A.</v>
      </c>
      <c r="L384" s="12" t="str">
        <f>Base_IFData!F385</f>
        <v>n4</v>
      </c>
      <c r="M384" s="14">
        <f>IF(AND(ISNUMBER(Base_IFData!L385),ISNUMBER(Base_IFData!W385)),IF(Base_IFData!L385&gt;$B$4,Base_IFData!W385,""),"")</f>
        <v>-4.0007249003262052E-2</v>
      </c>
      <c r="N384" s="51">
        <f>IF(AND(ISNUMBER(Base_IFData!O385),ISNUMBER(Base_IFData!Q385)),IF(Base_IFData!Q385&gt;0,Base_IFData!O385/Base_IFData!Q385,"PL ≤ 0"),"NI")</f>
        <v>12.603581007611453</v>
      </c>
      <c r="O384" s="110">
        <f>IF(AND(ISNUMBER(Base_IFData!M385),ISNUMBER(Base_IFData!Q385)),IF(Base_IFData!Q385&gt;0,Base_IFData!M385/Base_IFData!Q385,"PL ≤ 0"),"NI")</f>
        <v>5.7827691192461037</v>
      </c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spans="1:30" ht="1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15" t="str">
        <f>Base_IFData!A386</f>
        <v>BANCO CAIXA GERAL - BRASIL S.A.</v>
      </c>
      <c r="L385" s="15" t="str">
        <f>Base_IFData!F386</f>
        <v>b1</v>
      </c>
      <c r="M385" s="17">
        <f>IF(AND(ISNUMBER(Base_IFData!L386),ISNUMBER(Base_IFData!W386)),IF(Base_IFData!L386&gt;$B$4,Base_IFData!W386,""),"")</f>
        <v>-3.7158773990575496E-2</v>
      </c>
      <c r="N385" s="50">
        <f>IF(AND(ISNUMBER(Base_IFData!O386),ISNUMBER(Base_IFData!Q386)),IF(Base_IFData!Q386&gt;0,Base_IFData!O386/Base_IFData!Q386,"PL ≤ 0"),"NI")</f>
        <v>5.4384385003228513</v>
      </c>
      <c r="O385" s="107">
        <f>IF(AND(ISNUMBER(Base_IFData!M386),ISNUMBER(Base_IFData!Q386)),IF(Base_IFData!Q386&gt;0,Base_IFData!M386/Base_IFData!Q386,"PL ≤ 0"),"NI")</f>
        <v>2.5900891618239021</v>
      </c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spans="1:30" ht="1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12" t="str">
        <f>Base_IFData!A387</f>
        <v>COOPERATIVA DE CRÉDITO E INVESTIMENTO COM INTERAÇÃO SOLIDÁRIA UNIÃO - CRESOL UNIÃO</v>
      </c>
      <c r="L386" s="12" t="str">
        <f>Base_IFData!F387</f>
        <v>b3S</v>
      </c>
      <c r="M386" s="14">
        <f>IF(AND(ISNUMBER(Base_IFData!L387),ISNUMBER(Base_IFData!W387)),IF(Base_IFData!L387&gt;$B$4,Base_IFData!W387,""),"")</f>
        <v>1.8397428793084342E-2</v>
      </c>
      <c r="N386" s="51">
        <f>IF(AND(ISNUMBER(Base_IFData!O387),ISNUMBER(Base_IFData!Q387)),IF(Base_IFData!Q387&gt;0,Base_IFData!O387/Base_IFData!Q387,"PL ≤ 0"),"NI")</f>
        <v>7.2383774797739111</v>
      </c>
      <c r="O386" s="110">
        <f>IF(AND(ISNUMBER(Base_IFData!M387),ISNUMBER(Base_IFData!Q387)),IF(Base_IFData!Q387&gt;0,Base_IFData!M387/Base_IFData!Q387,"PL ≤ 0"),"NI")</f>
        <v>6.5385437216003544</v>
      </c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spans="1:30" ht="1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15" t="str">
        <f>Base_IFData!A388</f>
        <v>STATE STREET BRASIL S.A. - BANCO COMERCIAL</v>
      </c>
      <c r="L387" s="15" t="str">
        <f>Base_IFData!F388</f>
        <v>b1</v>
      </c>
      <c r="M387" s="17">
        <f>IF(AND(ISNUMBER(Base_IFData!L388),ISNUMBER(Base_IFData!W388)),IF(Base_IFData!L388&gt;$B$4,Base_IFData!W388,""),"")</f>
        <v>9.1155646753989777E-3</v>
      </c>
      <c r="N387" s="50">
        <f>IF(AND(ISNUMBER(Base_IFData!O388),ISNUMBER(Base_IFData!Q388)),IF(Base_IFData!Q388&gt;0,Base_IFData!O388/Base_IFData!Q388,"PL ≤ 0"),"NI")</f>
        <v>1.5535257485820539</v>
      </c>
      <c r="O387" s="107">
        <f>IF(AND(ISNUMBER(Base_IFData!M388),ISNUMBER(Base_IFData!Q388)),IF(Base_IFData!Q388&gt;0,Base_IFData!M388/Base_IFData!Q388,"PL ≤ 0"),"NI")</f>
        <v>0</v>
      </c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spans="1:30" ht="1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12" t="str">
        <f>Base_IFData!A389</f>
        <v>COOPERATIVA DE CRÉDITO UNICRED DO ESTADO DE SÃO PAULO LTDA.</v>
      </c>
      <c r="L388" s="12" t="str">
        <f>Base_IFData!F389</f>
        <v>b3S</v>
      </c>
      <c r="M388" s="14">
        <f>IF(AND(ISNUMBER(Base_IFData!L389),ISNUMBER(Base_IFData!W389)),IF(Base_IFData!L389&gt;$B$4,Base_IFData!W389,""),"")</f>
        <v>5.6482301228585184E-2</v>
      </c>
      <c r="N388" s="51">
        <f>IF(AND(ISNUMBER(Base_IFData!O389),ISNUMBER(Base_IFData!Q389)),IF(Base_IFData!Q389&gt;0,Base_IFData!O389/Base_IFData!Q389,"PL ≤ 0"),"NI")</f>
        <v>6.209403103303667</v>
      </c>
      <c r="O388" s="110">
        <f>IF(AND(ISNUMBER(Base_IFData!M389),ISNUMBER(Base_IFData!Q389)),IF(Base_IFData!Q389&gt;0,Base_IFData!M389/Base_IFData!Q389,"PL ≤ 0"),"NI")</f>
        <v>3.7690733578739728</v>
      </c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spans="1:30" ht="1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15" t="str">
        <f>Base_IFData!A390</f>
        <v>COOPERATIVA DE ECONOMIA E CRÉDITO MÚTUO UNICRED INTEGRAÇÃO LTDA.</v>
      </c>
      <c r="L389" s="15" t="str">
        <f>Base_IFData!F390</f>
        <v>b3S</v>
      </c>
      <c r="M389" s="17">
        <f>IF(AND(ISNUMBER(Base_IFData!L390),ISNUMBER(Base_IFData!W390)),IF(Base_IFData!L390&gt;$B$4,Base_IFData!W390,""),"")</f>
        <v>-3.4290627009857327E-2</v>
      </c>
      <c r="N389" s="50">
        <f>IF(AND(ISNUMBER(Base_IFData!O390),ISNUMBER(Base_IFData!Q390)),IF(Base_IFData!Q390&gt;0,Base_IFData!O390/Base_IFData!Q390,"PL ≤ 0"),"NI")</f>
        <v>11.139715437016815</v>
      </c>
      <c r="O389" s="107">
        <f>IF(AND(ISNUMBER(Base_IFData!M390),ISNUMBER(Base_IFData!Q390)),IF(Base_IFData!Q390&gt;0,Base_IFData!M390/Base_IFData!Q390,"PL ≤ 0"),"NI")</f>
        <v>5.9370365022904172</v>
      </c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spans="1:30" ht="1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12" t="str">
        <f>Base_IFData!A391</f>
        <v>BANCO BMG CONSIGNADO S.A.</v>
      </c>
      <c r="L390" s="12" t="str">
        <f>Base_IFData!F391</f>
        <v>b1</v>
      </c>
      <c r="M390" s="14">
        <f>IF(AND(ISNUMBER(Base_IFData!L391),ISNUMBER(Base_IFData!W391)),IF(Base_IFData!L391&gt;$B$4,Base_IFData!W391,""),"")</f>
        <v>6.1746575812083884E-2</v>
      </c>
      <c r="N390" s="51">
        <f>IF(AND(ISNUMBER(Base_IFData!O391),ISNUMBER(Base_IFData!Q391)),IF(Base_IFData!Q391&gt;0,Base_IFData!O391/Base_IFData!Q391,"PL ≤ 0"),"NI")</f>
        <v>9.8866662811169889E-2</v>
      </c>
      <c r="O390" s="110">
        <f>IF(AND(ISNUMBER(Base_IFData!M391),ISNUMBER(Base_IFData!Q391)),IF(Base_IFData!Q391&gt;0,Base_IFData!M391/Base_IFData!Q391,"PL ≤ 0"),"NI")</f>
        <v>0.10266810313732107</v>
      </c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spans="1:30" ht="1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15" t="str">
        <f>Base_IFData!A392</f>
        <v>RECARGAPAY INSTITUICAO DE PAGAMENTO LTDA.</v>
      </c>
      <c r="L391" s="15" t="str">
        <f>Base_IFData!F392</f>
        <v>n4</v>
      </c>
      <c r="M391" s="17">
        <f>IF(AND(ISNUMBER(Base_IFData!L392),ISNUMBER(Base_IFData!W392)),IF(Base_IFData!L392&gt;$B$4,Base_IFData!W392,""),"")</f>
        <v>6.589360622010848E-2</v>
      </c>
      <c r="N391" s="50">
        <f>IF(AND(ISNUMBER(Base_IFData!O392),ISNUMBER(Base_IFData!Q392)),IF(Base_IFData!Q392&gt;0,Base_IFData!O392/Base_IFData!Q392,"PL ≤ 0"),"NI")</f>
        <v>8.8065674513052077</v>
      </c>
      <c r="O391" s="107">
        <f>IF(AND(ISNUMBER(Base_IFData!M392),ISNUMBER(Base_IFData!Q392)),IF(Base_IFData!Q392&gt;0,Base_IFData!M392/Base_IFData!Q392,"PL ≤ 0"),"NI")</f>
        <v>0.72059208592727175</v>
      </c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spans="1:30" ht="1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12" t="str">
        <f>Base_IFData!A393</f>
        <v>COOPERATIVA DE CRÉDITO SAROM</v>
      </c>
      <c r="L392" s="12" t="str">
        <f>Base_IFData!F393</f>
        <v>b3S</v>
      </c>
      <c r="M392" s="14">
        <f>IF(AND(ISNUMBER(Base_IFData!L393),ISNUMBER(Base_IFData!W393)),IF(Base_IFData!L393&gt;$B$4,Base_IFData!W393,""),"")</f>
        <v>3.3065697116598493E-2</v>
      </c>
      <c r="N392" s="51">
        <f>IF(AND(ISNUMBER(Base_IFData!O393),ISNUMBER(Base_IFData!Q393)),IF(Base_IFData!Q393&gt;0,Base_IFData!O393/Base_IFData!Q393,"PL ≤ 0"),"NI")</f>
        <v>8.2380699893955462</v>
      </c>
      <c r="O392" s="110">
        <f>IF(AND(ISNUMBER(Base_IFData!M393),ISNUMBER(Base_IFData!Q393)),IF(Base_IFData!Q393&gt;0,Base_IFData!M393/Base_IFData!Q393,"PL ≤ 0"),"NI")</f>
        <v>4.118689087511993</v>
      </c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spans="1:30" ht="1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15" t="str">
        <f>Base_IFData!A394</f>
        <v>COOPERATIVA DE CRÉDITO CREDICOCAPEC</v>
      </c>
      <c r="L393" s="15" t="str">
        <f>Base_IFData!F394</f>
        <v>b3S</v>
      </c>
      <c r="M393" s="17">
        <f>IF(AND(ISNUMBER(Base_IFData!L394),ISNUMBER(Base_IFData!W394)),IF(Base_IFData!L394&gt;$B$4,Base_IFData!W394,""),"")</f>
        <v>7.4696172682749862E-2</v>
      </c>
      <c r="N393" s="50">
        <f>IF(AND(ISNUMBER(Base_IFData!O394),ISNUMBER(Base_IFData!Q394)),IF(Base_IFData!Q394&gt;0,Base_IFData!O394/Base_IFData!Q394,"PL ≤ 0"),"NI")</f>
        <v>4.4959429227885606</v>
      </c>
      <c r="O393" s="107">
        <f>IF(AND(ISNUMBER(Base_IFData!M394),ISNUMBER(Base_IFData!Q394)),IF(Base_IFData!Q394&gt;0,Base_IFData!M394/Base_IFData!Q394,"PL ≤ 0"),"NI")</f>
        <v>3.042372573916198</v>
      </c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spans="1:30" ht="1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12" t="str">
        <f>Base_IFData!A395</f>
        <v>BANCO RIBEIRAO PRETO S.A.</v>
      </c>
      <c r="L394" s="12" t="str">
        <f>Base_IFData!F395</f>
        <v>b1</v>
      </c>
      <c r="M394" s="14">
        <f>IF(AND(ISNUMBER(Base_IFData!L395),ISNUMBER(Base_IFData!W395)),IF(Base_IFData!L395&gt;$B$4,Base_IFData!W395,""),"")</f>
        <v>7.6585844787842569E-2</v>
      </c>
      <c r="N394" s="51">
        <f>IF(AND(ISNUMBER(Base_IFData!O395),ISNUMBER(Base_IFData!Q395)),IF(Base_IFData!Q395&gt;0,Base_IFData!O395/Base_IFData!Q395,"PL ≤ 0"),"NI")</f>
        <v>6.7525143003500387</v>
      </c>
      <c r="O394" s="110">
        <f>IF(AND(ISNUMBER(Base_IFData!M395),ISNUMBER(Base_IFData!Q395)),IF(Base_IFData!Q395&gt;0,Base_IFData!M395/Base_IFData!Q395,"PL ≤ 0"),"NI")</f>
        <v>4.2195381200375648</v>
      </c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spans="1:30" ht="1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15" t="str">
        <f>Base_IFData!A396</f>
        <v>COOPERATIVA DE CRÉDITO E INVESTIMENTO SICOOB CENTRO</v>
      </c>
      <c r="L395" s="15" t="str">
        <f>Base_IFData!F396</f>
        <v>b3S</v>
      </c>
      <c r="M395" s="17">
        <f>IF(AND(ISNUMBER(Base_IFData!L396),ISNUMBER(Base_IFData!W396)),IF(Base_IFData!L396&gt;$B$4,Base_IFData!W396,""),"")</f>
        <v>8.4659302933054709E-2</v>
      </c>
      <c r="N395" s="50">
        <f>IF(AND(ISNUMBER(Base_IFData!O396),ISNUMBER(Base_IFData!Q396)),IF(Base_IFData!Q396&gt;0,Base_IFData!O396/Base_IFData!Q396,"PL ≤ 0"),"NI")</f>
        <v>5.7253824912306888</v>
      </c>
      <c r="O395" s="107">
        <f>IF(AND(ISNUMBER(Base_IFData!M396),ISNUMBER(Base_IFData!Q396)),IF(Base_IFData!Q396&gt;0,Base_IFData!M396/Base_IFData!Q396,"PL ≤ 0"),"NI")</f>
        <v>3.4029069333532354</v>
      </c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spans="1:30" ht="1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12" t="str">
        <f>Base_IFData!A397</f>
        <v>COOPERATIVA DE CRÉDITO UNICRED VALE LTDA - UNICRED VALE</v>
      </c>
      <c r="L396" s="12" t="str">
        <f>Base_IFData!F397</f>
        <v>b3S</v>
      </c>
      <c r="M396" s="14">
        <f>IF(AND(ISNUMBER(Base_IFData!L397),ISNUMBER(Base_IFData!W397)),IF(Base_IFData!L397&gt;$B$4,Base_IFData!W397,""),"")</f>
        <v>-0.20560760801568836</v>
      </c>
      <c r="N396" s="51">
        <f>IF(AND(ISNUMBER(Base_IFData!O397),ISNUMBER(Base_IFData!Q397)),IF(Base_IFData!Q397&gt;0,Base_IFData!O397/Base_IFData!Q397,"PL ≤ 0"),"NI")</f>
        <v>11.655678247850933</v>
      </c>
      <c r="O396" s="110">
        <f>IF(AND(ISNUMBER(Base_IFData!M397),ISNUMBER(Base_IFData!Q397)),IF(Base_IFData!Q397&gt;0,Base_IFData!M397/Base_IFData!Q397,"PL ≤ 0"),"NI")</f>
        <v>6.8887334734415306</v>
      </c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spans="1:30" ht="1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15" t="str">
        <f>Base_IFData!A398</f>
        <v>COOPERATIVA DE CRÉDITO COOPACREDI LTDA. - SICOOB COOPACREDI</v>
      </c>
      <c r="L397" s="15" t="str">
        <f>Base_IFData!F398</f>
        <v>b3S</v>
      </c>
      <c r="M397" s="17">
        <f>IF(AND(ISNUMBER(Base_IFData!L398),ISNUMBER(Base_IFData!W398)),IF(Base_IFData!L398&gt;$B$4,Base_IFData!W398,""),"")</f>
        <v>7.0606101322067683E-2</v>
      </c>
      <c r="N397" s="50">
        <f>IF(AND(ISNUMBER(Base_IFData!O398),ISNUMBER(Base_IFData!Q398)),IF(Base_IFData!Q398&gt;0,Base_IFData!O398/Base_IFData!Q398,"PL ≤ 0"),"NI")</f>
        <v>4.6205125160532328</v>
      </c>
      <c r="O397" s="107">
        <f>IF(AND(ISNUMBER(Base_IFData!M398),ISNUMBER(Base_IFData!Q398)),IF(Base_IFData!Q398&gt;0,Base_IFData!M398/Base_IFData!Q398,"PL ≤ 0"),"NI")</f>
        <v>3.1860706373484904</v>
      </c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spans="1:30" ht="1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12" t="str">
        <f>Base_IFData!A399</f>
        <v>COOPERATIVA DE CRÉDITO INTEGRADO - SICOOB INTEGRADO</v>
      </c>
      <c r="L398" s="12" t="str">
        <f>Base_IFData!F399</f>
        <v>b3S</v>
      </c>
      <c r="M398" s="14">
        <f>IF(AND(ISNUMBER(Base_IFData!L399),ISNUMBER(Base_IFData!W399)),IF(Base_IFData!L399&gt;$B$4,Base_IFData!W399,""),"")</f>
        <v>4.4249588397432343E-2</v>
      </c>
      <c r="N398" s="51">
        <f>IF(AND(ISNUMBER(Base_IFData!O399),ISNUMBER(Base_IFData!Q399)),IF(Base_IFData!Q399&gt;0,Base_IFData!O399/Base_IFData!Q399,"PL ≤ 0"),"NI")</f>
        <v>10.048997662960701</v>
      </c>
      <c r="O398" s="110">
        <f>IF(AND(ISNUMBER(Base_IFData!M399),ISNUMBER(Base_IFData!Q399)),IF(Base_IFData!Q399&gt;0,Base_IFData!M399/Base_IFData!Q399,"PL ≤ 0"),"NI")</f>
        <v>6.2086871265516033</v>
      </c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spans="1:30" ht="1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15" t="str">
        <f>Base_IFData!A400</f>
        <v>QISTA S.A. - CRÉDITO, FINANCIAMENTO E INVESTIMENTO</v>
      </c>
      <c r="L399" s="15" t="str">
        <f>Base_IFData!F400</f>
        <v>n1</v>
      </c>
      <c r="M399" s="17">
        <f>IF(AND(ISNUMBER(Base_IFData!L400),ISNUMBER(Base_IFData!W400)),IF(Base_IFData!L400&gt;$B$4,Base_IFData!W400,""),"")</f>
        <v>-0.1268824970168938</v>
      </c>
      <c r="N399" s="50">
        <f>IF(AND(ISNUMBER(Base_IFData!O400),ISNUMBER(Base_IFData!Q400)),IF(Base_IFData!Q400&gt;0,Base_IFData!O400/Base_IFData!Q400,"PL ≤ 0"),"NI")</f>
        <v>4.6090058406079253</v>
      </c>
      <c r="O399" s="107">
        <f>IF(AND(ISNUMBER(Base_IFData!M400),ISNUMBER(Base_IFData!Q400)),IF(Base_IFData!Q400&gt;0,Base_IFData!M400/Base_IFData!Q400,"PL ≤ 0"),"NI")</f>
        <v>1.405410412610689</v>
      </c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spans="1:30" ht="1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12" t="str">
        <f>Base_IFData!A401</f>
        <v>ICBC DO BRASIL BANCO MÚLTIPLO S.A.</v>
      </c>
      <c r="L400" s="12" t="str">
        <f>Base_IFData!F401</f>
        <v>b1</v>
      </c>
      <c r="M400" s="14">
        <f>IF(AND(ISNUMBER(Base_IFData!L401),ISNUMBER(Base_IFData!W401)),IF(Base_IFData!L401&gt;$B$4,Base_IFData!W401,""),"")</f>
        <v>-9.254127580379197E-2</v>
      </c>
      <c r="N400" s="51">
        <f>IF(AND(ISNUMBER(Base_IFData!O401),ISNUMBER(Base_IFData!Q401)),IF(Base_IFData!Q401&gt;0,Base_IFData!O401/Base_IFData!Q401,"PL ≤ 0"),"NI")</f>
        <v>11.056551101258288</v>
      </c>
      <c r="O400" s="110">
        <f>IF(AND(ISNUMBER(Base_IFData!M401),ISNUMBER(Base_IFData!Q401)),IF(Base_IFData!Q401&gt;0,Base_IFData!M401/Base_IFData!Q401,"PL ≤ 0"),"NI")</f>
        <v>1.2752358861725201</v>
      </c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spans="1:30" ht="1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15" t="str">
        <f>Base_IFData!A402</f>
        <v>CENTRAL DAS COOPERATIVAS DE CRÉDITO DO NORDESTE - SICOOB CENTRAL NE</v>
      </c>
      <c r="L401" s="15" t="str">
        <f>Base_IFData!F402</f>
        <v>b3C</v>
      </c>
      <c r="M401" s="17">
        <f>IF(AND(ISNUMBER(Base_IFData!L402),ISNUMBER(Base_IFData!W402)),IF(Base_IFData!L402&gt;$B$4,Base_IFData!W402,""),"")</f>
        <v>6.7620952744745222E-2</v>
      </c>
      <c r="N401" s="50">
        <f>IF(AND(ISNUMBER(Base_IFData!O402),ISNUMBER(Base_IFData!Q402)),IF(Base_IFData!Q402&gt;0,Base_IFData!O402/Base_IFData!Q402,"PL ≤ 0"),"NI")</f>
        <v>16.708215639167278</v>
      </c>
      <c r="O401" s="107">
        <f>IF(AND(ISNUMBER(Base_IFData!M402),ISNUMBER(Base_IFData!Q402)),IF(Base_IFData!Q402&gt;0,Base_IFData!M402/Base_IFData!Q402,"PL ≤ 0"),"NI")</f>
        <v>0.31360762356630917</v>
      </c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spans="1:30" ht="1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12" t="str">
        <f>Base_IFData!A403</f>
        <v>BANCO MONEO S.A.</v>
      </c>
      <c r="L402" s="12" t="str">
        <f>Base_IFData!F403</f>
        <v>b2</v>
      </c>
      <c r="M402" s="14">
        <f>IF(AND(ISNUMBER(Base_IFData!L403),ISNUMBER(Base_IFData!W403)),IF(Base_IFData!L403&gt;$B$4,Base_IFData!W403,""),"")</f>
        <v>6.8526760407794249E-2</v>
      </c>
      <c r="N402" s="51">
        <f>IF(AND(ISNUMBER(Base_IFData!O403),ISNUMBER(Base_IFData!Q403)),IF(Base_IFData!Q403&gt;0,Base_IFData!O403/Base_IFData!Q403,"PL ≤ 0"),"NI")</f>
        <v>4.0748930949979218</v>
      </c>
      <c r="O402" s="110">
        <f>IF(AND(ISNUMBER(Base_IFData!M403),ISNUMBER(Base_IFData!Q403)),IF(Base_IFData!Q403&gt;0,Base_IFData!M403/Base_IFData!Q403,"PL ≤ 0"),"NI")</f>
        <v>4.8798594173786398</v>
      </c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spans="1:30" ht="1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15" t="str">
        <f>Base_IFData!A404</f>
        <v>COOPERATIVA DE CRÉDITO COOPERAÇÃO - SICREDI COOPERAÇÃO</v>
      </c>
      <c r="L403" s="15" t="str">
        <f>Base_IFData!F404</f>
        <v>b3S</v>
      </c>
      <c r="M403" s="17">
        <f>IF(AND(ISNUMBER(Base_IFData!L404),ISNUMBER(Base_IFData!W404)),IF(Base_IFData!L404&gt;$B$4,Base_IFData!W404,""),"")</f>
        <v>7.8560716290526633E-2</v>
      </c>
      <c r="N403" s="50">
        <f>IF(AND(ISNUMBER(Base_IFData!O404),ISNUMBER(Base_IFData!Q404)),IF(Base_IFData!Q404&gt;0,Base_IFData!O404/Base_IFData!Q404,"PL ≤ 0"),"NI")</f>
        <v>3.8754423054903131</v>
      </c>
      <c r="O403" s="107">
        <f>IF(AND(ISNUMBER(Base_IFData!M404),ISNUMBER(Base_IFData!Q404)),IF(Base_IFData!Q404&gt;0,Base_IFData!M404/Base_IFData!Q404,"PL ≤ 0"),"NI")</f>
        <v>2.7323182532877923</v>
      </c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spans="1:30" ht="1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12" t="str">
        <f>Base_IFData!A405</f>
        <v>COOPERATIVA DE ECONOMIA E CRÉDITO MÚTUO UNICRED ELEVA LTDA.</v>
      </c>
      <c r="L404" s="12" t="str">
        <f>Base_IFData!F405</f>
        <v>b3S</v>
      </c>
      <c r="M404" s="14">
        <f>IF(AND(ISNUMBER(Base_IFData!L405),ISNUMBER(Base_IFData!W405)),IF(Base_IFData!L405&gt;$B$4,Base_IFData!W405,""),"")</f>
        <v>5.5784893450853512E-4</v>
      </c>
      <c r="N404" s="51">
        <f>IF(AND(ISNUMBER(Base_IFData!O405),ISNUMBER(Base_IFData!Q405)),IF(Base_IFData!Q405&gt;0,Base_IFData!O405/Base_IFData!Q405,"PL ≤ 0"),"NI")</f>
        <v>10.358230896955458</v>
      </c>
      <c r="O404" s="110">
        <f>IF(AND(ISNUMBER(Base_IFData!M405),ISNUMBER(Base_IFData!Q405)),IF(Base_IFData!Q405&gt;0,Base_IFData!M405/Base_IFData!Q405,"PL ≤ 0"),"NI")</f>
        <v>6.158757243832488</v>
      </c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spans="1:30" ht="1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15" t="str">
        <f>Base_IFData!A406</f>
        <v>BMP SOCIEDADE DE CRÉDITO AO MICROEMPREENDEDOR E A EMPRESA DE PEQUENO PORTE LTDA.</v>
      </c>
      <c r="L405" s="15" t="str">
        <f>Base_IFData!F406</f>
        <v>n1</v>
      </c>
      <c r="M405" s="17">
        <f>IF(AND(ISNUMBER(Base_IFData!L406),ISNUMBER(Base_IFData!W406)),IF(Base_IFData!L406&gt;$B$4,Base_IFData!W406,""),"")</f>
        <v>-0.16567880823821166</v>
      </c>
      <c r="N405" s="50">
        <f>IF(AND(ISNUMBER(Base_IFData!O406),ISNUMBER(Base_IFData!Q406)),IF(Base_IFData!Q406&gt;0,Base_IFData!O406/Base_IFData!Q406,"PL ≤ 0"),"NI")</f>
        <v>29.436305116344514</v>
      </c>
      <c r="O405" s="107">
        <f>IF(AND(ISNUMBER(Base_IFData!M406),ISNUMBER(Base_IFData!Q406)),IF(Base_IFData!Q406&gt;0,Base_IFData!M406/Base_IFData!Q406,"PL ≤ 0"),"NI")</f>
        <v>0.96667077052957417</v>
      </c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spans="1:30" ht="1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12" t="str">
        <f>Base_IFData!A407</f>
        <v>COOPERATIVA DE CREDITO CREDISUDESTE LTDA. - SICOOB CREDISUDESTE</v>
      </c>
      <c r="L406" s="12" t="str">
        <f>Base_IFData!F407</f>
        <v>b3S</v>
      </c>
      <c r="M406" s="14">
        <f>IF(AND(ISNUMBER(Base_IFData!L407),ISNUMBER(Base_IFData!W407)),IF(Base_IFData!L407&gt;$B$4,Base_IFData!W407,""),"")</f>
        <v>3.9443652752192603E-2</v>
      </c>
      <c r="N406" s="51">
        <f>IF(AND(ISNUMBER(Base_IFData!O407),ISNUMBER(Base_IFData!Q407)),IF(Base_IFData!Q407&gt;0,Base_IFData!O407/Base_IFData!Q407,"PL ≤ 0"),"NI")</f>
        <v>8.9720436087263788</v>
      </c>
      <c r="O406" s="110">
        <f>IF(AND(ISNUMBER(Base_IFData!M407),ISNUMBER(Base_IFData!Q407)),IF(Base_IFData!Q407&gt;0,Base_IFData!M407/Base_IFData!Q407,"PL ≤ 0"),"NI")</f>
        <v>4.3898254028941182</v>
      </c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spans="1:30" ht="1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15" t="str">
        <f>Base_IFData!A408</f>
        <v>COOPERATIVA DE CRÉDITO DE LIVRE ADMISSÃO DE ITAÚNA E REGIÃO LTDA - SICOOB CENTRO-OESTE</v>
      </c>
      <c r="L407" s="15" t="str">
        <f>Base_IFData!F408</f>
        <v>b3S</v>
      </c>
      <c r="M407" s="17">
        <f>IF(AND(ISNUMBER(Base_IFData!L408),ISNUMBER(Base_IFData!W408)),IF(Base_IFData!L408&gt;$B$4,Base_IFData!W408,""),"")</f>
        <v>8.8762154423931428E-2</v>
      </c>
      <c r="N407" s="50">
        <f>IF(AND(ISNUMBER(Base_IFData!O408),ISNUMBER(Base_IFData!Q408)),IF(Base_IFData!Q408&gt;0,Base_IFData!O408/Base_IFData!Q408,"PL ≤ 0"),"NI")</f>
        <v>6.9115724989309681</v>
      </c>
      <c r="O407" s="107">
        <f>IF(AND(ISNUMBER(Base_IFData!M408),ISNUMBER(Base_IFData!Q408)),IF(Base_IFData!Q408&gt;0,Base_IFData!M408/Base_IFData!Q408,"PL ≤ 0"),"NI")</f>
        <v>3.8178835034487886</v>
      </c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spans="1:30" ht="1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12" t="str">
        <f>Base_IFData!A409</f>
        <v>COOPERATIVA DE CRÉDITO E INVESTIMENTO COM INTERAÇÃO SOLIDÁRIA DA AMAZÔNIA - CRESOL AMAZÔNIA</v>
      </c>
      <c r="L408" s="12" t="str">
        <f>Base_IFData!F409</f>
        <v>b3S</v>
      </c>
      <c r="M408" s="14">
        <f>IF(AND(ISNUMBER(Base_IFData!L409),ISNUMBER(Base_IFData!W409)),IF(Base_IFData!L409&gt;$B$4,Base_IFData!W409,""),"")</f>
        <v>9.1152183551319002E-2</v>
      </c>
      <c r="N408" s="51">
        <f>IF(AND(ISNUMBER(Base_IFData!O409),ISNUMBER(Base_IFData!Q409)),IF(Base_IFData!Q409&gt;0,Base_IFData!O409/Base_IFData!Q409,"PL ≤ 0"),"NI")</f>
        <v>6.8194783122737013</v>
      </c>
      <c r="O408" s="110">
        <f>IF(AND(ISNUMBER(Base_IFData!M409),ISNUMBER(Base_IFData!Q409)),IF(Base_IFData!Q409&gt;0,Base_IFData!M409/Base_IFData!Q409,"PL ≤ 0"),"NI")</f>
        <v>6.1111865440035471</v>
      </c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spans="1:30" ht="1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15" t="str">
        <f>Base_IFData!A410</f>
        <v>COOPERATIVA DE CRÉDITO CREDIVERTENTES LTDA. - SICOOB CREDIVERTENTES</v>
      </c>
      <c r="L409" s="15" t="str">
        <f>Base_IFData!F410</f>
        <v>b3S</v>
      </c>
      <c r="M409" s="17">
        <f>IF(AND(ISNUMBER(Base_IFData!L410),ISNUMBER(Base_IFData!W410)),IF(Base_IFData!L410&gt;$B$4,Base_IFData!W410,""),"")</f>
        <v>8.030983577307671E-2</v>
      </c>
      <c r="N409" s="50">
        <f>IF(AND(ISNUMBER(Base_IFData!O410),ISNUMBER(Base_IFData!Q410)),IF(Base_IFData!Q410&gt;0,Base_IFData!O410/Base_IFData!Q410,"PL ≤ 0"),"NI")</f>
        <v>5.5237108923487472</v>
      </c>
      <c r="O409" s="107">
        <f>IF(AND(ISNUMBER(Base_IFData!M410),ISNUMBER(Base_IFData!Q410)),IF(Base_IFData!Q410&gt;0,Base_IFData!M410/Base_IFData!Q410,"PL ≤ 0"),"NI")</f>
        <v>2.4367257014747064</v>
      </c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spans="1:30" ht="1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12" t="str">
        <f>Base_IFData!A411</f>
        <v>COOPERATIVA DE CRÉDITO E INVESTIMENTO COM INTERAÇÃO SOLIDÁRIA INTEGRAÇÃO - CRESOL INTEGRAÇÃO</v>
      </c>
      <c r="L410" s="12" t="str">
        <f>Base_IFData!F411</f>
        <v>b3S</v>
      </c>
      <c r="M410" s="14">
        <f>IF(AND(ISNUMBER(Base_IFData!L411),ISNUMBER(Base_IFData!W411)),IF(Base_IFData!L411&gt;$B$4,Base_IFData!W411,""),"")</f>
        <v>5.6445209409064834E-2</v>
      </c>
      <c r="N410" s="51">
        <f>IF(AND(ISNUMBER(Base_IFData!O411),ISNUMBER(Base_IFData!Q411)),IF(Base_IFData!Q411&gt;0,Base_IFData!O411/Base_IFData!Q411,"PL ≤ 0"),"NI")</f>
        <v>6.674528973034997</v>
      </c>
      <c r="O410" s="110">
        <f>IF(AND(ISNUMBER(Base_IFData!M411),ISNUMBER(Base_IFData!Q411)),IF(Base_IFData!Q411&gt;0,Base_IFData!M411/Base_IFData!Q411,"PL ≤ 0"),"NI")</f>
        <v>5.5847251864601262</v>
      </c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spans="1:30" ht="1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15" t="str">
        <f>Base_IFData!A412</f>
        <v>COOPERATIVA DE CRÉDITO, CAPTAÇÃO, POUPANÇA E SOLUÇÕES FINANCEIRAS SICOOB CREDICAPITAL</v>
      </c>
      <c r="L411" s="15" t="str">
        <f>Base_IFData!F412</f>
        <v>b3S</v>
      </c>
      <c r="M411" s="17">
        <f>IF(AND(ISNUMBER(Base_IFData!L412),ISNUMBER(Base_IFData!W412)),IF(Base_IFData!L412&gt;$B$4,Base_IFData!W412,""),"")</f>
        <v>5.121770887011852E-2</v>
      </c>
      <c r="N411" s="50">
        <f>IF(AND(ISNUMBER(Base_IFData!O412),ISNUMBER(Base_IFData!Q412)),IF(Base_IFData!Q412&gt;0,Base_IFData!O412/Base_IFData!Q412,"PL ≤ 0"),"NI")</f>
        <v>8.3586919991934217</v>
      </c>
      <c r="O411" s="107">
        <f>IF(AND(ISNUMBER(Base_IFData!M412),ISNUMBER(Base_IFData!Q412)),IF(Base_IFData!Q412&gt;0,Base_IFData!M412/Base_IFData!Q412,"PL ≤ 0"),"NI")</f>
        <v>5.5073768288037996</v>
      </c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spans="1:30" ht="1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12" t="str">
        <f>Base_IFData!A413</f>
        <v>COOPERATIVA DE CRÉDITO CREDINOR LTDA - SICOOB CREDINOR</v>
      </c>
      <c r="L412" s="12" t="str">
        <f>Base_IFData!F413</f>
        <v>b3S</v>
      </c>
      <c r="M412" s="14">
        <f>IF(AND(ISNUMBER(Base_IFData!L413),ISNUMBER(Base_IFData!W413)),IF(Base_IFData!L413&gt;$B$4,Base_IFData!W413,""),"")</f>
        <v>0.11424062954689837</v>
      </c>
      <c r="N412" s="51">
        <f>IF(AND(ISNUMBER(Base_IFData!O413),ISNUMBER(Base_IFData!Q413)),IF(Base_IFData!Q413&gt;0,Base_IFData!O413/Base_IFData!Q413,"PL ≤ 0"),"NI")</f>
        <v>5.842039469639527</v>
      </c>
      <c r="O412" s="110">
        <f>IF(AND(ISNUMBER(Base_IFData!M413),ISNUMBER(Base_IFData!Q413)),IF(Base_IFData!Q413&gt;0,Base_IFData!M413/Base_IFData!Q413,"PL ≤ 0"),"NI")</f>
        <v>2.9990081357460499</v>
      </c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spans="1:30" ht="1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15" t="str">
        <f>Base_IFData!A414</f>
        <v>COOPERATIVA DE CRÉDITO CREDICAF LTDA - SICOOB CREDICAF</v>
      </c>
      <c r="L413" s="15" t="str">
        <f>Base_IFData!F414</f>
        <v>b3S</v>
      </c>
      <c r="M413" s="17">
        <f>IF(AND(ISNUMBER(Base_IFData!L414),ISNUMBER(Base_IFData!W414)),IF(Base_IFData!L414&gt;$B$4,Base_IFData!W414,""),"")</f>
        <v>6.8344406252656892E-2</v>
      </c>
      <c r="N413" s="50">
        <f>IF(AND(ISNUMBER(Base_IFData!O414),ISNUMBER(Base_IFData!Q414)),IF(Base_IFData!Q414&gt;0,Base_IFData!O414/Base_IFData!Q414,"PL ≤ 0"),"NI")</f>
        <v>5.7102376932700132</v>
      </c>
      <c r="O413" s="107">
        <f>IF(AND(ISNUMBER(Base_IFData!M414),ISNUMBER(Base_IFData!Q414)),IF(Base_IFData!Q414&gt;0,Base_IFData!M414/Base_IFData!Q414,"PL ≤ 0"),"NI")</f>
        <v>3.3095640063320095</v>
      </c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spans="1:30" ht="1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12" t="str">
        <f>Base_IFData!A415</f>
        <v>UBS (BRASIL) CORRETORA DE VALORES S.A.</v>
      </c>
      <c r="L414" s="12" t="str">
        <f>Base_IFData!F415</f>
        <v>n2</v>
      </c>
      <c r="M414" s="14">
        <f>IF(AND(ISNUMBER(Base_IFData!L415),ISNUMBER(Base_IFData!W415)),IF(Base_IFData!L415&gt;$B$4,Base_IFData!W415,""),"")</f>
        <v>-2.1308859301738017</v>
      </c>
      <c r="N414" s="51">
        <f>IF(AND(ISNUMBER(Base_IFData!O415),ISNUMBER(Base_IFData!Q415)),IF(Base_IFData!Q415&gt;0,Base_IFData!O415/Base_IFData!Q415,"PL ≤ 0"),"NI")</f>
        <v>18.159899878961657</v>
      </c>
      <c r="O414" s="110">
        <f>IF(AND(ISNUMBER(Base_IFData!M415),ISNUMBER(Base_IFData!Q415)),IF(Base_IFData!Q415&gt;0,Base_IFData!M415/Base_IFData!Q415,"PL ≤ 0"),"NI")</f>
        <v>0</v>
      </c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spans="1:30" ht="1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15" t="str">
        <f>Base_IFData!A416</f>
        <v>COOPERATIVA DE CRÉDITO DE LIVRE ADMISSÃO DE ASSOCIADOS - SICOOB CREDICARU SC/RS</v>
      </c>
      <c r="L415" s="15" t="str">
        <f>Base_IFData!F416</f>
        <v>b3S</v>
      </c>
      <c r="M415" s="17">
        <f>IF(AND(ISNUMBER(Base_IFData!L416),ISNUMBER(Base_IFData!W416)),IF(Base_IFData!L416&gt;$B$4,Base_IFData!W416,""),"")</f>
        <v>7.7442631799490055E-2</v>
      </c>
      <c r="N415" s="50">
        <f>IF(AND(ISNUMBER(Base_IFData!O416),ISNUMBER(Base_IFData!Q416)),IF(Base_IFData!Q416&gt;0,Base_IFData!O416/Base_IFData!Q416,"PL ≤ 0"),"NI")</f>
        <v>4.7689860157243205</v>
      </c>
      <c r="O415" s="107">
        <f>IF(AND(ISNUMBER(Base_IFData!M416),ISNUMBER(Base_IFData!Q416)),IF(Base_IFData!Q416&gt;0,Base_IFData!M416/Base_IFData!Q416,"PL ≤ 0"),"NI")</f>
        <v>3.6334898189643541</v>
      </c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spans="1:30" ht="1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12" t="str">
        <f>Base_IFData!A417</f>
        <v>MERRILL LYNCH S.A. CORRETORA DE TÍTULOS E VALORES MOBILIÁRIOS</v>
      </c>
      <c r="L416" s="12" t="str">
        <f>Base_IFData!F417</f>
        <v>n2</v>
      </c>
      <c r="M416" s="14">
        <f>IF(AND(ISNUMBER(Base_IFData!L417),ISNUMBER(Base_IFData!W417)),IF(Base_IFData!L417&gt;$B$4,Base_IFData!W417,""),"")</f>
        <v>0.12120320284345035</v>
      </c>
      <c r="N416" s="51">
        <f>IF(AND(ISNUMBER(Base_IFData!O417),ISNUMBER(Base_IFData!Q417)),IF(Base_IFData!Q417&gt;0,Base_IFData!O417/Base_IFData!Q417,"PL ≤ 0"),"NI")</f>
        <v>1.294175992257484</v>
      </c>
      <c r="O416" s="110">
        <f>IF(AND(ISNUMBER(Base_IFData!M417),ISNUMBER(Base_IFData!Q417)),IF(Base_IFData!Q417&gt;0,Base_IFData!M417/Base_IFData!Q417,"PL ≤ 0"),"NI")</f>
        <v>0</v>
      </c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spans="1:30" ht="1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15" t="str">
        <f>Base_IFData!A418</f>
        <v>CHG-MERIDIAN DO BRASIL ARRENDAMENTO MERCANTIL S.A.</v>
      </c>
      <c r="L417" s="15" t="str">
        <f>Base_IFData!F418</f>
        <v>n1</v>
      </c>
      <c r="M417" s="17">
        <f>IF(AND(ISNUMBER(Base_IFData!L418),ISNUMBER(Base_IFData!W418)),IF(Base_IFData!L418&gt;$B$4,Base_IFData!W418,""),"")</f>
        <v>4.7080669549301006E-2</v>
      </c>
      <c r="N417" s="50">
        <f>IF(AND(ISNUMBER(Base_IFData!O418),ISNUMBER(Base_IFData!Q418)),IF(Base_IFData!Q418&gt;0,Base_IFData!O418/Base_IFData!Q418,"PL ≤ 0"),"NI")</f>
        <v>7.5326630766373981</v>
      </c>
      <c r="O417" s="107">
        <f>IF(AND(ISNUMBER(Base_IFData!M418),ISNUMBER(Base_IFData!Q418)),IF(Base_IFData!Q418&gt;0,Base_IFData!M418/Base_IFData!Q418,"PL ≤ 0"),"NI")</f>
        <v>1.2875295116322254</v>
      </c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spans="1:30" ht="1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12" t="str">
        <f>Base_IFData!A419</f>
        <v>STARA FINANCEIRA S.A. - CRÉDITO FINANCIAMENTO E INVESTIMENTO</v>
      </c>
      <c r="L418" s="12" t="str">
        <f>Base_IFData!F419</f>
        <v>n1</v>
      </c>
      <c r="M418" s="14">
        <f>IF(AND(ISNUMBER(Base_IFData!L419),ISNUMBER(Base_IFData!W419)),IF(Base_IFData!L419&gt;$B$4,Base_IFData!W419,""),"")</f>
        <v>3.9328764954655447E-2</v>
      </c>
      <c r="N418" s="51">
        <f>IF(AND(ISNUMBER(Base_IFData!O419),ISNUMBER(Base_IFData!Q419)),IF(Base_IFData!Q419&gt;0,Base_IFData!O419/Base_IFData!Q419,"PL ≤ 0"),"NI")</f>
        <v>5.0012740197963073</v>
      </c>
      <c r="O418" s="110">
        <f>IF(AND(ISNUMBER(Base_IFData!M419),ISNUMBER(Base_IFData!Q419)),IF(Base_IFData!Q419&gt;0,Base_IFData!M419/Base_IFData!Q419,"PL ≤ 0"),"NI")</f>
        <v>5.1713179697099907</v>
      </c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spans="1:30" ht="1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15" t="str">
        <f>Base_IFData!A420</f>
        <v>COOPERATIVA DE CRÉDITO CREDINTER LTDA. - SICOOB CREDINTER</v>
      </c>
      <c r="L419" s="15" t="str">
        <f>Base_IFData!F420</f>
        <v>b3S</v>
      </c>
      <c r="M419" s="17">
        <f>IF(AND(ISNUMBER(Base_IFData!L420),ISNUMBER(Base_IFData!W420)),IF(Base_IFData!L420&gt;$B$4,Base_IFData!W420,""),"")</f>
        <v>9.3735428185339213E-4</v>
      </c>
      <c r="N419" s="50">
        <f>IF(AND(ISNUMBER(Base_IFData!O420),ISNUMBER(Base_IFData!Q420)),IF(Base_IFData!Q420&gt;0,Base_IFData!O420/Base_IFData!Q420,"PL ≤ 0"),"NI")</f>
        <v>6.5653864088387275</v>
      </c>
      <c r="O419" s="107">
        <f>IF(AND(ISNUMBER(Base_IFData!M420),ISNUMBER(Base_IFData!Q420)),IF(Base_IFData!Q420&gt;0,Base_IFData!M420/Base_IFData!Q420,"PL ≤ 0"),"NI")</f>
        <v>4.2872491268806563</v>
      </c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spans="1:30" ht="1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12" t="str">
        <f>Base_IFData!A421</f>
        <v>COOPERATIVA DE CRÉDITO E INVESTIMENTO COM INTERAÇÃO SOLIDÁRIA VANGUARDA - CRESOL VANGUARDA</v>
      </c>
      <c r="L420" s="12" t="str">
        <f>Base_IFData!F421</f>
        <v>b3S</v>
      </c>
      <c r="M420" s="14">
        <f>IF(AND(ISNUMBER(Base_IFData!L421),ISNUMBER(Base_IFData!W421)),IF(Base_IFData!L421&gt;$B$4,Base_IFData!W421,""),"")</f>
        <v>2.8213940142137399E-2</v>
      </c>
      <c r="N420" s="51">
        <f>IF(AND(ISNUMBER(Base_IFData!O421),ISNUMBER(Base_IFData!Q421)),IF(Base_IFData!Q421&gt;0,Base_IFData!O421/Base_IFData!Q421,"PL ≤ 0"),"NI")</f>
        <v>9.5993260151479767</v>
      </c>
      <c r="O420" s="110">
        <f>IF(AND(ISNUMBER(Base_IFData!M421),ISNUMBER(Base_IFData!Q421)),IF(Base_IFData!Q421&gt;0,Base_IFData!M421/Base_IFData!Q421,"PL ≤ 0"),"NI")</f>
        <v>8.2370491475092589</v>
      </c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spans="1:30" ht="1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15" t="str">
        <f>Base_IFData!A422</f>
        <v>COOPERATIVA DE CRÉDITO DE LIVRE ADMISSÃO DO NORTE DE MATO GROSSO - SICOOB NORTE MT</v>
      </c>
      <c r="L421" s="15" t="str">
        <f>Base_IFData!F422</f>
        <v>b3S</v>
      </c>
      <c r="M421" s="17">
        <f>IF(AND(ISNUMBER(Base_IFData!L422),ISNUMBER(Base_IFData!W422)),IF(Base_IFData!L422&gt;$B$4,Base_IFData!W422,""),"")</f>
        <v>0.13726163336462385</v>
      </c>
      <c r="N421" s="50">
        <f>IF(AND(ISNUMBER(Base_IFData!O422),ISNUMBER(Base_IFData!Q422)),IF(Base_IFData!Q422&gt;0,Base_IFData!O422/Base_IFData!Q422,"PL ≤ 0"),"NI")</f>
        <v>7.4508622770551156</v>
      </c>
      <c r="O421" s="107">
        <f>IF(AND(ISNUMBER(Base_IFData!M422),ISNUMBER(Base_IFData!Q422)),IF(Base_IFData!Q422&gt;0,Base_IFData!M422/Base_IFData!Q422,"PL ≤ 0"),"NI")</f>
        <v>5.2158455142818827</v>
      </c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spans="1:30" ht="1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12" t="str">
        <f>Base_IFData!A423</f>
        <v>COOPERATIVA DE POUPANÇA E CRÉDITO DO VALE DO RIO DOCE LTDA - SICOOB CREDIRIODOCE</v>
      </c>
      <c r="L422" s="12" t="str">
        <f>Base_IFData!F423</f>
        <v>b3S</v>
      </c>
      <c r="M422" s="14">
        <f>IF(AND(ISNUMBER(Base_IFData!L423),ISNUMBER(Base_IFData!W423)),IF(Base_IFData!L423&gt;$B$4,Base_IFData!W423,""),"")</f>
        <v>0.10347962728414591</v>
      </c>
      <c r="N422" s="51">
        <f>IF(AND(ISNUMBER(Base_IFData!O423),ISNUMBER(Base_IFData!Q423)),IF(Base_IFData!Q423&gt;0,Base_IFData!O423/Base_IFData!Q423,"PL ≤ 0"),"NI")</f>
        <v>7.2405677978126857</v>
      </c>
      <c r="O422" s="110">
        <f>IF(AND(ISNUMBER(Base_IFData!M423),ISNUMBER(Base_IFData!Q423)),IF(Base_IFData!Q423&gt;0,Base_IFData!M423/Base_IFData!Q423,"PL ≤ 0"),"NI")</f>
        <v>2.5799326252502905</v>
      </c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spans="1:30" ht="1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15" t="str">
        <f>Base_IFData!A424</f>
        <v>BANCO ALFA S.A.</v>
      </c>
      <c r="L423" s="15" t="str">
        <f>Base_IFData!F424</f>
        <v>b1</v>
      </c>
      <c r="M423" s="17">
        <f>IF(AND(ISNUMBER(Base_IFData!L424),ISNUMBER(Base_IFData!W424)),IF(Base_IFData!L424&gt;$B$4,Base_IFData!W424,""),"")</f>
        <v>0.12211456990237612</v>
      </c>
      <c r="N423" s="50">
        <f>IF(AND(ISNUMBER(Base_IFData!O424),ISNUMBER(Base_IFData!Q424)),IF(Base_IFData!Q424&gt;0,Base_IFData!O424/Base_IFData!Q424,"PL ≤ 0"),"NI")</f>
        <v>10.374131515932953</v>
      </c>
      <c r="O423" s="107">
        <f>IF(AND(ISNUMBER(Base_IFData!M424),ISNUMBER(Base_IFData!Q424)),IF(Base_IFData!Q424&gt;0,Base_IFData!M424/Base_IFData!Q424,"PL ≤ 0"),"NI")</f>
        <v>7.6616761834592007</v>
      </c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spans="1:30" ht="1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12" t="str">
        <f>Base_IFData!A425</f>
        <v>SAFRA DISTRIBUIDORA DE TÍTULOS E VALORES MOBILIÁRIOS LTDA.</v>
      </c>
      <c r="L424" s="12" t="str">
        <f>Base_IFData!F425</f>
        <v>n2</v>
      </c>
      <c r="M424" s="14">
        <f>IF(AND(ISNUMBER(Base_IFData!L425),ISNUMBER(Base_IFData!W425)),IF(Base_IFData!L425&gt;$B$4,Base_IFData!W425,""),"")</f>
        <v>0.19025331653886668</v>
      </c>
      <c r="N424" s="51">
        <f>IF(AND(ISNUMBER(Base_IFData!O425),ISNUMBER(Base_IFData!Q425)),IF(Base_IFData!Q425&gt;0,Base_IFData!O425/Base_IFData!Q425,"PL ≤ 0"),"NI")</f>
        <v>1.2622485433746566</v>
      </c>
      <c r="O424" s="110">
        <f>IF(AND(ISNUMBER(Base_IFData!M425),ISNUMBER(Base_IFData!Q425)),IF(Base_IFData!Q425&gt;0,Base_IFData!M425/Base_IFData!Q425,"PL ≤ 0"),"NI")</f>
        <v>0</v>
      </c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spans="1:30" ht="1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15" t="str">
        <f>Base_IFData!A426</f>
        <v>COOPERATIVA DE CRÉDITO CREDCOOPER LTDA - SICOOB CREDCOOPER</v>
      </c>
      <c r="L425" s="15" t="str">
        <f>Base_IFData!F426</f>
        <v>b3S</v>
      </c>
      <c r="M425" s="17">
        <f>IF(AND(ISNUMBER(Base_IFData!L426),ISNUMBER(Base_IFData!W426)),IF(Base_IFData!L426&gt;$B$4,Base_IFData!W426,""),"")</f>
        <v>7.3072797777838899E-2</v>
      </c>
      <c r="N425" s="50">
        <f>IF(AND(ISNUMBER(Base_IFData!O426),ISNUMBER(Base_IFData!Q426)),IF(Base_IFData!Q426&gt;0,Base_IFData!O426/Base_IFData!Q426,"PL ≤ 0"),"NI")</f>
        <v>5.9857172978374269</v>
      </c>
      <c r="O425" s="107">
        <f>IF(AND(ISNUMBER(Base_IFData!M426),ISNUMBER(Base_IFData!Q426)),IF(Base_IFData!Q426&gt;0,Base_IFData!M426/Base_IFData!Q426,"PL ≤ 0"),"NI")</f>
        <v>3.0750162720130545</v>
      </c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spans="1:30" ht="1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12" t="str">
        <f>Base_IFData!A427</f>
        <v>WISE BRASIL INSTITUICAO DE PAGAMENTO LTDA</v>
      </c>
      <c r="L426" s="12" t="str">
        <f>Base_IFData!F427</f>
        <v>n4</v>
      </c>
      <c r="M426" s="14">
        <f>IF(AND(ISNUMBER(Base_IFData!L427),ISNUMBER(Base_IFData!W427)),IF(Base_IFData!L427&gt;$B$4,Base_IFData!W427,""),"")</f>
        <v>0.20027913468248429</v>
      </c>
      <c r="N426" s="51">
        <f>IF(AND(ISNUMBER(Base_IFData!O427),ISNUMBER(Base_IFData!Q427)),IF(Base_IFData!Q427&gt;0,Base_IFData!O427/Base_IFData!Q427,"PL ≤ 0"),"NI")</f>
        <v>74.799371946964413</v>
      </c>
      <c r="O426" s="110">
        <f>IF(AND(ISNUMBER(Base_IFData!M427),ISNUMBER(Base_IFData!Q427)),IF(Base_IFData!Q427&gt;0,Base_IFData!M427/Base_IFData!Q427,"PL ≤ 0"),"NI")</f>
        <v>0</v>
      </c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spans="1:30" ht="1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15" t="str">
        <f>Base_IFData!A428</f>
        <v>BANCO KOMATSU DO BRASIL S.A.</v>
      </c>
      <c r="L427" s="15" t="str">
        <f>Base_IFData!F428</f>
        <v>b2</v>
      </c>
      <c r="M427" s="17">
        <f>IF(AND(ISNUMBER(Base_IFData!L428),ISNUMBER(Base_IFData!W428)),IF(Base_IFData!L428&gt;$B$4,Base_IFData!W428,""),"")</f>
        <v>4.262161946170577E-2</v>
      </c>
      <c r="N427" s="50">
        <f>IF(AND(ISNUMBER(Base_IFData!O428),ISNUMBER(Base_IFData!Q428)),IF(Base_IFData!Q428&gt;0,Base_IFData!O428/Base_IFData!Q428,"PL ≤ 0"),"NI")</f>
        <v>2.2680995548413434</v>
      </c>
      <c r="O427" s="107">
        <f>IF(AND(ISNUMBER(Base_IFData!M428),ISNUMBER(Base_IFData!Q428)),IF(Base_IFData!Q428&gt;0,Base_IFData!M428/Base_IFData!Q428,"PL ≤ 0"),"NI")</f>
        <v>2.6741464552541032</v>
      </c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spans="1:30" ht="1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12" t="str">
        <f>Base_IFData!A429</f>
        <v>COOPERATIVA DE CRÉDITO, POUPANÇA E INVESTIMENTO DO NOROESTE DO ESTADO DE SÃO PAULO - SICREDI NOROESTE SP</v>
      </c>
      <c r="L428" s="12" t="str">
        <f>Base_IFData!F429</f>
        <v>b3S</v>
      </c>
      <c r="M428" s="14">
        <f>IF(AND(ISNUMBER(Base_IFData!L429),ISNUMBER(Base_IFData!W429)),IF(Base_IFData!L429&gt;$B$4,Base_IFData!W429,""),"")</f>
        <v>0.13245646661031277</v>
      </c>
      <c r="N428" s="51">
        <f>IF(AND(ISNUMBER(Base_IFData!O429),ISNUMBER(Base_IFData!Q429)),IF(Base_IFData!Q429&gt;0,Base_IFData!O429/Base_IFData!Q429,"PL ≤ 0"),"NI")</f>
        <v>9.2165409974640742</v>
      </c>
      <c r="O428" s="110">
        <f>IF(AND(ISNUMBER(Base_IFData!M429),ISNUMBER(Base_IFData!Q429)),IF(Base_IFData!Q429&gt;0,Base_IFData!M429/Base_IFData!Q429,"PL ≤ 0"),"NI")</f>
        <v>4.7707658495350804</v>
      </c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spans="1:30" ht="1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15" t="str">
        <f>Base_IFData!A430</f>
        <v>COOPERATIVA DE CRÉDITO DE LIVRE ADMISSÃO TRÊS FRONTEIRAS - SICOOB TRÊS FRONTEIRAS</v>
      </c>
      <c r="L429" s="15" t="str">
        <f>Base_IFData!F430</f>
        <v>b3S</v>
      </c>
      <c r="M429" s="17">
        <f>IF(AND(ISNUMBER(Base_IFData!L430),ISNUMBER(Base_IFData!W430)),IF(Base_IFData!L430&gt;$B$4,Base_IFData!W430,""),"")</f>
        <v>8.035204098387573E-2</v>
      </c>
      <c r="N429" s="50">
        <f>IF(AND(ISNUMBER(Base_IFData!O430),ISNUMBER(Base_IFData!Q430)),IF(Base_IFData!Q430&gt;0,Base_IFData!O430/Base_IFData!Q430,"PL ≤ 0"),"NI")</f>
        <v>8.887346885159765</v>
      </c>
      <c r="O429" s="107">
        <f>IF(AND(ISNUMBER(Base_IFData!M430),ISNUMBER(Base_IFData!Q430)),IF(Base_IFData!Q430&gt;0,Base_IFData!M430/Base_IFData!Q430,"PL ≤ 0"),"NI")</f>
        <v>5.645607697612558</v>
      </c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spans="1:30" ht="1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12" t="str">
        <f>Base_IFData!A431</f>
        <v>BANCO KEB HANA DO BRASIL S.A.</v>
      </c>
      <c r="L430" s="12" t="str">
        <f>Base_IFData!F431</f>
        <v>b1</v>
      </c>
      <c r="M430" s="14">
        <f>IF(AND(ISNUMBER(Base_IFData!L431),ISNUMBER(Base_IFData!W431)),IF(Base_IFData!L431&gt;$B$4,Base_IFData!W431,""),"")</f>
        <v>1.4461109604745528E-2</v>
      </c>
      <c r="N430" s="51">
        <f>IF(AND(ISNUMBER(Base_IFData!O431),ISNUMBER(Base_IFData!Q431)),IF(Base_IFData!Q431&gt;0,Base_IFData!O431/Base_IFData!Q431,"PL ≤ 0"),"NI")</f>
        <v>6.1602566846954838</v>
      </c>
      <c r="O430" s="110">
        <f>IF(AND(ISNUMBER(Base_IFData!M431),ISNUMBER(Base_IFData!Q431)),IF(Base_IFData!Q431&gt;0,Base_IFData!M431/Base_IFData!Q431,"PL ≤ 0"),"NI")</f>
        <v>0.82147665054062668</v>
      </c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spans="1:30" ht="1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15" t="str">
        <f>Base_IFData!A432</f>
        <v>COOPERATIVA DE CRÉDITO DE LIVRE ADMISSÃO DE ASSOCIADOS ITAPIRANGA - SICOOB CREDITAPIRANGA SC/RS</v>
      </c>
      <c r="L431" s="15" t="str">
        <f>Base_IFData!F432</f>
        <v>b3S</v>
      </c>
      <c r="M431" s="17">
        <f>IF(AND(ISNUMBER(Base_IFData!L432),ISNUMBER(Base_IFData!W432)),IF(Base_IFData!L432&gt;$B$4,Base_IFData!W432,""),"")</f>
        <v>6.245948818999715E-2</v>
      </c>
      <c r="N431" s="50">
        <f>IF(AND(ISNUMBER(Base_IFData!O432),ISNUMBER(Base_IFData!Q432)),IF(Base_IFData!Q432&gt;0,Base_IFData!O432/Base_IFData!Q432,"PL ≤ 0"),"NI")</f>
        <v>8.7299450335761879</v>
      </c>
      <c r="O431" s="107">
        <f>IF(AND(ISNUMBER(Base_IFData!M432),ISNUMBER(Base_IFData!Q432)),IF(Base_IFData!Q432&gt;0,Base_IFData!M432/Base_IFData!Q432,"PL ≤ 0"),"NI")</f>
        <v>5.4925263812906735</v>
      </c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spans="1:30" ht="1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12" t="str">
        <f>Base_IFData!A433</f>
        <v>BANCO ARBI S.A.</v>
      </c>
      <c r="L432" s="12" t="str">
        <f>Base_IFData!F433</f>
        <v>b1</v>
      </c>
      <c r="M432" s="14">
        <f>IF(AND(ISNUMBER(Base_IFData!L433),ISNUMBER(Base_IFData!W433)),IF(Base_IFData!L433&gt;$B$4,Base_IFData!W433,""),"")</f>
        <v>-6.9117452969065671E-2</v>
      </c>
      <c r="N432" s="51">
        <f>IF(AND(ISNUMBER(Base_IFData!O433),ISNUMBER(Base_IFData!Q433)),IF(Base_IFData!Q433&gt;0,Base_IFData!O433/Base_IFData!Q433,"PL ≤ 0"),"NI")</f>
        <v>14.234246032954649</v>
      </c>
      <c r="O432" s="110">
        <f>IF(AND(ISNUMBER(Base_IFData!M433),ISNUMBER(Base_IFData!Q433)),IF(Base_IFData!Q433&gt;0,Base_IFData!M433/Base_IFData!Q433,"PL ≤ 0"),"NI")</f>
        <v>4.576269809845785</v>
      </c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spans="1:30" ht="1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15" t="str">
        <f>Base_IFData!A434</f>
        <v>COOPERATIVA DE CRÉDITO DE LIVRE ADMISSÃO DE ASSOCIADOS VALE DO CHAPECOZINHO - SICOOB VALCREDI SUL</v>
      </c>
      <c r="L433" s="15" t="str">
        <f>Base_IFData!F434</f>
        <v>b3S</v>
      </c>
      <c r="M433" s="17">
        <f>IF(AND(ISNUMBER(Base_IFData!L434),ISNUMBER(Base_IFData!W434)),IF(Base_IFData!L434&gt;$B$4,Base_IFData!W434,""),"")</f>
        <v>5.1372883966451503E-2</v>
      </c>
      <c r="N433" s="50">
        <f>IF(AND(ISNUMBER(Base_IFData!O434),ISNUMBER(Base_IFData!Q434)),IF(Base_IFData!Q434&gt;0,Base_IFData!O434/Base_IFData!Q434,"PL ≤ 0"),"NI")</f>
        <v>9.4618798919055145</v>
      </c>
      <c r="O433" s="107">
        <f>IF(AND(ISNUMBER(Base_IFData!M434),ISNUMBER(Base_IFData!Q434)),IF(Base_IFData!Q434&gt;0,Base_IFData!M434/Base_IFData!Q434,"PL ≤ 0"),"NI")</f>
        <v>7.0729287724555094</v>
      </c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spans="1:30" ht="1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12" t="str">
        <f>Base_IFData!A435</f>
        <v>COOPERATIVA DE CRÉDITO NOSSOCRÉDITO LTDA - SICOOB NOSSOCRÉDITO</v>
      </c>
      <c r="L434" s="12" t="str">
        <f>Base_IFData!F435</f>
        <v>b3S</v>
      </c>
      <c r="M434" s="14">
        <f>IF(AND(ISNUMBER(Base_IFData!L435),ISNUMBER(Base_IFData!W435)),IF(Base_IFData!L435&gt;$B$4,Base_IFData!W435,""),"")</f>
        <v>9.5431838752349785E-2</v>
      </c>
      <c r="N434" s="51">
        <f>IF(AND(ISNUMBER(Base_IFData!O435),ISNUMBER(Base_IFData!Q435)),IF(Base_IFData!Q435&gt;0,Base_IFData!O435/Base_IFData!Q435,"PL ≤ 0"),"NI")</f>
        <v>5.4325001740583447</v>
      </c>
      <c r="O434" s="110">
        <f>IF(AND(ISNUMBER(Base_IFData!M435),ISNUMBER(Base_IFData!Q435)),IF(Base_IFData!Q435&gt;0,Base_IFData!M435/Base_IFData!Q435,"PL ≤ 0"),"NI")</f>
        <v>3.2889063914224046</v>
      </c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spans="1:30" ht="1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15" t="str">
        <f>Base_IFData!A436</f>
        <v>AGROLEND SOCIEDADE DE CREDITO, FINANCIAMENTO E INVESTIMENTO S.A.</v>
      </c>
      <c r="L435" s="15" t="str">
        <f>Base_IFData!F436</f>
        <v>n1</v>
      </c>
      <c r="M435" s="17">
        <f>IF(AND(ISNUMBER(Base_IFData!L436),ISNUMBER(Base_IFData!W436)),IF(Base_IFData!L436&gt;$B$4,Base_IFData!W436,""),"")</f>
        <v>7.9177164820091905E-2</v>
      </c>
      <c r="N435" s="50">
        <f>IF(AND(ISNUMBER(Base_IFData!O436),ISNUMBER(Base_IFData!Q436)),IF(Base_IFData!Q436&gt;0,Base_IFData!O436/Base_IFData!Q436,"PL ≤ 0"),"NI")</f>
        <v>1.7076910663923395</v>
      </c>
      <c r="O435" s="107">
        <f>IF(AND(ISNUMBER(Base_IFData!M436),ISNUMBER(Base_IFData!Q436)),IF(Base_IFData!Q436&gt;0,Base_IFData!M436/Base_IFData!Q436,"PL ≤ 0"),"NI")</f>
        <v>1.0880854668881823</v>
      </c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spans="1:30" ht="1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12" t="str">
        <f>Base_IFData!A437</f>
        <v>COOPERATIVA DE CRÉDITO DE LIVRE ADMISSÃO DE ASSOCIADOS NOVA TRENTO   SICOOB TRENTOCREDI SC</v>
      </c>
      <c r="L436" s="12" t="str">
        <f>Base_IFData!F437</f>
        <v>b3S</v>
      </c>
      <c r="M436" s="14">
        <f>IF(AND(ISNUMBER(Base_IFData!L437),ISNUMBER(Base_IFData!W437)),IF(Base_IFData!L437&gt;$B$4,Base_IFData!W437,""),"")</f>
        <v>0.11872210298391232</v>
      </c>
      <c r="N436" s="51">
        <f>IF(AND(ISNUMBER(Base_IFData!O437),ISNUMBER(Base_IFData!Q437)),IF(Base_IFData!Q437&gt;0,Base_IFData!O437/Base_IFData!Q437,"PL ≤ 0"),"NI")</f>
        <v>4.591574388877282</v>
      </c>
      <c r="O436" s="110">
        <f>IF(AND(ISNUMBER(Base_IFData!M437),ISNUMBER(Base_IFData!Q437)),IF(Base_IFData!Q437&gt;0,Base_IFData!M437/Base_IFData!Q437,"PL ≤ 0"),"NI")</f>
        <v>2.9349123440141311</v>
      </c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spans="1:30" ht="1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15" t="str">
        <f>Base_IFData!A438</f>
        <v>COOPERATIVA DE CRÉDITO E ECONOMIA COM INTERAÇÃO SOLIDÁRIA DO PLANALTO SERRA SUL DO RIO GRANDE DO SUL - CRESOL PLANALTO SERRA SUL</v>
      </c>
      <c r="L437" s="15" t="str">
        <f>Base_IFData!F438</f>
        <v>b3S</v>
      </c>
      <c r="M437" s="17">
        <f>IF(AND(ISNUMBER(Base_IFData!L438),ISNUMBER(Base_IFData!W438)),IF(Base_IFData!L438&gt;$B$4,Base_IFData!W438,""),"")</f>
        <v>5.8601110933208529E-2</v>
      </c>
      <c r="N437" s="50">
        <f>IF(AND(ISNUMBER(Base_IFData!O438),ISNUMBER(Base_IFData!Q438)),IF(Base_IFData!Q438&gt;0,Base_IFData!O438/Base_IFData!Q438,"PL ≤ 0"),"NI")</f>
        <v>8.0636261746702296</v>
      </c>
      <c r="O437" s="107">
        <f>IF(AND(ISNUMBER(Base_IFData!M438),ISNUMBER(Base_IFData!Q438)),IF(Base_IFData!Q438&gt;0,Base_IFData!M438/Base_IFData!Q438,"PL ≤ 0"),"NI")</f>
        <v>6.1513677287450887</v>
      </c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spans="1:30" ht="1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12" t="str">
        <f>Base_IFData!A439</f>
        <v>BANCO B3 S.A.</v>
      </c>
      <c r="L438" s="12" t="str">
        <f>Base_IFData!F439</f>
        <v>b1</v>
      </c>
      <c r="M438" s="14">
        <f>IF(AND(ISNUMBER(Base_IFData!L439),ISNUMBER(Base_IFData!W439)),IF(Base_IFData!L439&gt;$B$4,Base_IFData!W439,""),"")</f>
        <v>0.19189288044445324</v>
      </c>
      <c r="N438" s="51">
        <f>IF(AND(ISNUMBER(Base_IFData!O439),ISNUMBER(Base_IFData!Q439)),IF(Base_IFData!Q439&gt;0,Base_IFData!O439/Base_IFData!Q439,"PL ≤ 0"),"NI")</f>
        <v>6.2126524842325868</v>
      </c>
      <c r="O438" s="110">
        <f>IF(AND(ISNUMBER(Base_IFData!M439),ISNUMBER(Base_IFData!Q439)),IF(Base_IFData!Q439&gt;0,Base_IFData!M439/Base_IFData!Q439,"PL ≤ 0"),"NI")</f>
        <v>0</v>
      </c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spans="1:30" ht="1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15" t="str">
        <f>Base_IFData!A440</f>
        <v>COOPERATIVA DE CRÉDITO E INVESTIMENTO COM INTERAÇÃO SOLIDÁRIA TRIUNFO - CRESOL TRIUNFO</v>
      </c>
      <c r="L439" s="15" t="str">
        <f>Base_IFData!F440</f>
        <v>b3S</v>
      </c>
      <c r="M439" s="17">
        <f>IF(AND(ISNUMBER(Base_IFData!L440),ISNUMBER(Base_IFData!W440)),IF(Base_IFData!L440&gt;$B$4,Base_IFData!W440,""),"")</f>
        <v>9.9373266207746835E-2</v>
      </c>
      <c r="N439" s="50">
        <f>IF(AND(ISNUMBER(Base_IFData!O440),ISNUMBER(Base_IFData!Q440)),IF(Base_IFData!Q440&gt;0,Base_IFData!O440/Base_IFData!Q440,"PL ≤ 0"),"NI")</f>
        <v>8.852036028631117</v>
      </c>
      <c r="O439" s="107">
        <f>IF(AND(ISNUMBER(Base_IFData!M440),ISNUMBER(Base_IFData!Q440)),IF(Base_IFData!Q440&gt;0,Base_IFData!M440/Base_IFData!Q440,"PL ≤ 0"),"NI")</f>
        <v>6.7526764615226549</v>
      </c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spans="1:30" ht="1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12" t="str">
        <f>Base_IFData!A441</f>
        <v>COOPERATIVA DE CRÉDITO CREDIUNA LTDA - SICOOB CREDIUNA</v>
      </c>
      <c r="L440" s="12" t="str">
        <f>Base_IFData!F441</f>
        <v>b3S</v>
      </c>
      <c r="M440" s="14">
        <f>IF(AND(ISNUMBER(Base_IFData!L441),ISNUMBER(Base_IFData!W441)),IF(Base_IFData!L441&gt;$B$4,Base_IFData!W441,""),"")</f>
        <v>0.13238753718191026</v>
      </c>
      <c r="N440" s="51">
        <f>IF(AND(ISNUMBER(Base_IFData!O441),ISNUMBER(Base_IFData!Q441)),IF(Base_IFData!Q441&gt;0,Base_IFData!O441/Base_IFData!Q441,"PL ≤ 0"),"NI")</f>
        <v>4.7322184741261752</v>
      </c>
      <c r="O440" s="110">
        <f>IF(AND(ISNUMBER(Base_IFData!M441),ISNUMBER(Base_IFData!Q441)),IF(Base_IFData!Q441&gt;0,Base_IFData!M441/Base_IFData!Q441,"PL ≤ 0"),"NI")</f>
        <v>2.0800218506024866</v>
      </c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spans="1:30" ht="1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15" t="str">
        <f>Base_IFData!A442</f>
        <v>COOPERATIVA DE CRÉDITO E INVESTIMENTO COM INTERAÇÃO SOLIDÁRIA DE MINAS GERAIS - CRESOL MINAS GERAIS</v>
      </c>
      <c r="L441" s="15" t="str">
        <f>Base_IFData!F442</f>
        <v>b3S</v>
      </c>
      <c r="M441" s="17">
        <f>IF(AND(ISNUMBER(Base_IFData!L442),ISNUMBER(Base_IFData!W442)),IF(Base_IFData!L442&gt;$B$4,Base_IFData!W442,""),"")</f>
        <v>6.2561651111616962E-2</v>
      </c>
      <c r="N441" s="50">
        <f>IF(AND(ISNUMBER(Base_IFData!O442),ISNUMBER(Base_IFData!Q442)),IF(Base_IFData!Q442&gt;0,Base_IFData!O442/Base_IFData!Q442,"PL ≤ 0"),"NI")</f>
        <v>8.0881832207805342</v>
      </c>
      <c r="O441" s="107">
        <f>IF(AND(ISNUMBER(Base_IFData!M442),ISNUMBER(Base_IFData!Q442)),IF(Base_IFData!Q442&gt;0,Base_IFData!M442/Base_IFData!Q442,"PL ≤ 0"),"NI")</f>
        <v>6.6279181526165365</v>
      </c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spans="1:30" ht="1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12" t="str">
        <f>Base_IFData!A443</f>
        <v>EMPRESA BRASILEIRA DE BENEFICIOS E PAGAMENTOS INSTITUICAO DE PAGAMENTO LTDA</v>
      </c>
      <c r="L442" s="12" t="str">
        <f>Base_IFData!F443</f>
        <v>n4</v>
      </c>
      <c r="M442" s="14">
        <f>IF(AND(ISNUMBER(Base_IFData!L443),ISNUMBER(Base_IFData!W443)),IF(Base_IFData!L443&gt;$B$4,Base_IFData!W443,""),"")</f>
        <v>-4.5788597347419191E-2</v>
      </c>
      <c r="N442" s="51">
        <f>IF(AND(ISNUMBER(Base_IFData!O443),ISNUMBER(Base_IFData!Q443)),IF(Base_IFData!Q443&gt;0,Base_IFData!O443/Base_IFData!Q443,"PL ≤ 0"),"NI")</f>
        <v>19.60250043061377</v>
      </c>
      <c r="O442" s="110">
        <f>IF(AND(ISNUMBER(Base_IFData!M443),ISNUMBER(Base_IFData!Q443)),IF(Base_IFData!Q443&gt;0,Base_IFData!M443/Base_IFData!Q443,"PL ≤ 0"),"NI")</f>
        <v>0.41571453177929607</v>
      </c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spans="1:30" ht="1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15" t="str">
        <f>Base_IFData!A444</f>
        <v>COOPERATIVA DE CREDITO COOPLIVRE</v>
      </c>
      <c r="L443" s="15" t="str">
        <f>Base_IFData!F444</f>
        <v>b3S</v>
      </c>
      <c r="M443" s="17">
        <f>IF(AND(ISNUMBER(Base_IFData!L444),ISNUMBER(Base_IFData!W444)),IF(Base_IFData!L444&gt;$B$4,Base_IFData!W444,""),"")</f>
        <v>6.8492269767691114E-2</v>
      </c>
      <c r="N443" s="50">
        <f>IF(AND(ISNUMBER(Base_IFData!O444),ISNUMBER(Base_IFData!Q444)),IF(Base_IFData!Q444&gt;0,Base_IFData!O444/Base_IFData!Q444,"PL ≤ 0"),"NI")</f>
        <v>6.6877789984191205</v>
      </c>
      <c r="O443" s="107">
        <f>IF(AND(ISNUMBER(Base_IFData!M444),ISNUMBER(Base_IFData!Q444)),IF(Base_IFData!Q444&gt;0,Base_IFData!M444/Base_IFData!Q444,"PL ≤ 0"),"NI")</f>
        <v>3.5731518448058734</v>
      </c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spans="1:30" ht="1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12" t="str">
        <f>Base_IFData!A445</f>
        <v>UBS BB CORRETORA DE CÂMBIO, TÍTULOS E VALORES MOBILIÁRIOS S.A.</v>
      </c>
      <c r="L444" s="12" t="str">
        <f>Base_IFData!F445</f>
        <v>n2</v>
      </c>
      <c r="M444" s="14">
        <f>IF(AND(ISNUMBER(Base_IFData!L445),ISNUMBER(Base_IFData!W445)),IF(Base_IFData!L445&gt;$B$4,Base_IFData!W445,""),"")</f>
        <v>2.159784531531388E-2</v>
      </c>
      <c r="N444" s="51">
        <f>IF(AND(ISNUMBER(Base_IFData!O445),ISNUMBER(Base_IFData!Q445)),IF(Base_IFData!Q445&gt;0,Base_IFData!O445/Base_IFData!Q445,"PL ≤ 0"),"NI")</f>
        <v>1.2538766793631568</v>
      </c>
      <c r="O444" s="110">
        <f>IF(AND(ISNUMBER(Base_IFData!M445),ISNUMBER(Base_IFData!Q445)),IF(Base_IFData!Q445&gt;0,Base_IFData!M445/Base_IFData!Q445,"PL ≤ 0"),"NI")</f>
        <v>0</v>
      </c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spans="1:30" ht="1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15" t="str">
        <f>Base_IFData!A446</f>
        <v>COOPERATIVA DE CRÉDITO DOS PROFISSIONAIS DA ÁREA DA SAÚDE E DE LIVRE ADMISSÃO LTDA - UNICRED ALIANÇA</v>
      </c>
      <c r="L445" s="15" t="str">
        <f>Base_IFData!F446</f>
        <v>b3S</v>
      </c>
      <c r="M445" s="17">
        <f>IF(AND(ISNUMBER(Base_IFData!L446),ISNUMBER(Base_IFData!W446)),IF(Base_IFData!L446&gt;$B$4,Base_IFData!W446,""),"")</f>
        <v>0.11285430153354682</v>
      </c>
      <c r="N445" s="50">
        <f>IF(AND(ISNUMBER(Base_IFData!O446),ISNUMBER(Base_IFData!Q446)),IF(Base_IFData!Q446&gt;0,Base_IFData!O446/Base_IFData!Q446,"PL ≤ 0"),"NI")</f>
        <v>9.7973829105904571</v>
      </c>
      <c r="O445" s="107">
        <f>IF(AND(ISNUMBER(Base_IFData!M446),ISNUMBER(Base_IFData!Q446)),IF(Base_IFData!Q446&gt;0,Base_IFData!M446/Base_IFData!Q446,"PL ≤ 0"),"NI")</f>
        <v>6.2481013047050782</v>
      </c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spans="1:30" ht="1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12" t="str">
        <f>Base_IFData!A447</f>
        <v>COOPERATIVA CENTRAL DE CRÉDITO, POUPANÇA E INVESTIMENTO DO CENTRO NORTE DO BRASIL - CENTRAL SICREDI CENTRO NORTE</v>
      </c>
      <c r="L446" s="12" t="str">
        <f>Base_IFData!F447</f>
        <v>b3C</v>
      </c>
      <c r="M446" s="14">
        <f>IF(AND(ISNUMBER(Base_IFData!L447),ISNUMBER(Base_IFData!W447)),IF(Base_IFData!L447&gt;$B$4,Base_IFData!W447,""),"")</f>
        <v>7.6413640532082853E-3</v>
      </c>
      <c r="N446" s="51">
        <f>IF(AND(ISNUMBER(Base_IFData!O447),ISNUMBER(Base_IFData!Q447)),IF(Base_IFData!Q447&gt;0,Base_IFData!O447/Base_IFData!Q447,"PL ≤ 0"),"NI")</f>
        <v>0.10229926351715467</v>
      </c>
      <c r="O446" s="110">
        <f>IF(AND(ISNUMBER(Base_IFData!M447),ISNUMBER(Base_IFData!Q447)),IF(Base_IFData!Q447&gt;0,Base_IFData!M447/Base_IFData!Q447,"PL ≤ 0"),"NI")</f>
        <v>0</v>
      </c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spans="1:30" ht="1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15" t="str">
        <f>Base_IFData!A448</f>
        <v>COOPERATIVA DE CRÉDITO CREDISETE LTDA. - SICOOB CREDISETE</v>
      </c>
      <c r="L447" s="15" t="str">
        <f>Base_IFData!F448</f>
        <v>b3S</v>
      </c>
      <c r="M447" s="17">
        <f>IF(AND(ISNUMBER(Base_IFData!L448),ISNUMBER(Base_IFData!W448)),IF(Base_IFData!L448&gt;$B$4,Base_IFData!W448,""),"")</f>
        <v>4.2078601719493174E-2</v>
      </c>
      <c r="N447" s="50">
        <f>IF(AND(ISNUMBER(Base_IFData!O448),ISNUMBER(Base_IFData!Q448)),IF(Base_IFData!Q448&gt;0,Base_IFData!O448/Base_IFData!Q448,"PL ≤ 0"),"NI")</f>
        <v>7.8226047614751035</v>
      </c>
      <c r="O447" s="107">
        <f>IF(AND(ISNUMBER(Base_IFData!M448),ISNUMBER(Base_IFData!Q448)),IF(Base_IFData!Q448&gt;0,Base_IFData!M448/Base_IFData!Q448,"PL ≤ 0"),"NI")</f>
        <v>2.9583209806524793</v>
      </c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spans="1:30" ht="1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12" t="str">
        <f>Base_IFData!A449</f>
        <v>COOPERATIVA DE CRÉDITO E INVESTIMENTO COM INTERAÇÃO SOLIDÁRIA ESSÊNCIA - CRESOL ESSÊNCIA</v>
      </c>
      <c r="L448" s="12" t="str">
        <f>Base_IFData!F449</f>
        <v>b3S</v>
      </c>
      <c r="M448" s="14">
        <f>IF(AND(ISNUMBER(Base_IFData!L449),ISNUMBER(Base_IFData!W449)),IF(Base_IFData!L449&gt;$B$4,Base_IFData!W449,""),"")</f>
        <v>3.854233079426865E-2</v>
      </c>
      <c r="N448" s="51">
        <f>IF(AND(ISNUMBER(Base_IFData!O449),ISNUMBER(Base_IFData!Q449)),IF(Base_IFData!Q449&gt;0,Base_IFData!O449/Base_IFData!Q449,"PL ≤ 0"),"NI")</f>
        <v>8.1478876547766852</v>
      </c>
      <c r="O448" s="110">
        <f>IF(AND(ISNUMBER(Base_IFData!M449),ISNUMBER(Base_IFData!Q449)),IF(Base_IFData!Q449&gt;0,Base_IFData!M449/Base_IFData!Q449,"PL ≤ 0"),"NI")</f>
        <v>6.1399013455924294</v>
      </c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spans="1:30" ht="1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15" t="str">
        <f>Base_IFData!A450</f>
        <v>OPEA SOCIEDADE DE CRÉDITO DIRETO S.A.</v>
      </c>
      <c r="L449" s="15" t="str">
        <f>Base_IFData!F450</f>
        <v>n1</v>
      </c>
      <c r="M449" s="17">
        <f>IF(AND(ISNUMBER(Base_IFData!L450),ISNUMBER(Base_IFData!W450)),IF(Base_IFData!L450&gt;$B$4,Base_IFData!W450,""),"")</f>
        <v>3.3109038079217008E-2</v>
      </c>
      <c r="N449" s="50">
        <f>IF(AND(ISNUMBER(Base_IFData!O450),ISNUMBER(Base_IFData!Q450)),IF(Base_IFData!Q450&gt;0,Base_IFData!O450/Base_IFData!Q450,"PL ≤ 0"),"NI")</f>
        <v>49.950565835754702</v>
      </c>
      <c r="O449" s="107">
        <f>IF(AND(ISNUMBER(Base_IFData!M450),ISNUMBER(Base_IFData!Q450)),IF(Base_IFData!Q450&gt;0,Base_IFData!M450/Base_IFData!Q450,"PL ≤ 0"),"NI")</f>
        <v>0</v>
      </c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spans="1:30" ht="1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12" t="str">
        <f>Base_IFData!A451</f>
        <v>COOPERATIVA DE CRÉDITO DE LIVRE ADMISSÃO DO ESTADO DE SÃO PAULO - SICOOB PAULISTA</v>
      </c>
      <c r="L450" s="12" t="str">
        <f>Base_IFData!F451</f>
        <v>b3S</v>
      </c>
      <c r="M450" s="14">
        <f>IF(AND(ISNUMBER(Base_IFData!L451),ISNUMBER(Base_IFData!W451)),IF(Base_IFData!L451&gt;$B$4,Base_IFData!W451,""),"")</f>
        <v>0.11537301686537853</v>
      </c>
      <c r="N450" s="51">
        <f>IF(AND(ISNUMBER(Base_IFData!O451),ISNUMBER(Base_IFData!Q451)),IF(Base_IFData!Q451&gt;0,Base_IFData!O451/Base_IFData!Q451,"PL ≤ 0"),"NI")</f>
        <v>8.7992409476386264</v>
      </c>
      <c r="O450" s="110">
        <f>IF(AND(ISNUMBER(Base_IFData!M451),ISNUMBER(Base_IFData!Q451)),IF(Base_IFData!Q451&gt;0,Base_IFData!M451/Base_IFData!Q451,"PL ≤ 0"),"NI")</f>
        <v>6.2666686280422779</v>
      </c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spans="1:30" ht="1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15" t="str">
        <f>Base_IFData!A452</f>
        <v>COOPERATIVA DE CRÉDITO DA FOZ DO RIO ITAJAÍ AÇU - CREDIFOZ</v>
      </c>
      <c r="L451" s="15" t="str">
        <f>Base_IFData!F452</f>
        <v>b3S</v>
      </c>
      <c r="M451" s="17">
        <f>IF(AND(ISNUMBER(Base_IFData!L452),ISNUMBER(Base_IFData!W452)),IF(Base_IFData!L452&gt;$B$4,Base_IFData!W452,""),"")</f>
        <v>5.4083948694578776E-2</v>
      </c>
      <c r="N451" s="50">
        <f>IF(AND(ISNUMBER(Base_IFData!O452),ISNUMBER(Base_IFData!Q452)),IF(Base_IFData!Q452&gt;0,Base_IFData!O452/Base_IFData!Q452,"PL ≤ 0"),"NI")</f>
        <v>4.8806825974807424</v>
      </c>
      <c r="O451" s="107">
        <f>IF(AND(ISNUMBER(Base_IFData!M452),ISNUMBER(Base_IFData!Q452)),IF(Base_IFData!Q452&gt;0,Base_IFData!M452/Base_IFData!Q452,"PL ≤ 0"),"NI")</f>
        <v>4.3350160827187096</v>
      </c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spans="1:30" ht="1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12" t="str">
        <f>Base_IFData!A453</f>
        <v>BANCO SENFF S.A.</v>
      </c>
      <c r="L452" s="12" t="str">
        <f>Base_IFData!F453</f>
        <v>b1</v>
      </c>
      <c r="M452" s="14">
        <f>IF(AND(ISNUMBER(Base_IFData!L453),ISNUMBER(Base_IFData!W453)),IF(Base_IFData!L453&gt;$B$4,Base_IFData!W453,""),"")</f>
        <v>7.9531391799356491E-2</v>
      </c>
      <c r="N452" s="51">
        <f>IF(AND(ISNUMBER(Base_IFData!O453),ISNUMBER(Base_IFData!Q453)),IF(Base_IFData!Q453&gt;0,Base_IFData!O453/Base_IFData!Q453,"PL ≤ 0"),"NI")</f>
        <v>7.4110158466234699</v>
      </c>
      <c r="O452" s="110">
        <f>IF(AND(ISNUMBER(Base_IFData!M453),ISNUMBER(Base_IFData!Q453)),IF(Base_IFData!Q453&gt;0,Base_IFData!M453/Base_IFData!Q453,"PL ≤ 0"),"NI")</f>
        <v>6.2790706529671958</v>
      </c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spans="1:30" ht="1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15" t="str">
        <f>Base_IFData!A454</f>
        <v>TERRA INVESTIMENTOS DISTRIBUIDORA DE TÍTULOS E VALORES MOBILIÁRIOS LTDA.</v>
      </c>
      <c r="L453" s="15" t="str">
        <f>Base_IFData!F454</f>
        <v>n2</v>
      </c>
      <c r="M453" s="17">
        <f>IF(AND(ISNUMBER(Base_IFData!L454),ISNUMBER(Base_IFData!W454)),IF(Base_IFData!L454&gt;$B$4,Base_IFData!W454,""),"")</f>
        <v>8.1300649923774379E-2</v>
      </c>
      <c r="N453" s="50">
        <f>IF(AND(ISNUMBER(Base_IFData!O454),ISNUMBER(Base_IFData!Q454)),IF(Base_IFData!Q454&gt;0,Base_IFData!O454/Base_IFData!Q454,"PL ≤ 0"),"NI")</f>
        <v>12.286578271684185</v>
      </c>
      <c r="O453" s="107">
        <f>IF(AND(ISNUMBER(Base_IFData!M454),ISNUMBER(Base_IFData!Q454)),IF(Base_IFData!Q454&gt;0,Base_IFData!M454/Base_IFData!Q454,"PL ≤ 0"),"NI")</f>
        <v>0</v>
      </c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spans="1:30" ht="1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12" t="str">
        <f>Base_IFData!A455</f>
        <v>SWAP INSTITUIÇÃO DE PAGAMENTO S.A.</v>
      </c>
      <c r="L454" s="12" t="str">
        <f>Base_IFData!F455</f>
        <v>n4</v>
      </c>
      <c r="M454" s="14">
        <f>IF(AND(ISNUMBER(Base_IFData!L455),ISNUMBER(Base_IFData!W455)),IF(Base_IFData!L455&gt;$B$4,Base_IFData!W455,""),"")</f>
        <v>7.8843318275308286E-2</v>
      </c>
      <c r="N454" s="51">
        <f>IF(AND(ISNUMBER(Base_IFData!O455),ISNUMBER(Base_IFData!Q455)),IF(Base_IFData!Q455&gt;0,Base_IFData!O455/Base_IFData!Q455,"PL ≤ 0"),"NI")</f>
        <v>11.400818956206505</v>
      </c>
      <c r="O454" s="110">
        <f>IF(AND(ISNUMBER(Base_IFData!M455),ISNUMBER(Base_IFData!Q455)),IF(Base_IFData!Q455&gt;0,Base_IFData!M455/Base_IFData!Q455,"PL ≤ 0"),"NI")</f>
        <v>0.57047061806775168</v>
      </c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spans="1:30" ht="1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15" t="str">
        <f>Base_IFData!A456</f>
        <v>COOPERATIVA DE CRÉDITO, POUPANÇA E INVESTIMENTO DE ARARAQUARA E REGIÃO - SICREDI MORADA DO SOL SP</v>
      </c>
      <c r="L455" s="15" t="str">
        <f>Base_IFData!F456</f>
        <v>b3S</v>
      </c>
      <c r="M455" s="17">
        <f>IF(AND(ISNUMBER(Base_IFData!L456),ISNUMBER(Base_IFData!W456)),IF(Base_IFData!L456&gt;$B$4,Base_IFData!W456,""),"")</f>
        <v>6.206472036581076E-2</v>
      </c>
      <c r="N455" s="50">
        <f>IF(AND(ISNUMBER(Base_IFData!O456),ISNUMBER(Base_IFData!Q456)),IF(Base_IFData!Q456&gt;0,Base_IFData!O456/Base_IFData!Q456,"PL ≤ 0"),"NI")</f>
        <v>10.570058037284559</v>
      </c>
      <c r="O455" s="107">
        <f>IF(AND(ISNUMBER(Base_IFData!M456),ISNUMBER(Base_IFData!Q456)),IF(Base_IFData!Q456&gt;0,Base_IFData!M456/Base_IFData!Q456,"PL ≤ 0"),"NI")</f>
        <v>6.2713946535349985</v>
      </c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spans="1:30" ht="1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12" t="str">
        <f>Base_IFData!A457</f>
        <v>CREDISIS JICRED - COOPERATIVA DE CRÉDITO DE LIVRE ADMISSÃO JICRED</v>
      </c>
      <c r="L456" s="12" t="str">
        <f>Base_IFData!F457</f>
        <v>b3S</v>
      </c>
      <c r="M456" s="14">
        <f>IF(AND(ISNUMBER(Base_IFData!L457),ISNUMBER(Base_IFData!W457)),IF(Base_IFData!L457&gt;$B$4,Base_IFData!W457,""),"")</f>
        <v>6.8915676176309629E-2</v>
      </c>
      <c r="N456" s="51">
        <f>IF(AND(ISNUMBER(Base_IFData!O457),ISNUMBER(Base_IFData!Q457)),IF(Base_IFData!Q457&gt;0,Base_IFData!O457/Base_IFData!Q457,"PL ≤ 0"),"NI")</f>
        <v>5.1326391714963302</v>
      </c>
      <c r="O456" s="110">
        <f>IF(AND(ISNUMBER(Base_IFData!M457),ISNUMBER(Base_IFData!Q457)),IF(Base_IFData!Q457&gt;0,Base_IFData!M457/Base_IFData!Q457,"PL ≤ 0"),"NI")</f>
        <v>3.3027322097641068</v>
      </c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spans="1:30" ht="1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15" t="str">
        <f>Base_IFData!A458</f>
        <v>COOPERATIVA DE CRÉDITO CREDICARPA LTDA. - SICOOB CREDICARPA</v>
      </c>
      <c r="L457" s="15" t="str">
        <f>Base_IFData!F458</f>
        <v>b3S</v>
      </c>
      <c r="M457" s="17">
        <f>IF(AND(ISNUMBER(Base_IFData!L458),ISNUMBER(Base_IFData!W458)),IF(Base_IFData!L458&gt;$B$4,Base_IFData!W458,""),"")</f>
        <v>2.4495814307458143E-2</v>
      </c>
      <c r="N457" s="50">
        <f>IF(AND(ISNUMBER(Base_IFData!O458),ISNUMBER(Base_IFData!Q458)),IF(Base_IFData!Q458&gt;0,Base_IFData!O458/Base_IFData!Q458,"PL ≤ 0"),"NI")</f>
        <v>4.6666363982288637</v>
      </c>
      <c r="O457" s="107">
        <f>IF(AND(ISNUMBER(Base_IFData!M458),ISNUMBER(Base_IFData!Q458)),IF(Base_IFData!Q458&gt;0,Base_IFData!M458/Base_IFData!Q458,"PL ≤ 0"),"NI")</f>
        <v>2.943899612563996</v>
      </c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spans="1:30" ht="1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12" t="str">
        <f>Base_IFData!A459</f>
        <v>COOPERATIVA DE CRÉDITO E INVESTIMENTO COM INTERAÇÃO SOLIDÁRIA TRANSFORMAÇÃO - CRESOL TRANSFORMAÇÃO</v>
      </c>
      <c r="L458" s="12" t="str">
        <f>Base_IFData!F459</f>
        <v>b3S</v>
      </c>
      <c r="M458" s="14">
        <f>IF(AND(ISNUMBER(Base_IFData!L459),ISNUMBER(Base_IFData!W459)),IF(Base_IFData!L459&gt;$B$4,Base_IFData!W459,""),"")</f>
        <v>1.0975847751330762E-2</v>
      </c>
      <c r="N458" s="51">
        <f>IF(AND(ISNUMBER(Base_IFData!O459),ISNUMBER(Base_IFData!Q459)),IF(Base_IFData!Q459&gt;0,Base_IFData!O459/Base_IFData!Q459,"PL ≤ 0"),"NI")</f>
        <v>7.7251798464323445</v>
      </c>
      <c r="O458" s="110">
        <f>IF(AND(ISNUMBER(Base_IFData!M459),ISNUMBER(Base_IFData!Q459)),IF(Base_IFData!Q459&gt;0,Base_IFData!M459/Base_IFData!Q459,"PL ≤ 0"),"NI")</f>
        <v>6.0071602096918548</v>
      </c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spans="1:30" ht="1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15" t="str">
        <f>Base_IFData!A460</f>
        <v>COOPERATIVA DE CRÉDITO CREDIBOM LTDA. - SICOOB CREDIBOM</v>
      </c>
      <c r="L459" s="15" t="str">
        <f>Base_IFData!F460</f>
        <v>b3S</v>
      </c>
      <c r="M459" s="17">
        <f>IF(AND(ISNUMBER(Base_IFData!L460),ISNUMBER(Base_IFData!W460)),IF(Base_IFData!L460&gt;$B$4,Base_IFData!W460,""),"")</f>
        <v>0.10742845673600034</v>
      </c>
      <c r="N459" s="50">
        <f>IF(AND(ISNUMBER(Base_IFData!O460),ISNUMBER(Base_IFData!Q460)),IF(Base_IFData!Q460&gt;0,Base_IFData!O460/Base_IFData!Q460,"PL ≤ 0"),"NI")</f>
        <v>5.8209015137910267</v>
      </c>
      <c r="O459" s="107">
        <f>IF(AND(ISNUMBER(Base_IFData!M460),ISNUMBER(Base_IFData!Q460)),IF(Base_IFData!Q460&gt;0,Base_IFData!M460/Base_IFData!Q460,"PL ≤ 0"),"NI")</f>
        <v>2.4477831887854813</v>
      </c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spans="1:30" ht="1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12" t="str">
        <f>Base_IFData!A461</f>
        <v>COOPERATIVA DE CRÉDITO DE LIVRE ADMISSÃO DE ASSOCIADOS VALE DO RIO DO PEIXE - SICOOB CREDIRIO SC</v>
      </c>
      <c r="L460" s="12" t="str">
        <f>Base_IFData!F461</f>
        <v>b3S</v>
      </c>
      <c r="M460" s="14">
        <f>IF(AND(ISNUMBER(Base_IFData!L461),ISNUMBER(Base_IFData!W461)),IF(Base_IFData!L461&gt;$B$4,Base_IFData!W461,""),"")</f>
        <v>-1.1257689559625673E-2</v>
      </c>
      <c r="N460" s="51">
        <f>IF(AND(ISNUMBER(Base_IFData!O461),ISNUMBER(Base_IFData!Q461)),IF(Base_IFData!Q461&gt;0,Base_IFData!O461/Base_IFData!Q461,"PL ≤ 0"),"NI")</f>
        <v>10.157738354564941</v>
      </c>
      <c r="O460" s="110">
        <f>IF(AND(ISNUMBER(Base_IFData!M461),ISNUMBER(Base_IFData!Q461)),IF(Base_IFData!Q461&gt;0,Base_IFData!M461/Base_IFData!Q461,"PL ≤ 0"),"NI")</f>
        <v>5.2099576529634213</v>
      </c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spans="1:30" ht="1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15" t="str">
        <f>Base_IFData!A462</f>
        <v>CREDISIS CREDIARI - COOPERATIVA DE CRÉDITO LTDA.</v>
      </c>
      <c r="L461" s="15" t="str">
        <f>Base_IFData!F462</f>
        <v>b3S</v>
      </c>
      <c r="M461" s="17">
        <f>IF(AND(ISNUMBER(Base_IFData!L462),ISNUMBER(Base_IFData!W462)),IF(Base_IFData!L462&gt;$B$4,Base_IFData!W462,""),"")</f>
        <v>2.8210791522611363E-2</v>
      </c>
      <c r="N461" s="50">
        <f>IF(AND(ISNUMBER(Base_IFData!O462),ISNUMBER(Base_IFData!Q462)),IF(Base_IFData!Q462&gt;0,Base_IFData!O462/Base_IFData!Q462,"PL ≤ 0"),"NI")</f>
        <v>2.5469069962319018</v>
      </c>
      <c r="O461" s="107">
        <f>IF(AND(ISNUMBER(Base_IFData!M462),ISNUMBER(Base_IFData!Q462)),IF(Base_IFData!Q462&gt;0,Base_IFData!M462/Base_IFData!Q462,"PL ≤ 0"),"NI")</f>
        <v>2.0814330982202813</v>
      </c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spans="1:30" ht="1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12" t="str">
        <f>Base_IFData!A463</f>
        <v>IUGU INSTITUIÇÃO DE PAGAMENTO S.A.</v>
      </c>
      <c r="L462" s="12" t="str">
        <f>Base_IFData!F463</f>
        <v>n4</v>
      </c>
      <c r="M462" s="14">
        <f>IF(AND(ISNUMBER(Base_IFData!L463),ISNUMBER(Base_IFData!W463)),IF(Base_IFData!L463&gt;$B$4,Base_IFData!W463,""),"")</f>
        <v>-0.18820230385926687</v>
      </c>
      <c r="N462" s="51">
        <f>IF(AND(ISNUMBER(Base_IFData!O463),ISNUMBER(Base_IFData!Q463)),IF(Base_IFData!Q463&gt;0,Base_IFData!O463/Base_IFData!Q463,"PL ≤ 0"),"NI")</f>
        <v>24.685004740866269</v>
      </c>
      <c r="O462" s="110">
        <f>IF(AND(ISNUMBER(Base_IFData!M463),ISNUMBER(Base_IFData!Q463)),IF(Base_IFData!Q463&gt;0,Base_IFData!M463/Base_IFData!Q463,"PL ≤ 0"),"NI")</f>
        <v>0</v>
      </c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spans="1:30" ht="1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15" t="str">
        <f>Base_IFData!A464</f>
        <v>COOPERATIVA DE CRÉDITO DE LIVRE ADMISSÃO DE PERNAMBUCO - SICOOB PERNAMBUCO</v>
      </c>
      <c r="L463" s="15" t="str">
        <f>Base_IFData!F464</f>
        <v>b3S</v>
      </c>
      <c r="M463" s="17">
        <f>IF(AND(ISNUMBER(Base_IFData!L464),ISNUMBER(Base_IFData!W464)),IF(Base_IFData!L464&gt;$B$4,Base_IFData!W464,""),"")</f>
        <v>0.10961088039049738</v>
      </c>
      <c r="N463" s="50">
        <f>IF(AND(ISNUMBER(Base_IFData!O464),ISNUMBER(Base_IFData!Q464)),IF(Base_IFData!Q464&gt;0,Base_IFData!O464/Base_IFData!Q464,"PL ≤ 0"),"NI")</f>
        <v>7.3386803655664243</v>
      </c>
      <c r="O463" s="107">
        <f>IF(AND(ISNUMBER(Base_IFData!M464),ISNUMBER(Base_IFData!Q464)),IF(Base_IFData!Q464&gt;0,Base_IFData!M464/Base_IFData!Q464,"PL ≤ 0"),"NI")</f>
        <v>5.9716180841222668</v>
      </c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spans="1:30" ht="1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12" t="str">
        <f>Base_IFData!A465</f>
        <v>COOPERATIVA DE CRÉDITO CREDIFOR LTDA - SICOOB CREDIFOR</v>
      </c>
      <c r="L464" s="12" t="str">
        <f>Base_IFData!F465</f>
        <v>b3S</v>
      </c>
      <c r="M464" s="14">
        <f>IF(AND(ISNUMBER(Base_IFData!L465),ISNUMBER(Base_IFData!W465)),IF(Base_IFData!L465&gt;$B$4,Base_IFData!W465,""),"")</f>
        <v>5.6935662171125362E-2</v>
      </c>
      <c r="N464" s="51">
        <f>IF(AND(ISNUMBER(Base_IFData!O465),ISNUMBER(Base_IFData!Q465)),IF(Base_IFData!Q465&gt;0,Base_IFData!O465/Base_IFData!Q465,"PL ≤ 0"),"NI")</f>
        <v>10.216360822462967</v>
      </c>
      <c r="O464" s="110">
        <f>IF(AND(ISNUMBER(Base_IFData!M465),ISNUMBER(Base_IFData!Q465)),IF(Base_IFData!Q465&gt;0,Base_IFData!M465/Base_IFData!Q465,"PL ≤ 0"),"NI")</f>
        <v>3.7609816493477779</v>
      </c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spans="1:30" ht="1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15" t="str">
        <f>Base_IFData!A466</f>
        <v>COOPERATIVA DE CRÉDITO E INVESTIMENTO COM INTERAÇÃO SOLIDÁRIA PROGRESSO - CRESOL PROGRESSO</v>
      </c>
      <c r="L465" s="15" t="str">
        <f>Base_IFData!F466</f>
        <v>b3S</v>
      </c>
      <c r="M465" s="17">
        <f>IF(AND(ISNUMBER(Base_IFData!L466),ISNUMBER(Base_IFData!W466)),IF(Base_IFData!L466&gt;$B$4,Base_IFData!W466,""),"")</f>
        <v>4.9051066327528862E-2</v>
      </c>
      <c r="N465" s="50">
        <f>IF(AND(ISNUMBER(Base_IFData!O466),ISNUMBER(Base_IFData!Q466)),IF(Base_IFData!Q466&gt;0,Base_IFData!O466/Base_IFData!Q466,"PL ≤ 0"),"NI")</f>
        <v>7.2279332159394771</v>
      </c>
      <c r="O465" s="107">
        <f>IF(AND(ISNUMBER(Base_IFData!M466),ISNUMBER(Base_IFData!Q466)),IF(Base_IFData!Q466&gt;0,Base_IFData!M466/Base_IFData!Q466,"PL ≤ 0"),"NI")</f>
        <v>6.4481314811191544</v>
      </c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spans="1:30" ht="1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12" t="str">
        <f>Base_IFData!A467</f>
        <v>COOPERATIVA DE CRÉDITO DE LIVRE ADMISSÃO UNIÃO E NEGÓCIOS - SICOOB INTEGRAÇÃO</v>
      </c>
      <c r="L466" s="12" t="str">
        <f>Base_IFData!F467</f>
        <v>b3S</v>
      </c>
      <c r="M466" s="14">
        <f>IF(AND(ISNUMBER(Base_IFData!L467),ISNUMBER(Base_IFData!W467)),IF(Base_IFData!L467&gt;$B$4,Base_IFData!W467,""),"")</f>
        <v>1.1191249779170603E-2</v>
      </c>
      <c r="N466" s="51">
        <f>IF(AND(ISNUMBER(Base_IFData!O467),ISNUMBER(Base_IFData!Q467)),IF(Base_IFData!Q467&gt;0,Base_IFData!O467/Base_IFData!Q467,"PL ≤ 0"),"NI")</f>
        <v>8.665921607484389</v>
      </c>
      <c r="O466" s="110">
        <f>IF(AND(ISNUMBER(Base_IFData!M467),ISNUMBER(Base_IFData!Q467)),IF(Base_IFData!Q467&gt;0,Base_IFData!M467/Base_IFData!Q467,"PL ≤ 0"),"NI")</f>
        <v>6.0974952185634947</v>
      </c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spans="1:30" ht="1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15" t="str">
        <f>Base_IFData!A468</f>
        <v>INTRAG DISTRIBUIDORA DE TITULOS E VALORES MOBILIARIOS LTDA.</v>
      </c>
      <c r="L467" s="15" t="str">
        <f>Base_IFData!F468</f>
        <v>n2</v>
      </c>
      <c r="M467" s="17">
        <f>IF(AND(ISNUMBER(Base_IFData!L468),ISNUMBER(Base_IFData!W468)),IF(Base_IFData!L468&gt;$B$4,Base_IFData!W468,""),"")</f>
        <v>0.20203342468347096</v>
      </c>
      <c r="N467" s="50">
        <f>IF(AND(ISNUMBER(Base_IFData!O468),ISNUMBER(Base_IFData!Q468)),IF(Base_IFData!Q468&gt;0,Base_IFData!O468/Base_IFData!Q468,"PL ≤ 0"),"NI")</f>
        <v>1.0320372930543971</v>
      </c>
      <c r="O467" s="107">
        <f>IF(AND(ISNUMBER(Base_IFData!M468),ISNUMBER(Base_IFData!Q468)),IF(Base_IFData!Q468&gt;0,Base_IFData!M468/Base_IFData!Q468,"PL ≤ 0"),"NI")</f>
        <v>0</v>
      </c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spans="1:30" ht="1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12" t="str">
        <f>Base_IFData!A469</f>
        <v>COOPERATIVA DE CRÉDITO CREDISG LTDA. - SICOOB CREDISG</v>
      </c>
      <c r="L468" s="12" t="str">
        <f>Base_IFData!F469</f>
        <v>b3S</v>
      </c>
      <c r="M468" s="14">
        <f>IF(AND(ISNUMBER(Base_IFData!L469),ISNUMBER(Base_IFData!W469)),IF(Base_IFData!L469&gt;$B$4,Base_IFData!W469,""),"")</f>
        <v>2.2348127163991188E-2</v>
      </c>
      <c r="N468" s="51">
        <f>IF(AND(ISNUMBER(Base_IFData!O469),ISNUMBER(Base_IFData!Q469)),IF(Base_IFData!Q469&gt;0,Base_IFData!O469/Base_IFData!Q469,"PL ≤ 0"),"NI")</f>
        <v>4.2006127373832758</v>
      </c>
      <c r="O468" s="110">
        <f>IF(AND(ISNUMBER(Base_IFData!M469),ISNUMBER(Base_IFData!Q469)),IF(Base_IFData!Q469&gt;0,Base_IFData!M469/Base_IFData!Q469,"PL ≤ 0"),"NI")</f>
        <v>2.9207764138075754</v>
      </c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spans="1:30" ht="1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15" t="str">
        <f>Base_IFData!A470</f>
        <v>COOPERATIVA DE CRÉDITO CREDIVALE LTDA - SICOOB CREDIVALE</v>
      </c>
      <c r="L469" s="15" t="str">
        <f>Base_IFData!F470</f>
        <v>b3S</v>
      </c>
      <c r="M469" s="17">
        <f>IF(AND(ISNUMBER(Base_IFData!L470),ISNUMBER(Base_IFData!W470)),IF(Base_IFData!L470&gt;$B$4,Base_IFData!W470,""),"")</f>
        <v>0.10799868446420269</v>
      </c>
      <c r="N469" s="50">
        <f>IF(AND(ISNUMBER(Base_IFData!O470),ISNUMBER(Base_IFData!Q470)),IF(Base_IFData!Q470&gt;0,Base_IFData!O470/Base_IFData!Q470,"PL ≤ 0"),"NI")</f>
        <v>5.9842475929097159</v>
      </c>
      <c r="O469" s="107">
        <f>IF(AND(ISNUMBER(Base_IFData!M470),ISNUMBER(Base_IFData!Q470)),IF(Base_IFData!Q470&gt;0,Base_IFData!M470/Base_IFData!Q470,"PL ≤ 0"),"NI")</f>
        <v>2.1737301110266851</v>
      </c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spans="1:30" ht="1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12" t="str">
        <f>Base_IFData!A471</f>
        <v>BPCE EQUIPMENT SOLUTIONS BRASIL S.A. - ARRENDAMENTO MERCANTIL</v>
      </c>
      <c r="L470" s="12" t="str">
        <f>Base_IFData!F471</f>
        <v>n1</v>
      </c>
      <c r="M470" s="14">
        <f>IF(AND(ISNUMBER(Base_IFData!L471),ISNUMBER(Base_IFData!W471)),IF(Base_IFData!L471&gt;$B$4,Base_IFData!W471,""),"")</f>
        <v>-3.3464973327916783E-3</v>
      </c>
      <c r="N470" s="51">
        <f>IF(AND(ISNUMBER(Base_IFData!O471),ISNUMBER(Base_IFData!Q471)),IF(Base_IFData!Q471&gt;0,Base_IFData!O471/Base_IFData!Q471,"PL ≤ 0"),"NI")</f>
        <v>3.0916540687413838</v>
      </c>
      <c r="O470" s="110">
        <f>IF(AND(ISNUMBER(Base_IFData!M471),ISNUMBER(Base_IFData!Q471)),IF(Base_IFData!Q471&gt;0,Base_IFData!M471/Base_IFData!Q471,"PL ≤ 0"),"NI")</f>
        <v>3.2669439320178215</v>
      </c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spans="1:30" ht="1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15" t="str">
        <f>Base_IFData!A472</f>
        <v>BS2 PAYMENTS INSTITUIÇÃO DE PAGAMENTO S.A.</v>
      </c>
      <c r="L471" s="15" t="str">
        <f>Base_IFData!F472</f>
        <v>n4</v>
      </c>
      <c r="M471" s="17">
        <f>IF(AND(ISNUMBER(Base_IFData!L472),ISNUMBER(Base_IFData!W472)),IF(Base_IFData!L472&gt;$B$4,Base_IFData!W472,""),"")</f>
        <v>-7.2156962346815673E-3</v>
      </c>
      <c r="N471" s="50">
        <f>IF(AND(ISNUMBER(Base_IFData!O472),ISNUMBER(Base_IFData!Q472)),IF(Base_IFData!Q472&gt;0,Base_IFData!O472/Base_IFData!Q472,"PL ≤ 0"),"NI")</f>
        <v>2.1160937202362056</v>
      </c>
      <c r="O471" s="107">
        <f>IF(AND(ISNUMBER(Base_IFData!M472),ISNUMBER(Base_IFData!Q472)),IF(Base_IFData!Q472&gt;0,Base_IFData!M472/Base_IFData!Q472,"PL ≤ 0"),"NI")</f>
        <v>0</v>
      </c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spans="1:30" ht="1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12" t="str">
        <f>Base_IFData!A473</f>
        <v>BANCO IBM S.A.</v>
      </c>
      <c r="L472" s="12" t="str">
        <f>Base_IFData!F473</f>
        <v>b2</v>
      </c>
      <c r="M472" s="14">
        <f>IF(AND(ISNUMBER(Base_IFData!L473),ISNUMBER(Base_IFData!W473)),IF(Base_IFData!L473&gt;$B$4,Base_IFData!W473,""),"")</f>
        <v>2.2643822333378243E-2</v>
      </c>
      <c r="N472" s="51">
        <f>IF(AND(ISNUMBER(Base_IFData!O473),ISNUMBER(Base_IFData!Q473)),IF(Base_IFData!Q473&gt;0,Base_IFData!O473/Base_IFData!Q473,"PL ≤ 0"),"NI")</f>
        <v>1.325696838821451</v>
      </c>
      <c r="O472" s="110">
        <f>IF(AND(ISNUMBER(Base_IFData!M473),ISNUMBER(Base_IFData!Q473)),IF(Base_IFData!Q473&gt;0,Base_IFData!M473/Base_IFData!Q473,"PL ≤ 0"),"NI")</f>
        <v>1.0955393586559061</v>
      </c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spans="1:30" ht="1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15" t="str">
        <f>Base_IFData!A474</f>
        <v>COOPERATIVA DE CRÉDITO, POUPANÇA E INVESTIMENTO SICREDI SERIGY - SICREDI SERIGY SE/BA</v>
      </c>
      <c r="L473" s="15" t="str">
        <f>Base_IFData!F474</f>
        <v>b3S</v>
      </c>
      <c r="M473" s="17">
        <f>IF(AND(ISNUMBER(Base_IFData!L474),ISNUMBER(Base_IFData!W474)),IF(Base_IFData!L474&gt;$B$4,Base_IFData!W474,""),"")</f>
        <v>7.5530438383265217E-2</v>
      </c>
      <c r="N473" s="50">
        <f>IF(AND(ISNUMBER(Base_IFData!O474),ISNUMBER(Base_IFData!Q474)),IF(Base_IFData!Q474&gt;0,Base_IFData!O474/Base_IFData!Q474,"PL ≤ 0"),"NI")</f>
        <v>8.3175192276725127</v>
      </c>
      <c r="O473" s="107">
        <f>IF(AND(ISNUMBER(Base_IFData!M474),ISNUMBER(Base_IFData!Q474)),IF(Base_IFData!Q474&gt;0,Base_IFData!M474/Base_IFData!Q474,"PL ≤ 0"),"NI")</f>
        <v>3.2281632684359449</v>
      </c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spans="1:30" ht="1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12" t="str">
        <f>Base_IFData!A475</f>
        <v>DESENBAHIA - AGENCIA DE FOMENTO DO ESTADO DA BAHIA S.A.</v>
      </c>
      <c r="L474" s="12" t="str">
        <f>Base_IFData!F475</f>
        <v>n1</v>
      </c>
      <c r="M474" s="14">
        <f>IF(AND(ISNUMBER(Base_IFData!L475),ISNUMBER(Base_IFData!W475)),IF(Base_IFData!L475&gt;$B$4,Base_IFData!W475,""),"")</f>
        <v>2.9993321745388948E-2</v>
      </c>
      <c r="N474" s="51">
        <f>IF(AND(ISNUMBER(Base_IFData!O475),ISNUMBER(Base_IFData!Q475)),IF(Base_IFData!Q475&gt;0,Base_IFData!O475/Base_IFData!Q475,"PL ≤ 0"),"NI")</f>
        <v>0.38088658155256155</v>
      </c>
      <c r="O474" s="110">
        <f>IF(AND(ISNUMBER(Base_IFData!M475),ISNUMBER(Base_IFData!Q475)),IF(Base_IFData!Q475&gt;0,Base_IFData!M475/Base_IFData!Q475,"PL ≤ 0"),"NI")</f>
        <v>0.72088125278981496</v>
      </c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spans="1:30" ht="1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15" t="str">
        <f>Base_IFData!A476</f>
        <v>COOPERATIVA DE CRÉDITO POUPANÇA E INVESTIMENTO DA ALTA NOROESTE DE SÃO PAULO - SICREDI ALTA NOROESTE SP</v>
      </c>
      <c r="L475" s="15" t="str">
        <f>Base_IFData!F476</f>
        <v>b3S</v>
      </c>
      <c r="M475" s="17">
        <f>IF(AND(ISNUMBER(Base_IFData!L476),ISNUMBER(Base_IFData!W476)),IF(Base_IFData!L476&gt;$B$4,Base_IFData!W476,""),"")</f>
        <v>-2.5094049247606019E-2</v>
      </c>
      <c r="N475" s="50">
        <f>IF(AND(ISNUMBER(Base_IFData!O476),ISNUMBER(Base_IFData!Q476)),IF(Base_IFData!Q476&gt;0,Base_IFData!O476/Base_IFData!Q476,"PL ≤ 0"),"NI")</f>
        <v>11.688312243502052</v>
      </c>
      <c r="O475" s="107">
        <f>IF(AND(ISNUMBER(Base_IFData!M476),ISNUMBER(Base_IFData!Q476)),IF(Base_IFData!Q476&gt;0,Base_IFData!M476/Base_IFData!Q476,"PL ≤ 0"),"NI")</f>
        <v>6.283002735978112</v>
      </c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spans="1:30" ht="1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12" t="str">
        <f>Base_IFData!A477</f>
        <v>COOPERATIVA DE CREDITO NOSSO - SICOOB NOSSO</v>
      </c>
      <c r="L476" s="12" t="str">
        <f>Base_IFData!F477</f>
        <v>b3S</v>
      </c>
      <c r="M476" s="14">
        <f>IF(AND(ISNUMBER(Base_IFData!L477),ISNUMBER(Base_IFData!W477)),IF(Base_IFData!L477&gt;$B$4,Base_IFData!W477,""),"")</f>
        <v>4.0662771737143444E-2</v>
      </c>
      <c r="N476" s="51">
        <f>IF(AND(ISNUMBER(Base_IFData!O477),ISNUMBER(Base_IFData!Q477)),IF(Base_IFData!Q477&gt;0,Base_IFData!O477/Base_IFData!Q477,"PL ≤ 0"),"NI")</f>
        <v>7.6280756659525153</v>
      </c>
      <c r="O476" s="110">
        <f>IF(AND(ISNUMBER(Base_IFData!M477),ISNUMBER(Base_IFData!Q477)),IF(Base_IFData!Q477&gt;0,Base_IFData!M477/Base_IFData!Q477,"PL ≤ 0"),"NI")</f>
        <v>3.1527285224372803</v>
      </c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spans="1:30" ht="1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15" t="str">
        <f>Base_IFData!A478</f>
        <v>STARK BANK S.A. - INSTITUICAO DE PAGAMENTO</v>
      </c>
      <c r="L477" s="15" t="str">
        <f>Base_IFData!F478</f>
        <v>n4</v>
      </c>
      <c r="M477" s="17">
        <f>IF(AND(ISNUMBER(Base_IFData!L478),ISNUMBER(Base_IFData!W478)),IF(Base_IFData!L478&gt;$B$4,Base_IFData!W478,""),"")</f>
        <v>-0.10567308784013928</v>
      </c>
      <c r="N477" s="50">
        <f>IF(AND(ISNUMBER(Base_IFData!O478),ISNUMBER(Base_IFData!Q478)),IF(Base_IFData!Q478&gt;0,Base_IFData!O478/Base_IFData!Q478,"PL ≤ 0"),"NI")</f>
        <v>7.9079059909926954</v>
      </c>
      <c r="O477" s="107">
        <f>IF(AND(ISNUMBER(Base_IFData!M478),ISNUMBER(Base_IFData!Q478)),IF(Base_IFData!Q478&gt;0,Base_IFData!M478/Base_IFData!Q478,"PL ≤ 0"),"NI")</f>
        <v>0.3208719676039814</v>
      </c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spans="1:30" ht="1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12" t="str">
        <f>Base_IFData!A479</f>
        <v>COOPERATIVA DE CRÉDITO E INVESTIMENTO COM INTERAÇÃO SOLIDÁRIA NORTE PARANAENSE - CRESOL NORTE PARANAENSE</v>
      </c>
      <c r="L478" s="12" t="str">
        <f>Base_IFData!F479</f>
        <v>b3S</v>
      </c>
      <c r="M478" s="14">
        <f>IF(AND(ISNUMBER(Base_IFData!L479),ISNUMBER(Base_IFData!W479)),IF(Base_IFData!L479&gt;$B$4,Base_IFData!W479,""),"")</f>
        <v>4.4230907651335208E-2</v>
      </c>
      <c r="N478" s="51">
        <f>IF(AND(ISNUMBER(Base_IFData!O479),ISNUMBER(Base_IFData!Q479)),IF(Base_IFData!Q479&gt;0,Base_IFData!O479/Base_IFData!Q479,"PL ≤ 0"),"NI")</f>
        <v>7.4513927877348305</v>
      </c>
      <c r="O478" s="110">
        <f>IF(AND(ISNUMBER(Base_IFData!M479),ISNUMBER(Base_IFData!Q479)),IF(Base_IFData!Q479&gt;0,Base_IFData!M479/Base_IFData!Q479,"PL ≤ 0"),"NI")</f>
        <v>6.2007485784207876</v>
      </c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spans="1:30" ht="1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15" t="str">
        <f>Base_IFData!A480</f>
        <v>COOPERATIVA DE CRÉDITO DE LIVRE ADMISSÃO DO VALE DO PARANAPANEMA</v>
      </c>
      <c r="L479" s="15" t="str">
        <f>Base_IFData!F480</f>
        <v>b3S</v>
      </c>
      <c r="M479" s="17">
        <f>IF(AND(ISNUMBER(Base_IFData!L480),ISNUMBER(Base_IFData!W480)),IF(Base_IFData!L480&gt;$B$4,Base_IFData!W480,""),"")</f>
        <v>5.9448196665028978E-2</v>
      </c>
      <c r="N479" s="50">
        <f>IF(AND(ISNUMBER(Base_IFData!O480),ISNUMBER(Base_IFData!Q480)),IF(Base_IFData!Q480&gt;0,Base_IFData!O480/Base_IFData!Q480,"PL ≤ 0"),"NI")</f>
        <v>5.8571124146871316</v>
      </c>
      <c r="O479" s="107">
        <f>IF(AND(ISNUMBER(Base_IFData!M480),ISNUMBER(Base_IFData!Q480)),IF(Base_IFData!Q480&gt;0,Base_IFData!M480/Base_IFData!Q480,"PL ≤ 0"),"NI")</f>
        <v>1.9677335338025417</v>
      </c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spans="1:30" ht="1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12" t="str">
        <f>Base_IFData!A481</f>
        <v>COOPERATIVA DE CRÉDITO EVOLUA</v>
      </c>
      <c r="L480" s="12" t="str">
        <f>Base_IFData!F481</f>
        <v>b3S</v>
      </c>
      <c r="M480" s="14">
        <f>IF(AND(ISNUMBER(Base_IFData!L481),ISNUMBER(Base_IFData!W481)),IF(Base_IFData!L481&gt;$B$4,Base_IFData!W481,""),"")</f>
        <v>-2.8801754250332084E-2</v>
      </c>
      <c r="N480" s="51">
        <f>IF(AND(ISNUMBER(Base_IFData!O481),ISNUMBER(Base_IFData!Q481)),IF(Base_IFData!Q481&gt;0,Base_IFData!O481/Base_IFData!Q481,"PL ≤ 0"),"NI")</f>
        <v>7.1378941967768466</v>
      </c>
      <c r="O480" s="110">
        <f>IF(AND(ISNUMBER(Base_IFData!M481),ISNUMBER(Base_IFData!Q481)),IF(Base_IFData!Q481&gt;0,Base_IFData!M481/Base_IFData!Q481,"PL ≤ 0"),"NI")</f>
        <v>6.3273897795239069</v>
      </c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spans="1:30" ht="1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15" t="str">
        <f>Base_IFData!A482</f>
        <v>WORLDPAY DO BRASIL INSTITUICAO DE PAGAMENTO LTDA</v>
      </c>
      <c r="L481" s="15" t="str">
        <f>Base_IFData!F482</f>
        <v>n4</v>
      </c>
      <c r="M481" s="17">
        <f>IF(AND(ISNUMBER(Base_IFData!L482),ISNUMBER(Base_IFData!W482)),IF(Base_IFData!L482&gt;$B$4,Base_IFData!W482,""),"")</f>
        <v>8.2980796544783117E-2</v>
      </c>
      <c r="N481" s="50">
        <f>IF(AND(ISNUMBER(Base_IFData!O482),ISNUMBER(Base_IFData!Q482)),IF(Base_IFData!Q482&gt;0,Base_IFData!O482/Base_IFData!Q482,"PL ≤ 0"),"NI")</f>
        <v>2.5364566311024501</v>
      </c>
      <c r="O481" s="107">
        <f>IF(AND(ISNUMBER(Base_IFData!M482),ISNUMBER(Base_IFData!Q482)),IF(Base_IFData!Q482&gt;0,Base_IFData!M482/Base_IFData!Q482,"PL ≤ 0"),"NI")</f>
        <v>0</v>
      </c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spans="1:30" ht="1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12" t="str">
        <f>Base_IFData!A483</f>
        <v>COOPERATIVA DE ECONOMIA E CRÉDITO MÚTUO DOS PROFISSIONAIS DA SAÚDE DA REGIÃO DA ALTA MOGIANA - SICOOB CREDIMOGIANA</v>
      </c>
      <c r="L482" s="12" t="str">
        <f>Base_IFData!F483</f>
        <v>b3S</v>
      </c>
      <c r="M482" s="14">
        <f>IF(AND(ISNUMBER(Base_IFData!L483),ISNUMBER(Base_IFData!W483)),IF(Base_IFData!L483&gt;$B$4,Base_IFData!W483,""),"")</f>
        <v>-2.4489629599445825E-2</v>
      </c>
      <c r="N482" s="51">
        <f>IF(AND(ISNUMBER(Base_IFData!O483),ISNUMBER(Base_IFData!Q483)),IF(Base_IFData!Q483&gt;0,Base_IFData!O483/Base_IFData!Q483,"PL ≤ 0"),"NI")</f>
        <v>8.4189478831343472</v>
      </c>
      <c r="O482" s="110">
        <f>IF(AND(ISNUMBER(Base_IFData!M483),ISNUMBER(Base_IFData!Q483)),IF(Base_IFData!Q483&gt;0,Base_IFData!M483/Base_IFData!Q483,"PL ≤ 0"),"NI")</f>
        <v>6.5673851921274604</v>
      </c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spans="1:30" ht="1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15" t="str">
        <f>Base_IFData!A484</f>
        <v>CARUANA S.A. - SOCIEDADE DE CRÉDITO, FINANCIAMENTO E INVESTIMENTO</v>
      </c>
      <c r="L483" s="15" t="str">
        <f>Base_IFData!F484</f>
        <v>n1</v>
      </c>
      <c r="M483" s="17">
        <f>IF(AND(ISNUMBER(Base_IFData!L484),ISNUMBER(Base_IFData!W484)),IF(Base_IFData!L484&gt;$B$4,Base_IFData!W484,""),"")</f>
        <v>4.6992522908300235E-2</v>
      </c>
      <c r="N483" s="50">
        <f>IF(AND(ISNUMBER(Base_IFData!O484),ISNUMBER(Base_IFData!Q484)),IF(Base_IFData!Q484&gt;0,Base_IFData!O484/Base_IFData!Q484,"PL ≤ 0"),"NI")</f>
        <v>7.5225089303543298</v>
      </c>
      <c r="O483" s="107">
        <f>IF(AND(ISNUMBER(Base_IFData!M484),ISNUMBER(Base_IFData!Q484)),IF(Base_IFData!Q484&gt;0,Base_IFData!M484/Base_IFData!Q484,"PL ≤ 0"),"NI")</f>
        <v>6.2755430321049008</v>
      </c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spans="1:30" ht="1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12" t="str">
        <f>Base_IFData!A485</f>
        <v>REPOM INSTITUIÇÃO DE PAGAMENTO HUSA S.A.</v>
      </c>
      <c r="L484" s="12" t="str">
        <f>Base_IFData!F485</f>
        <v>n4</v>
      </c>
      <c r="M484" s="14">
        <f>IF(AND(ISNUMBER(Base_IFData!L485),ISNUMBER(Base_IFData!W485)),IF(Base_IFData!L485&gt;$B$4,Base_IFData!W485,""),"")</f>
        <v>2.9658077846978336E-2</v>
      </c>
      <c r="N484" s="51">
        <f>IF(AND(ISNUMBER(Base_IFData!O485),ISNUMBER(Base_IFData!Q485)),IF(Base_IFData!Q485&gt;0,Base_IFData!O485/Base_IFData!Q485,"PL ≤ 0"),"NI")</f>
        <v>7.409685968998474</v>
      </c>
      <c r="O484" s="110">
        <f>IF(AND(ISNUMBER(Base_IFData!M485),ISNUMBER(Base_IFData!Q485)),IF(Base_IFData!Q485&gt;0,Base_IFData!M485/Base_IFData!Q485,"PL ≤ 0"),"NI")</f>
        <v>5.064069333605917</v>
      </c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spans="1:30" ht="1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15" t="str">
        <f>Base_IFData!A486</f>
        <v>COOPERATIVA DE CRÉDITO NOROESTE DE MINAS LTDA. - SICOOB NOROESTE DE MINAS</v>
      </c>
      <c r="L485" s="15" t="str">
        <f>Base_IFData!F486</f>
        <v>b3S</v>
      </c>
      <c r="M485" s="17">
        <f>IF(AND(ISNUMBER(Base_IFData!L486),ISNUMBER(Base_IFData!W486)),IF(Base_IFData!L486&gt;$B$4,Base_IFData!W486,""),"")</f>
        <v>0.10076323275424159</v>
      </c>
      <c r="N485" s="50">
        <f>IF(AND(ISNUMBER(Base_IFData!O486),ISNUMBER(Base_IFData!Q486)),IF(Base_IFData!Q486&gt;0,Base_IFData!O486/Base_IFData!Q486,"PL ≤ 0"),"NI")</f>
        <v>6.2971908970842225</v>
      </c>
      <c r="O485" s="107">
        <f>IF(AND(ISNUMBER(Base_IFData!M486),ISNUMBER(Base_IFData!Q486)),IF(Base_IFData!Q486&gt;0,Base_IFData!M486/Base_IFData!Q486,"PL ≤ 0"),"NI")</f>
        <v>4.2179277151275016</v>
      </c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spans="1:30" ht="1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12" t="str">
        <f>Base_IFData!A487</f>
        <v>COOPERATIVA DE CRÉDITO E INVESTIMENTO COM INTERAÇÃO SOLIDÁRIA GRANDES LAGOS PR/SP - CRESOL GRANDES LAGOS PR/SP</v>
      </c>
      <c r="L486" s="12" t="str">
        <f>Base_IFData!F487</f>
        <v>b3S</v>
      </c>
      <c r="M486" s="14">
        <f>IF(AND(ISNUMBER(Base_IFData!L487),ISNUMBER(Base_IFData!W487)),IF(Base_IFData!L487&gt;$B$4,Base_IFData!W487,""),"")</f>
        <v>4.6957893227548633E-2</v>
      </c>
      <c r="N486" s="51">
        <f>IF(AND(ISNUMBER(Base_IFData!O487),ISNUMBER(Base_IFData!Q487)),IF(Base_IFData!Q487&gt;0,Base_IFData!O487/Base_IFData!Q487,"PL ≤ 0"),"NI")</f>
        <v>8.1273239975146971</v>
      </c>
      <c r="O486" s="110">
        <f>IF(AND(ISNUMBER(Base_IFData!M487),ISNUMBER(Base_IFData!Q487)),IF(Base_IFData!Q487&gt;0,Base_IFData!M487/Base_IFData!Q487,"PL ≤ 0"),"NI")</f>
        <v>6.7985629849129348</v>
      </c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spans="1:30" ht="1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15" t="str">
        <f>Base_IFData!A488</f>
        <v>COOPERATIVA DE CRÉDITO DE LIVRE ADMISSÃO E DOS TRANSPORTADORES RODOVIÁRIOS DE VEÍCULOS - SICOOB CREDCEG</v>
      </c>
      <c r="L487" s="15" t="str">
        <f>Base_IFData!F488</f>
        <v>b3S</v>
      </c>
      <c r="M487" s="17">
        <f>IF(AND(ISNUMBER(Base_IFData!L488),ISNUMBER(Base_IFData!W488)),IF(Base_IFData!L488&gt;$B$4,Base_IFData!W488,""),"")</f>
        <v>0.12410003972906714</v>
      </c>
      <c r="N487" s="50">
        <f>IF(AND(ISNUMBER(Base_IFData!O488),ISNUMBER(Base_IFData!Q488)),IF(Base_IFData!Q488&gt;0,Base_IFData!O488/Base_IFData!Q488,"PL ≤ 0"),"NI")</f>
        <v>4.5512698766460913</v>
      </c>
      <c r="O487" s="107">
        <f>IF(AND(ISNUMBER(Base_IFData!M488),ISNUMBER(Base_IFData!Q488)),IF(Base_IFData!Q488&gt;0,Base_IFData!M488/Base_IFData!Q488,"PL ≤ 0"),"NI")</f>
        <v>3.1925842304673493</v>
      </c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spans="1:30" ht="1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12" t="str">
        <f>Base_IFData!A489</f>
        <v>BANCO BMG SOLUÇÕES FINANCEIRAS S.A.</v>
      </c>
      <c r="L488" s="12" t="str">
        <f>Base_IFData!F489</f>
        <v>b1</v>
      </c>
      <c r="M488" s="14">
        <f>IF(AND(ISNUMBER(Base_IFData!L489),ISNUMBER(Base_IFData!W489)),IF(Base_IFData!L489&gt;$B$4,Base_IFData!W489,""),"")</f>
        <v>6.1427081622435632E-2</v>
      </c>
      <c r="N488" s="51">
        <f>IF(AND(ISNUMBER(Base_IFData!O489),ISNUMBER(Base_IFData!Q489)),IF(Base_IFData!Q489&gt;0,Base_IFData!O489/Base_IFData!Q489,"PL ≤ 0"),"NI")</f>
        <v>0.13310272905910686</v>
      </c>
      <c r="O488" s="110">
        <f>IF(AND(ISNUMBER(Base_IFData!M489),ISNUMBER(Base_IFData!Q489)),IF(Base_IFData!Q489&gt;0,Base_IFData!M489/Base_IFData!Q489,"PL ≤ 0"),"NI")</f>
        <v>0.10083033369678572</v>
      </c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spans="1:30" ht="1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15" t="str">
        <f>Base_IFData!A490</f>
        <v>COOPERATIVA DE CRÉDITO DE LIVRE ADMISSÃO DA REGIÃO DE FRUTAL LTDA.   SICOOB FRUTAL</v>
      </c>
      <c r="L489" s="15" t="str">
        <f>Base_IFData!F490</f>
        <v>b3S</v>
      </c>
      <c r="M489" s="17">
        <f>IF(AND(ISNUMBER(Base_IFData!L490),ISNUMBER(Base_IFData!W490)),IF(Base_IFData!L490&gt;$B$4,Base_IFData!W490,""),"")</f>
        <v>7.7026607853549034E-2</v>
      </c>
      <c r="N489" s="50">
        <f>IF(AND(ISNUMBER(Base_IFData!O490),ISNUMBER(Base_IFData!Q490)),IF(Base_IFData!Q490&gt;0,Base_IFData!O490/Base_IFData!Q490,"PL ≤ 0"),"NI")</f>
        <v>5.0167659444710235</v>
      </c>
      <c r="O489" s="107">
        <f>IF(AND(ISNUMBER(Base_IFData!M490),ISNUMBER(Base_IFData!Q490)),IF(Base_IFData!Q490&gt;0,Base_IFData!M490/Base_IFData!Q490,"PL ≤ 0"),"NI")</f>
        <v>3.9254075822656369</v>
      </c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spans="1:30" ht="1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12" t="str">
        <f>Base_IFData!A491</f>
        <v>COOPERATIVA DE CREDITO DE LIVRE ADMISSAO DO CENTRO NORDESTE MINEIRO LTDA - SICOOB CREDICENM</v>
      </c>
      <c r="L490" s="12" t="str">
        <f>Base_IFData!F491</f>
        <v>b3S</v>
      </c>
      <c r="M490" s="14">
        <f>IF(AND(ISNUMBER(Base_IFData!L491),ISNUMBER(Base_IFData!W491)),IF(Base_IFData!L491&gt;$B$4,Base_IFData!W491,""),"")</f>
        <v>0.10738624032409752</v>
      </c>
      <c r="N490" s="51">
        <f>IF(AND(ISNUMBER(Base_IFData!O491),ISNUMBER(Base_IFData!Q491)),IF(Base_IFData!Q491&gt;0,Base_IFData!O491/Base_IFData!Q491,"PL ≤ 0"),"NI")</f>
        <v>7.270635896693916</v>
      </c>
      <c r="O490" s="110">
        <f>IF(AND(ISNUMBER(Base_IFData!M491),ISNUMBER(Base_IFData!Q491)),IF(Base_IFData!Q491&gt;0,Base_IFData!M491/Base_IFData!Q491,"PL ≤ 0"),"NI")</f>
        <v>2.7388989365550169</v>
      </c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spans="1:30" ht="1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15" t="str">
        <f>Base_IFData!A492</f>
        <v>SEM PARAR SOCIEDADE DE CRÉDITO DIRETO S.A.</v>
      </c>
      <c r="L491" s="15" t="str">
        <f>Base_IFData!F492</f>
        <v>n1</v>
      </c>
      <c r="M491" s="17">
        <f>IF(AND(ISNUMBER(Base_IFData!L492),ISNUMBER(Base_IFData!W492)),IF(Base_IFData!L492&gt;$B$4,Base_IFData!W492,""),"")</f>
        <v>4.0157194038903882E-3</v>
      </c>
      <c r="N491" s="50">
        <f>IF(AND(ISNUMBER(Base_IFData!O492),ISNUMBER(Base_IFData!Q492)),IF(Base_IFData!Q492&gt;0,Base_IFData!O492/Base_IFData!Q492,"PL ≤ 0"),"NI")</f>
        <v>2.3823922214163174E-2</v>
      </c>
      <c r="O491" s="107">
        <f>IF(AND(ISNUMBER(Base_IFData!M492),ISNUMBER(Base_IFData!Q492)),IF(Base_IFData!Q492&gt;0,Base_IFData!M492/Base_IFData!Q492,"PL ≤ 0"),"NI")</f>
        <v>0.14250779667086264</v>
      </c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spans="1:30" ht="1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12" t="str">
        <f>Base_IFData!A493</f>
        <v>MULVI INSTITUICAO DE PAGAMENTO S.A.</v>
      </c>
      <c r="L492" s="12" t="str">
        <f>Base_IFData!F493</f>
        <v>n4</v>
      </c>
      <c r="M492" s="14">
        <f>IF(AND(ISNUMBER(Base_IFData!L493),ISNUMBER(Base_IFData!W493)),IF(Base_IFData!L493&gt;$B$4,Base_IFData!W493,""),"")</f>
        <v>-0.17853128512551517</v>
      </c>
      <c r="N492" s="51">
        <f>IF(AND(ISNUMBER(Base_IFData!O493),ISNUMBER(Base_IFData!Q493)),IF(Base_IFData!Q493&gt;0,Base_IFData!O493/Base_IFData!Q493,"PL ≤ 0"),"NI")</f>
        <v>16.411686649181966</v>
      </c>
      <c r="O492" s="110">
        <f>IF(AND(ISNUMBER(Base_IFData!M493),ISNUMBER(Base_IFData!Q493)),IF(Base_IFData!Q493&gt;0,Base_IFData!M493/Base_IFData!Q493,"PL ≤ 0"),"NI")</f>
        <v>9.2186055951042842</v>
      </c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spans="1:30" ht="1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15" t="str">
        <f>Base_IFData!A494</f>
        <v>COOPERATIVA DE CRÉDITO E INVESTIMENTO COM INTERAÇÃO SOLIDÁRIA HORIZONTE - CRESOL HORIZONTE</v>
      </c>
      <c r="L493" s="15" t="str">
        <f>Base_IFData!F494</f>
        <v>b3S</v>
      </c>
      <c r="M493" s="17">
        <f>IF(AND(ISNUMBER(Base_IFData!L494),ISNUMBER(Base_IFData!W494)),IF(Base_IFData!L494&gt;$B$4,Base_IFData!W494,""),"")</f>
        <v>2.7324173658426713E-2</v>
      </c>
      <c r="N493" s="50">
        <f>IF(AND(ISNUMBER(Base_IFData!O494),ISNUMBER(Base_IFData!Q494)),IF(Base_IFData!Q494&gt;0,Base_IFData!O494/Base_IFData!Q494,"PL ≤ 0"),"NI")</f>
        <v>6.8253420800720761</v>
      </c>
      <c r="O493" s="107">
        <f>IF(AND(ISNUMBER(Base_IFData!M494),ISNUMBER(Base_IFData!Q494)),IF(Base_IFData!Q494&gt;0,Base_IFData!M494/Base_IFData!Q494,"PL ≤ 0"),"NI")</f>
        <v>5.6433850442029394</v>
      </c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spans="1:30" ht="1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12" t="str">
        <f>Base_IFData!A495</f>
        <v>SICREDI RECIFE - COOPERATIVA DE CRÉDITO, POUPANÇA E INVESTIMENTO SICREDI RECIFE</v>
      </c>
      <c r="L494" s="12" t="str">
        <f>Base_IFData!F495</f>
        <v>b3S</v>
      </c>
      <c r="M494" s="14">
        <f>IF(AND(ISNUMBER(Base_IFData!L495),ISNUMBER(Base_IFData!W495)),IF(Base_IFData!L495&gt;$B$4,Base_IFData!W495,""),"")</f>
        <v>1.5259342309044438E-2</v>
      </c>
      <c r="N494" s="51">
        <f>IF(AND(ISNUMBER(Base_IFData!O495),ISNUMBER(Base_IFData!Q495)),IF(Base_IFData!Q495&gt;0,Base_IFData!O495/Base_IFData!Q495,"PL ≤ 0"),"NI")</f>
        <v>9.5382481210865873</v>
      </c>
      <c r="O494" s="110">
        <f>IF(AND(ISNUMBER(Base_IFData!M495),ISNUMBER(Base_IFData!Q495)),IF(Base_IFData!Q495&gt;0,Base_IFData!M495/Base_IFData!Q495,"PL ≤ 0"),"NI")</f>
        <v>4.4898571930791373</v>
      </c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spans="1:30" ht="1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15" t="str">
        <f>Base_IFData!A496</f>
        <v>COOPERATIVA DE CRÉDITO E INVESTIMENTO COM INTERAÇÃO SOLIDÁRIA LIDERANÇA - CRESOL LIDERANÇA</v>
      </c>
      <c r="L495" s="15" t="str">
        <f>Base_IFData!F496</f>
        <v>b3S</v>
      </c>
      <c r="M495" s="17">
        <f>IF(AND(ISNUMBER(Base_IFData!L496),ISNUMBER(Base_IFData!W496)),IF(Base_IFData!L496&gt;$B$4,Base_IFData!W496,""),"")</f>
        <v>1.3494243469113435E-2</v>
      </c>
      <c r="N495" s="50">
        <f>IF(AND(ISNUMBER(Base_IFData!O496),ISNUMBER(Base_IFData!Q496)),IF(Base_IFData!Q496&gt;0,Base_IFData!O496/Base_IFData!Q496,"PL ≤ 0"),"NI")</f>
        <v>5.4653497749985389</v>
      </c>
      <c r="O495" s="107">
        <f>IF(AND(ISNUMBER(Base_IFData!M496),ISNUMBER(Base_IFData!Q496)),IF(Base_IFData!Q496&gt;0,Base_IFData!M496/Base_IFData!Q496,"PL ≤ 0"),"NI")</f>
        <v>4.8421717024136521</v>
      </c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spans="1:30" ht="1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12" t="str">
        <f>Base_IFData!A497</f>
        <v>BANCO SEMEAR S.A.</v>
      </c>
      <c r="L496" s="12" t="str">
        <f>Base_IFData!F497</f>
        <v>b1</v>
      </c>
      <c r="M496" s="14">
        <f>IF(AND(ISNUMBER(Base_IFData!L497),ISNUMBER(Base_IFData!W497)),IF(Base_IFData!L497&gt;$B$4,Base_IFData!W497,""),"")</f>
        <v>-1.4542885455279481E-2</v>
      </c>
      <c r="N496" s="51">
        <f>IF(AND(ISNUMBER(Base_IFData!O497),ISNUMBER(Base_IFData!Q497)),IF(Base_IFData!Q497&gt;0,Base_IFData!O497/Base_IFData!Q497,"PL ≤ 0"),"NI")</f>
        <v>9.1436396667523034</v>
      </c>
      <c r="O496" s="110">
        <f>IF(AND(ISNUMBER(Base_IFData!M497),ISNUMBER(Base_IFData!Q497)),IF(Base_IFData!Q497&gt;0,Base_IFData!M497/Base_IFData!Q497,"PL ≤ 0"),"NI")</f>
        <v>5.6983796381252985</v>
      </c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spans="1:30" ht="1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15" t="str">
        <f>Base_IFData!A498</f>
        <v>COOPERATIVA DE CRÉDITO UNIQUE BR</v>
      </c>
      <c r="L497" s="15" t="str">
        <f>Base_IFData!F498</f>
        <v>b3S</v>
      </c>
      <c r="M497" s="17">
        <f>IF(AND(ISNUMBER(Base_IFData!L498),ISNUMBER(Base_IFData!W498)),IF(Base_IFData!L498&gt;$B$4,Base_IFData!W498,""),"")</f>
        <v>5.460227748973214E-3</v>
      </c>
      <c r="N497" s="50">
        <f>IF(AND(ISNUMBER(Base_IFData!O498),ISNUMBER(Base_IFData!Q498)),IF(Base_IFData!Q498&gt;0,Base_IFData!O498/Base_IFData!Q498,"PL ≤ 0"),"NI")</f>
        <v>5.6105696119167074</v>
      </c>
      <c r="O497" s="107">
        <f>IF(AND(ISNUMBER(Base_IFData!M498),ISNUMBER(Base_IFData!Q498)),IF(Base_IFData!Q498&gt;0,Base_IFData!M498/Base_IFData!Q498,"PL ≤ 0"),"NI")</f>
        <v>4.1704285560331922</v>
      </c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spans="1:30" ht="1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12" t="str">
        <f>Base_IFData!A499</f>
        <v>COOPERATIVA DE CRÉDITO DO NORTE CATARINENSE - ACREDICOOP</v>
      </c>
      <c r="L498" s="12" t="str">
        <f>Base_IFData!F499</f>
        <v>b3S</v>
      </c>
      <c r="M498" s="14">
        <f>IF(AND(ISNUMBER(Base_IFData!L499),ISNUMBER(Base_IFData!W499)),IF(Base_IFData!L499&gt;$B$4,Base_IFData!W499,""),"")</f>
        <v>-0.11406518010291596</v>
      </c>
      <c r="N498" s="51">
        <f>IF(AND(ISNUMBER(Base_IFData!O499),ISNUMBER(Base_IFData!Q499)),IF(Base_IFData!Q499&gt;0,Base_IFData!O499/Base_IFData!Q499,"PL ≤ 0"),"NI")</f>
        <v>8.180027242457875</v>
      </c>
      <c r="O498" s="110">
        <f>IF(AND(ISNUMBER(Base_IFData!M499),ISNUMBER(Base_IFData!Q499)),IF(Base_IFData!Q499&gt;0,Base_IFData!M499/Base_IFData!Q499,"PL ≤ 0"),"NI")</f>
        <v>7.1169575892106414</v>
      </c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spans="1:30" ht="1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15" t="str">
        <f>Base_IFData!A500</f>
        <v>SANTANDER CORRETORA DE TÍTULOS E VALORES MOBILIÁRIOS S.A.</v>
      </c>
      <c r="L499" s="15" t="str">
        <f>Base_IFData!F500</f>
        <v>n2</v>
      </c>
      <c r="M499" s="17">
        <f>IF(AND(ISNUMBER(Base_IFData!L500),ISNUMBER(Base_IFData!W500)),IF(Base_IFData!L500&gt;$B$4,Base_IFData!W500,""),"")</f>
        <v>1.9164549084685994E-2</v>
      </c>
      <c r="N499" s="50">
        <f>IF(AND(ISNUMBER(Base_IFData!O500),ISNUMBER(Base_IFData!Q500)),IF(Base_IFData!Q500&gt;0,Base_IFData!O500/Base_IFData!Q500,"PL ≤ 0"),"NI")</f>
        <v>1.8215319193071617</v>
      </c>
      <c r="O499" s="107">
        <f>IF(AND(ISNUMBER(Base_IFData!M500),ISNUMBER(Base_IFData!Q500)),IF(Base_IFData!Q500&gt;0,Base_IFData!M500/Base_IFData!Q500,"PL ≤ 0"),"NI")</f>
        <v>0</v>
      </c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spans="1:30" ht="1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12" t="str">
        <f>Base_IFData!A501</f>
        <v>COOPERATIVA DE CRÉDITO DOS PROFISSIONAIS DOS CREAS E DEMAIS ÁREAS TECNOLÓGICAS - CREDCREA</v>
      </c>
      <c r="L500" s="12" t="str">
        <f>Base_IFData!F501</f>
        <v>b3S</v>
      </c>
      <c r="M500" s="14">
        <f>IF(AND(ISNUMBER(Base_IFData!L501),ISNUMBER(Base_IFData!W501)),IF(Base_IFData!L501&gt;$B$4,Base_IFData!W501,""),"")</f>
        <v>5.7425913277587316E-3</v>
      </c>
      <c r="N500" s="51">
        <f>IF(AND(ISNUMBER(Base_IFData!O501),ISNUMBER(Base_IFData!Q501)),IF(Base_IFData!Q501&gt;0,Base_IFData!O501/Base_IFData!Q501,"PL ≤ 0"),"NI")</f>
        <v>6.2069653786728383</v>
      </c>
      <c r="O500" s="110">
        <f>IF(AND(ISNUMBER(Base_IFData!M501),ISNUMBER(Base_IFData!Q501)),IF(Base_IFData!Q501&gt;0,Base_IFData!M501/Base_IFData!Q501,"PL ≤ 0"),"NI")</f>
        <v>3.8504008540944143</v>
      </c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spans="1:30" ht="1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15" t="str">
        <f>Base_IFData!A502</f>
        <v>COOPERATIVA DE CRÉDITO DE LIVRE ADMISSÃO DE  LAGOA DA PRATA E REGIÃO LTDA.   SICOOB LAGOACRED GERAIS</v>
      </c>
      <c r="L501" s="15" t="str">
        <f>Base_IFData!F502</f>
        <v>b3S</v>
      </c>
      <c r="M501" s="17">
        <f>IF(AND(ISNUMBER(Base_IFData!L502),ISNUMBER(Base_IFData!W502)),IF(Base_IFData!L502&gt;$B$4,Base_IFData!W502,""),"")</f>
        <v>9.9309388099761753E-2</v>
      </c>
      <c r="N501" s="50">
        <f>IF(AND(ISNUMBER(Base_IFData!O502),ISNUMBER(Base_IFData!Q502)),IF(Base_IFData!Q502&gt;0,Base_IFData!O502/Base_IFData!Q502,"PL ≤ 0"),"NI")</f>
        <v>4.4548287543854359</v>
      </c>
      <c r="O501" s="107">
        <f>IF(AND(ISNUMBER(Base_IFData!M502),ISNUMBER(Base_IFData!Q502)),IF(Base_IFData!Q502&gt;0,Base_IFData!M502/Base_IFData!Q502,"PL ≤ 0"),"NI")</f>
        <v>2.4008464268122278</v>
      </c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spans="1:30" ht="1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12" t="str">
        <f>Base_IFData!A503</f>
        <v>COOPERATIVA DE CRÉDITO CREDICOPE LTDA. - SICOOB CREDICOPE</v>
      </c>
      <c r="L502" s="12" t="str">
        <f>Base_IFData!F503</f>
        <v>b3S</v>
      </c>
      <c r="M502" s="14">
        <f>IF(AND(ISNUMBER(Base_IFData!L503),ISNUMBER(Base_IFData!W503)),IF(Base_IFData!L503&gt;$B$4,Base_IFData!W503,""),"")</f>
        <v>9.8059331452509196E-2</v>
      </c>
      <c r="N502" s="51">
        <f>IF(AND(ISNUMBER(Base_IFData!O503),ISNUMBER(Base_IFData!Q503)),IF(Base_IFData!Q503&gt;0,Base_IFData!O503/Base_IFData!Q503,"PL ≤ 0"),"NI")</f>
        <v>6.1171306252096196</v>
      </c>
      <c r="O502" s="110">
        <f>IF(AND(ISNUMBER(Base_IFData!M503),ISNUMBER(Base_IFData!Q503)),IF(Base_IFData!Q503&gt;0,Base_IFData!M503/Base_IFData!Q503,"PL ≤ 0"),"NI")</f>
        <v>2.3884296433668069</v>
      </c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spans="1:30" ht="1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15" t="str">
        <f>Base_IFData!A504</f>
        <v>NATURA &amp;CO PAY SOCIEDADE DE CRÉDITO DIRETO S.A.</v>
      </c>
      <c r="L503" s="15" t="str">
        <f>Base_IFData!F504</f>
        <v>n1</v>
      </c>
      <c r="M503" s="17">
        <f>IF(AND(ISNUMBER(Base_IFData!L504),ISNUMBER(Base_IFData!W504)),IF(Base_IFData!L504&gt;$B$4,Base_IFData!W504,""),"")</f>
        <v>2.9572023142903903E-2</v>
      </c>
      <c r="N503" s="50">
        <f>IF(AND(ISNUMBER(Base_IFData!O504),ISNUMBER(Base_IFData!Q504)),IF(Base_IFData!Q504&gt;0,Base_IFData!O504/Base_IFData!Q504,"PL ≤ 0"),"NI")</f>
        <v>0.7307760189199336</v>
      </c>
      <c r="O503" s="107">
        <f>IF(AND(ISNUMBER(Base_IFData!M504),ISNUMBER(Base_IFData!Q504)),IF(Base_IFData!Q504&gt;0,Base_IFData!M504/Base_IFData!Q504,"PL ≤ 0"),"NI")</f>
        <v>1.1873734472722373</v>
      </c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spans="1:30" ht="1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12" t="str">
        <f>Base_IFData!A505</f>
        <v>COOPERATIVA DE CRÉDITO ORIGINAL - SICOOB ORIGINAL</v>
      </c>
      <c r="L504" s="12" t="str">
        <f>Base_IFData!F505</f>
        <v>b3S</v>
      </c>
      <c r="M504" s="14">
        <f>IF(AND(ISNUMBER(Base_IFData!L505),ISNUMBER(Base_IFData!W505)),IF(Base_IFData!L505&gt;$B$4,Base_IFData!W505,""),"")</f>
        <v>8.2193293203920784E-2</v>
      </c>
      <c r="N504" s="51">
        <f>IF(AND(ISNUMBER(Base_IFData!O505),ISNUMBER(Base_IFData!Q505)),IF(Base_IFData!Q505&gt;0,Base_IFData!O505/Base_IFData!Q505,"PL ≤ 0"),"NI")</f>
        <v>4.1562022983209008</v>
      </c>
      <c r="O504" s="110">
        <f>IF(AND(ISNUMBER(Base_IFData!M505),ISNUMBER(Base_IFData!Q505)),IF(Base_IFData!Q505&gt;0,Base_IFData!M505/Base_IFData!Q505,"PL ≤ 0"),"NI")</f>
        <v>2.5432639228900857</v>
      </c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spans="1:30" ht="1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15" t="str">
        <f>Base_IFData!A506</f>
        <v>COOPERATIVA DE CRÉDITO DE LIVRE ADMISSÃO DA REGIÃO DE  PARÁ DE MINAS LTDA - SICOOB CREDIRURAL</v>
      </c>
      <c r="L505" s="15" t="str">
        <f>Base_IFData!F506</f>
        <v>b3S</v>
      </c>
      <c r="M505" s="17">
        <f>IF(AND(ISNUMBER(Base_IFData!L506),ISNUMBER(Base_IFData!W506)),IF(Base_IFData!L506&gt;$B$4,Base_IFData!W506,""),"")</f>
        <v>0.12536557792032244</v>
      </c>
      <c r="N505" s="50">
        <f>IF(AND(ISNUMBER(Base_IFData!O506),ISNUMBER(Base_IFData!Q506)),IF(Base_IFData!Q506&gt;0,Base_IFData!O506/Base_IFData!Q506,"PL ≤ 0"),"NI")</f>
        <v>7.7158118082692289</v>
      </c>
      <c r="O505" s="107">
        <f>IF(AND(ISNUMBER(Base_IFData!M506),ISNUMBER(Base_IFData!Q506)),IF(Base_IFData!Q506&gt;0,Base_IFData!M506/Base_IFData!Q506,"PL ≤ 0"),"NI")</f>
        <v>3.4643925057550362</v>
      </c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spans="1:30" ht="1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12" t="str">
        <f>Base_IFData!A507</f>
        <v>COOPERATIVA DE CRÉDITO DE PRODUTORES RURAIS E DE LIVRE ADMISSÃO DO TRIÂNGULO LTDA    SICOOB CREDITRIL</v>
      </c>
      <c r="L506" s="12" t="str">
        <f>Base_IFData!F507</f>
        <v>b3S</v>
      </c>
      <c r="M506" s="14">
        <f>IF(AND(ISNUMBER(Base_IFData!L507),ISNUMBER(Base_IFData!W507)),IF(Base_IFData!L507&gt;$B$4,Base_IFData!W507,""),"")</f>
        <v>9.2114832049228268E-2</v>
      </c>
      <c r="N506" s="51">
        <f>IF(AND(ISNUMBER(Base_IFData!O507),ISNUMBER(Base_IFData!Q507)),IF(Base_IFData!Q507&gt;0,Base_IFData!O507/Base_IFData!Q507,"PL ≤ 0"),"NI")</f>
        <v>4.3936277875251104</v>
      </c>
      <c r="O506" s="110">
        <f>IF(AND(ISNUMBER(Base_IFData!M507),ISNUMBER(Base_IFData!Q507)),IF(Base_IFData!Q507&gt;0,Base_IFData!M507/Base_IFData!Q507,"PL ≤ 0"),"NI")</f>
        <v>1.3757927123858926</v>
      </c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spans="1:30" ht="1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15" t="str">
        <f>Base_IFData!A508</f>
        <v>RP FINANCEIRA S.A. - SOCIEDADE DE CRÉDITO, FINANCIAMENTO E INVESTIMENTO</v>
      </c>
      <c r="L507" s="15" t="str">
        <f>Base_IFData!F508</f>
        <v>n1</v>
      </c>
      <c r="M507" s="17">
        <f>IF(AND(ISNUMBER(Base_IFData!L508),ISNUMBER(Base_IFData!W508)),IF(Base_IFData!L508&gt;$B$4,Base_IFData!W508,""),"")</f>
        <v>5.7772740153017851E-2</v>
      </c>
      <c r="N507" s="50">
        <f>IF(AND(ISNUMBER(Base_IFData!O508),ISNUMBER(Base_IFData!Q508)),IF(Base_IFData!Q508&gt;0,Base_IFData!O508/Base_IFData!Q508,"PL ≤ 0"),"NI")</f>
        <v>4.9325304618872199</v>
      </c>
      <c r="O507" s="107">
        <f>IF(AND(ISNUMBER(Base_IFData!M508),ISNUMBER(Base_IFData!Q508)),IF(Base_IFData!Q508&gt;0,Base_IFData!M508/Base_IFData!Q508,"PL ≤ 0"),"NI")</f>
        <v>4.4321620855766506</v>
      </c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spans="1:30" ht="1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12" t="str">
        <f>Base_IFData!A509</f>
        <v>COOPERATIVA DE CRÉDITO E INVESTIMENTO COM INTERAÇÃO SOLIDÁRIA DO RIO GRANDE DO SUL - CRESOL RIO GRANDE DO SUL</v>
      </c>
      <c r="L508" s="12" t="str">
        <f>Base_IFData!F509</f>
        <v>b3S</v>
      </c>
      <c r="M508" s="14">
        <f>IF(AND(ISNUMBER(Base_IFData!L509),ISNUMBER(Base_IFData!W509)),IF(Base_IFData!L509&gt;$B$4,Base_IFData!W509,""),"")</f>
        <v>3.5242835502519554E-2</v>
      </c>
      <c r="N508" s="51">
        <f>IF(AND(ISNUMBER(Base_IFData!O509),ISNUMBER(Base_IFData!Q509)),IF(Base_IFData!Q509&gt;0,Base_IFData!O509/Base_IFData!Q509,"PL ≤ 0"),"NI")</f>
        <v>7.0816381735555076</v>
      </c>
      <c r="O508" s="110">
        <f>IF(AND(ISNUMBER(Base_IFData!M509),ISNUMBER(Base_IFData!Q509)),IF(Base_IFData!Q509&gt;0,Base_IFData!M509/Base_IFData!Q509,"PL ≤ 0"),"NI")</f>
        <v>6.1166800630661271</v>
      </c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spans="1:30" ht="1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15" t="str">
        <f>Base_IFData!A510</f>
        <v>COOPERATIVA DE CRÉDITO E CAPTAÇÃO SICOOB UNICIDADES</v>
      </c>
      <c r="L509" s="15" t="str">
        <f>Base_IFData!F510</f>
        <v>b3S</v>
      </c>
      <c r="M509" s="17">
        <f>IF(AND(ISNUMBER(Base_IFData!L510),ISNUMBER(Base_IFData!W510)),IF(Base_IFData!L510&gt;$B$4,Base_IFData!W510,""),"")</f>
        <v>-5.0951379563708224E-2</v>
      </c>
      <c r="N509" s="50">
        <f>IF(AND(ISNUMBER(Base_IFData!O510),ISNUMBER(Base_IFData!Q510)),IF(Base_IFData!Q510&gt;0,Base_IFData!O510/Base_IFData!Q510,"PL ≤ 0"),"NI")</f>
        <v>5.6016747320682052</v>
      </c>
      <c r="O509" s="107">
        <f>IF(AND(ISNUMBER(Base_IFData!M510),ISNUMBER(Base_IFData!Q510)),IF(Base_IFData!Q510&gt;0,Base_IFData!M510/Base_IFData!Q510,"PL ≤ 0"),"NI")</f>
        <v>3.6102890876384</v>
      </c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spans="1:30" ht="1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12" t="str">
        <f>Base_IFData!A511</f>
        <v>OLIVEIRA TRUST DISTRIBUIDORA DE TÍTULOS E VALORES MOBILIARIOS S.A.</v>
      </c>
      <c r="L510" s="12" t="str">
        <f>Base_IFData!F511</f>
        <v>n2</v>
      </c>
      <c r="M510" s="14">
        <f>IF(AND(ISNUMBER(Base_IFData!L511),ISNUMBER(Base_IFData!W511)),IF(Base_IFData!L511&gt;$B$4,Base_IFData!W511,""),"")</f>
        <v>0.42964439122826115</v>
      </c>
      <c r="N510" s="51">
        <f>IF(AND(ISNUMBER(Base_IFData!O511),ISNUMBER(Base_IFData!Q511)),IF(Base_IFData!Q511&gt;0,Base_IFData!O511/Base_IFData!Q511,"PL ≤ 0"),"NI")</f>
        <v>7.5938758592971558</v>
      </c>
      <c r="O510" s="110">
        <f>IF(AND(ISNUMBER(Base_IFData!M511),ISNUMBER(Base_IFData!Q511)),IF(Base_IFData!Q511&gt;0,Base_IFData!M511/Base_IFData!Q511,"PL ≤ 0"),"NI")</f>
        <v>0</v>
      </c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spans="1:30" ht="1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15" t="str">
        <f>Base_IFData!A512</f>
        <v>SAFRA ASSET CORRETORA DE TÍTULOS E VALORES MOBILIÁRIOS S.A.</v>
      </c>
      <c r="L511" s="15" t="str">
        <f>Base_IFData!F512</f>
        <v>n2</v>
      </c>
      <c r="M511" s="17">
        <f>IF(AND(ISNUMBER(Base_IFData!L512),ISNUMBER(Base_IFData!W512)),IF(Base_IFData!L512&gt;$B$4,Base_IFData!W512,""),"")</f>
        <v>0.14064609344785062</v>
      </c>
      <c r="N511" s="50">
        <f>IF(AND(ISNUMBER(Base_IFData!O512),ISNUMBER(Base_IFData!Q512)),IF(Base_IFData!Q512&gt;0,Base_IFData!O512/Base_IFData!Q512,"PL ≤ 0"),"NI")</f>
        <v>0.23291423122857971</v>
      </c>
      <c r="O511" s="107">
        <f>IF(AND(ISNUMBER(Base_IFData!M512),ISNUMBER(Base_IFData!Q512)),IF(Base_IFData!Q512&gt;0,Base_IFData!M512/Base_IFData!Q512,"PL ≤ 0"),"NI")</f>
        <v>0</v>
      </c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spans="1:30" ht="1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12" t="str">
        <f>Base_IFData!A513</f>
        <v>COOPERATIVA DE CRÉDITO DE LIVRE ADMISSÃO DO VALE DO PARANAÍBA LTDA.</v>
      </c>
      <c r="L512" s="12" t="str">
        <f>Base_IFData!F513</f>
        <v>b3S</v>
      </c>
      <c r="M512" s="14">
        <f>IF(AND(ISNUMBER(Base_IFData!L513),ISNUMBER(Base_IFData!W513)),IF(Base_IFData!L513&gt;$B$4,Base_IFData!W513,""),"")</f>
        <v>-1.3609762218935024E-2</v>
      </c>
      <c r="N512" s="51">
        <f>IF(AND(ISNUMBER(Base_IFData!O513),ISNUMBER(Base_IFData!Q513)),IF(Base_IFData!Q513&gt;0,Base_IFData!O513/Base_IFData!Q513,"PL ≤ 0"),"NI")</f>
        <v>2.849676582767052</v>
      </c>
      <c r="O512" s="110">
        <f>IF(AND(ISNUMBER(Base_IFData!M513),ISNUMBER(Base_IFData!Q513)),IF(Base_IFData!Q513&gt;0,Base_IFData!M513/Base_IFData!Q513,"PL ≤ 0"),"NI")</f>
        <v>2.2510295733782555</v>
      </c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spans="1:30" ht="1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15" t="str">
        <f>Base_IFData!A514</f>
        <v>COOPERATIVA DE CRÉDITO E INVESTIMENTO COM INTERAÇÃO SOLIDÁRIA ORIGENS - CRESOL ORIGENS</v>
      </c>
      <c r="L513" s="15" t="str">
        <f>Base_IFData!F514</f>
        <v>b3S</v>
      </c>
      <c r="M513" s="17">
        <f>IF(AND(ISNUMBER(Base_IFData!L514),ISNUMBER(Base_IFData!W514)),IF(Base_IFData!L514&gt;$B$4,Base_IFData!W514,""),"")</f>
        <v>6.7373445316444083E-2</v>
      </c>
      <c r="N513" s="50">
        <f>IF(AND(ISNUMBER(Base_IFData!O514),ISNUMBER(Base_IFData!Q514)),IF(Base_IFData!Q514&gt;0,Base_IFData!O514/Base_IFData!Q514,"PL ≤ 0"),"NI")</f>
        <v>8.2290054614713846</v>
      </c>
      <c r="O513" s="107">
        <f>IF(AND(ISNUMBER(Base_IFData!M514),ISNUMBER(Base_IFData!Q514)),IF(Base_IFData!Q514&gt;0,Base_IFData!M514/Base_IFData!Q514,"PL ≤ 0"),"NI")</f>
        <v>7.1787323879021523</v>
      </c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spans="1:30" ht="1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12" t="str">
        <f>Base_IFData!A515</f>
        <v>SICOOB UNIMAIS METROPOLITANA - COOPERATIVA DE CRÉDITO DE LIVRE ADMISSÃO</v>
      </c>
      <c r="L514" s="12" t="str">
        <f>Base_IFData!F515</f>
        <v>b3S</v>
      </c>
      <c r="M514" s="14">
        <f>IF(AND(ISNUMBER(Base_IFData!L515),ISNUMBER(Base_IFData!W515)),IF(Base_IFData!L515&gt;$B$4,Base_IFData!W515,""),"")</f>
        <v>4.8150909747791931E-2</v>
      </c>
      <c r="N514" s="51">
        <f>IF(AND(ISNUMBER(Base_IFData!O515),ISNUMBER(Base_IFData!Q515)),IF(Base_IFData!Q515&gt;0,Base_IFData!O515/Base_IFData!Q515,"PL ≤ 0"),"NI")</f>
        <v>6.7283670661306321</v>
      </c>
      <c r="O514" s="110">
        <f>IF(AND(ISNUMBER(Base_IFData!M515),ISNUMBER(Base_IFData!Q515)),IF(Base_IFData!Q515&gt;0,Base_IFData!M515/Base_IFData!Q515,"PL ≤ 0"),"NI")</f>
        <v>5.7107025082442293</v>
      </c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spans="1:30" ht="1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15" t="str">
        <f>Base_IFData!A516</f>
        <v>COOPERATIVA DE CRÉDITO SICOOB CREDSEGURO LTDA.</v>
      </c>
      <c r="L515" s="15" t="str">
        <f>Base_IFData!F516</f>
        <v>b3S</v>
      </c>
      <c r="M515" s="17" t="str">
        <f>IF(AND(ISNUMBER(Base_IFData!L516),ISNUMBER(Base_IFData!W516)),IF(Base_IFData!L516&gt;$B$4,Base_IFData!W516,""),"")</f>
        <v/>
      </c>
      <c r="N515" s="50">
        <f>IF(AND(ISNUMBER(Base_IFData!O516),ISNUMBER(Base_IFData!Q516)),IF(Base_IFData!Q516&gt;0,Base_IFData!O516/Base_IFData!Q516,"PL ≤ 0"),"NI")</f>
        <v>3.3336410546713404</v>
      </c>
      <c r="O515" s="107">
        <f>IF(AND(ISNUMBER(Base_IFData!M516),ISNUMBER(Base_IFData!Q516)),IF(Base_IFData!Q516&gt;0,Base_IFData!M516/Base_IFData!Q516,"PL ≤ 0"),"NI")</f>
        <v>1.7122907095734721</v>
      </c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spans="1:30" ht="1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12" t="str">
        <f>Base_IFData!A517</f>
        <v>COOPERATIVA DE CRÉDITO DE LIVRE ADMISSÃO CREDINOVA LTDA. - SICOOB CREDINOVA</v>
      </c>
      <c r="L516" s="12" t="str">
        <f>Base_IFData!F517</f>
        <v>b3S</v>
      </c>
      <c r="M516" s="14" t="str">
        <f>IF(AND(ISNUMBER(Base_IFData!L517),ISNUMBER(Base_IFData!W517)),IF(Base_IFData!L517&gt;$B$4,Base_IFData!W517,""),"")</f>
        <v/>
      </c>
      <c r="N516" s="51">
        <f>IF(AND(ISNUMBER(Base_IFData!O517),ISNUMBER(Base_IFData!Q517)),IF(Base_IFData!Q517&gt;0,Base_IFData!O517/Base_IFData!Q517,"PL ≤ 0"),"NI")</f>
        <v>6.068918443155936</v>
      </c>
      <c r="O516" s="110">
        <f>IF(AND(ISNUMBER(Base_IFData!M517),ISNUMBER(Base_IFData!Q517)),IF(Base_IFData!Q517&gt;0,Base_IFData!M517/Base_IFData!Q517,"PL ≤ 0"),"NI")</f>
        <v>2.591044625985242</v>
      </c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spans="1:30" ht="1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15" t="str">
        <f>Base_IFData!A518</f>
        <v>COOPERATIVA DE CRÉDITO MÚTUO DOS ADVOGADOS DE SANTA CATARINA</v>
      </c>
      <c r="L517" s="15" t="str">
        <f>Base_IFData!F518</f>
        <v>b3S</v>
      </c>
      <c r="M517" s="17" t="str">
        <f>IF(AND(ISNUMBER(Base_IFData!L518),ISNUMBER(Base_IFData!W518)),IF(Base_IFData!L518&gt;$B$4,Base_IFData!W518,""),"")</f>
        <v/>
      </c>
      <c r="N517" s="50">
        <f>IF(AND(ISNUMBER(Base_IFData!O518),ISNUMBER(Base_IFData!Q518)),IF(Base_IFData!Q518&gt;0,Base_IFData!O518/Base_IFData!Q518,"PL ≤ 0"),"NI")</f>
        <v>6.8413717644615888</v>
      </c>
      <c r="O517" s="107">
        <f>IF(AND(ISNUMBER(Base_IFData!M518),ISNUMBER(Base_IFData!Q518)),IF(Base_IFData!Q518&gt;0,Base_IFData!M518/Base_IFData!Q518,"PL ≤ 0"),"NI")</f>
        <v>2.3623323829376015</v>
      </c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spans="1:30" ht="1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12" t="str">
        <f>Base_IFData!A519</f>
        <v>COOPERATIVA DE CREDITO DE LIVRE ADMISSAO DO VALE DO AÇO LTDA - SICOOB VALE DO AÇO</v>
      </c>
      <c r="L518" s="12" t="str">
        <f>Base_IFData!F519</f>
        <v>b3S</v>
      </c>
      <c r="M518" s="14" t="str">
        <f>IF(AND(ISNUMBER(Base_IFData!L519),ISNUMBER(Base_IFData!W519)),IF(Base_IFData!L519&gt;$B$4,Base_IFData!W519,""),"")</f>
        <v/>
      </c>
      <c r="N518" s="51">
        <f>IF(AND(ISNUMBER(Base_IFData!O519),ISNUMBER(Base_IFData!Q519)),IF(Base_IFData!Q519&gt;0,Base_IFData!O519/Base_IFData!Q519,"PL ≤ 0"),"NI")</f>
        <v>6.0119102054814091</v>
      </c>
      <c r="O518" s="110">
        <f>IF(AND(ISNUMBER(Base_IFData!M519),ISNUMBER(Base_IFData!Q519)),IF(Base_IFData!Q519&gt;0,Base_IFData!M519/Base_IFData!Q519,"PL ≤ 0"),"NI")</f>
        <v>2.335907804864108</v>
      </c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spans="1:30" ht="1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15" t="str">
        <f>Base_IFData!A520</f>
        <v>COOPERATIVA DE CRÉDITO CREDIPEU LTDA.  - SICOOB CREDIPEU</v>
      </c>
      <c r="L519" s="15" t="str">
        <f>Base_IFData!F520</f>
        <v>b3S</v>
      </c>
      <c r="M519" s="17" t="str">
        <f>IF(AND(ISNUMBER(Base_IFData!L520),ISNUMBER(Base_IFData!W520)),IF(Base_IFData!L520&gt;$B$4,Base_IFData!W520,""),"")</f>
        <v/>
      </c>
      <c r="N519" s="50">
        <f>IF(AND(ISNUMBER(Base_IFData!O520),ISNUMBER(Base_IFData!Q520)),IF(Base_IFData!Q520&gt;0,Base_IFData!O520/Base_IFData!Q520,"PL ≤ 0"),"NI")</f>
        <v>5.6462088941898108</v>
      </c>
      <c r="O519" s="107">
        <f>IF(AND(ISNUMBER(Base_IFData!M520),ISNUMBER(Base_IFData!Q520)),IF(Base_IFData!Q520&gt;0,Base_IFData!M520/Base_IFData!Q520,"PL ≤ 0"),"NI")</f>
        <v>2.4199693303799625</v>
      </c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spans="1:30" ht="1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12" t="str">
        <f>Base_IFData!A521</f>
        <v>COOPERATIVA DE CRÉDITO SICOOB EXTREMO SUL LTDA.</v>
      </c>
      <c r="L520" s="12" t="str">
        <f>Base_IFData!F521</f>
        <v>b3S</v>
      </c>
      <c r="M520" s="14" t="str">
        <f>IF(AND(ISNUMBER(Base_IFData!L521),ISNUMBER(Base_IFData!W521)),IF(Base_IFData!L521&gt;$B$4,Base_IFData!W521,""),"")</f>
        <v/>
      </c>
      <c r="N520" s="51">
        <f>IF(AND(ISNUMBER(Base_IFData!O521),ISNUMBER(Base_IFData!Q521)),IF(Base_IFData!Q521&gt;0,Base_IFData!O521/Base_IFData!Q521,"PL ≤ 0"),"NI")</f>
        <v>3.3827279439572115</v>
      </c>
      <c r="O520" s="110">
        <f>IF(AND(ISNUMBER(Base_IFData!M521),ISNUMBER(Base_IFData!Q521)),IF(Base_IFData!Q521&gt;0,Base_IFData!M521/Base_IFData!Q521,"PL ≤ 0"),"NI")</f>
        <v>1.5700714941742153</v>
      </c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spans="1:30" ht="1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15" t="str">
        <f>Base_IFData!A522</f>
        <v>COOPERATIVA DE CRÉDITO SICOOB UNIMAIS CENTRO LESTE PAULISTA - SICOOB UNIMAIS CLP</v>
      </c>
      <c r="L521" s="15" t="str">
        <f>Base_IFData!F522</f>
        <v>b3S</v>
      </c>
      <c r="M521" s="17" t="str">
        <f>IF(AND(ISNUMBER(Base_IFData!L522),ISNUMBER(Base_IFData!W522)),IF(Base_IFData!L522&gt;$B$4,Base_IFData!W522,""),"")</f>
        <v/>
      </c>
      <c r="N521" s="50">
        <f>IF(AND(ISNUMBER(Base_IFData!O522),ISNUMBER(Base_IFData!Q522)),IF(Base_IFData!Q522&gt;0,Base_IFData!O522/Base_IFData!Q522,"PL ≤ 0"),"NI")</f>
        <v>6.2932104627399736</v>
      </c>
      <c r="O521" s="107">
        <f>IF(AND(ISNUMBER(Base_IFData!M522),ISNUMBER(Base_IFData!Q522)),IF(Base_IFData!Q522&gt;0,Base_IFData!M522/Base_IFData!Q522,"PL ≤ 0"),"NI")</f>
        <v>4.8902141625325726</v>
      </c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spans="1:30" ht="1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12" t="str">
        <f>Base_IFData!A523</f>
        <v>INTER DISTRIBUIDORA DE TITULOS E VALORES MOBILIARIOS LTDA</v>
      </c>
      <c r="L522" s="12" t="str">
        <f>Base_IFData!F523</f>
        <v>n2</v>
      </c>
      <c r="M522" s="14" t="str">
        <f>IF(AND(ISNUMBER(Base_IFData!L523),ISNUMBER(Base_IFData!W523)),IF(Base_IFData!L523&gt;$B$4,Base_IFData!W523,""),"")</f>
        <v/>
      </c>
      <c r="N522" s="51">
        <f>IF(AND(ISNUMBER(Base_IFData!O523),ISNUMBER(Base_IFData!Q523)),IF(Base_IFData!Q523&gt;0,Base_IFData!O523/Base_IFData!Q523,"PL ≤ 0"),"NI")</f>
        <v>1.0817473260524466</v>
      </c>
      <c r="O522" s="110">
        <f>IF(AND(ISNUMBER(Base_IFData!M523),ISNUMBER(Base_IFData!Q523)),IF(Base_IFData!Q523&gt;0,Base_IFData!M523/Base_IFData!Q523,"PL ≤ 0"),"NI")</f>
        <v>0</v>
      </c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spans="1:30" ht="1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15" t="str">
        <f>Base_IFData!A524</f>
        <v>COOPERATIVA DE CRÉDITO DE LIVRE ADMISSÃO DA REGIÃO LESTE DA BACIA DO RIO DOCE LTDA   SICOOB CREDILESTE</v>
      </c>
      <c r="L523" s="15" t="str">
        <f>Base_IFData!F524</f>
        <v>b3S</v>
      </c>
      <c r="M523" s="17" t="str">
        <f>IF(AND(ISNUMBER(Base_IFData!L524),ISNUMBER(Base_IFData!W524)),IF(Base_IFData!L524&gt;$B$4,Base_IFData!W524,""),"")</f>
        <v/>
      </c>
      <c r="N523" s="50">
        <f>IF(AND(ISNUMBER(Base_IFData!O524),ISNUMBER(Base_IFData!Q524)),IF(Base_IFData!Q524&gt;0,Base_IFData!O524/Base_IFData!Q524,"PL ≤ 0"),"NI")</f>
        <v>5.5652827649655681</v>
      </c>
      <c r="O523" s="107">
        <f>IF(AND(ISNUMBER(Base_IFData!M524),ISNUMBER(Base_IFData!Q524)),IF(Base_IFData!Q524&gt;0,Base_IFData!M524/Base_IFData!Q524,"PL ≤ 0"),"NI")</f>
        <v>4.2028959636391097</v>
      </c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spans="1:30" ht="1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12" t="str">
        <f>Base_IFData!A525</f>
        <v>COOPERATIVA DE CRÉDITO DE LIVRE ADMISSÃO DE BELO HORIZONTE E CIDADES POLO DO ESTADO DE MINAS GERAIS LTDA. - SICOOB NOSSACOOP</v>
      </c>
      <c r="L524" s="12" t="str">
        <f>Base_IFData!F525</f>
        <v>b3S</v>
      </c>
      <c r="M524" s="14" t="str">
        <f>IF(AND(ISNUMBER(Base_IFData!L525),ISNUMBER(Base_IFData!W525)),IF(Base_IFData!L525&gt;$B$4,Base_IFData!W525,""),"")</f>
        <v/>
      </c>
      <c r="N524" s="51">
        <f>IF(AND(ISNUMBER(Base_IFData!O525),ISNUMBER(Base_IFData!Q525)),IF(Base_IFData!Q525&gt;0,Base_IFData!O525/Base_IFData!Q525,"PL ≤ 0"),"NI")</f>
        <v>7.8903677725648942</v>
      </c>
      <c r="O524" s="110">
        <f>IF(AND(ISNUMBER(Base_IFData!M525),ISNUMBER(Base_IFData!Q525)),IF(Base_IFData!Q525&gt;0,Base_IFData!M525/Base_IFData!Q525,"PL ≤ 0"),"NI")</f>
        <v>5.265163739471892</v>
      </c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spans="1:30" ht="1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15" t="str">
        <f>Base_IFData!A526</f>
        <v>JPMORGAN CHASE BANK, NATIONAL ASSOCIATION</v>
      </c>
      <c r="L525" s="15" t="str">
        <f>Base_IFData!F526</f>
        <v>b1</v>
      </c>
      <c r="M525" s="17" t="str">
        <f>IF(AND(ISNUMBER(Base_IFData!L526),ISNUMBER(Base_IFData!W526)),IF(Base_IFData!L526&gt;$B$4,Base_IFData!W526,""),"")</f>
        <v/>
      </c>
      <c r="N525" s="50">
        <f>IF(AND(ISNUMBER(Base_IFData!O526),ISNUMBER(Base_IFData!Q526)),IF(Base_IFData!Q526&gt;0,Base_IFData!O526/Base_IFData!Q526,"PL ≤ 0"),"NI")</f>
        <v>0.62144861631741743</v>
      </c>
      <c r="O525" s="107">
        <f>IF(AND(ISNUMBER(Base_IFData!M526),ISNUMBER(Base_IFData!Q526)),IF(Base_IFData!Q526&gt;0,Base_IFData!M526/Base_IFData!Q526,"PL ≤ 0"),"NI")</f>
        <v>0</v>
      </c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spans="1:30" ht="1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12" t="str">
        <f>Base_IFData!A527</f>
        <v>COOPERATIVA DE CRÉDITO MÚTUO DOS EMPREGADOS DA EMBRAER- SICOOB COOPEREMB</v>
      </c>
      <c r="L526" s="12" t="str">
        <f>Base_IFData!F527</f>
        <v>b3S</v>
      </c>
      <c r="M526" s="14" t="str">
        <f>IF(AND(ISNUMBER(Base_IFData!L527),ISNUMBER(Base_IFData!W527)),IF(Base_IFData!L527&gt;$B$4,Base_IFData!W527,""),"")</f>
        <v/>
      </c>
      <c r="N526" s="51">
        <f>IF(AND(ISNUMBER(Base_IFData!O527),ISNUMBER(Base_IFData!Q527)),IF(Base_IFData!Q527&gt;0,Base_IFData!O527/Base_IFData!Q527,"PL ≤ 0"),"NI")</f>
        <v>1.0389790124599394</v>
      </c>
      <c r="O526" s="110">
        <f>IF(AND(ISNUMBER(Base_IFData!M527),ISNUMBER(Base_IFData!Q527)),IF(Base_IFData!Q527&gt;0,Base_IFData!M527/Base_IFData!Q527,"PL ≤ 0"),"NI")</f>
        <v>1.1578359437720751</v>
      </c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spans="1:30" ht="1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15" t="str">
        <f>Base_IFData!A528</f>
        <v>COOPERATIVA DE CRÉDITO CREDPLUS LTDA. - SICOOB CREDPLUS</v>
      </c>
      <c r="L527" s="15" t="str">
        <f>Base_IFData!F528</f>
        <v>b3S</v>
      </c>
      <c r="M527" s="17" t="str">
        <f>IF(AND(ISNUMBER(Base_IFData!L528),ISNUMBER(Base_IFData!W528)),IF(Base_IFData!L528&gt;$B$4,Base_IFData!W528,""),"")</f>
        <v/>
      </c>
      <c r="N527" s="50">
        <f>IF(AND(ISNUMBER(Base_IFData!O528),ISNUMBER(Base_IFData!Q528)),IF(Base_IFData!Q528&gt;0,Base_IFData!O528/Base_IFData!Q528,"PL ≤ 0"),"NI")</f>
        <v>7.8606717611515906</v>
      </c>
      <c r="O527" s="107">
        <f>IF(AND(ISNUMBER(Base_IFData!M528),ISNUMBER(Base_IFData!Q528)),IF(Base_IFData!Q528&gt;0,Base_IFData!M528/Base_IFData!Q528,"PL ≤ 0"),"NI")</f>
        <v>4.1131854872653468</v>
      </c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spans="1:30" ht="1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12" t="str">
        <f>Base_IFData!A529</f>
        <v>BULLLA INSTITUICAO DE PAGAMENTO S.A.</v>
      </c>
      <c r="L528" s="12" t="str">
        <f>Base_IFData!F529</f>
        <v>n4</v>
      </c>
      <c r="M528" s="14" t="str">
        <f>IF(AND(ISNUMBER(Base_IFData!L529),ISNUMBER(Base_IFData!W529)),IF(Base_IFData!L529&gt;$B$4,Base_IFData!W529,""),"")</f>
        <v/>
      </c>
      <c r="N528" s="51">
        <f>IF(AND(ISNUMBER(Base_IFData!O529),ISNUMBER(Base_IFData!Q529)),IF(Base_IFData!Q529&gt;0,Base_IFData!O529/Base_IFData!Q529,"PL ≤ 0"),"NI")</f>
        <v>2.5242436583880403</v>
      </c>
      <c r="O528" s="110">
        <f>IF(AND(ISNUMBER(Base_IFData!M529),ISNUMBER(Base_IFData!Q529)),IF(Base_IFData!Q529&gt;0,Base_IFData!M529/Base_IFData!Q529,"PL ≤ 0"),"NI")</f>
        <v>0.39505748457799184</v>
      </c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spans="1:30" ht="1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15" t="str">
        <f>Base_IFData!A530</f>
        <v>COOPERATIVA DE CRÉDITO DE LIVRE ADMISSÃO DO VALE DO ARAGUAIA LTDA.</v>
      </c>
      <c r="L529" s="15" t="str">
        <f>Base_IFData!F530</f>
        <v>b3S</v>
      </c>
      <c r="M529" s="17" t="str">
        <f>IF(AND(ISNUMBER(Base_IFData!L530),ISNUMBER(Base_IFData!W530)),IF(Base_IFData!L530&gt;$B$4,Base_IFData!W530,""),"")</f>
        <v/>
      </c>
      <c r="N529" s="50">
        <f>IF(AND(ISNUMBER(Base_IFData!O530),ISNUMBER(Base_IFData!Q530)),IF(Base_IFData!Q530&gt;0,Base_IFData!O530/Base_IFData!Q530,"PL ≤ 0"),"NI")</f>
        <v>1.5751032942032195</v>
      </c>
      <c r="O529" s="107">
        <f>IF(AND(ISNUMBER(Base_IFData!M530),ISNUMBER(Base_IFData!Q530)),IF(Base_IFData!Q530&gt;0,Base_IFData!M530/Base_IFData!Q530,"PL ≤ 0"),"NI")</f>
        <v>1.1009316303120291</v>
      </c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spans="1:30" ht="1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12" t="str">
        <f>Base_IFData!A531</f>
        <v>COOPERATIVA DE CRÉDITO UNIÃO CENTRO OESTE LTDA. - SICOOB UNIÃO CENTRO OESTE</v>
      </c>
      <c r="L530" s="12" t="str">
        <f>Base_IFData!F531</f>
        <v>b3S</v>
      </c>
      <c r="M530" s="14" t="str">
        <f>IF(AND(ISNUMBER(Base_IFData!L531),ISNUMBER(Base_IFData!W531)),IF(Base_IFData!L531&gt;$B$4,Base_IFData!W531,""),"")</f>
        <v/>
      </c>
      <c r="N530" s="51">
        <f>IF(AND(ISNUMBER(Base_IFData!O531),ISNUMBER(Base_IFData!Q531)),IF(Base_IFData!Q531&gt;0,Base_IFData!O531/Base_IFData!Q531,"PL ≤ 0"),"NI")</f>
        <v>4.843968808685811</v>
      </c>
      <c r="O530" s="110">
        <f>IF(AND(ISNUMBER(Base_IFData!M531),ISNUMBER(Base_IFData!Q531)),IF(Base_IFData!Q531&gt;0,Base_IFData!M531/Base_IFData!Q531,"PL ≤ 0"),"NI")</f>
        <v>2.1387690126481527</v>
      </c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spans="1:30" ht="1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15" t="str">
        <f>Base_IFData!A532</f>
        <v>BMG LEASING S.A. ARRENDAMENTO MERCANTIL</v>
      </c>
      <c r="L531" s="15" t="str">
        <f>Base_IFData!F532</f>
        <v>n1</v>
      </c>
      <c r="M531" s="17" t="str">
        <f>IF(AND(ISNUMBER(Base_IFData!L532),ISNUMBER(Base_IFData!W532)),IF(Base_IFData!L532&gt;$B$4,Base_IFData!W532,""),"")</f>
        <v/>
      </c>
      <c r="N531" s="50">
        <f>IF(AND(ISNUMBER(Base_IFData!O532),ISNUMBER(Base_IFData!Q532)),IF(Base_IFData!Q532&gt;0,Base_IFData!O532/Base_IFData!Q532,"PL ≤ 0"),"NI")</f>
        <v>0.21559079978088549</v>
      </c>
      <c r="O531" s="107">
        <f>IF(AND(ISNUMBER(Base_IFData!M532),ISNUMBER(Base_IFData!Q532)),IF(Base_IFData!Q532&gt;0,Base_IFData!M532/Base_IFData!Q532,"PL ≤ 0"),"NI")</f>
        <v>0</v>
      </c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spans="1:30" ht="1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12" t="str">
        <f>Base_IFData!A533</f>
        <v>COOPERATIVA DE CRÉDITO DO CENTRO SUL MINEIRO LTDA. - SICOOB CENTRO SUL MINEIRO</v>
      </c>
      <c r="L532" s="12" t="str">
        <f>Base_IFData!F533</f>
        <v>b3S</v>
      </c>
      <c r="M532" s="14" t="str">
        <f>IF(AND(ISNUMBER(Base_IFData!L533),ISNUMBER(Base_IFData!W533)),IF(Base_IFData!L533&gt;$B$4,Base_IFData!W533,""),"")</f>
        <v/>
      </c>
      <c r="N532" s="51">
        <f>IF(AND(ISNUMBER(Base_IFData!O533),ISNUMBER(Base_IFData!Q533)),IF(Base_IFData!Q533&gt;0,Base_IFData!O533/Base_IFData!Q533,"PL ≤ 0"),"NI")</f>
        <v>4.7707713625866051</v>
      </c>
      <c r="O532" s="110">
        <f>IF(AND(ISNUMBER(Base_IFData!M533),ISNUMBER(Base_IFData!Q533)),IF(Base_IFData!Q533&gt;0,Base_IFData!M533/Base_IFData!Q533,"PL ≤ 0"),"NI")</f>
        <v>2.3854657428791377</v>
      </c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spans="1:30" ht="1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15" t="str">
        <f>Base_IFData!A534</f>
        <v>CSILATINA ARRENDAMENTO MERCANTIL S.A.</v>
      </c>
      <c r="L533" s="15" t="str">
        <f>Base_IFData!F534</f>
        <v>n1</v>
      </c>
      <c r="M533" s="17" t="str">
        <f>IF(AND(ISNUMBER(Base_IFData!L534),ISNUMBER(Base_IFData!W534)),IF(Base_IFData!L534&gt;$B$4,Base_IFData!W534,""),"")</f>
        <v/>
      </c>
      <c r="N533" s="50">
        <f>IF(AND(ISNUMBER(Base_IFData!O534),ISNUMBER(Base_IFData!Q534)),IF(Base_IFData!Q534&gt;0,Base_IFData!O534/Base_IFData!Q534,"PL ≤ 0"),"NI")</f>
        <v>5.0336067316551443</v>
      </c>
      <c r="O533" s="107">
        <f>IF(AND(ISNUMBER(Base_IFData!M534),ISNUMBER(Base_IFData!Q534)),IF(Base_IFData!Q534&gt;0,Base_IFData!M534/Base_IFData!Q534,"PL ≤ 0"),"NI")</f>
        <v>3.3097669563872762</v>
      </c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spans="1:30" ht="1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12" t="str">
        <f>Base_IFData!A535</f>
        <v>STRIPE BRASIL SOLUCOES DE PAGAMENTO INSTITUICAO DE PAGAMENTO LTDA</v>
      </c>
      <c r="L534" s="12" t="str">
        <f>Base_IFData!F535</f>
        <v>n4</v>
      </c>
      <c r="M534" s="14" t="str">
        <f>IF(AND(ISNUMBER(Base_IFData!L535),ISNUMBER(Base_IFData!W535)),IF(Base_IFData!L535&gt;$B$4,Base_IFData!W535,""),"")</f>
        <v/>
      </c>
      <c r="N534" s="51">
        <f>IF(AND(ISNUMBER(Base_IFData!O535),ISNUMBER(Base_IFData!Q535)),IF(Base_IFData!Q535&gt;0,Base_IFData!O535/Base_IFData!Q535,"PL ≤ 0"),"NI")</f>
        <v>10.79635116563489</v>
      </c>
      <c r="O534" s="110">
        <f>IF(AND(ISNUMBER(Base_IFData!M535),ISNUMBER(Base_IFData!Q535)),IF(Base_IFData!Q535&gt;0,Base_IFData!M535/Base_IFData!Q535,"PL ≤ 0"),"NI")</f>
        <v>0</v>
      </c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spans="1:30" ht="1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15" t="str">
        <f>Base_IFData!A536</f>
        <v>COOPERATIVA DE CRÉDITO RURAL COOPAVEL</v>
      </c>
      <c r="L535" s="15" t="str">
        <f>Base_IFData!F536</f>
        <v>b3S</v>
      </c>
      <c r="M535" s="17" t="str">
        <f>IF(AND(ISNUMBER(Base_IFData!L536),ISNUMBER(Base_IFData!W536)),IF(Base_IFData!L536&gt;$B$4,Base_IFData!W536,""),"")</f>
        <v/>
      </c>
      <c r="N535" s="50">
        <f>IF(AND(ISNUMBER(Base_IFData!O536),ISNUMBER(Base_IFData!Q536)),IF(Base_IFData!Q536&gt;0,Base_IFData!O536/Base_IFData!Q536,"PL ≤ 0"),"NI")</f>
        <v>2.1213853612857476</v>
      </c>
      <c r="O535" s="107">
        <f>IF(AND(ISNUMBER(Base_IFData!M536),ISNUMBER(Base_IFData!Q536)),IF(Base_IFData!Q536&gt;0,Base_IFData!M536/Base_IFData!Q536,"PL ≤ 0"),"NI")</f>
        <v>1.5262927539280515</v>
      </c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spans="1:30" ht="1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12" t="str">
        <f>Base_IFData!A537</f>
        <v>COOPERATIVA DE CRÉDITO DA REGIÃO DO CONTESTADO - CIVIA</v>
      </c>
      <c r="L536" s="12" t="str">
        <f>Base_IFData!F537</f>
        <v>b3S</v>
      </c>
      <c r="M536" s="14" t="str">
        <f>IF(AND(ISNUMBER(Base_IFData!L537),ISNUMBER(Base_IFData!W537)),IF(Base_IFData!L537&gt;$B$4,Base_IFData!W537,""),"")</f>
        <v/>
      </c>
      <c r="N536" s="51">
        <f>IF(AND(ISNUMBER(Base_IFData!O537),ISNUMBER(Base_IFData!Q537)),IF(Base_IFData!Q537&gt;0,Base_IFData!O537/Base_IFData!Q537,"PL ≤ 0"),"NI")</f>
        <v>6.9163123009382801</v>
      </c>
      <c r="O536" s="110">
        <f>IF(AND(ISNUMBER(Base_IFData!M537),ISNUMBER(Base_IFData!Q537)),IF(Base_IFData!Q537&gt;0,Base_IFData!M537/Base_IFData!Q537,"PL ≤ 0"),"NI")</f>
        <v>5.8166480158388572</v>
      </c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spans="1:30" ht="1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15" t="str">
        <f>Base_IFData!A538</f>
        <v>COOPERATIVA DE CRÉDITO E INVESTIMENTO COM INTERAÇÃO SOLIDÁRIA CONEXÃO - CRESOL CONEXÃO</v>
      </c>
      <c r="L537" s="15" t="str">
        <f>Base_IFData!F538</f>
        <v>b3S</v>
      </c>
      <c r="M537" s="17" t="str">
        <f>IF(AND(ISNUMBER(Base_IFData!L538),ISNUMBER(Base_IFData!W538)),IF(Base_IFData!L538&gt;$B$4,Base_IFData!W538,""),"")</f>
        <v/>
      </c>
      <c r="N537" s="50">
        <f>IF(AND(ISNUMBER(Base_IFData!O538),ISNUMBER(Base_IFData!Q538)),IF(Base_IFData!Q538&gt;0,Base_IFData!O538/Base_IFData!Q538,"PL ≤ 0"),"NI")</f>
        <v>7.6916690334185365</v>
      </c>
      <c r="O537" s="107">
        <f>IF(AND(ISNUMBER(Base_IFData!M538),ISNUMBER(Base_IFData!Q538)),IF(Base_IFData!Q538&gt;0,Base_IFData!M538/Base_IFData!Q538,"PL ≤ 0"),"NI")</f>
        <v>6.4730095616775536</v>
      </c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spans="1:30" ht="1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12" t="str">
        <f>Base_IFData!A539</f>
        <v>COOPERATIVA DE CRÉDITO CENTRO LESTE NORTE MARANHENSE - SICOOB CENTROLESTE</v>
      </c>
      <c r="L538" s="12" t="str">
        <f>Base_IFData!F539</f>
        <v>b3S</v>
      </c>
      <c r="M538" s="14" t="str">
        <f>IF(AND(ISNUMBER(Base_IFData!L539),ISNUMBER(Base_IFData!W539)),IF(Base_IFData!L539&gt;$B$4,Base_IFData!W539,""),"")</f>
        <v/>
      </c>
      <c r="N538" s="51">
        <f>IF(AND(ISNUMBER(Base_IFData!O539),ISNUMBER(Base_IFData!Q539)),IF(Base_IFData!Q539&gt;0,Base_IFData!O539/Base_IFData!Q539,"PL ≤ 0"),"NI")</f>
        <v>5.1725564803804991</v>
      </c>
      <c r="O538" s="110">
        <f>IF(AND(ISNUMBER(Base_IFData!M539),ISNUMBER(Base_IFData!Q539)),IF(Base_IFData!Q539&gt;0,Base_IFData!M539/Base_IFData!Q539,"PL ≤ 0"),"NI")</f>
        <v>4.367745880754204</v>
      </c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spans="1:30" ht="1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15" t="str">
        <f>Base_IFData!A540</f>
        <v>COOPERATIVA DE CRÉDITO SICOOB UNI SUDESTE</v>
      </c>
      <c r="L539" s="15" t="str">
        <f>Base_IFData!F540</f>
        <v>b3S</v>
      </c>
      <c r="M539" s="17" t="str">
        <f>IF(AND(ISNUMBER(Base_IFData!L540),ISNUMBER(Base_IFData!W540)),IF(Base_IFData!L540&gt;$B$4,Base_IFData!W540,""),"")</f>
        <v/>
      </c>
      <c r="N539" s="50">
        <f>IF(AND(ISNUMBER(Base_IFData!O540),ISNUMBER(Base_IFData!Q540)),IF(Base_IFData!Q540&gt;0,Base_IFData!O540/Base_IFData!Q540,"PL ≤ 0"),"NI")</f>
        <v>9.6461667078785318</v>
      </c>
      <c r="O539" s="107">
        <f>IF(AND(ISNUMBER(Base_IFData!M540),ISNUMBER(Base_IFData!Q540)),IF(Base_IFData!Q540&gt;0,Base_IFData!M540/Base_IFData!Q540,"PL ≤ 0"),"NI")</f>
        <v>4.6519245940631366</v>
      </c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spans="1:30" ht="1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12" t="str">
        <f>Base_IFData!A541</f>
        <v>COOPERATIVA DE CRÉDITO DE LIVRE ADMISSÃO DO TOCANTINS LTDA</v>
      </c>
      <c r="L540" s="12" t="str">
        <f>Base_IFData!F541</f>
        <v>b3S</v>
      </c>
      <c r="M540" s="14" t="str">
        <f>IF(AND(ISNUMBER(Base_IFData!L541),ISNUMBER(Base_IFData!W541)),IF(Base_IFData!L541&gt;$B$4,Base_IFData!W541,""),"")</f>
        <v/>
      </c>
      <c r="N540" s="51">
        <f>IF(AND(ISNUMBER(Base_IFData!O541),ISNUMBER(Base_IFData!Q541)),IF(Base_IFData!Q541&gt;0,Base_IFData!O541/Base_IFData!Q541,"PL ≤ 0"),"NI")</f>
        <v>5.8274848942598183</v>
      </c>
      <c r="O540" s="110">
        <f>IF(AND(ISNUMBER(Base_IFData!M541),ISNUMBER(Base_IFData!Q541)),IF(Base_IFData!Q541&gt;0,Base_IFData!M541/Base_IFData!Q541,"PL ≤ 0"),"NI")</f>
        <v>3.3190256797583082</v>
      </c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spans="1:30" ht="1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15" t="str">
        <f>Base_IFData!A542</f>
        <v>BANCO XCMG BRASIL S.A.</v>
      </c>
      <c r="L541" s="15" t="str">
        <f>Base_IFData!F542</f>
        <v>b2</v>
      </c>
      <c r="M541" s="17" t="str">
        <f>IF(AND(ISNUMBER(Base_IFData!L542),ISNUMBER(Base_IFData!W542)),IF(Base_IFData!L542&gt;$B$4,Base_IFData!W542,""),"")</f>
        <v/>
      </c>
      <c r="N541" s="50">
        <f>IF(AND(ISNUMBER(Base_IFData!O542),ISNUMBER(Base_IFData!Q542)),IF(Base_IFData!Q542&gt;0,Base_IFData!O542/Base_IFData!Q542,"PL ≤ 0"),"NI")</f>
        <v>2.3035876034603522</v>
      </c>
      <c r="O541" s="107">
        <f>IF(AND(ISNUMBER(Base_IFData!M542),ISNUMBER(Base_IFData!Q542)),IF(Base_IFData!Q542&gt;0,Base_IFData!M542/Base_IFData!Q542,"PL ≤ 0"),"NI")</f>
        <v>3.0378746484089936</v>
      </c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spans="1:30" ht="1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12" t="str">
        <f>Base_IFData!A543</f>
        <v>COOPERATIVA DE CRÉDITO SICOOB 3 COLINAS</v>
      </c>
      <c r="L542" s="12" t="str">
        <f>Base_IFData!F543</f>
        <v>b3S</v>
      </c>
      <c r="M542" s="14" t="str">
        <f>IF(AND(ISNUMBER(Base_IFData!L543),ISNUMBER(Base_IFData!W543)),IF(Base_IFData!L543&gt;$B$4,Base_IFData!W543,""),"")</f>
        <v/>
      </c>
      <c r="N542" s="51">
        <f>IF(AND(ISNUMBER(Base_IFData!O543),ISNUMBER(Base_IFData!Q543)),IF(Base_IFData!Q543&gt;0,Base_IFData!O543/Base_IFData!Q543,"PL ≤ 0"),"NI")</f>
        <v>9.0836488657685699</v>
      </c>
      <c r="O542" s="110">
        <f>IF(AND(ISNUMBER(Base_IFData!M543),ISNUMBER(Base_IFData!Q543)),IF(Base_IFData!Q543&gt;0,Base_IFData!M543/Base_IFData!Q543,"PL ≤ 0"),"NI")</f>
        <v>5.7856364392211495</v>
      </c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spans="1:30" ht="1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15" t="str">
        <f>Base_IFData!A544</f>
        <v>SICOOB AC CREDI - COOPERATIVA DE CRÉDITO DE LIVRE ADMISSÃO DO LESTE E NORDESTE MINEIRO LTDA.</v>
      </c>
      <c r="L543" s="15" t="str">
        <f>Base_IFData!F544</f>
        <v>b3S</v>
      </c>
      <c r="M543" s="17" t="str">
        <f>IF(AND(ISNUMBER(Base_IFData!L544),ISNUMBER(Base_IFData!W544)),IF(Base_IFData!L544&gt;$B$4,Base_IFData!W544,""),"")</f>
        <v/>
      </c>
      <c r="N543" s="50">
        <f>IF(AND(ISNUMBER(Base_IFData!O544),ISNUMBER(Base_IFData!Q544)),IF(Base_IFData!Q544&gt;0,Base_IFData!O544/Base_IFData!Q544,"PL ≤ 0"),"NI")</f>
        <v>6.3999421989182936</v>
      </c>
      <c r="O543" s="107">
        <f>IF(AND(ISNUMBER(Base_IFData!M544),ISNUMBER(Base_IFData!Q544)),IF(Base_IFData!Q544&gt;0,Base_IFData!M544/Base_IFData!Q544,"PL ≤ 0"),"NI")</f>
        <v>2.4956938194129061</v>
      </c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spans="1:30" ht="1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12" t="str">
        <f>Base_IFData!A545</f>
        <v>UNIPRIME PIONEIRA COOPERATIVA DE CRÉDITO</v>
      </c>
      <c r="L544" s="12" t="str">
        <f>Base_IFData!F545</f>
        <v>b3S</v>
      </c>
      <c r="M544" s="14" t="str">
        <f>IF(AND(ISNUMBER(Base_IFData!L545),ISNUMBER(Base_IFData!W545)),IF(Base_IFData!L545&gt;$B$4,Base_IFData!W545,""),"")</f>
        <v/>
      </c>
      <c r="N544" s="51">
        <f>IF(AND(ISNUMBER(Base_IFData!O545),ISNUMBER(Base_IFData!Q545)),IF(Base_IFData!Q545&gt;0,Base_IFData!O545/Base_IFData!Q545,"PL ≤ 0"),"NI")</f>
        <v>11.968537007164553</v>
      </c>
      <c r="O544" s="110">
        <f>IF(AND(ISNUMBER(Base_IFData!M545),ISNUMBER(Base_IFData!Q545)),IF(Base_IFData!Q545&gt;0,Base_IFData!M545/Base_IFData!Q545,"PL ≤ 0"),"NI")</f>
        <v>7.615090610512854</v>
      </c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spans="1:30" ht="1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15" t="str">
        <f>Base_IFData!A546</f>
        <v>COOPERATIVA DE CRÉDITO COOCRELIVRE</v>
      </c>
      <c r="L545" s="15" t="str">
        <f>Base_IFData!F546</f>
        <v>b3S</v>
      </c>
      <c r="M545" s="17" t="str">
        <f>IF(AND(ISNUMBER(Base_IFData!L546),ISNUMBER(Base_IFData!W546)),IF(Base_IFData!L546&gt;$B$4,Base_IFData!W546,""),"")</f>
        <v/>
      </c>
      <c r="N545" s="50">
        <f>IF(AND(ISNUMBER(Base_IFData!O546),ISNUMBER(Base_IFData!Q546)),IF(Base_IFData!Q546&gt;0,Base_IFData!O546/Base_IFData!Q546,"PL ≤ 0"),"NI")</f>
        <v>2.0716512299915175</v>
      </c>
      <c r="O545" s="107">
        <f>IF(AND(ISNUMBER(Base_IFData!M546),ISNUMBER(Base_IFData!Q546)),IF(Base_IFData!Q546&gt;0,Base_IFData!M546/Base_IFData!Q546,"PL ≤ 0"),"NI")</f>
        <v>0.92781773918800559</v>
      </c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spans="1:30" ht="1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12" t="str">
        <f>Base_IFData!A547</f>
        <v>COOPERATIVA DE CRÉDITO CREDIMATA LTDA. - SICOOB CREDIMATA</v>
      </c>
      <c r="L546" s="12" t="str">
        <f>Base_IFData!F547</f>
        <v>b3S</v>
      </c>
      <c r="M546" s="14" t="str">
        <f>IF(AND(ISNUMBER(Base_IFData!L547),ISNUMBER(Base_IFData!W547)),IF(Base_IFData!L547&gt;$B$4,Base_IFData!W547,""),"")</f>
        <v/>
      </c>
      <c r="N546" s="51">
        <f>IF(AND(ISNUMBER(Base_IFData!O547),ISNUMBER(Base_IFData!Q547)),IF(Base_IFData!Q547&gt;0,Base_IFData!O547/Base_IFData!Q547,"PL ≤ 0"),"NI")</f>
        <v>6.3137575349440729</v>
      </c>
      <c r="O546" s="110">
        <f>IF(AND(ISNUMBER(Base_IFData!M547),ISNUMBER(Base_IFData!Q547)),IF(Base_IFData!Q547&gt;0,Base_IFData!M547/Base_IFData!Q547,"PL ≤ 0"),"NI")</f>
        <v>2.9148366539099584</v>
      </c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spans="1:30" ht="1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15" t="str">
        <f>Base_IFData!A548</f>
        <v>COOPERATIVA DE CRÉDITO CREDIJEQUITINHONHA LTDA. - SICOOB CREDIJEQUITINHONHA</v>
      </c>
      <c r="L547" s="15" t="str">
        <f>Base_IFData!F548</f>
        <v>b3S</v>
      </c>
      <c r="M547" s="17" t="str">
        <f>IF(AND(ISNUMBER(Base_IFData!L548),ISNUMBER(Base_IFData!W548)),IF(Base_IFData!L548&gt;$B$4,Base_IFData!W548,""),"")</f>
        <v/>
      </c>
      <c r="N547" s="50">
        <f>IF(AND(ISNUMBER(Base_IFData!O548),ISNUMBER(Base_IFData!Q548)),IF(Base_IFData!Q548&gt;0,Base_IFData!O548/Base_IFData!Q548,"PL ≤ 0"),"NI")</f>
        <v>4.2632898396743348</v>
      </c>
      <c r="O547" s="107">
        <f>IF(AND(ISNUMBER(Base_IFData!M548),ISNUMBER(Base_IFData!Q548)),IF(Base_IFData!Q548&gt;0,Base_IFData!M548/Base_IFData!Q548,"PL ≤ 0"),"NI")</f>
        <v>1.6498263039144294</v>
      </c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spans="1:30" ht="1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12" t="str">
        <f>Base_IFData!A549</f>
        <v>MIRAE ASSET (BRASIL) CORRETORA DE CÂMBIO, TÍTULOS  E VALORES MOBILIÁRIOS LTDA.</v>
      </c>
      <c r="L548" s="12" t="str">
        <f>Base_IFData!F549</f>
        <v>n2</v>
      </c>
      <c r="M548" s="14" t="str">
        <f>IF(AND(ISNUMBER(Base_IFData!L549),ISNUMBER(Base_IFData!W549)),IF(Base_IFData!L549&gt;$B$4,Base_IFData!W549,""),"")</f>
        <v/>
      </c>
      <c r="N548" s="51">
        <f>IF(AND(ISNUMBER(Base_IFData!O549),ISNUMBER(Base_IFData!Q549)),IF(Base_IFData!Q549&gt;0,Base_IFData!O549/Base_IFData!Q549,"PL ≤ 0"),"NI")</f>
        <v>1.1792275834539194</v>
      </c>
      <c r="O548" s="110">
        <f>IF(AND(ISNUMBER(Base_IFData!M549),ISNUMBER(Base_IFData!Q549)),IF(Base_IFData!Q549&gt;0,Base_IFData!M549/Base_IFData!Q549,"PL ≤ 0"),"NI")</f>
        <v>0</v>
      </c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spans="1:30" ht="1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15" t="str">
        <f>Base_IFData!A550</f>
        <v>REDECARD SOCIEDADE DE CRÉDITO DIRETO S.A.</v>
      </c>
      <c r="L549" s="15" t="str">
        <f>Base_IFData!F550</f>
        <v>n1</v>
      </c>
      <c r="M549" s="17" t="str">
        <f>IF(AND(ISNUMBER(Base_IFData!L550),ISNUMBER(Base_IFData!W550)),IF(Base_IFData!L550&gt;$B$4,Base_IFData!W550,""),"")</f>
        <v/>
      </c>
      <c r="N549" s="50">
        <f>IF(AND(ISNUMBER(Base_IFData!O550),ISNUMBER(Base_IFData!Q550)),IF(Base_IFData!Q550&gt;0,Base_IFData!O550/Base_IFData!Q550,"PL ≤ 0"),"NI")</f>
        <v>4.1331323565799369E-2</v>
      </c>
      <c r="O549" s="107">
        <f>IF(AND(ISNUMBER(Base_IFData!M550),ISNUMBER(Base_IFData!Q550)),IF(Base_IFData!Q550&gt;0,Base_IFData!M550/Base_IFData!Q550,"PL ≤ 0"),"NI")</f>
        <v>0</v>
      </c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spans="1:30" ht="1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12" t="str">
        <f>Base_IFData!A551</f>
        <v>COOPERATIVA DE CRÉDITO CREDIFIEMG LTDA. - SICOOB CREDIFIEMG</v>
      </c>
      <c r="L550" s="12" t="str">
        <f>Base_IFData!F551</f>
        <v>b3S</v>
      </c>
      <c r="M550" s="14" t="str">
        <f>IF(AND(ISNUMBER(Base_IFData!L551),ISNUMBER(Base_IFData!W551)),IF(Base_IFData!L551&gt;$B$4,Base_IFData!W551,""),"")</f>
        <v/>
      </c>
      <c r="N550" s="51">
        <f>IF(AND(ISNUMBER(Base_IFData!O551),ISNUMBER(Base_IFData!Q551)),IF(Base_IFData!Q551&gt;0,Base_IFData!O551/Base_IFData!Q551,"PL ≤ 0"),"NI")</f>
        <v>6.240695903951277</v>
      </c>
      <c r="O550" s="110">
        <f>IF(AND(ISNUMBER(Base_IFData!M551),ISNUMBER(Base_IFData!Q551)),IF(Base_IFData!Q551&gt;0,Base_IFData!M551/Base_IFData!Q551,"PL ≤ 0"),"NI")</f>
        <v>2.1188960720199019</v>
      </c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spans="1:30" ht="1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15" t="str">
        <f>Base_IFData!A552</f>
        <v>COOPERATIVA DE CREDITO DE LIVRE ADMISSAO DE PARA DE MINAS LTDA - SICOOB ASCICRED</v>
      </c>
      <c r="L551" s="15" t="str">
        <f>Base_IFData!F552</f>
        <v>b3S</v>
      </c>
      <c r="M551" s="17" t="str">
        <f>IF(AND(ISNUMBER(Base_IFData!L552),ISNUMBER(Base_IFData!W552)),IF(Base_IFData!L552&gt;$B$4,Base_IFData!W552,""),"")</f>
        <v/>
      </c>
      <c r="N551" s="50">
        <f>IF(AND(ISNUMBER(Base_IFData!O552),ISNUMBER(Base_IFData!Q552)),IF(Base_IFData!Q552&gt;0,Base_IFData!O552/Base_IFData!Q552,"PL ≤ 0"),"NI")</f>
        <v>8.3943294485997573</v>
      </c>
      <c r="O551" s="107">
        <f>IF(AND(ISNUMBER(Base_IFData!M552),ISNUMBER(Base_IFData!Q552)),IF(Base_IFData!Q552&gt;0,Base_IFData!M552/Base_IFData!Q552,"PL ≤ 0"),"NI")</f>
        <v>2.7661767263871977</v>
      </c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spans="1:30" ht="1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12" t="str">
        <f>Base_IFData!A553</f>
        <v>SANTANDER DISTRIBUIDORA DE TÍTULOS E VALORES MOBILIÁRIOS S.A.</v>
      </c>
      <c r="L552" s="12" t="str">
        <f>Base_IFData!F553</f>
        <v>n2</v>
      </c>
      <c r="M552" s="14" t="str">
        <f>IF(AND(ISNUMBER(Base_IFData!L553),ISNUMBER(Base_IFData!W553)),IF(Base_IFData!L553&gt;$B$4,Base_IFData!W553,""),"")</f>
        <v/>
      </c>
      <c r="N552" s="51">
        <f>IF(AND(ISNUMBER(Base_IFData!O553),ISNUMBER(Base_IFData!Q553)),IF(Base_IFData!Q553&gt;0,Base_IFData!O553/Base_IFData!Q553,"PL ≤ 0"),"NI")</f>
        <v>6.5387092873167199E-2</v>
      </c>
      <c r="O552" s="110">
        <f>IF(AND(ISNUMBER(Base_IFData!M553),ISNUMBER(Base_IFData!Q553)),IF(Base_IFData!Q553&gt;0,Base_IFData!M553/Base_IFData!Q553,"PL ≤ 0"),"NI")</f>
        <v>0</v>
      </c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spans="1:30" ht="1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15" t="str">
        <f>Base_IFData!A554</f>
        <v>COOPERATIVA DE CRÉDITO E ECONOMIA COM INTERAÇÃO SOLIDÁRIA - CRESOL INTERAÇÃO</v>
      </c>
      <c r="L553" s="15" t="str">
        <f>Base_IFData!F554</f>
        <v>b3S</v>
      </c>
      <c r="M553" s="17" t="str">
        <f>IF(AND(ISNUMBER(Base_IFData!L554),ISNUMBER(Base_IFData!W554)),IF(Base_IFData!L554&gt;$B$4,Base_IFData!W554,""),"")</f>
        <v/>
      </c>
      <c r="N553" s="50">
        <f>IF(AND(ISNUMBER(Base_IFData!O554),ISNUMBER(Base_IFData!Q554)),IF(Base_IFData!Q554&gt;0,Base_IFData!O554/Base_IFData!Q554,"PL ≤ 0"),"NI")</f>
        <v>5.4162316938586814</v>
      </c>
      <c r="O553" s="107">
        <f>IF(AND(ISNUMBER(Base_IFData!M554),ISNUMBER(Base_IFData!Q554)),IF(Base_IFData!Q554&gt;0,Base_IFData!M554/Base_IFData!Q554,"PL ≤ 0"),"NI")</f>
        <v>4.6056238255734181</v>
      </c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spans="1:30" ht="1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12" t="str">
        <f>Base_IFData!A555</f>
        <v>SENFFNET INSTITUIÇÃO DE PAGAMENTO LTDA.</v>
      </c>
      <c r="L554" s="12" t="str">
        <f>Base_IFData!F555</f>
        <v>n4</v>
      </c>
      <c r="M554" s="14" t="str">
        <f>IF(AND(ISNUMBER(Base_IFData!L555),ISNUMBER(Base_IFData!W555)),IF(Base_IFData!L555&gt;$B$4,Base_IFData!W555,""),"")</f>
        <v/>
      </c>
      <c r="N554" s="51">
        <f>IF(AND(ISNUMBER(Base_IFData!O555),ISNUMBER(Base_IFData!Q555)),IF(Base_IFData!Q555&gt;0,Base_IFData!O555/Base_IFData!Q555,"PL ≤ 0"),"NI")</f>
        <v>8.1383062557348733</v>
      </c>
      <c r="O554" s="110">
        <f>IF(AND(ISNUMBER(Base_IFData!M555),ISNUMBER(Base_IFData!Q555)),IF(Base_IFData!Q555&gt;0,Base_IFData!M555/Base_IFData!Q555,"PL ≤ 0"),"NI")</f>
        <v>4.6273330814486968</v>
      </c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spans="1:30" ht="1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15" t="str">
        <f>Base_IFData!A556</f>
        <v>COOPERATIVA DE CRÉDITO DE LIVRE ADMISSÃO DE ASSOCIADOS NOVOS CAMPOS - SICOOB NOVOS CAMPOS</v>
      </c>
      <c r="L555" s="15" t="str">
        <f>Base_IFData!F556</f>
        <v>b3S</v>
      </c>
      <c r="M555" s="17" t="str">
        <f>IF(AND(ISNUMBER(Base_IFData!L556),ISNUMBER(Base_IFData!W556)),IF(Base_IFData!L556&gt;$B$4,Base_IFData!W556,""),"")</f>
        <v/>
      </c>
      <c r="N555" s="50">
        <f>IF(AND(ISNUMBER(Base_IFData!O556),ISNUMBER(Base_IFData!Q556)),IF(Base_IFData!Q556&gt;0,Base_IFData!O556/Base_IFData!Q556,"PL ≤ 0"),"NI")</f>
        <v>6.4172942990306403</v>
      </c>
      <c r="O555" s="107">
        <f>IF(AND(ISNUMBER(Base_IFData!M556),ISNUMBER(Base_IFData!Q556)),IF(Base_IFData!Q556&gt;0,Base_IFData!M556/Base_IFData!Q556,"PL ≤ 0"),"NI")</f>
        <v>4.7667156958301584</v>
      </c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spans="1:30" ht="1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12" t="str">
        <f>Base_IFData!A557</f>
        <v>UNIPRIME CENTRAL NACIONAL - CENTRAL NACIONAL DE COOPERATIVA DE CREDITO</v>
      </c>
      <c r="L556" s="12" t="str">
        <f>Base_IFData!F557</f>
        <v>b3C</v>
      </c>
      <c r="M556" s="14" t="str">
        <f>IF(AND(ISNUMBER(Base_IFData!L557),ISNUMBER(Base_IFData!W557)),IF(Base_IFData!L557&gt;$B$4,Base_IFData!W557,""),"")</f>
        <v/>
      </c>
      <c r="N556" s="51">
        <f>IF(AND(ISNUMBER(Base_IFData!O557),ISNUMBER(Base_IFData!Q557)),IF(Base_IFData!Q557&gt;0,Base_IFData!O557/Base_IFData!Q557,"PL ≤ 0"),"NI")</f>
        <v>27.222528594771241</v>
      </c>
      <c r="O556" s="110">
        <f>IF(AND(ISNUMBER(Base_IFData!M557),ISNUMBER(Base_IFData!Q557)),IF(Base_IFData!Q557&gt;0,Base_IFData!M557/Base_IFData!Q557,"PL ≤ 0"),"NI")</f>
        <v>0</v>
      </c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spans="1:30" ht="1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15" t="str">
        <f>Base_IFData!A558</f>
        <v>AGENCIA DE FOMENTO DO ESTADO DO RIO DE JANEIRO S.A.</v>
      </c>
      <c r="L557" s="15" t="str">
        <f>Base_IFData!F558</f>
        <v>n1</v>
      </c>
      <c r="M557" s="17" t="str">
        <f>IF(AND(ISNUMBER(Base_IFData!L558),ISNUMBER(Base_IFData!W558)),IF(Base_IFData!L558&gt;$B$4,Base_IFData!W558,""),"")</f>
        <v/>
      </c>
      <c r="N557" s="50">
        <f>IF(AND(ISNUMBER(Base_IFData!O558),ISNUMBER(Base_IFData!Q558)),IF(Base_IFData!Q558&gt;0,Base_IFData!O558/Base_IFData!Q558,"PL ≤ 0"),"NI")</f>
        <v>0.37861288981288982</v>
      </c>
      <c r="O557" s="107">
        <f>IF(AND(ISNUMBER(Base_IFData!M558),ISNUMBER(Base_IFData!Q558)),IF(Base_IFData!Q558&gt;0,Base_IFData!M558/Base_IFData!Q558,"PL ≤ 0"),"NI")</f>
        <v>0.47058461538461538</v>
      </c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spans="1:30" ht="1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12" t="str">
        <f>Base_IFData!A559</f>
        <v>DM INSTITUICAO DE PAGAMENTO S.A.</v>
      </c>
      <c r="L558" s="12" t="str">
        <f>Base_IFData!F559</f>
        <v>n4</v>
      </c>
      <c r="M558" s="14" t="str">
        <f>IF(AND(ISNUMBER(Base_IFData!L559),ISNUMBER(Base_IFData!W559)),IF(Base_IFData!L559&gt;$B$4,Base_IFData!W559,""),"")</f>
        <v/>
      </c>
      <c r="N558" s="51">
        <f>IF(AND(ISNUMBER(Base_IFData!O559),ISNUMBER(Base_IFData!Q559)),IF(Base_IFData!Q559&gt;0,Base_IFData!O559/Base_IFData!Q559,"PL ≤ 0"),"NI")</f>
        <v>4.0600768531932134</v>
      </c>
      <c r="O558" s="110">
        <f>IF(AND(ISNUMBER(Base_IFData!M559),ISNUMBER(Base_IFData!Q559)),IF(Base_IFData!Q559&gt;0,Base_IFData!M559/Base_IFData!Q559,"PL ≤ 0"),"NI")</f>
        <v>3.253020109509662</v>
      </c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spans="1:30" ht="1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15" t="str">
        <f>Base_IFData!A560</f>
        <v>SIMPALA S.A. CRÉDITO, FINANCIAMENTO E INVESTIMENTO</v>
      </c>
      <c r="L559" s="15" t="str">
        <f>Base_IFData!F560</f>
        <v>n1</v>
      </c>
      <c r="M559" s="17" t="str">
        <f>IF(AND(ISNUMBER(Base_IFData!L560),ISNUMBER(Base_IFData!W560)),IF(Base_IFData!L560&gt;$B$4,Base_IFData!W560,""),"")</f>
        <v/>
      </c>
      <c r="N559" s="50">
        <f>IF(AND(ISNUMBER(Base_IFData!O560),ISNUMBER(Base_IFData!Q560)),IF(Base_IFData!Q560&gt;0,Base_IFData!O560/Base_IFData!Q560,"PL ≤ 0"),"NI")</f>
        <v>7.1416043717587572</v>
      </c>
      <c r="O559" s="107">
        <f>IF(AND(ISNUMBER(Base_IFData!M560),ISNUMBER(Base_IFData!Q560)),IF(Base_IFData!Q560&gt;0,Base_IFData!M560/Base_IFData!Q560,"PL ≤ 0"),"NI")</f>
        <v>2.7151687686013757</v>
      </c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spans="1:30" ht="1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12" t="str">
        <f>Base_IFData!A561</f>
        <v>COOPERATIVA DE CRÉDITO CREDIARA LTDA - SICOOB CREDIARA</v>
      </c>
      <c r="L560" s="12" t="str">
        <f>Base_IFData!F561</f>
        <v>b3S</v>
      </c>
      <c r="M560" s="14" t="str">
        <f>IF(AND(ISNUMBER(Base_IFData!L561),ISNUMBER(Base_IFData!W561)),IF(Base_IFData!L561&gt;$B$4,Base_IFData!W561,""),"")</f>
        <v/>
      </c>
      <c r="N560" s="51">
        <f>IF(AND(ISNUMBER(Base_IFData!O561),ISNUMBER(Base_IFData!Q561)),IF(Base_IFData!Q561&gt;0,Base_IFData!O561/Base_IFData!Q561,"PL ≤ 0"),"NI")</f>
        <v>5.5364570363646584</v>
      </c>
      <c r="O560" s="110">
        <f>IF(AND(ISNUMBER(Base_IFData!M561),ISNUMBER(Base_IFData!Q561)),IF(Base_IFData!Q561&gt;0,Base_IFData!M561/Base_IFData!Q561,"PL ≤ 0"),"NI")</f>
        <v>3.7115729100563102</v>
      </c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spans="1:30" ht="1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15" t="str">
        <f>Base_IFData!A562</f>
        <v>COOPERATIVA DE CRÉDITO SICOOB ALIANÇA</v>
      </c>
      <c r="L561" s="15" t="str">
        <f>Base_IFData!F562</f>
        <v>b3S</v>
      </c>
      <c r="M561" s="17" t="str">
        <f>IF(AND(ISNUMBER(Base_IFData!L562),ISNUMBER(Base_IFData!W562)),IF(Base_IFData!L562&gt;$B$4,Base_IFData!W562,""),"")</f>
        <v/>
      </c>
      <c r="N561" s="50">
        <f>IF(AND(ISNUMBER(Base_IFData!O562),ISNUMBER(Base_IFData!Q562)),IF(Base_IFData!Q562&gt;0,Base_IFData!O562/Base_IFData!Q562,"PL ≤ 0"),"NI")</f>
        <v>6.3579204135872134</v>
      </c>
      <c r="O561" s="107">
        <f>IF(AND(ISNUMBER(Base_IFData!M562),ISNUMBER(Base_IFData!Q562)),IF(Base_IFData!Q562&gt;0,Base_IFData!M562/Base_IFData!Q562,"PL ≤ 0"),"NI")</f>
        <v>3.8010248662030799</v>
      </c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spans="1:30" ht="1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12" t="str">
        <f>Base_IFData!A563</f>
        <v>BANCO TRICURY S.A.</v>
      </c>
      <c r="L562" s="12" t="str">
        <f>Base_IFData!F563</f>
        <v>b2</v>
      </c>
      <c r="M562" s="14" t="str">
        <f>IF(AND(ISNUMBER(Base_IFData!L563),ISNUMBER(Base_IFData!W563)),IF(Base_IFData!L563&gt;$B$4,Base_IFData!W563,""),"")</f>
        <v/>
      </c>
      <c r="N562" s="51">
        <f>IF(AND(ISNUMBER(Base_IFData!O563),ISNUMBER(Base_IFData!Q563)),IF(Base_IFData!Q563&gt;0,Base_IFData!O563/Base_IFData!Q563,"PL ≤ 0"),"NI")</f>
        <v>2.4642202788570242</v>
      </c>
      <c r="O562" s="110">
        <f>IF(AND(ISNUMBER(Base_IFData!M563),ISNUMBER(Base_IFData!Q563)),IF(Base_IFData!Q563&gt;0,Base_IFData!M563/Base_IFData!Q563,"PL ≤ 0"),"NI")</f>
        <v>1.3731044609327288</v>
      </c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spans="1:30" ht="1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15" t="str">
        <f>Base_IFData!A564</f>
        <v>BANCO VR S.A.</v>
      </c>
      <c r="L563" s="15" t="str">
        <f>Base_IFData!F564</f>
        <v>b1</v>
      </c>
      <c r="M563" s="17" t="str">
        <f>IF(AND(ISNUMBER(Base_IFData!L564),ISNUMBER(Base_IFData!W564)),IF(Base_IFData!L564&gt;$B$4,Base_IFData!W564,""),"")</f>
        <v/>
      </c>
      <c r="N563" s="50">
        <f>IF(AND(ISNUMBER(Base_IFData!O564),ISNUMBER(Base_IFData!Q564)),IF(Base_IFData!Q564&gt;0,Base_IFData!O564/Base_IFData!Q564,"PL ≤ 0"),"NI")</f>
        <v>14.432777290020486</v>
      </c>
      <c r="O563" s="107">
        <f>IF(AND(ISNUMBER(Base_IFData!M564),ISNUMBER(Base_IFData!Q564)),IF(Base_IFData!Q564&gt;0,Base_IFData!M564/Base_IFData!Q564,"PL ≤ 0"),"NI")</f>
        <v>1.5133938152375379</v>
      </c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spans="1:30" ht="1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12" t="str">
        <f>Base_IFData!A565</f>
        <v>STONE SOCIEDADE DE CRÉDITO DIRETO S.A.</v>
      </c>
      <c r="L564" s="12" t="str">
        <f>Base_IFData!F565</f>
        <v>n1</v>
      </c>
      <c r="M564" s="14" t="str">
        <f>IF(AND(ISNUMBER(Base_IFData!L565),ISNUMBER(Base_IFData!W565)),IF(Base_IFData!L565&gt;$B$4,Base_IFData!W565,""),"")</f>
        <v/>
      </c>
      <c r="N564" s="51">
        <f>IF(AND(ISNUMBER(Base_IFData!O565),ISNUMBER(Base_IFData!Q565)),IF(Base_IFData!Q565&gt;0,Base_IFData!O565/Base_IFData!Q565,"PL ≤ 0"),"NI")</f>
        <v>4.3611133836697749E-2</v>
      </c>
      <c r="O564" s="110">
        <f>IF(AND(ISNUMBER(Base_IFData!M565),ISNUMBER(Base_IFData!Q565)),IF(Base_IFData!Q565&gt;0,Base_IFData!M565/Base_IFData!Q565,"PL ≤ 0"),"NI")</f>
        <v>0.60433287500956678</v>
      </c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spans="1:30" ht="1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15" t="str">
        <f>Base_IFData!A566</f>
        <v>COOPERATIVA DE CRÉDITO E INVESTIMENTO COM INTERAÇÃO SOLIDÁRIA COOPERAR - CRESOL COOPERAR</v>
      </c>
      <c r="L565" s="15" t="str">
        <f>Base_IFData!F566</f>
        <v>b3S</v>
      </c>
      <c r="M565" s="17" t="str">
        <f>IF(AND(ISNUMBER(Base_IFData!L566),ISNUMBER(Base_IFData!W566)),IF(Base_IFData!L566&gt;$B$4,Base_IFData!W566,""),"")</f>
        <v/>
      </c>
      <c r="N565" s="50">
        <f>IF(AND(ISNUMBER(Base_IFData!O566),ISNUMBER(Base_IFData!Q566)),IF(Base_IFData!Q566&gt;0,Base_IFData!O566/Base_IFData!Q566,"PL ≤ 0"),"NI")</f>
        <v>9.1872400878212588</v>
      </c>
      <c r="O565" s="107">
        <f>IF(AND(ISNUMBER(Base_IFData!M566),ISNUMBER(Base_IFData!Q566)),IF(Base_IFData!Q566&gt;0,Base_IFData!M566/Base_IFData!Q566,"PL ≤ 0"),"NI")</f>
        <v>7.302273020792974</v>
      </c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spans="1:30" ht="1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12" t="str">
        <f>Base_IFData!A567</f>
        <v>COOPERATIVA DE CRÉDITO E INVESTIMENTO COM INTERAÇÃO SOLIDÁRIA ATIVA - CRESOL ATIVA</v>
      </c>
      <c r="L566" s="12" t="str">
        <f>Base_IFData!F567</f>
        <v>b3S</v>
      </c>
      <c r="M566" s="14" t="str">
        <f>IF(AND(ISNUMBER(Base_IFData!L567),ISNUMBER(Base_IFData!W567)),IF(Base_IFData!L567&gt;$B$4,Base_IFData!W567,""),"")</f>
        <v/>
      </c>
      <c r="N566" s="51">
        <f>IF(AND(ISNUMBER(Base_IFData!O567),ISNUMBER(Base_IFData!Q567)),IF(Base_IFData!Q567&gt;0,Base_IFData!O567/Base_IFData!Q567,"PL ≤ 0"),"NI")</f>
        <v>7.4948572911822282</v>
      </c>
      <c r="O566" s="110">
        <f>IF(AND(ISNUMBER(Base_IFData!M567),ISNUMBER(Base_IFData!Q567)),IF(Base_IFData!Q567&gt;0,Base_IFData!M567/Base_IFData!Q567,"PL ≤ 0"),"NI")</f>
        <v>6.1949254280182995</v>
      </c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spans="1:30" ht="1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15" t="str">
        <f>Base_IFData!A568</f>
        <v>COOPERATIVA DE CRÉDITO E INVESTIMENTO COM INTERAÇÃO SOLIDÁRIA ALTO VALE - CRESOL ALTO VALE</v>
      </c>
      <c r="L567" s="15" t="str">
        <f>Base_IFData!F568</f>
        <v>b3S</v>
      </c>
      <c r="M567" s="17" t="str">
        <f>IF(AND(ISNUMBER(Base_IFData!L568),ISNUMBER(Base_IFData!W568)),IF(Base_IFData!L568&gt;$B$4,Base_IFData!W568,""),"")</f>
        <v/>
      </c>
      <c r="N567" s="50">
        <f>IF(AND(ISNUMBER(Base_IFData!O568),ISNUMBER(Base_IFData!Q568)),IF(Base_IFData!Q568&gt;0,Base_IFData!O568/Base_IFData!Q568,"PL ≤ 0"),"NI")</f>
        <v>5.7028323337366045</v>
      </c>
      <c r="O567" s="107">
        <f>IF(AND(ISNUMBER(Base_IFData!M568),ISNUMBER(Base_IFData!Q568)),IF(Base_IFData!Q568&gt;0,Base_IFData!M568/Base_IFData!Q568,"PL ≤ 0"),"NI")</f>
        <v>5.0247110607737655</v>
      </c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spans="1:30" ht="1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12" t="str">
        <f>Base_IFData!A569</f>
        <v>COOPERATIVA DE CRÉDITO DE LIVRE ADMISSÃO CENTRO OESTE LTDA.</v>
      </c>
      <c r="L568" s="12" t="str">
        <f>Base_IFData!F569</f>
        <v>b3S</v>
      </c>
      <c r="M568" s="14" t="str">
        <f>IF(AND(ISNUMBER(Base_IFData!L569),ISNUMBER(Base_IFData!W569)),IF(Base_IFData!L569&gt;$B$4,Base_IFData!W569,""),"")</f>
        <v/>
      </c>
      <c r="N568" s="51">
        <f>IF(AND(ISNUMBER(Base_IFData!O569),ISNUMBER(Base_IFData!Q569)),IF(Base_IFData!Q569&gt;0,Base_IFData!O569/Base_IFData!Q569,"PL ≤ 0"),"NI")</f>
        <v>3.3660824142636629</v>
      </c>
      <c r="O568" s="110">
        <f>IF(AND(ISNUMBER(Base_IFData!M569),ISNUMBER(Base_IFData!Q569)),IF(Base_IFData!Q569&gt;0,Base_IFData!M569/Base_IFData!Q569,"PL ≤ 0"),"NI")</f>
        <v>2.970822800384779</v>
      </c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spans="1:30" ht="1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15" t="str">
        <f>Base_IFData!A570</f>
        <v>COOPERATIVA DE CREDITO DE LIVRE ADMISSAO DE RUBIATABA E REGIAO LTDA</v>
      </c>
      <c r="L569" s="15" t="str">
        <f>Base_IFData!F570</f>
        <v>b3S</v>
      </c>
      <c r="M569" s="17" t="str">
        <f>IF(AND(ISNUMBER(Base_IFData!L570),ISNUMBER(Base_IFData!W570)),IF(Base_IFData!L570&gt;$B$4,Base_IFData!W570,""),"")</f>
        <v/>
      </c>
      <c r="N569" s="50">
        <f>IF(AND(ISNUMBER(Base_IFData!O570),ISNUMBER(Base_IFData!Q570)),IF(Base_IFData!Q570&gt;0,Base_IFData!O570/Base_IFData!Q570,"PL ≤ 0"),"NI")</f>
        <v>4.2506366221537757</v>
      </c>
      <c r="O569" s="107">
        <f>IF(AND(ISNUMBER(Base_IFData!M570),ISNUMBER(Base_IFData!Q570)),IF(Base_IFData!Q570&gt;0,Base_IFData!M570/Base_IFData!Q570,"PL ≤ 0"),"NI")</f>
        <v>1.6660047147189745</v>
      </c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spans="1:30" ht="1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12" t="str">
        <f>Base_IFData!A571</f>
        <v>COOPERATIVA DE CRÉDITO DE LIVRE ADMISSÃO DE SANTO ANTÔNIO DO MONTE LTDA.   SICOOB CREDIMONTE</v>
      </c>
      <c r="L570" s="12" t="str">
        <f>Base_IFData!F571</f>
        <v>b3S</v>
      </c>
      <c r="M570" s="14" t="str">
        <f>IF(AND(ISNUMBER(Base_IFData!L571),ISNUMBER(Base_IFData!W571)),IF(Base_IFData!L571&gt;$B$4,Base_IFData!W571,""),"")</f>
        <v/>
      </c>
      <c r="N570" s="51">
        <f>IF(AND(ISNUMBER(Base_IFData!O571),ISNUMBER(Base_IFData!Q571)),IF(Base_IFData!Q571&gt;0,Base_IFData!O571/Base_IFData!Q571,"PL ≤ 0"),"NI")</f>
        <v>7.7023043854036883</v>
      </c>
      <c r="O570" s="110">
        <f>IF(AND(ISNUMBER(Base_IFData!M571),ISNUMBER(Base_IFData!Q571)),IF(Base_IFData!Q571&gt;0,Base_IFData!M571/Base_IFData!Q571,"PL ≤ 0"),"NI")</f>
        <v>5.2470058704021731</v>
      </c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spans="1:30" ht="1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15" t="str">
        <f>Base_IFData!A572</f>
        <v>NAIP INSTITUIÇÃO DE PAGAMENTO S.A.</v>
      </c>
      <c r="L571" s="15" t="str">
        <f>Base_IFData!F572</f>
        <v>n4</v>
      </c>
      <c r="M571" s="17" t="str">
        <f>IF(AND(ISNUMBER(Base_IFData!L572),ISNUMBER(Base_IFData!W572)),IF(Base_IFData!L572&gt;$B$4,Base_IFData!W572,""),"")</f>
        <v/>
      </c>
      <c r="N571" s="50">
        <f>IF(AND(ISNUMBER(Base_IFData!O572),ISNUMBER(Base_IFData!Q572)),IF(Base_IFData!Q572&gt;0,Base_IFData!O572/Base_IFData!Q572,"PL ≤ 0"),"NI")</f>
        <v>2.000834008945231</v>
      </c>
      <c r="O571" s="107">
        <f>IF(AND(ISNUMBER(Base_IFData!M572),ISNUMBER(Base_IFData!Q572)),IF(Base_IFData!Q572&gt;0,Base_IFData!M572/Base_IFData!Q572,"PL ≤ 0"),"NI")</f>
        <v>0.18904073454852963</v>
      </c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30" ht="1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12" t="str">
        <f>Base_IFData!A573</f>
        <v>COOPERATIVA DE CRÉDITO COPERSUL LTDA - SICOOB COPERSUL</v>
      </c>
      <c r="L572" s="12" t="str">
        <f>Base_IFData!F573</f>
        <v>b3S</v>
      </c>
      <c r="M572" s="14" t="str">
        <f>IF(AND(ISNUMBER(Base_IFData!L573),ISNUMBER(Base_IFData!W573)),IF(Base_IFData!L573&gt;$B$4,Base_IFData!W573,""),"")</f>
        <v/>
      </c>
      <c r="N572" s="51">
        <f>IF(AND(ISNUMBER(Base_IFData!O573),ISNUMBER(Base_IFData!Q573)),IF(Base_IFData!Q573&gt;0,Base_IFData!O573/Base_IFData!Q573,"PL ≤ 0"),"NI")</f>
        <v>7.3935106706654494</v>
      </c>
      <c r="O572" s="110">
        <f>IF(AND(ISNUMBER(Base_IFData!M573),ISNUMBER(Base_IFData!Q573)),IF(Base_IFData!Q573&gt;0,Base_IFData!M573/Base_IFData!Q573,"PL ≤ 0"),"NI")</f>
        <v>3.2177924110053464</v>
      </c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30" ht="1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15" t="str">
        <f>Base_IFData!A574</f>
        <v>COOPERATIVA DE CRÉDITO SICOOB MÉDIO OESTE</v>
      </c>
      <c r="L573" s="15" t="str">
        <f>Base_IFData!F574</f>
        <v>b3S</v>
      </c>
      <c r="M573" s="17" t="str">
        <f>IF(AND(ISNUMBER(Base_IFData!L574),ISNUMBER(Base_IFData!W574)),IF(Base_IFData!L574&gt;$B$4,Base_IFData!W574,""),"")</f>
        <v/>
      </c>
      <c r="N573" s="50">
        <f>IF(AND(ISNUMBER(Base_IFData!O574),ISNUMBER(Base_IFData!Q574)),IF(Base_IFData!Q574&gt;0,Base_IFData!O574/Base_IFData!Q574,"PL ≤ 0"),"NI")</f>
        <v>6.191410962619357</v>
      </c>
      <c r="O573" s="107">
        <f>IF(AND(ISNUMBER(Base_IFData!M574),ISNUMBER(Base_IFData!Q574)),IF(Base_IFData!Q574&gt;0,Base_IFData!M574/Base_IFData!Q574,"PL ≤ 0"),"NI")</f>
        <v>4.2545194384954224</v>
      </c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30" ht="1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12" t="str">
        <f>Base_IFData!A575</f>
        <v>FITS INSTITUIÇÃO DE PAGAMENTO S.A.</v>
      </c>
      <c r="L574" s="12" t="str">
        <f>Base_IFData!F575</f>
        <v>n4</v>
      </c>
      <c r="M574" s="14" t="str">
        <f>IF(AND(ISNUMBER(Base_IFData!L575),ISNUMBER(Base_IFData!W575)),IF(Base_IFData!L575&gt;$B$4,Base_IFData!W575,""),"")</f>
        <v/>
      </c>
      <c r="N574" s="51">
        <f>IF(AND(ISNUMBER(Base_IFData!O575),ISNUMBER(Base_IFData!Q575)),IF(Base_IFData!Q575&gt;0,Base_IFData!O575/Base_IFData!Q575,"PL ≤ 0"),"NI")</f>
        <v>6.4173706517856282</v>
      </c>
      <c r="O574" s="110">
        <f>IF(AND(ISNUMBER(Base_IFData!M575),ISNUMBER(Base_IFData!Q575)),IF(Base_IFData!Q575&gt;0,Base_IFData!M575/Base_IFData!Q575,"PL ≤ 0"),"NI")</f>
        <v>0</v>
      </c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spans="1:30" ht="1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15" t="str">
        <f>Base_IFData!A576</f>
        <v>EFÍ S.A. - INSTITUIÇÃO DE PAGAMENTO</v>
      </c>
      <c r="L575" s="15" t="str">
        <f>Base_IFData!F576</f>
        <v>n4</v>
      </c>
      <c r="M575" s="17" t="str">
        <f>IF(AND(ISNUMBER(Base_IFData!L576),ISNUMBER(Base_IFData!W576)),IF(Base_IFData!L576&gt;$B$4,Base_IFData!W576,""),"")</f>
        <v/>
      </c>
      <c r="N575" s="50">
        <f>IF(AND(ISNUMBER(Base_IFData!O576),ISNUMBER(Base_IFData!Q576)),IF(Base_IFData!Q576&gt;0,Base_IFData!O576/Base_IFData!Q576,"PL ≤ 0"),"NI")</f>
        <v>9.9143044544573087</v>
      </c>
      <c r="O575" s="107">
        <f>IF(AND(ISNUMBER(Base_IFData!M576),ISNUMBER(Base_IFData!Q576)),IF(Base_IFData!Q576&gt;0,Base_IFData!M576/Base_IFData!Q576,"PL ≤ 0"),"NI")</f>
        <v>0.44072605943078763</v>
      </c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spans="1:30" ht="1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12" t="str">
        <f>Base_IFData!A577</f>
        <v>BITZ INSTITUICAO DE PAGAMENTO S.A.</v>
      </c>
      <c r="L576" s="12" t="str">
        <f>Base_IFData!F577</f>
        <v>n4</v>
      </c>
      <c r="M576" s="14" t="str">
        <f>IF(AND(ISNUMBER(Base_IFData!L577),ISNUMBER(Base_IFData!W577)),IF(Base_IFData!L577&gt;$B$4,Base_IFData!W577,""),"")</f>
        <v/>
      </c>
      <c r="N576" s="51">
        <f>IF(AND(ISNUMBER(Base_IFData!O577),ISNUMBER(Base_IFData!Q577)),IF(Base_IFData!Q577&gt;0,Base_IFData!O577/Base_IFData!Q577,"PL ≤ 0"),"NI")</f>
        <v>2.6982972904160576E-3</v>
      </c>
      <c r="O576" s="110">
        <f>IF(AND(ISNUMBER(Base_IFData!M577),ISNUMBER(Base_IFData!Q577)),IF(Base_IFData!Q577&gt;0,Base_IFData!M577/Base_IFData!Q577,"PL ≤ 0"),"NI")</f>
        <v>0</v>
      </c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spans="1:30" ht="1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15" t="str">
        <f>Base_IFData!A578</f>
        <v>COOPERATIVA DE CRÉDITO CREDINACIONAL LTDA. - SICOOB CREDINACIONAL</v>
      </c>
      <c r="L577" s="15" t="str">
        <f>Base_IFData!F578</f>
        <v>b3S</v>
      </c>
      <c r="M577" s="17" t="str">
        <f>IF(AND(ISNUMBER(Base_IFData!L578),ISNUMBER(Base_IFData!W578)),IF(Base_IFData!L578&gt;$B$4,Base_IFData!W578,""),"")</f>
        <v/>
      </c>
      <c r="N577" s="50">
        <f>IF(AND(ISNUMBER(Base_IFData!O578),ISNUMBER(Base_IFData!Q578)),IF(Base_IFData!Q578&gt;0,Base_IFData!O578/Base_IFData!Q578,"PL ≤ 0"),"NI")</f>
        <v>7.4049317686802683</v>
      </c>
      <c r="O577" s="107">
        <f>IF(AND(ISNUMBER(Base_IFData!M578),ISNUMBER(Base_IFData!Q578)),IF(Base_IFData!Q578&gt;0,Base_IFData!M578/Base_IFData!Q578,"PL ≤ 0"),"NI")</f>
        <v>2.2900275592301194</v>
      </c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spans="1:30" ht="1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12" t="str">
        <f>Base_IFData!A579</f>
        <v>QUERO-QUERO VERDECARD INSTITUIÇÃO DE PAGAMENTO S.A.</v>
      </c>
      <c r="L578" s="12" t="str">
        <f>Base_IFData!F579</f>
        <v>n4</v>
      </c>
      <c r="M578" s="14" t="str">
        <f>IF(AND(ISNUMBER(Base_IFData!L579),ISNUMBER(Base_IFData!W579)),IF(Base_IFData!L579&gt;$B$4,Base_IFData!W579,""),"")</f>
        <v/>
      </c>
      <c r="N578" s="51">
        <f>IF(AND(ISNUMBER(Base_IFData!O579),ISNUMBER(Base_IFData!Q579)),IF(Base_IFData!Q579&gt;0,Base_IFData!O579/Base_IFData!Q579,"PL ≤ 0"),"NI")</f>
        <v>4.7825390561526495</v>
      </c>
      <c r="O578" s="110">
        <f>IF(AND(ISNUMBER(Base_IFData!M579),ISNUMBER(Base_IFData!Q579)),IF(Base_IFData!Q579&gt;0,Base_IFData!M579/Base_IFData!Q579,"PL ≤ 0"),"NI")</f>
        <v>2.6766251150986173</v>
      </c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spans="1:30" ht="1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15" t="str">
        <f>Base_IFData!A580</f>
        <v>COOPERATIVA DE CRÉDITO DE LIVRE ADMISSÃO DA GRANDE GOIÂNIA LTDA.</v>
      </c>
      <c r="L579" s="15" t="str">
        <f>Base_IFData!F580</f>
        <v>b3S</v>
      </c>
      <c r="M579" s="17" t="str">
        <f>IF(AND(ISNUMBER(Base_IFData!L580),ISNUMBER(Base_IFData!W580)),IF(Base_IFData!L580&gt;$B$4,Base_IFData!W580,""),"")</f>
        <v/>
      </c>
      <c r="N579" s="50">
        <f>IF(AND(ISNUMBER(Base_IFData!O580),ISNUMBER(Base_IFData!Q580)),IF(Base_IFData!Q580&gt;0,Base_IFData!O580/Base_IFData!Q580,"PL ≤ 0"),"NI")</f>
        <v>4.0839605068335185</v>
      </c>
      <c r="O579" s="107">
        <f>IF(AND(ISNUMBER(Base_IFData!M580),ISNUMBER(Base_IFData!Q580)),IF(Base_IFData!Q580&gt;0,Base_IFData!M580/Base_IFData!Q580,"PL ≤ 0"),"NI")</f>
        <v>2.974999488253717</v>
      </c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spans="1:30" ht="1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12" t="str">
        <f>Base_IFData!A581</f>
        <v>CAIXA DISTRIBUIDORA DE TÍTULOS E VALORES MOBILIÁRIOS S.A.</v>
      </c>
      <c r="L580" s="12" t="str">
        <f>Base_IFData!F581</f>
        <v>n2</v>
      </c>
      <c r="M580" s="14" t="str">
        <f>IF(AND(ISNUMBER(Base_IFData!L581),ISNUMBER(Base_IFData!W581)),IF(Base_IFData!L581&gt;$B$4,Base_IFData!W581,""),"")</f>
        <v/>
      </c>
      <c r="N580" s="51">
        <f>IF(AND(ISNUMBER(Base_IFData!O581),ISNUMBER(Base_IFData!Q581)),IF(Base_IFData!Q581&gt;0,Base_IFData!O581/Base_IFData!Q581,"PL ≤ 0"),"NI")</f>
        <v>0.14887584898430886</v>
      </c>
      <c r="O580" s="110">
        <f>IF(AND(ISNUMBER(Base_IFData!M581),ISNUMBER(Base_IFData!Q581)),IF(Base_IFData!Q581&gt;0,Base_IFData!M581/Base_IFData!Q581,"PL ≤ 0"),"NI")</f>
        <v>0</v>
      </c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spans="1:30" ht="1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15" t="str">
        <f>Base_IFData!A582</f>
        <v>COOPERATIVA DE CRÉDITO  DE FRONTEIRAS  LTDA. - SICOOB FRONTEIRAS</v>
      </c>
      <c r="L581" s="15" t="str">
        <f>Base_IFData!F582</f>
        <v>b3S</v>
      </c>
      <c r="M581" s="17" t="str">
        <f>IF(AND(ISNUMBER(Base_IFData!L582),ISNUMBER(Base_IFData!W582)),IF(Base_IFData!L582&gt;$B$4,Base_IFData!W582,""),"")</f>
        <v/>
      </c>
      <c r="N581" s="50">
        <f>IF(AND(ISNUMBER(Base_IFData!O582),ISNUMBER(Base_IFData!Q582)),IF(Base_IFData!Q582&gt;0,Base_IFData!O582/Base_IFData!Q582,"PL ≤ 0"),"NI")</f>
        <v>6.6253450593656042</v>
      </c>
      <c r="O581" s="107">
        <f>IF(AND(ISNUMBER(Base_IFData!M582),ISNUMBER(Base_IFData!Q582)),IF(Base_IFData!Q582&gt;0,Base_IFData!M582/Base_IFData!Q582,"PL ≤ 0"),"NI")</f>
        <v>5.1246215891715501</v>
      </c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spans="1:30" ht="1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12" t="str">
        <f>Base_IFData!A583</f>
        <v>BANCO WOORI BANK DO BRASIL S.A.</v>
      </c>
      <c r="L582" s="12" t="str">
        <f>Base_IFData!F583</f>
        <v>b1</v>
      </c>
      <c r="M582" s="14" t="str">
        <f>IF(AND(ISNUMBER(Base_IFData!L583),ISNUMBER(Base_IFData!W583)),IF(Base_IFData!L583&gt;$B$4,Base_IFData!W583,""),"")</f>
        <v/>
      </c>
      <c r="N582" s="51">
        <f>IF(AND(ISNUMBER(Base_IFData!O583),ISNUMBER(Base_IFData!Q583)),IF(Base_IFData!Q583&gt;0,Base_IFData!O583/Base_IFData!Q583,"PL ≤ 0"),"NI")</f>
        <v>12.986237927593802</v>
      </c>
      <c r="O582" s="110">
        <f>IF(AND(ISNUMBER(Base_IFData!M583),ISNUMBER(Base_IFData!Q583)),IF(Base_IFData!Q583&gt;0,Base_IFData!M583/Base_IFData!Q583,"PL ≤ 0"),"NI")</f>
        <v>0.6099742078807161</v>
      </c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spans="1:30" ht="1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15" t="str">
        <f>Base_IFData!A584</f>
        <v>BANCO FATOR S.A.</v>
      </c>
      <c r="L583" s="15" t="str">
        <f>Base_IFData!F584</f>
        <v>b1</v>
      </c>
      <c r="M583" s="17" t="str">
        <f>IF(AND(ISNUMBER(Base_IFData!L584),ISNUMBER(Base_IFData!W584)),IF(Base_IFData!L584&gt;$B$4,Base_IFData!W584,""),"")</f>
        <v/>
      </c>
      <c r="N583" s="50">
        <f>IF(AND(ISNUMBER(Base_IFData!O584),ISNUMBER(Base_IFData!Q584)),IF(Base_IFData!Q584&gt;0,Base_IFData!O584/Base_IFData!Q584,"PL ≤ 0"),"NI")</f>
        <v>2.5346821222002713</v>
      </c>
      <c r="O583" s="107">
        <f>IF(AND(ISNUMBER(Base_IFData!M584),ISNUMBER(Base_IFData!Q584)),IF(Base_IFData!Q584&gt;0,Base_IFData!M584/Base_IFData!Q584,"PL ≤ 0"),"NI")</f>
        <v>7.8832742246447533E-3</v>
      </c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spans="1:30" ht="1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12" t="str">
        <f>Base_IFData!A585</f>
        <v>COOPERATIVA CENTRAL DE CRÉDITO, POUPANÇA E INVESTIMENTO DE MATO GROSSO DO SUL, GOIÁS, DISTRITO FEDERAL E TOCANTINS - CENTRAL SICREDI BRASIL CENTRAL</v>
      </c>
      <c r="L584" s="12" t="str">
        <f>Base_IFData!F585</f>
        <v>b3C</v>
      </c>
      <c r="M584" s="14" t="str">
        <f>IF(AND(ISNUMBER(Base_IFData!L585),ISNUMBER(Base_IFData!W585)),IF(Base_IFData!L585&gt;$B$4,Base_IFData!W585,""),"")</f>
        <v/>
      </c>
      <c r="N584" s="51">
        <f>IF(AND(ISNUMBER(Base_IFData!O585),ISNUMBER(Base_IFData!Q585)),IF(Base_IFData!Q585&gt;0,Base_IFData!O585/Base_IFData!Q585,"PL ≤ 0"),"NI")</f>
        <v>0.26016626432287238</v>
      </c>
      <c r="O584" s="110">
        <f>IF(AND(ISNUMBER(Base_IFData!M585),ISNUMBER(Base_IFData!Q585)),IF(Base_IFData!Q585&gt;0,Base_IFData!M585/Base_IFData!Q585,"PL ≤ 0"),"NI")</f>
        <v>0</v>
      </c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spans="1:30" ht="1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15" t="str">
        <f>Base_IFData!A586</f>
        <v>COOPERATIVA DE CRÉDITO ARACREDI LTDA. - SICOOB ARACREDI</v>
      </c>
      <c r="L585" s="15" t="str">
        <f>Base_IFData!F586</f>
        <v>b3S</v>
      </c>
      <c r="M585" s="17" t="str">
        <f>IF(AND(ISNUMBER(Base_IFData!L586),ISNUMBER(Base_IFData!W586)),IF(Base_IFData!L586&gt;$B$4,Base_IFData!W586,""),"")</f>
        <v/>
      </c>
      <c r="N585" s="50">
        <f>IF(AND(ISNUMBER(Base_IFData!O586),ISNUMBER(Base_IFData!Q586)),IF(Base_IFData!Q586&gt;0,Base_IFData!O586/Base_IFData!Q586,"PL ≤ 0"),"NI")</f>
        <v>7.1521360933715039</v>
      </c>
      <c r="O585" s="107">
        <f>IF(AND(ISNUMBER(Base_IFData!M586),ISNUMBER(Base_IFData!Q586)),IF(Base_IFData!Q586&gt;0,Base_IFData!M586/Base_IFData!Q586,"PL ≤ 0"),"NI")</f>
        <v>4.8159436247522569</v>
      </c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spans="1:30" ht="1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12" t="str">
        <f>Base_IFData!A587</f>
        <v>COOPERATIVA DE CRÉDITO - CREDICOMIN</v>
      </c>
      <c r="L586" s="12" t="str">
        <f>Base_IFData!F587</f>
        <v>b3S</v>
      </c>
      <c r="M586" s="14" t="str">
        <f>IF(AND(ISNUMBER(Base_IFData!L587),ISNUMBER(Base_IFData!W587)),IF(Base_IFData!L587&gt;$B$4,Base_IFData!W587,""),"")</f>
        <v/>
      </c>
      <c r="N586" s="51">
        <f>IF(AND(ISNUMBER(Base_IFData!O587),ISNUMBER(Base_IFData!Q587)),IF(Base_IFData!Q587&gt;0,Base_IFData!O587/Base_IFData!Q587,"PL ≤ 0"),"NI")</f>
        <v>7.3028039065664521</v>
      </c>
      <c r="O586" s="110">
        <f>IF(AND(ISNUMBER(Base_IFData!M587),ISNUMBER(Base_IFData!Q587)),IF(Base_IFData!Q587&gt;0,Base_IFData!M587/Base_IFData!Q587,"PL ≤ 0"),"NI")</f>
        <v>5.4430667446779779</v>
      </c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spans="1:30" ht="1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15" t="str">
        <f>Base_IFData!A588</f>
        <v>BANCO INVESTCRED UNIBANCO S.A.</v>
      </c>
      <c r="L587" s="15" t="str">
        <f>Base_IFData!F588</f>
        <v>b1</v>
      </c>
      <c r="M587" s="17" t="str">
        <f>IF(AND(ISNUMBER(Base_IFData!L588),ISNUMBER(Base_IFData!W588)),IF(Base_IFData!L588&gt;$B$4,Base_IFData!W588,""),"")</f>
        <v/>
      </c>
      <c r="N587" s="50">
        <f>IF(AND(ISNUMBER(Base_IFData!O588),ISNUMBER(Base_IFData!Q588)),IF(Base_IFData!Q588&gt;0,Base_IFData!O588/Base_IFData!Q588,"PL ≤ 0"),"NI")</f>
        <v>3.8970081934399103</v>
      </c>
      <c r="O587" s="107">
        <f>IF(AND(ISNUMBER(Base_IFData!M588),ISNUMBER(Base_IFData!Q588)),IF(Base_IFData!Q588&gt;0,Base_IFData!M588/Base_IFData!Q588,"PL ≤ 0"),"NI")</f>
        <v>4.0154194133817285</v>
      </c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spans="1:30" ht="1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12" t="str">
        <f>Base_IFData!A589</f>
        <v>CLARA INSTITUICAO DE PAGAMENTO LTDA.</v>
      </c>
      <c r="L588" s="12" t="str">
        <f>Base_IFData!F589</f>
        <v>n4</v>
      </c>
      <c r="M588" s="14" t="str">
        <f>IF(AND(ISNUMBER(Base_IFData!L589),ISNUMBER(Base_IFData!W589)),IF(Base_IFData!L589&gt;$B$4,Base_IFData!W589,""),"")</f>
        <v/>
      </c>
      <c r="N588" s="51">
        <f>IF(AND(ISNUMBER(Base_IFData!O589),ISNUMBER(Base_IFData!Q589)),IF(Base_IFData!Q589&gt;0,Base_IFData!O589/Base_IFData!Q589,"PL ≤ 0"),"NI")</f>
        <v>18.693081017149616</v>
      </c>
      <c r="O588" s="110">
        <f>IF(AND(ISNUMBER(Base_IFData!M589),ISNUMBER(Base_IFData!Q589)),IF(Base_IFData!Q589&gt;0,Base_IFData!M589/Base_IFData!Q589,"PL ≤ 0"),"NI")</f>
        <v>10.839901080587065</v>
      </c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spans="1:30" ht="1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15" t="str">
        <f>Base_IFData!A590</f>
        <v>COOPERATIVA DE CRÉDITO DE LIVRE ADMISSÃO DE ASSOCIADOS DO MEIO OESTE CATARINENSE - SICOOB CREDIMOC SC</v>
      </c>
      <c r="L589" s="15" t="str">
        <f>Base_IFData!F590</f>
        <v>b3S</v>
      </c>
      <c r="M589" s="17" t="str">
        <f>IF(AND(ISNUMBER(Base_IFData!L590),ISNUMBER(Base_IFData!W590)),IF(Base_IFData!L590&gt;$B$4,Base_IFData!W590,""),"")</f>
        <v/>
      </c>
      <c r="N589" s="50">
        <f>IF(AND(ISNUMBER(Base_IFData!O590),ISNUMBER(Base_IFData!Q590)),IF(Base_IFData!Q590&gt;0,Base_IFData!O590/Base_IFData!Q590,"PL ≤ 0"),"NI")</f>
        <v>5.2789914811761474</v>
      </c>
      <c r="O589" s="107">
        <f>IF(AND(ISNUMBER(Base_IFData!M590),ISNUMBER(Base_IFData!Q590)),IF(Base_IFData!Q590&gt;0,Base_IFData!M590/Base_IFData!Q590,"PL ≤ 0"),"NI")</f>
        <v>2.3885940505633414</v>
      </c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spans="1:30" ht="1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12" t="str">
        <f>Base_IFData!A591</f>
        <v>COOPERATIVA DE CRÉDITO E INVESTIMENTO COM INTERAÇÃO SOLIDÁRIA VALE DAS ÁGUAS PR/MG - CRESOL VALE DAS ÁGUAS PR/MG</v>
      </c>
      <c r="L590" s="12" t="str">
        <f>Base_IFData!F591</f>
        <v>b3S</v>
      </c>
      <c r="M590" s="14" t="str">
        <f>IF(AND(ISNUMBER(Base_IFData!L591),ISNUMBER(Base_IFData!W591)),IF(Base_IFData!L591&gt;$B$4,Base_IFData!W591,""),"")</f>
        <v/>
      </c>
      <c r="N590" s="51">
        <f>IF(AND(ISNUMBER(Base_IFData!O591),ISNUMBER(Base_IFData!Q591)),IF(Base_IFData!Q591&gt;0,Base_IFData!O591/Base_IFData!Q591,"PL ≤ 0"),"NI")</f>
        <v>4.4495570994679223</v>
      </c>
      <c r="O590" s="110">
        <f>IF(AND(ISNUMBER(Base_IFData!M591),ISNUMBER(Base_IFData!Q591)),IF(Base_IFData!Q591&gt;0,Base_IFData!M591/Base_IFData!Q591,"PL ≤ 0"),"NI")</f>
        <v>4.2401140272978965</v>
      </c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spans="1:30" ht="1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15" t="str">
        <f>Base_IFData!A592</f>
        <v>COOPERATIVA DE CRÉDITO CREDIVERDE LTDA. - SICOOB CREDIVERDE</v>
      </c>
      <c r="L591" s="15" t="str">
        <f>Base_IFData!F592</f>
        <v>b3S</v>
      </c>
      <c r="M591" s="17" t="str">
        <f>IF(AND(ISNUMBER(Base_IFData!L592),ISNUMBER(Base_IFData!W592)),IF(Base_IFData!L592&gt;$B$4,Base_IFData!W592,""),"")</f>
        <v/>
      </c>
      <c r="N591" s="50">
        <f>IF(AND(ISNUMBER(Base_IFData!O592),ISNUMBER(Base_IFData!Q592)),IF(Base_IFData!Q592&gt;0,Base_IFData!O592/Base_IFData!Q592,"PL ≤ 0"),"NI")</f>
        <v>4.8781965881397236</v>
      </c>
      <c r="O591" s="107">
        <f>IF(AND(ISNUMBER(Base_IFData!M592),ISNUMBER(Base_IFData!Q592)),IF(Base_IFData!Q592&gt;0,Base_IFData!M592/Base_IFData!Q592,"PL ≤ 0"),"NI")</f>
        <v>2.2806661251015434</v>
      </c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spans="1:30" ht="1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12" t="str">
        <f>Base_IFData!A593</f>
        <v>COOPERATIVA DE CRÉDITO CREDICAMPO LTDA.- SICOOB CREDICAMPO</v>
      </c>
      <c r="L592" s="12" t="str">
        <f>Base_IFData!F593</f>
        <v>b3S</v>
      </c>
      <c r="M592" s="14" t="str">
        <f>IF(AND(ISNUMBER(Base_IFData!L593),ISNUMBER(Base_IFData!W593)),IF(Base_IFData!L593&gt;$B$4,Base_IFData!W593,""),"")</f>
        <v/>
      </c>
      <c r="N592" s="51">
        <f>IF(AND(ISNUMBER(Base_IFData!O593),ISNUMBER(Base_IFData!Q593)),IF(Base_IFData!Q593&gt;0,Base_IFData!O593/Base_IFData!Q593,"PL ≤ 0"),"NI")</f>
        <v>4.9615876025223589</v>
      </c>
      <c r="O592" s="110">
        <f>IF(AND(ISNUMBER(Base_IFData!M593),ISNUMBER(Base_IFData!Q593)),IF(Base_IFData!Q593&gt;0,Base_IFData!M593/Base_IFData!Q593,"PL ≤ 0"),"NI")</f>
        <v>2.8471499814532417</v>
      </c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spans="1:30" ht="1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15" t="str">
        <f>Base_IFData!A594</f>
        <v>COOPERATIVA DE CRÉDITO E ECONOMIA COM INTERAÇÃO SOLIDÁRIA CRESOL EVOLUÇÃO</v>
      </c>
      <c r="L593" s="15" t="str">
        <f>Base_IFData!F594</f>
        <v>b3S</v>
      </c>
      <c r="M593" s="17" t="str">
        <f>IF(AND(ISNUMBER(Base_IFData!L594),ISNUMBER(Base_IFData!W594)),IF(Base_IFData!L594&gt;$B$4,Base_IFData!W594,""),"")</f>
        <v/>
      </c>
      <c r="N593" s="50">
        <f>IF(AND(ISNUMBER(Base_IFData!O594),ISNUMBER(Base_IFData!Q594)),IF(Base_IFData!Q594&gt;0,Base_IFData!O594/Base_IFData!Q594,"PL ≤ 0"),"NI")</f>
        <v>7.7301570048309181</v>
      </c>
      <c r="O593" s="107">
        <f>IF(AND(ISNUMBER(Base_IFData!M594),ISNUMBER(Base_IFData!Q594)),IF(Base_IFData!Q594&gt;0,Base_IFData!M594/Base_IFData!Q594,"PL ≤ 0"),"NI")</f>
        <v>6.2144082125603868</v>
      </c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spans="1:30" ht="1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12" t="str">
        <f>Base_IFData!A595</f>
        <v>BRADESCO-KIRTON CORRETORA DE CÂMBIO S.A.</v>
      </c>
      <c r="L594" s="12" t="str">
        <f>Base_IFData!F595</f>
        <v>n2</v>
      </c>
      <c r="M594" s="14" t="str">
        <f>IF(AND(ISNUMBER(Base_IFData!L595),ISNUMBER(Base_IFData!W595)),IF(Base_IFData!L595&gt;$B$4,Base_IFData!W595,""),"")</f>
        <v/>
      </c>
      <c r="N594" s="51">
        <f>IF(AND(ISNUMBER(Base_IFData!O595),ISNUMBER(Base_IFData!Q595)),IF(Base_IFData!Q595&gt;0,Base_IFData!O595/Base_IFData!Q595,"PL ≤ 0"),"NI")</f>
        <v>0.14282820195746984</v>
      </c>
      <c r="O594" s="110">
        <f>IF(AND(ISNUMBER(Base_IFData!M595),ISNUMBER(Base_IFData!Q595)),IF(Base_IFData!Q595&gt;0,Base_IFData!M595/Base_IFData!Q595,"PL ≤ 0"),"NI")</f>
        <v>0</v>
      </c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spans="1:30" ht="1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15" t="str">
        <f>Base_IFData!A596</f>
        <v>COOPERATIVA DE CRÉDITO GUARANICREDI LTDA. - SICOOB GUARANICREDI</v>
      </c>
      <c r="L595" s="15" t="str">
        <f>Base_IFData!F596</f>
        <v>b3S</v>
      </c>
      <c r="M595" s="17" t="str">
        <f>IF(AND(ISNUMBER(Base_IFData!L596),ISNUMBER(Base_IFData!W596)),IF(Base_IFData!L596&gt;$B$4,Base_IFData!W596,""),"")</f>
        <v/>
      </c>
      <c r="N595" s="50">
        <f>IF(AND(ISNUMBER(Base_IFData!O596),ISNUMBER(Base_IFData!Q596)),IF(Base_IFData!Q596&gt;0,Base_IFData!O596/Base_IFData!Q596,"PL ≤ 0"),"NI")</f>
        <v>9.917915652753452</v>
      </c>
      <c r="O595" s="107">
        <f>IF(AND(ISNUMBER(Base_IFData!M596),ISNUMBER(Base_IFData!Q596)),IF(Base_IFData!Q596&gt;0,Base_IFData!M596/Base_IFData!Q596,"PL ≤ 0"),"NI")</f>
        <v>3.1329530835877804</v>
      </c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spans="1:30" ht="1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12" t="str">
        <f>Base_IFData!A597</f>
        <v>BARI COMPANHIA HIPOTECÁRIA</v>
      </c>
      <c r="L596" s="12" t="str">
        <f>Base_IFData!F597</f>
        <v>n1</v>
      </c>
      <c r="M596" s="14" t="str">
        <f>IF(AND(ISNUMBER(Base_IFData!L597),ISNUMBER(Base_IFData!W597)),IF(Base_IFData!L597&gt;$B$4,Base_IFData!W597,""),"")</f>
        <v/>
      </c>
      <c r="N596" s="51">
        <f>IF(AND(ISNUMBER(Base_IFData!O597),ISNUMBER(Base_IFData!Q597)),IF(Base_IFData!Q597&gt;0,Base_IFData!O597/Base_IFData!Q597,"PL ≤ 0"),"NI")</f>
        <v>6.632679852966918</v>
      </c>
      <c r="O596" s="110">
        <f>IF(AND(ISNUMBER(Base_IFData!M597),ISNUMBER(Base_IFData!Q597)),IF(Base_IFData!Q597&gt;0,Base_IFData!M597/Base_IFData!Q597,"PL ≤ 0"),"NI")</f>
        <v>6.7473744092420791</v>
      </c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spans="1:30" ht="1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15" t="str">
        <f>Base_IFData!A598</f>
        <v>BNY MELLON BANCO S.A.</v>
      </c>
      <c r="L597" s="15" t="str">
        <f>Base_IFData!F598</f>
        <v>b1</v>
      </c>
      <c r="M597" s="17" t="str">
        <f>IF(AND(ISNUMBER(Base_IFData!L598),ISNUMBER(Base_IFData!W598)),IF(Base_IFData!L598&gt;$B$4,Base_IFData!W598,""),"")</f>
        <v/>
      </c>
      <c r="N597" s="50">
        <f>IF(AND(ISNUMBER(Base_IFData!O598),ISNUMBER(Base_IFData!Q598)),IF(Base_IFData!Q598&gt;0,Base_IFData!O598/Base_IFData!Q598,"PL ≤ 0"),"NI")</f>
        <v>1.1167958860519045</v>
      </c>
      <c r="O597" s="107">
        <f>IF(AND(ISNUMBER(Base_IFData!M598),ISNUMBER(Base_IFData!Q598)),IF(Base_IFData!Q598&gt;0,Base_IFData!M598/Base_IFData!Q598,"PL ≤ 0"),"NI")</f>
        <v>0</v>
      </c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spans="1:30" ht="1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12" t="str">
        <f>Base_IFData!A599</f>
        <v>SOCIEDADE COOPERATIVA DE CRÉDITO COOPERE LTDA.  - SICOOB COOPERE</v>
      </c>
      <c r="L598" s="12" t="str">
        <f>Base_IFData!F599</f>
        <v>b3S</v>
      </c>
      <c r="M598" s="14" t="str">
        <f>IF(AND(ISNUMBER(Base_IFData!L599),ISNUMBER(Base_IFData!W599)),IF(Base_IFData!L599&gt;$B$4,Base_IFData!W599,""),"")</f>
        <v/>
      </c>
      <c r="N598" s="51">
        <f>IF(AND(ISNUMBER(Base_IFData!O599),ISNUMBER(Base_IFData!Q599)),IF(Base_IFData!Q599&gt;0,Base_IFData!O599/Base_IFData!Q599,"PL ≤ 0"),"NI")</f>
        <v>4.4041366108737776</v>
      </c>
      <c r="O598" s="110">
        <f>IF(AND(ISNUMBER(Base_IFData!M599),ISNUMBER(Base_IFData!Q599)),IF(Base_IFData!Q599&gt;0,Base_IFData!M599/Base_IFData!Q599,"PL ≤ 0"),"NI")</f>
        <v>1.9498797768284426</v>
      </c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spans="1:30" ht="1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15" t="str">
        <f>Base_IFData!A600</f>
        <v>BANCO TRAVELEX S.A.</v>
      </c>
      <c r="L599" s="15" t="str">
        <f>Base_IFData!F600</f>
        <v>b1</v>
      </c>
      <c r="M599" s="17" t="str">
        <f>IF(AND(ISNUMBER(Base_IFData!L600),ISNUMBER(Base_IFData!W600)),IF(Base_IFData!L600&gt;$B$4,Base_IFData!W600,""),"")</f>
        <v/>
      </c>
      <c r="N599" s="50">
        <f>IF(AND(ISNUMBER(Base_IFData!O600),ISNUMBER(Base_IFData!Q600)),IF(Base_IFData!Q600&gt;0,Base_IFData!O600/Base_IFData!Q600,"PL ≤ 0"),"NI")</f>
        <v>2.2988642586728254</v>
      </c>
      <c r="O599" s="107">
        <f>IF(AND(ISNUMBER(Base_IFData!M600),ISNUMBER(Base_IFData!Q600)),IF(Base_IFData!Q600&gt;0,Base_IFData!M600/Base_IFData!Q600,"PL ≤ 0"),"NI")</f>
        <v>0.10309293078406628</v>
      </c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spans="1:30" ht="1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12" t="str">
        <f>Base_IFData!A601</f>
        <v>COOPERATIVA DE CRÉDITO SICOOB SERTÃO LTDA</v>
      </c>
      <c r="L600" s="12" t="str">
        <f>Base_IFData!F601</f>
        <v>b3S</v>
      </c>
      <c r="M600" s="14" t="str">
        <f>IF(AND(ISNUMBER(Base_IFData!L601),ISNUMBER(Base_IFData!W601)),IF(Base_IFData!L601&gt;$B$4,Base_IFData!W601,""),"")</f>
        <v/>
      </c>
      <c r="N600" s="51">
        <f>IF(AND(ISNUMBER(Base_IFData!O601),ISNUMBER(Base_IFData!Q601)),IF(Base_IFData!Q601&gt;0,Base_IFData!O601/Base_IFData!Q601,"PL ≤ 0"),"NI")</f>
        <v>4.7746364902855518</v>
      </c>
      <c r="O600" s="110">
        <f>IF(AND(ISNUMBER(Base_IFData!M601),ISNUMBER(Base_IFData!Q601)),IF(Base_IFData!Q601&gt;0,Base_IFData!M601/Base_IFData!Q601,"PL ≤ 0"),"NI")</f>
        <v>3.274715740825707</v>
      </c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spans="1:30" ht="1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15" t="str">
        <f>Base_IFData!A602</f>
        <v>DEUTSCHE SPARKASSEN LEASING DO BRASIL BANCO MÚLTIPLO S.A.</v>
      </c>
      <c r="L601" s="15" t="str">
        <f>Base_IFData!F602</f>
        <v>b2</v>
      </c>
      <c r="M601" s="17" t="str">
        <f>IF(AND(ISNUMBER(Base_IFData!L602),ISNUMBER(Base_IFData!W602)),IF(Base_IFData!L602&gt;$B$4,Base_IFData!W602,""),"")</f>
        <v/>
      </c>
      <c r="N601" s="50">
        <f>IF(AND(ISNUMBER(Base_IFData!O602),ISNUMBER(Base_IFData!Q602)),IF(Base_IFData!Q602&gt;0,Base_IFData!O602/Base_IFData!Q602,"PL ≤ 0"),"NI")</f>
        <v>6.581636615811373</v>
      </c>
      <c r="O601" s="107">
        <f>IF(AND(ISNUMBER(Base_IFData!M602),ISNUMBER(Base_IFData!Q602)),IF(Base_IFData!Q602&gt;0,Base_IFData!M602/Base_IFData!Q602,"PL ≤ 0"),"NI")</f>
        <v>6.7970041608876564</v>
      </c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spans="1:30" ht="1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12" t="str">
        <f>Base_IFData!A603</f>
        <v>COOPERATIVA DE CRÉDITO DE LIVRE ADMISSÃO DA REGIÃO CENTRAL DE RONDÔNIA   SICOOB OUROCREDI</v>
      </c>
      <c r="L602" s="12" t="str">
        <f>Base_IFData!F603</f>
        <v>b3S</v>
      </c>
      <c r="M602" s="14" t="str">
        <f>IF(AND(ISNUMBER(Base_IFData!L603),ISNUMBER(Base_IFData!W603)),IF(Base_IFData!L603&gt;$B$4,Base_IFData!W603,""),"")</f>
        <v/>
      </c>
      <c r="N602" s="51">
        <f>IF(AND(ISNUMBER(Base_IFData!O603),ISNUMBER(Base_IFData!Q603)),IF(Base_IFData!Q603&gt;0,Base_IFData!O603/Base_IFData!Q603,"PL ≤ 0"),"NI")</f>
        <v>4.1433791200460899</v>
      </c>
      <c r="O602" s="110">
        <f>IF(AND(ISNUMBER(Base_IFData!M603),ISNUMBER(Base_IFData!Q603)),IF(Base_IFData!Q603&gt;0,Base_IFData!M603/Base_IFData!Q603,"PL ≤ 0"),"NI")</f>
        <v>2.685511992480063</v>
      </c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spans="1:30" ht="1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15" t="str">
        <f>Base_IFData!A604</f>
        <v>SUPERLÓGICA SOCIEDADE DE CRÉDITO DIRETO S.A.</v>
      </c>
      <c r="L603" s="15" t="str">
        <f>Base_IFData!F604</f>
        <v>n1</v>
      </c>
      <c r="M603" s="17" t="str">
        <f>IF(AND(ISNUMBER(Base_IFData!L604),ISNUMBER(Base_IFData!W604)),IF(Base_IFData!L604&gt;$B$4,Base_IFData!W604,""),"")</f>
        <v/>
      </c>
      <c r="N603" s="50">
        <f>IF(AND(ISNUMBER(Base_IFData!O604),ISNUMBER(Base_IFData!Q604)),IF(Base_IFData!Q604&gt;0,Base_IFData!O604/Base_IFData!Q604,"PL ≤ 0"),"NI")</f>
        <v>20.173888576252111</v>
      </c>
      <c r="O603" s="107">
        <f>IF(AND(ISNUMBER(Base_IFData!M604),ISNUMBER(Base_IFData!Q604)),IF(Base_IFData!Q604&gt;0,Base_IFData!M604/Base_IFData!Q604,"PL ≤ 0"),"NI")</f>
        <v>0.72562996310886008</v>
      </c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spans="1:30" ht="1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12" t="str">
        <f>Base_IFData!A605</f>
        <v>COOPERATIVA DE CRÉDITO E INVESTIMENTO COM INTERAÇÃO SOLIDÁRIA DE GOIÁS - CRESOL GOIÁS</v>
      </c>
      <c r="L604" s="12" t="str">
        <f>Base_IFData!F605</f>
        <v>b3S</v>
      </c>
      <c r="M604" s="14" t="str">
        <f>IF(AND(ISNUMBER(Base_IFData!L605),ISNUMBER(Base_IFData!W605)),IF(Base_IFData!L605&gt;$B$4,Base_IFData!W605,""),"")</f>
        <v/>
      </c>
      <c r="N604" s="51">
        <f>IF(AND(ISNUMBER(Base_IFData!O605),ISNUMBER(Base_IFData!Q605)),IF(Base_IFData!Q605&gt;0,Base_IFData!O605/Base_IFData!Q605,"PL ≤ 0"),"NI")</f>
        <v>5.0561598647801311</v>
      </c>
      <c r="O604" s="110">
        <f>IF(AND(ISNUMBER(Base_IFData!M605),ISNUMBER(Base_IFData!Q605)),IF(Base_IFData!Q605&gt;0,Base_IFData!M605/Base_IFData!Q605,"PL ≤ 0"),"NI")</f>
        <v>4.1408358550748341</v>
      </c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spans="1:30" ht="1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15" t="str">
        <f>Base_IFData!A606</f>
        <v>COOPERATIVA DE CRÉDITO E ECONOMIA COM INTERAÇÃO SOLIDÁRIA - CRESOL ALIANÇA</v>
      </c>
      <c r="L605" s="15" t="str">
        <f>Base_IFData!F606</f>
        <v>b3S</v>
      </c>
      <c r="M605" s="17" t="str">
        <f>IF(AND(ISNUMBER(Base_IFData!L606),ISNUMBER(Base_IFData!W606)),IF(Base_IFData!L606&gt;$B$4,Base_IFData!W606,""),"")</f>
        <v/>
      </c>
      <c r="N605" s="50">
        <f>IF(AND(ISNUMBER(Base_IFData!O606),ISNUMBER(Base_IFData!Q606)),IF(Base_IFData!Q606&gt;0,Base_IFData!O606/Base_IFData!Q606,"PL ≤ 0"),"NI")</f>
        <v>7.4702342767699061</v>
      </c>
      <c r="O605" s="107">
        <f>IF(AND(ISNUMBER(Base_IFData!M606),ISNUMBER(Base_IFData!Q606)),IF(Base_IFData!Q606&gt;0,Base_IFData!M606/Base_IFData!Q606,"PL ≤ 0"),"NI")</f>
        <v>5.8608195837930772</v>
      </c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spans="1:30" ht="1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12" t="str">
        <f>Base_IFData!A607</f>
        <v>COOPERATIVA DE CRÉDITO E INVESTIMENTO SICOOB COOPERCRED LTDA.</v>
      </c>
      <c r="L606" s="12" t="str">
        <f>Base_IFData!F607</f>
        <v>b3S</v>
      </c>
      <c r="M606" s="14" t="str">
        <f>IF(AND(ISNUMBER(Base_IFData!L607),ISNUMBER(Base_IFData!W607)),IF(Base_IFData!L607&gt;$B$4,Base_IFData!W607,""),"")</f>
        <v/>
      </c>
      <c r="N606" s="51">
        <f>IF(AND(ISNUMBER(Base_IFData!O607),ISNUMBER(Base_IFData!Q607)),IF(Base_IFData!Q607&gt;0,Base_IFData!O607/Base_IFData!Q607,"PL ≤ 0"),"NI")</f>
        <v>3.3180361382221051</v>
      </c>
      <c r="O606" s="110">
        <f>IF(AND(ISNUMBER(Base_IFData!M607),ISNUMBER(Base_IFData!Q607)),IF(Base_IFData!Q607&gt;0,Base_IFData!M607/Base_IFData!Q607,"PL ≤ 0"),"NI")</f>
        <v>2.5521630176734371</v>
      </c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spans="1:30" ht="1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15" t="str">
        <f>Base_IFData!A608</f>
        <v>DIBENS LEASING S.A. ARRENDAMENTO MERCANTIL</v>
      </c>
      <c r="L607" s="15" t="str">
        <f>Base_IFData!F608</f>
        <v>n1</v>
      </c>
      <c r="M607" s="17" t="str">
        <f>IF(AND(ISNUMBER(Base_IFData!L608),ISNUMBER(Base_IFData!W608)),IF(Base_IFData!L608&gt;$B$4,Base_IFData!W608,""),"")</f>
        <v/>
      </c>
      <c r="N607" s="50">
        <f>IF(AND(ISNUMBER(Base_IFData!O608),ISNUMBER(Base_IFData!Q608)),IF(Base_IFData!Q608&gt;0,Base_IFData!O608/Base_IFData!Q608,"PL ≤ 0"),"NI")</f>
        <v>3.1430634688858983E-2</v>
      </c>
      <c r="O607" s="107">
        <f>IF(AND(ISNUMBER(Base_IFData!M608),ISNUMBER(Base_IFData!Q608)),IF(Base_IFData!Q608&gt;0,Base_IFData!M608/Base_IFData!Q608,"PL ≤ 0"),"NI")</f>
        <v>0</v>
      </c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spans="1:30" ht="1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12" t="str">
        <f>Base_IFData!A609</f>
        <v>COOPERATIVA DE ECONOMIA E CRÉDITO MÚTUO UNICRED PROSPERAR LTDA. - UNICRED PROSPERAR</v>
      </c>
      <c r="L608" s="12" t="str">
        <f>Base_IFData!F609</f>
        <v>b3S</v>
      </c>
      <c r="M608" s="14" t="str">
        <f>IF(AND(ISNUMBER(Base_IFData!L609),ISNUMBER(Base_IFData!W609)),IF(Base_IFData!L609&gt;$B$4,Base_IFData!W609,""),"")</f>
        <v/>
      </c>
      <c r="N608" s="51">
        <f>IF(AND(ISNUMBER(Base_IFData!O609),ISNUMBER(Base_IFData!Q609)),IF(Base_IFData!Q609&gt;0,Base_IFData!O609/Base_IFData!Q609,"PL ≤ 0"),"NI")</f>
        <v>8.7627113540208086</v>
      </c>
      <c r="O608" s="110">
        <f>IF(AND(ISNUMBER(Base_IFData!M609),ISNUMBER(Base_IFData!Q609)),IF(Base_IFData!Q609&gt;0,Base_IFData!M609/Base_IFData!Q609,"PL ≤ 0"),"NI")</f>
        <v>4.9409488534561934</v>
      </c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spans="1:30" ht="1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15" t="str">
        <f>Base_IFData!A610</f>
        <v>COOPERATIVA DE CRÉDITO DE LIVRE ADMISSÃO DO VALE DO RIO GRANDE LTDA. - SICOOB UBERABA</v>
      </c>
      <c r="L609" s="15" t="str">
        <f>Base_IFData!F610</f>
        <v>b3S</v>
      </c>
      <c r="M609" s="17" t="str">
        <f>IF(AND(ISNUMBER(Base_IFData!L610),ISNUMBER(Base_IFData!W610)),IF(Base_IFData!L610&gt;$B$4,Base_IFData!W610,""),"")</f>
        <v/>
      </c>
      <c r="N609" s="50">
        <f>IF(AND(ISNUMBER(Base_IFData!O610),ISNUMBER(Base_IFData!Q610)),IF(Base_IFData!Q610&gt;0,Base_IFData!O610/Base_IFData!Q610,"PL ≤ 0"),"NI")</f>
        <v>6.0718802905357432</v>
      </c>
      <c r="O609" s="107">
        <f>IF(AND(ISNUMBER(Base_IFData!M610),ISNUMBER(Base_IFData!Q610)),IF(Base_IFData!Q610&gt;0,Base_IFData!M610/Base_IFData!Q610,"PL ≤ 0"),"NI")</f>
        <v>4.4615695483589102</v>
      </c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spans="1:30" ht="1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12" t="str">
        <f>Base_IFData!A611</f>
        <v>COOPERATIVA DE CRÉDITO DA REGIÃO CENTRAL DE MINAS LTDA. - SICOOB UNIÃO CENTRAL</v>
      </c>
      <c r="L610" s="12" t="str">
        <f>Base_IFData!F611</f>
        <v>b3S</v>
      </c>
      <c r="M610" s="14" t="str">
        <f>IF(AND(ISNUMBER(Base_IFData!L611),ISNUMBER(Base_IFData!W611)),IF(Base_IFData!L611&gt;$B$4,Base_IFData!W611,""),"")</f>
        <v/>
      </c>
      <c r="N610" s="51">
        <f>IF(AND(ISNUMBER(Base_IFData!O611),ISNUMBER(Base_IFData!Q611)),IF(Base_IFData!Q611&gt;0,Base_IFData!O611/Base_IFData!Q611,"PL ≤ 0"),"NI")</f>
        <v>4.3893467336683418</v>
      </c>
      <c r="O610" s="110">
        <f>IF(AND(ISNUMBER(Base_IFData!M611),ISNUMBER(Base_IFData!Q611)),IF(Base_IFData!Q611&gt;0,Base_IFData!M611/Base_IFData!Q611,"PL ≤ 0"),"NI")</f>
        <v>1.4391373534338359</v>
      </c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spans="1:30" ht="1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15" t="str">
        <f>Base_IFData!A612</f>
        <v>COOPERATIVA DE CRÉDITO DO DISTRITO FEDERAL E ENTORNO LTDA</v>
      </c>
      <c r="L611" s="15" t="str">
        <f>Base_IFData!F612</f>
        <v>b3S</v>
      </c>
      <c r="M611" s="17" t="str">
        <f>IF(AND(ISNUMBER(Base_IFData!L612),ISNUMBER(Base_IFData!W612)),IF(Base_IFData!L612&gt;$B$4,Base_IFData!W612,""),"")</f>
        <v/>
      </c>
      <c r="N611" s="50">
        <f>IF(AND(ISNUMBER(Base_IFData!O612),ISNUMBER(Base_IFData!Q612)),IF(Base_IFData!Q612&gt;0,Base_IFData!O612/Base_IFData!Q612,"PL ≤ 0"),"NI")</f>
        <v>5.2906874351799305</v>
      </c>
      <c r="O611" s="107">
        <f>IF(AND(ISNUMBER(Base_IFData!M612),ISNUMBER(Base_IFData!Q612)),IF(Base_IFData!Q612&gt;0,Base_IFData!M612/Base_IFData!Q612,"PL ≤ 0"),"NI")</f>
        <v>3.6690507406610178</v>
      </c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spans="1:30" ht="1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12" t="str">
        <f>Base_IFData!A613</f>
        <v>CREDI-SHOP S/A - INSTITUIÇÃO DE PAGAMENTO</v>
      </c>
      <c r="L612" s="12" t="str">
        <f>Base_IFData!F613</f>
        <v>n4</v>
      </c>
      <c r="M612" s="14" t="str">
        <f>IF(AND(ISNUMBER(Base_IFData!L613),ISNUMBER(Base_IFData!W613)),IF(Base_IFData!L613&gt;$B$4,Base_IFData!W613,""),"")</f>
        <v/>
      </c>
      <c r="N612" s="51">
        <f>IF(AND(ISNUMBER(Base_IFData!O613),ISNUMBER(Base_IFData!Q613)),IF(Base_IFData!Q613&gt;0,Base_IFData!O613/Base_IFData!Q613,"PL ≤ 0"),"NI")</f>
        <v>1.0658463659971518</v>
      </c>
      <c r="O612" s="110">
        <f>IF(AND(ISNUMBER(Base_IFData!M613),ISNUMBER(Base_IFData!Q613)),IF(Base_IFData!Q613&gt;0,Base_IFData!M613/Base_IFData!Q613,"PL ≤ 0"),"NI")</f>
        <v>1.3607486451829083</v>
      </c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spans="1:30" ht="1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15" t="str">
        <f>Base_IFData!A614</f>
        <v>COOPERATIVA DE CRÉDITO DE LIVRE ADMISSÃO DO ALTO SÃO FRANCISCO LTDA.</v>
      </c>
      <c r="L613" s="15" t="str">
        <f>Base_IFData!F614</f>
        <v>b3S</v>
      </c>
      <c r="M613" s="17" t="str">
        <f>IF(AND(ISNUMBER(Base_IFData!L614),ISNUMBER(Base_IFData!W614)),IF(Base_IFData!L614&gt;$B$4,Base_IFData!W614,""),"")</f>
        <v/>
      </c>
      <c r="N613" s="50">
        <f>IF(AND(ISNUMBER(Base_IFData!O614),ISNUMBER(Base_IFData!Q614)),IF(Base_IFData!Q614&gt;0,Base_IFData!O614/Base_IFData!Q614,"PL ≤ 0"),"NI")</f>
        <v>6.6735027332252059</v>
      </c>
      <c r="O613" s="107">
        <f>IF(AND(ISNUMBER(Base_IFData!M614),ISNUMBER(Base_IFData!Q614)),IF(Base_IFData!Q614&gt;0,Base_IFData!M614/Base_IFData!Q614,"PL ≤ 0"),"NI")</f>
        <v>3.2813239622754851</v>
      </c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spans="1:30" ht="1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12" t="str">
        <f>Base_IFData!A615</f>
        <v>COOPERATIVA DE CRÉDITO DE LIVRE ADMISSÃO LTDA. - SICOOB CREDIJUSTRA</v>
      </c>
      <c r="L614" s="12" t="str">
        <f>Base_IFData!F615</f>
        <v>b3S</v>
      </c>
      <c r="M614" s="14" t="str">
        <f>IF(AND(ISNUMBER(Base_IFData!L615),ISNUMBER(Base_IFData!W615)),IF(Base_IFData!L615&gt;$B$4,Base_IFData!W615,""),"")</f>
        <v/>
      </c>
      <c r="N614" s="51">
        <f>IF(AND(ISNUMBER(Base_IFData!O615),ISNUMBER(Base_IFData!Q615)),IF(Base_IFData!Q615&gt;0,Base_IFData!O615/Base_IFData!Q615,"PL ≤ 0"),"NI")</f>
        <v>5.6156918776855367</v>
      </c>
      <c r="O614" s="110">
        <f>IF(AND(ISNUMBER(Base_IFData!M615),ISNUMBER(Base_IFData!Q615)),IF(Base_IFData!Q615&gt;0,Base_IFData!M615/Base_IFData!Q615,"PL ≤ 0"),"NI")</f>
        <v>2.8063493387843645</v>
      </c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spans="1:30" ht="1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15" t="str">
        <f>Base_IFData!A616</f>
        <v>COOPERATIVA DE CRÉDITO E INVESTIMENTO COM INTERAÇÃO SOLIDÁRIA EXCELÊNCIA - CRESOL EXCELÊNCIA</v>
      </c>
      <c r="L615" s="15" t="str">
        <f>Base_IFData!F616</f>
        <v>b3S</v>
      </c>
      <c r="M615" s="17" t="str">
        <f>IF(AND(ISNUMBER(Base_IFData!L616),ISNUMBER(Base_IFData!W616)),IF(Base_IFData!L616&gt;$B$4,Base_IFData!W616,""),"")</f>
        <v/>
      </c>
      <c r="N615" s="50">
        <f>IF(AND(ISNUMBER(Base_IFData!O616),ISNUMBER(Base_IFData!Q616)),IF(Base_IFData!Q616&gt;0,Base_IFData!O616/Base_IFData!Q616,"PL ≤ 0"),"NI")</f>
        <v>6.4725287751449132</v>
      </c>
      <c r="O615" s="107">
        <f>IF(AND(ISNUMBER(Base_IFData!M616),ISNUMBER(Base_IFData!Q616)),IF(Base_IFData!Q616&gt;0,Base_IFData!M616/Base_IFData!Q616,"PL ≤ 0"),"NI")</f>
        <v>5.5828996811322771</v>
      </c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spans="1:30" ht="1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12" t="str">
        <f>Base_IFData!A617</f>
        <v>XP SERVIÇOS FINANCEIROS DTVM LTDA</v>
      </c>
      <c r="L616" s="12" t="str">
        <f>Base_IFData!F617</f>
        <v>n2</v>
      </c>
      <c r="M616" s="14" t="str">
        <f>IF(AND(ISNUMBER(Base_IFData!L617),ISNUMBER(Base_IFData!W617)),IF(Base_IFData!L617&gt;$B$4,Base_IFData!W617,""),"")</f>
        <v/>
      </c>
      <c r="N616" s="51">
        <f>IF(AND(ISNUMBER(Base_IFData!O617),ISNUMBER(Base_IFData!Q617)),IF(Base_IFData!Q617&gt;0,Base_IFData!O617/Base_IFData!Q617,"PL ≤ 0"),"NI")</f>
        <v>4.8238616674172126E-2</v>
      </c>
      <c r="O616" s="110">
        <f>IF(AND(ISNUMBER(Base_IFData!M617),ISNUMBER(Base_IFData!Q617)),IF(Base_IFData!Q617&gt;0,Base_IFData!M617/Base_IFData!Q617,"PL ≤ 0"),"NI")</f>
        <v>0</v>
      </c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spans="1:30" ht="1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15" t="str">
        <f>Base_IFData!A618</f>
        <v>MERCANTIL FINANCEIRA S.A. - SOCIEDADE DE CRÉDITO, FINANCIAMENTO E INVESTIMENTO.</v>
      </c>
      <c r="L617" s="15" t="str">
        <f>Base_IFData!F618</f>
        <v>n1</v>
      </c>
      <c r="M617" s="17" t="str">
        <f>IF(AND(ISNUMBER(Base_IFData!L618),ISNUMBER(Base_IFData!W618)),IF(Base_IFData!L618&gt;$B$4,Base_IFData!W618,""),"")</f>
        <v/>
      </c>
      <c r="N617" s="50">
        <f>IF(AND(ISNUMBER(Base_IFData!O618),ISNUMBER(Base_IFData!Q618)),IF(Base_IFData!Q618&gt;0,Base_IFData!O618/Base_IFData!Q618,"PL ≤ 0"),"NI")</f>
        <v>6.1814421712898873E-2</v>
      </c>
      <c r="O617" s="107">
        <f>IF(AND(ISNUMBER(Base_IFData!M618),ISNUMBER(Base_IFData!Q618)),IF(Base_IFData!Q618&gt;0,Base_IFData!M618/Base_IFData!Q618,"PL ≤ 0"),"NI")</f>
        <v>0.67298535268078419</v>
      </c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spans="1:30" ht="1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12" t="str">
        <f>Base_IFData!A619</f>
        <v>SICOOB CREDIGOIÁS COOPERATIVA DE CRÉDITO LTDA.</v>
      </c>
      <c r="L618" s="12" t="str">
        <f>Base_IFData!F619</f>
        <v>b3S</v>
      </c>
      <c r="M618" s="14" t="str">
        <f>IF(AND(ISNUMBER(Base_IFData!L619),ISNUMBER(Base_IFData!W619)),IF(Base_IFData!L619&gt;$B$4,Base_IFData!W619,""),"")</f>
        <v/>
      </c>
      <c r="N618" s="51">
        <f>IF(AND(ISNUMBER(Base_IFData!O619),ISNUMBER(Base_IFData!Q619)),IF(Base_IFData!Q619&gt;0,Base_IFData!O619/Base_IFData!Q619,"PL ≤ 0"),"NI")</f>
        <v>3.0814791746730097</v>
      </c>
      <c r="O618" s="110">
        <f>IF(AND(ISNUMBER(Base_IFData!M619),ISNUMBER(Base_IFData!Q619)),IF(Base_IFData!Q619&gt;0,Base_IFData!M619/Base_IFData!Q619,"PL ≤ 0"),"NI")</f>
        <v>2.0080902717960272</v>
      </c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spans="1:30" ht="1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15" t="str">
        <f>Base_IFData!A620</f>
        <v>COOPERATIVA DE CRÉDITO DE LIVRE ADMISSÃO DE RIO VERDE E REGIÃO LTDA.</v>
      </c>
      <c r="L619" s="15" t="str">
        <f>Base_IFData!F620</f>
        <v>b3S</v>
      </c>
      <c r="M619" s="17" t="str">
        <f>IF(AND(ISNUMBER(Base_IFData!L620),ISNUMBER(Base_IFData!W620)),IF(Base_IFData!L620&gt;$B$4,Base_IFData!W620,""),"")</f>
        <v/>
      </c>
      <c r="N619" s="50">
        <f>IF(AND(ISNUMBER(Base_IFData!O620),ISNUMBER(Base_IFData!Q620)),IF(Base_IFData!Q620&gt;0,Base_IFData!O620/Base_IFData!Q620,"PL ≤ 0"),"NI")</f>
        <v>4.7396909624259633</v>
      </c>
      <c r="O619" s="107">
        <f>IF(AND(ISNUMBER(Base_IFData!M620),ISNUMBER(Base_IFData!Q620)),IF(Base_IFData!Q620&gt;0,Base_IFData!M620/Base_IFData!Q620,"PL ≤ 0"),"NI")</f>
        <v>3.2484071672801331</v>
      </c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spans="1:30" ht="1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12" t="str">
        <f>Base_IFData!A621</f>
        <v>COOPERATIVA DE CREDITO DO MERCADO IMOBILIÁRIO - SICOOB IMOB.VC</v>
      </c>
      <c r="L620" s="12" t="str">
        <f>Base_IFData!F621</f>
        <v>b3S</v>
      </c>
      <c r="M620" s="14" t="str">
        <f>IF(AND(ISNUMBER(Base_IFData!L621),ISNUMBER(Base_IFData!W621)),IF(Base_IFData!L621&gt;$B$4,Base_IFData!W621,""),"")</f>
        <v/>
      </c>
      <c r="N620" s="51">
        <f>IF(AND(ISNUMBER(Base_IFData!O621),ISNUMBER(Base_IFData!Q621)),IF(Base_IFData!Q621&gt;0,Base_IFData!O621/Base_IFData!Q621,"PL ≤ 0"),"NI")</f>
        <v>5.7823886752494005</v>
      </c>
      <c r="O620" s="110">
        <f>IF(AND(ISNUMBER(Base_IFData!M621),ISNUMBER(Base_IFData!Q621)),IF(Base_IFData!Q621&gt;0,Base_IFData!M621/Base_IFData!Q621,"PL ≤ 0"),"NI")</f>
        <v>1.4793624254583961</v>
      </c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spans="1:30" ht="1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15" t="str">
        <f>Base_IFData!A622</f>
        <v>COOPERATIVA DE CRÉDITO MONTECREDI LTDA. - SICOOB MONTECREDI</v>
      </c>
      <c r="L621" s="15" t="str">
        <f>Base_IFData!F622</f>
        <v>b3S</v>
      </c>
      <c r="M621" s="17" t="str">
        <f>IF(AND(ISNUMBER(Base_IFData!L622),ISNUMBER(Base_IFData!W622)),IF(Base_IFData!L622&gt;$B$4,Base_IFData!W622,""),"")</f>
        <v/>
      </c>
      <c r="N621" s="50">
        <f>IF(AND(ISNUMBER(Base_IFData!O622),ISNUMBER(Base_IFData!Q622)),IF(Base_IFData!Q622&gt;0,Base_IFData!O622/Base_IFData!Q622,"PL ≤ 0"),"NI")</f>
        <v>5.5633397002169058</v>
      </c>
      <c r="O621" s="107">
        <f>IF(AND(ISNUMBER(Base_IFData!M622),ISNUMBER(Base_IFData!Q622)),IF(Base_IFData!Q622&gt;0,Base_IFData!M622/Base_IFData!Q622,"PL ≤ 0"),"NI")</f>
        <v>2.9502196035266062</v>
      </c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spans="1:30" ht="1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12" t="str">
        <f>Base_IFData!A623</f>
        <v>COOPERATIVA DE CRÉDITO CARLOS CHAGAS LTDA. - SICOOB CARLOS CHAGAS</v>
      </c>
      <c r="L622" s="12" t="str">
        <f>Base_IFData!F623</f>
        <v>b3S</v>
      </c>
      <c r="M622" s="14" t="str">
        <f>IF(AND(ISNUMBER(Base_IFData!L623),ISNUMBER(Base_IFData!W623)),IF(Base_IFData!L623&gt;$B$4,Base_IFData!W623,""),"")</f>
        <v/>
      </c>
      <c r="N622" s="51">
        <f>IF(AND(ISNUMBER(Base_IFData!O623),ISNUMBER(Base_IFData!Q623)),IF(Base_IFData!Q623&gt;0,Base_IFData!O623/Base_IFData!Q623,"PL ≤ 0"),"NI")</f>
        <v>3.44503238555275</v>
      </c>
      <c r="O622" s="110">
        <f>IF(AND(ISNUMBER(Base_IFData!M623),ISNUMBER(Base_IFData!Q623)),IF(Base_IFData!Q623&gt;0,Base_IFData!M623/Base_IFData!Q623,"PL ≤ 0"),"NI")</f>
        <v>1.9532696600431807</v>
      </c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spans="1:30" ht="1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15" t="str">
        <f>Base_IFData!A624</f>
        <v>BANCO MERCANTIL DE INVESTIMENTOS S/A</v>
      </c>
      <c r="L623" s="15" t="str">
        <f>Base_IFData!F624</f>
        <v>b2</v>
      </c>
      <c r="M623" s="17" t="str">
        <f>IF(AND(ISNUMBER(Base_IFData!L624),ISNUMBER(Base_IFData!W624)),IF(Base_IFData!L624&gt;$B$4,Base_IFData!W624,""),"")</f>
        <v/>
      </c>
      <c r="N623" s="50">
        <f>IF(AND(ISNUMBER(Base_IFData!O624),ISNUMBER(Base_IFData!Q624)),IF(Base_IFData!Q624&gt;0,Base_IFData!O624/Base_IFData!Q624,"PL ≤ 0"),"NI")</f>
        <v>3.0422076401848841</v>
      </c>
      <c r="O623" s="107">
        <f>IF(AND(ISNUMBER(Base_IFData!M624),ISNUMBER(Base_IFData!Q624)),IF(Base_IFData!Q624&gt;0,Base_IFData!M624/Base_IFData!Q624,"PL ≤ 0"),"NI")</f>
        <v>1.2065766326196161</v>
      </c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spans="1:30" ht="1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12" t="str">
        <f>Base_IFData!A625</f>
        <v>ZEMA CRÉDITO, FINANCIAMENTO E INVESTIMENTO S/A</v>
      </c>
      <c r="L624" s="12" t="str">
        <f>Base_IFData!F625</f>
        <v>n1</v>
      </c>
      <c r="M624" s="14" t="str">
        <f>IF(AND(ISNUMBER(Base_IFData!L625),ISNUMBER(Base_IFData!W625)),IF(Base_IFData!L625&gt;$B$4,Base_IFData!W625,""),"")</f>
        <v/>
      </c>
      <c r="N624" s="51">
        <f>IF(AND(ISNUMBER(Base_IFData!O625),ISNUMBER(Base_IFData!Q625)),IF(Base_IFData!Q625&gt;0,Base_IFData!O625/Base_IFData!Q625,"PL ≤ 0"),"NI")</f>
        <v>4.0119888159696009</v>
      </c>
      <c r="O624" s="110">
        <f>IF(AND(ISNUMBER(Base_IFData!M625),ISNUMBER(Base_IFData!Q625)),IF(Base_IFData!Q625&gt;0,Base_IFData!M625/Base_IFData!Q625,"PL ≤ 0"),"NI")</f>
        <v>4.0390279517792402</v>
      </c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spans="1:30" ht="1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15" t="str">
        <f>Base_IFData!A626</f>
        <v>COOPERATIVA DE CRÉDITO DE LIVRE ADMISSÃO BURITIS - SICOOB BURITIS</v>
      </c>
      <c r="L625" s="15" t="str">
        <f>Base_IFData!F626</f>
        <v>b3S</v>
      </c>
      <c r="M625" s="17" t="str">
        <f>IF(AND(ISNUMBER(Base_IFData!L626),ISNUMBER(Base_IFData!W626)),IF(Base_IFData!L626&gt;$B$4,Base_IFData!W626,""),"")</f>
        <v/>
      </c>
      <c r="N625" s="50">
        <f>IF(AND(ISNUMBER(Base_IFData!O626),ISNUMBER(Base_IFData!Q626)),IF(Base_IFData!Q626&gt;0,Base_IFData!O626/Base_IFData!Q626,"PL ≤ 0"),"NI")</f>
        <v>7.736461257923529</v>
      </c>
      <c r="O625" s="107">
        <f>IF(AND(ISNUMBER(Base_IFData!M626),ISNUMBER(Base_IFData!Q626)),IF(Base_IFData!Q626&gt;0,Base_IFData!M626/Base_IFData!Q626,"PL ≤ 0"),"NI")</f>
        <v>5.1143737879533413</v>
      </c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spans="1:30" ht="1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12" t="str">
        <f>Base_IFData!A627</f>
        <v>COOPERATIVA DE CRÉDITO E INVESTIMENTO COM INTERAÇÃO SOLIDÁRIA CONFIANÇA - CRESOL CONFIANÇA</v>
      </c>
      <c r="L626" s="12" t="str">
        <f>Base_IFData!F627</f>
        <v>b3S</v>
      </c>
      <c r="M626" s="14" t="str">
        <f>IF(AND(ISNUMBER(Base_IFData!L627),ISNUMBER(Base_IFData!W627)),IF(Base_IFData!L627&gt;$B$4,Base_IFData!W627,""),"")</f>
        <v/>
      </c>
      <c r="N626" s="51">
        <f>IF(AND(ISNUMBER(Base_IFData!O627),ISNUMBER(Base_IFData!Q627)),IF(Base_IFData!Q627&gt;0,Base_IFData!O627/Base_IFData!Q627,"PL ≤ 0"),"NI")</f>
        <v>7.0169891584099</v>
      </c>
      <c r="O626" s="110">
        <f>IF(AND(ISNUMBER(Base_IFData!M627),ISNUMBER(Base_IFData!Q627)),IF(Base_IFData!Q627&gt;0,Base_IFData!M627/Base_IFData!Q627,"PL ≤ 0"),"NI")</f>
        <v>5.5612156449612611</v>
      </c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spans="1:30" ht="1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15" t="str">
        <f>Base_IFData!A628</f>
        <v>COOPERATIVA DE CRÉDITO, POUPANÇA E INVESTIMENTO NATIVA - SICREDI NATIVA PE/BA</v>
      </c>
      <c r="L627" s="15" t="str">
        <f>Base_IFData!F628</f>
        <v>b3S</v>
      </c>
      <c r="M627" s="17" t="str">
        <f>IF(AND(ISNUMBER(Base_IFData!L628),ISNUMBER(Base_IFData!W628)),IF(Base_IFData!L628&gt;$B$4,Base_IFData!W628,""),"")</f>
        <v/>
      </c>
      <c r="N627" s="50">
        <f>IF(AND(ISNUMBER(Base_IFData!O628),ISNUMBER(Base_IFData!Q628)),IF(Base_IFData!Q628&gt;0,Base_IFData!O628/Base_IFData!Q628,"PL ≤ 0"),"NI")</f>
        <v>8.0186513414560956</v>
      </c>
      <c r="O627" s="107">
        <f>IF(AND(ISNUMBER(Base_IFData!M628),ISNUMBER(Base_IFData!Q628)),IF(Base_IFData!Q628&gt;0,Base_IFData!M628/Base_IFData!Q628,"PL ≤ 0"),"NI")</f>
        <v>3.8484334673789089</v>
      </c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spans="1:30" ht="1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12" t="str">
        <f>Base_IFData!A629</f>
        <v>BANCO NACIONAL DE INVESTIMENTOS S.A.</v>
      </c>
      <c r="L628" s="12" t="str">
        <f>Base_IFData!F629</f>
        <v>b2</v>
      </c>
      <c r="M628" s="14" t="str">
        <f>IF(AND(ISNUMBER(Base_IFData!L629),ISNUMBER(Base_IFData!W629)),IF(Base_IFData!L629&gt;$B$4,Base_IFData!W629,""),"")</f>
        <v/>
      </c>
      <c r="N628" s="51">
        <f>IF(AND(ISNUMBER(Base_IFData!O629),ISNUMBER(Base_IFData!Q629)),IF(Base_IFData!Q629&gt;0,Base_IFData!O629/Base_IFData!Q629,"PL ≤ 0"),"NI")</f>
        <v>0.24591539757489389</v>
      </c>
      <c r="O628" s="110">
        <f>IF(AND(ISNUMBER(Base_IFData!M629),ISNUMBER(Base_IFData!Q629)),IF(Base_IFData!Q629&gt;0,Base_IFData!M629/Base_IFData!Q629,"PL ≤ 0"),"NI")</f>
        <v>0.75278625454681425</v>
      </c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30" ht="1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15" t="str">
        <f>Base_IFData!A630</f>
        <v>COOPERATIVA DE CRÉDITO DE LIVRE ADMISSÃO DO ESTADO DO RIO DE JANEIRO - SICOOB FLUMINENSE</v>
      </c>
      <c r="L629" s="15" t="str">
        <f>Base_IFData!F630</f>
        <v>b3S</v>
      </c>
      <c r="M629" s="17" t="str">
        <f>IF(AND(ISNUMBER(Base_IFData!L630),ISNUMBER(Base_IFData!W630)),IF(Base_IFData!L630&gt;$B$4,Base_IFData!W630,""),"")</f>
        <v/>
      </c>
      <c r="N629" s="50">
        <f>IF(AND(ISNUMBER(Base_IFData!O630),ISNUMBER(Base_IFData!Q630)),IF(Base_IFData!Q630&gt;0,Base_IFData!O630/Base_IFData!Q630,"PL ≤ 0"),"NI")</f>
        <v>9.0027476209623369</v>
      </c>
      <c r="O629" s="107">
        <f>IF(AND(ISNUMBER(Base_IFData!M630),ISNUMBER(Base_IFData!Q630)),IF(Base_IFData!Q630&gt;0,Base_IFData!M630/Base_IFData!Q630,"PL ≤ 0"),"NI")</f>
        <v>5.8549624715185633</v>
      </c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30" ht="1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12" t="str">
        <f>Base_IFData!A631</f>
        <v>COOPERATIVA DE CRÉDITO CREDIALP LTDA - SICOOB CREDIALP</v>
      </c>
      <c r="L630" s="12" t="str">
        <f>Base_IFData!F631</f>
        <v>b3S</v>
      </c>
      <c r="M630" s="14" t="str">
        <f>IF(AND(ISNUMBER(Base_IFData!L631),ISNUMBER(Base_IFData!W631)),IF(Base_IFData!L631&gt;$B$4,Base_IFData!W631,""),"")</f>
        <v/>
      </c>
      <c r="N630" s="51">
        <f>IF(AND(ISNUMBER(Base_IFData!O631),ISNUMBER(Base_IFData!Q631)),IF(Base_IFData!Q631&gt;0,Base_IFData!O631/Base_IFData!Q631,"PL ≤ 0"),"NI")</f>
        <v>5.5008846657929222</v>
      </c>
      <c r="O630" s="110">
        <f>IF(AND(ISNUMBER(Base_IFData!M631),ISNUMBER(Base_IFData!Q631)),IF(Base_IFData!Q631&gt;0,Base_IFData!M631/Base_IFData!Q631,"PL ≤ 0"),"NI")</f>
        <v>3.9544779379641763</v>
      </c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30" ht="1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15" t="str">
        <f>Base_IFData!A632</f>
        <v>COOPERATIVA DE CRÉDITO UNIÃO DO CENTRO OESTE DE MINAS LTDA. - SICOOB CENTRO UNIÃO</v>
      </c>
      <c r="L631" s="15" t="str">
        <f>Base_IFData!F632</f>
        <v>b3S</v>
      </c>
      <c r="M631" s="17" t="str">
        <f>IF(AND(ISNUMBER(Base_IFData!L632),ISNUMBER(Base_IFData!W632)),IF(Base_IFData!L632&gt;$B$4,Base_IFData!W632,""),"")</f>
        <v/>
      </c>
      <c r="N631" s="50">
        <f>IF(AND(ISNUMBER(Base_IFData!O632),ISNUMBER(Base_IFData!Q632)),IF(Base_IFData!Q632&gt;0,Base_IFData!O632/Base_IFData!Q632,"PL ≤ 0"),"NI")</f>
        <v>5.5095303897699104</v>
      </c>
      <c r="O631" s="107">
        <f>IF(AND(ISNUMBER(Base_IFData!M632),ISNUMBER(Base_IFData!Q632)),IF(Base_IFData!Q632&gt;0,Base_IFData!M632/Base_IFData!Q632,"PL ≤ 0"),"NI")</f>
        <v>1.9444298216753306</v>
      </c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30" ht="1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12" t="str">
        <f>Base_IFData!A633</f>
        <v>COOPERATIVA DE CRÉDITO DE LIVRE ADMISSÃO DE ASSOCIADOS URUBICI - SICOOB CREDIARAUCÁRIA/SC</v>
      </c>
      <c r="L632" s="12" t="str">
        <f>Base_IFData!F633</f>
        <v>b3S</v>
      </c>
      <c r="M632" s="14" t="str">
        <f>IF(AND(ISNUMBER(Base_IFData!L633),ISNUMBER(Base_IFData!W633)),IF(Base_IFData!L633&gt;$B$4,Base_IFData!W633,""),"")</f>
        <v/>
      </c>
      <c r="N632" s="51">
        <f>IF(AND(ISNUMBER(Base_IFData!O633),ISNUMBER(Base_IFData!Q633)),IF(Base_IFData!Q633&gt;0,Base_IFData!O633/Base_IFData!Q633,"PL ≤ 0"),"NI")</f>
        <v>6.354013101468011</v>
      </c>
      <c r="O632" s="110">
        <f>IF(AND(ISNUMBER(Base_IFData!M633),ISNUMBER(Base_IFData!Q633)),IF(Base_IFData!Q633&gt;0,Base_IFData!M633/Base_IFData!Q633,"PL ≤ 0"),"NI")</f>
        <v>3.5361036184414969</v>
      </c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spans="1:30" ht="1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15" t="str">
        <f>Base_IFData!A634</f>
        <v>COOPERATIVA DE CRÉDITO DE LIVRE ADMISSÃO DE BOA ESPERANÇA LTDA. - SICOOB BELCREDI</v>
      </c>
      <c r="L633" s="15" t="str">
        <f>Base_IFData!F634</f>
        <v>b3S</v>
      </c>
      <c r="M633" s="17" t="str">
        <f>IF(AND(ISNUMBER(Base_IFData!L634),ISNUMBER(Base_IFData!W634)),IF(Base_IFData!L634&gt;$B$4,Base_IFData!W634,""),"")</f>
        <v/>
      </c>
      <c r="N633" s="50">
        <f>IF(AND(ISNUMBER(Base_IFData!O634),ISNUMBER(Base_IFData!Q634)),IF(Base_IFData!Q634&gt;0,Base_IFData!O634/Base_IFData!Q634,"PL ≤ 0"),"NI")</f>
        <v>5.6634587112387758</v>
      </c>
      <c r="O633" s="107">
        <f>IF(AND(ISNUMBER(Base_IFData!M634),ISNUMBER(Base_IFData!Q634)),IF(Base_IFData!Q634&gt;0,Base_IFData!M634/Base_IFData!Q634,"PL ≤ 0"),"NI")</f>
        <v>2.4405265419672948</v>
      </c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spans="1:30" ht="1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12" t="str">
        <f>Base_IFData!A635</f>
        <v>COOPERATIVA DE CRÉDITO CREDSAOPAULO - SICOOB CREDSAOPAULO</v>
      </c>
      <c r="L634" s="12" t="str">
        <f>Base_IFData!F635</f>
        <v>b3S</v>
      </c>
      <c r="M634" s="14" t="str">
        <f>IF(AND(ISNUMBER(Base_IFData!L635),ISNUMBER(Base_IFData!W635)),IF(Base_IFData!L635&gt;$B$4,Base_IFData!W635,""),"")</f>
        <v/>
      </c>
      <c r="N634" s="51">
        <f>IF(AND(ISNUMBER(Base_IFData!O635),ISNUMBER(Base_IFData!Q635)),IF(Base_IFData!Q635&gt;0,Base_IFData!O635/Base_IFData!Q635,"PL ≤ 0"),"NI")</f>
        <v>13.7633880466107</v>
      </c>
      <c r="O634" s="110">
        <f>IF(AND(ISNUMBER(Base_IFData!M635),ISNUMBER(Base_IFData!Q635)),IF(Base_IFData!Q635&gt;0,Base_IFData!M635/Base_IFData!Q635,"PL ≤ 0"),"NI")</f>
        <v>7.3620097732113772</v>
      </c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spans="1:30" ht="1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15" t="str">
        <f>Base_IFData!A636</f>
        <v>COOPERATIVA DE CRÉDITO DE LIVRE ADMISSÃO DO CENTRO-SUL GOIANO LTDA</v>
      </c>
      <c r="L635" s="15" t="str">
        <f>Base_IFData!F636</f>
        <v>b3S</v>
      </c>
      <c r="M635" s="17" t="str">
        <f>IF(AND(ISNUMBER(Base_IFData!L636),ISNUMBER(Base_IFData!W636)),IF(Base_IFData!L636&gt;$B$4,Base_IFData!W636,""),"")</f>
        <v/>
      </c>
      <c r="N635" s="50">
        <f>IF(AND(ISNUMBER(Base_IFData!O636),ISNUMBER(Base_IFData!Q636)),IF(Base_IFData!Q636&gt;0,Base_IFData!O636/Base_IFData!Q636,"PL ≤ 0"),"NI")</f>
        <v>5.7889269688725573</v>
      </c>
      <c r="O635" s="107">
        <f>IF(AND(ISNUMBER(Base_IFData!M636),ISNUMBER(Base_IFData!Q636)),IF(Base_IFData!Q636&gt;0,Base_IFData!M636/Base_IFData!Q636,"PL ≤ 0"),"NI")</f>
        <v>3.7002555677254474</v>
      </c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spans="1:30" ht="1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12" t="str">
        <f>Base_IFData!A637</f>
        <v>EDENRED SOLUCOES DE MOBILIDADE E INSTITUICAO DE PAGAMENTO HU S.A.</v>
      </c>
      <c r="L636" s="12" t="str">
        <f>Base_IFData!F637</f>
        <v>n4</v>
      </c>
      <c r="M636" s="14" t="str">
        <f>IF(AND(ISNUMBER(Base_IFData!L637),ISNUMBER(Base_IFData!W637)),IF(Base_IFData!L637&gt;$B$4,Base_IFData!W637,""),"")</f>
        <v/>
      </c>
      <c r="N636" s="51">
        <f>IF(AND(ISNUMBER(Base_IFData!O637),ISNUMBER(Base_IFData!Q637)),IF(Base_IFData!Q637&gt;0,Base_IFData!O637/Base_IFData!Q637,"PL ≤ 0"),"NI")</f>
        <v>0.57977550472701722</v>
      </c>
      <c r="O636" s="110">
        <f>IF(AND(ISNUMBER(Base_IFData!M637),ISNUMBER(Base_IFData!Q637)),IF(Base_IFData!Q637&gt;0,Base_IFData!M637/Base_IFData!Q637,"PL ≤ 0"),"NI")</f>
        <v>0.28964427708593293</v>
      </c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spans="1:30" ht="1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15" t="str">
        <f>Base_IFData!A638</f>
        <v>BLU INSTITUIÇÃO DE PAGAMENTO LTDA.</v>
      </c>
      <c r="L637" s="15" t="str">
        <f>Base_IFData!F638</f>
        <v>n4</v>
      </c>
      <c r="M637" s="17" t="str">
        <f>IF(AND(ISNUMBER(Base_IFData!L638),ISNUMBER(Base_IFData!W638)),IF(Base_IFData!L638&gt;$B$4,Base_IFData!W638,""),"")</f>
        <v/>
      </c>
      <c r="N637" s="50">
        <f>IF(AND(ISNUMBER(Base_IFData!O638),ISNUMBER(Base_IFData!Q638)),IF(Base_IFData!Q638&gt;0,Base_IFData!O638/Base_IFData!Q638,"PL ≤ 0"),"NI")</f>
        <v>15.181761363636364</v>
      </c>
      <c r="O637" s="107">
        <f>IF(AND(ISNUMBER(Base_IFData!M638),ISNUMBER(Base_IFData!Q638)),IF(Base_IFData!Q638&gt;0,Base_IFData!M638/Base_IFData!Q638,"PL ≤ 0"),"NI")</f>
        <v>0</v>
      </c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spans="1:30" ht="1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12" t="str">
        <f>Base_IFData!A639</f>
        <v>COOPERATIVA DE CRÉDITO DE LIVRE ADMISSÃO SICOOB CREDIACIL</v>
      </c>
      <c r="L638" s="12" t="str">
        <f>Base_IFData!F639</f>
        <v>b3S</v>
      </c>
      <c r="M638" s="14" t="str">
        <f>IF(AND(ISNUMBER(Base_IFData!L639),ISNUMBER(Base_IFData!W639)),IF(Base_IFData!L639&gt;$B$4,Base_IFData!W639,""),"")</f>
        <v/>
      </c>
      <c r="N638" s="51">
        <f>IF(AND(ISNUMBER(Base_IFData!O639),ISNUMBER(Base_IFData!Q639)),IF(Base_IFData!Q639&gt;0,Base_IFData!O639/Base_IFData!Q639,"PL ≤ 0"),"NI")</f>
        <v>6.5696316141995981</v>
      </c>
      <c r="O638" s="110">
        <f>IF(AND(ISNUMBER(Base_IFData!M639),ISNUMBER(Base_IFData!Q639)),IF(Base_IFData!Q639&gt;0,Base_IFData!M639/Base_IFData!Q639,"PL ≤ 0"),"NI")</f>
        <v>3.8569457468184862</v>
      </c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spans="1:30" ht="1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15" t="str">
        <f>Base_IFData!A640</f>
        <v>ACESSO SOLUÇÕES DE PAGAMENTO S.A. - INSTITUIÇÃO DE PAGAMENTO</v>
      </c>
      <c r="L639" s="15" t="str">
        <f>Base_IFData!F640</f>
        <v>n4</v>
      </c>
      <c r="M639" s="17" t="str">
        <f>IF(AND(ISNUMBER(Base_IFData!L640),ISNUMBER(Base_IFData!W640)),IF(Base_IFData!L640&gt;$B$4,Base_IFData!W640,""),"")</f>
        <v/>
      </c>
      <c r="N639" s="50">
        <f>IF(AND(ISNUMBER(Base_IFData!O640),ISNUMBER(Base_IFData!Q640)),IF(Base_IFData!Q640&gt;0,Base_IFData!O640/Base_IFData!Q640,"PL ≤ 0"),"NI")</f>
        <v>57.060728326091457</v>
      </c>
      <c r="O639" s="107">
        <f>IF(AND(ISNUMBER(Base_IFData!M640),ISNUMBER(Base_IFData!Q640)),IF(Base_IFData!Q640&gt;0,Base_IFData!M640/Base_IFData!Q640,"PL ≤ 0"),"NI")</f>
        <v>15.588868197806745</v>
      </c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spans="1:30" ht="1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12" t="str">
        <f>Base_IFData!A641</f>
        <v>COOPERATIVA DE CRÉDITO CREDIRAMA LTDA - SICOOB CREDIRAMA</v>
      </c>
      <c r="L640" s="12" t="str">
        <f>Base_IFData!F641</f>
        <v>b3S</v>
      </c>
      <c r="M640" s="14" t="str">
        <f>IF(AND(ISNUMBER(Base_IFData!L641),ISNUMBER(Base_IFData!W641)),IF(Base_IFData!L641&gt;$B$4,Base_IFData!W641,""),"")</f>
        <v/>
      </c>
      <c r="N640" s="51">
        <f>IF(AND(ISNUMBER(Base_IFData!O641),ISNUMBER(Base_IFData!Q641)),IF(Base_IFData!Q641&gt;0,Base_IFData!O641/Base_IFData!Q641,"PL ≤ 0"),"NI")</f>
        <v>3.1655148660891443</v>
      </c>
      <c r="O640" s="110">
        <f>IF(AND(ISNUMBER(Base_IFData!M641),ISNUMBER(Base_IFData!Q641)),IF(Base_IFData!Q641&gt;0,Base_IFData!M641/Base_IFData!Q641,"PL ≤ 0"),"NI")</f>
        <v>2.9828839688826663</v>
      </c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spans="1:30" ht="1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15" t="str">
        <f>Base_IFData!A642</f>
        <v>COOPERATIVA DE CRÉDITO DE LIVRE ADMISSÃO DO ESTADO DO ACRE LTDA.</v>
      </c>
      <c r="L641" s="15" t="str">
        <f>Base_IFData!F642</f>
        <v>b3S</v>
      </c>
      <c r="M641" s="17" t="str">
        <f>IF(AND(ISNUMBER(Base_IFData!L642),ISNUMBER(Base_IFData!W642)),IF(Base_IFData!L642&gt;$B$4,Base_IFData!W642,""),"")</f>
        <v/>
      </c>
      <c r="N641" s="50">
        <f>IF(AND(ISNUMBER(Base_IFData!O642),ISNUMBER(Base_IFData!Q642)),IF(Base_IFData!Q642&gt;0,Base_IFData!O642/Base_IFData!Q642,"PL ≤ 0"),"NI")</f>
        <v>6.3129579840792873</v>
      </c>
      <c r="O641" s="107">
        <f>IF(AND(ISNUMBER(Base_IFData!M642),ISNUMBER(Base_IFData!Q642)),IF(Base_IFData!Q642&gt;0,Base_IFData!M642/Base_IFData!Q642,"PL ≤ 0"),"NI")</f>
        <v>4.3867230744899572</v>
      </c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spans="1:30" ht="1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12" t="str">
        <f>Base_IFData!A643</f>
        <v>COOPERATIVA DE CRÉDITO DA REGIÃO E COLAR METROPOLITANO DO VALE DO AÇO LTDA. - SICOOB COSMIPA</v>
      </c>
      <c r="L642" s="12" t="str">
        <f>Base_IFData!F643</f>
        <v>b3S</v>
      </c>
      <c r="M642" s="14" t="str">
        <f>IF(AND(ISNUMBER(Base_IFData!L643),ISNUMBER(Base_IFData!W643)),IF(Base_IFData!L643&gt;$B$4,Base_IFData!W643,""),"")</f>
        <v/>
      </c>
      <c r="N642" s="51">
        <f>IF(AND(ISNUMBER(Base_IFData!O643),ISNUMBER(Base_IFData!Q643)),IF(Base_IFData!Q643&gt;0,Base_IFData!O643/Base_IFData!Q643,"PL ≤ 0"),"NI")</f>
        <v>3.6812776910418159</v>
      </c>
      <c r="O642" s="110">
        <f>IF(AND(ISNUMBER(Base_IFData!M643),ISNUMBER(Base_IFData!Q643)),IF(Base_IFData!Q643&gt;0,Base_IFData!M643/Base_IFData!Q643,"PL ≤ 0"),"NI")</f>
        <v>2.2539432043546141</v>
      </c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spans="1:30" ht="1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15" t="str">
        <f>Base_IFData!A644</f>
        <v>COOPERATIVA DE CRÉDITO CREDIBELO LTDA. - SICOOB CREDIBELO</v>
      </c>
      <c r="L643" s="15" t="str">
        <f>Base_IFData!F644</f>
        <v>b3S</v>
      </c>
      <c r="M643" s="17" t="str">
        <f>IF(AND(ISNUMBER(Base_IFData!L644),ISNUMBER(Base_IFData!W644)),IF(Base_IFData!L644&gt;$B$4,Base_IFData!W644,""),"")</f>
        <v/>
      </c>
      <c r="N643" s="50">
        <f>IF(AND(ISNUMBER(Base_IFData!O644),ISNUMBER(Base_IFData!Q644)),IF(Base_IFData!Q644&gt;0,Base_IFData!O644/Base_IFData!Q644,"PL ≤ 0"),"NI")</f>
        <v>7.6143571583884695</v>
      </c>
      <c r="O643" s="107">
        <f>IF(AND(ISNUMBER(Base_IFData!M644),ISNUMBER(Base_IFData!Q644)),IF(Base_IFData!Q644&gt;0,Base_IFData!M644/Base_IFData!Q644,"PL ≤ 0"),"NI")</f>
        <v>3.1340508806262233</v>
      </c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spans="1:30" ht="1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12" t="str">
        <f>Base_IFData!A645</f>
        <v>CONTA SIMPLES SOCIEDADE DE CRÉDITO DIRETO S.A.</v>
      </c>
      <c r="L644" s="12" t="str">
        <f>Base_IFData!F645</f>
        <v>n1</v>
      </c>
      <c r="M644" s="14" t="str">
        <f>IF(AND(ISNUMBER(Base_IFData!L645),ISNUMBER(Base_IFData!W645)),IF(Base_IFData!L645&gt;$B$4,Base_IFData!W645,""),"")</f>
        <v/>
      </c>
      <c r="N644" s="51">
        <f>IF(AND(ISNUMBER(Base_IFData!O645),ISNUMBER(Base_IFData!Q645)),IF(Base_IFData!Q645&gt;0,Base_IFData!O645/Base_IFData!Q645,"PL ≤ 0"),"NI")</f>
        <v>4.8736635228522909</v>
      </c>
      <c r="O644" s="110">
        <f>IF(AND(ISNUMBER(Base_IFData!M645),ISNUMBER(Base_IFData!Q645)),IF(Base_IFData!Q645&gt;0,Base_IFData!M645/Base_IFData!Q645,"PL ≤ 0"),"NI")</f>
        <v>3.8262820033538767</v>
      </c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spans="1:30" ht="1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15" t="str">
        <f>Base_IFData!A646</f>
        <v>COOPERATIVA DE CRÉDITO E INVESTIMENTO COM INTERAÇÃO SOLIDÁRIA MISSÕES FRONTEIRA RS - CRESOL MISSÕES FRONTEIRA RS</v>
      </c>
      <c r="L645" s="15" t="str">
        <f>Base_IFData!F646</f>
        <v>b3S</v>
      </c>
      <c r="M645" s="17" t="str">
        <f>IF(AND(ISNUMBER(Base_IFData!L646),ISNUMBER(Base_IFData!W646)),IF(Base_IFData!L646&gt;$B$4,Base_IFData!W646,""),"")</f>
        <v/>
      </c>
      <c r="N645" s="50">
        <f>IF(AND(ISNUMBER(Base_IFData!O646),ISNUMBER(Base_IFData!Q646)),IF(Base_IFData!Q646&gt;0,Base_IFData!O646/Base_IFData!Q646,"PL ≤ 0"),"NI")</f>
        <v>7.2273953911461488</v>
      </c>
      <c r="O645" s="107">
        <f>IF(AND(ISNUMBER(Base_IFData!M646),ISNUMBER(Base_IFData!Q646)),IF(Base_IFData!Q646&gt;0,Base_IFData!M646/Base_IFData!Q646,"PL ≤ 0"),"NI")</f>
        <v>6.3414796846573678</v>
      </c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spans="1:30" ht="1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12" t="str">
        <f>Base_IFData!A647</f>
        <v>TODESCREDI S/A - CRÉDITO, FINANCIAMENTO E INVESTIMENTO</v>
      </c>
      <c r="L646" s="12" t="str">
        <f>Base_IFData!F647</f>
        <v>n1</v>
      </c>
      <c r="M646" s="14" t="str">
        <f>IF(AND(ISNUMBER(Base_IFData!L647),ISNUMBER(Base_IFData!W647)),IF(Base_IFData!L647&gt;$B$4,Base_IFData!W647,""),"")</f>
        <v/>
      </c>
      <c r="N646" s="51">
        <f>IF(AND(ISNUMBER(Base_IFData!O647),ISNUMBER(Base_IFData!Q647)),IF(Base_IFData!Q647&gt;0,Base_IFData!O647/Base_IFData!Q647,"PL ≤ 0"),"NI")</f>
        <v>4.6274548846178032</v>
      </c>
      <c r="O646" s="110">
        <f>IF(AND(ISNUMBER(Base_IFData!M647),ISNUMBER(Base_IFData!Q647)),IF(Base_IFData!Q647&gt;0,Base_IFData!M647/Base_IFData!Q647,"PL ≤ 0"),"NI")</f>
        <v>5.3312024480727711</v>
      </c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spans="1:30" ht="1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15" t="str">
        <f>Base_IFData!A648</f>
        <v>COOPERATIVA DE ECONOMIA E CRÉDITO MÚTUO UNICRED COALIZÃO LTDA - UNICRED COALIZÃO</v>
      </c>
      <c r="L647" s="15" t="str">
        <f>Base_IFData!F648</f>
        <v>b3S</v>
      </c>
      <c r="M647" s="17" t="str">
        <f>IF(AND(ISNUMBER(Base_IFData!L648),ISNUMBER(Base_IFData!W648)),IF(Base_IFData!L648&gt;$B$4,Base_IFData!W648,""),"")</f>
        <v/>
      </c>
      <c r="N647" s="50">
        <f>IF(AND(ISNUMBER(Base_IFData!O648),ISNUMBER(Base_IFData!Q648)),IF(Base_IFData!Q648&gt;0,Base_IFData!O648/Base_IFData!Q648,"PL ≤ 0"),"NI")</f>
        <v>6.0086290682707713</v>
      </c>
      <c r="O647" s="107">
        <f>IF(AND(ISNUMBER(Base_IFData!M648),ISNUMBER(Base_IFData!Q648)),IF(Base_IFData!Q648&gt;0,Base_IFData!M648/Base_IFData!Q648,"PL ≤ 0"),"NI")</f>
        <v>3.8033176600383514</v>
      </c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spans="1:30" ht="1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12" t="str">
        <f>Base_IFData!A649</f>
        <v>COOPERATIVA DE CRÉDITO CREDINORTE LTDA. - SICOOB CREDINORTE</v>
      </c>
      <c r="L648" s="12" t="str">
        <f>Base_IFData!F649</f>
        <v>b3S</v>
      </c>
      <c r="M648" s="14" t="str">
        <f>IF(AND(ISNUMBER(Base_IFData!L649),ISNUMBER(Base_IFData!W649)),IF(Base_IFData!L649&gt;$B$4,Base_IFData!W649,""),"")</f>
        <v/>
      </c>
      <c r="N648" s="51">
        <f>IF(AND(ISNUMBER(Base_IFData!O649),ISNUMBER(Base_IFData!Q649)),IF(Base_IFData!Q649&gt;0,Base_IFData!O649/Base_IFData!Q649,"PL ≤ 0"),"NI")</f>
        <v>2.721254134703357</v>
      </c>
      <c r="O648" s="110">
        <f>IF(AND(ISNUMBER(Base_IFData!M649),ISNUMBER(Base_IFData!Q649)),IF(Base_IFData!Q649&gt;0,Base_IFData!M649/Base_IFData!Q649,"PL ≤ 0"),"NI")</f>
        <v>2.1628123020620733</v>
      </c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spans="1:30" ht="1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15" t="str">
        <f>Base_IFData!A650</f>
        <v>VIA CERTA FINANCIADORA S.A. - CRÉDITO, FINANCIAMENTO E INVESTIMENTOS</v>
      </c>
      <c r="L649" s="15" t="str">
        <f>Base_IFData!F650</f>
        <v>n1</v>
      </c>
      <c r="M649" s="17" t="str">
        <f>IF(AND(ISNUMBER(Base_IFData!L650),ISNUMBER(Base_IFData!W650)),IF(Base_IFData!L650&gt;$B$4,Base_IFData!W650,""),"")</f>
        <v/>
      </c>
      <c r="N649" s="50">
        <f>IF(AND(ISNUMBER(Base_IFData!O650),ISNUMBER(Base_IFData!Q650)),IF(Base_IFData!Q650&gt;0,Base_IFData!O650/Base_IFData!Q650,"PL ≤ 0"),"NI")</f>
        <v>9.7343564801569453</v>
      </c>
      <c r="O649" s="107">
        <f>IF(AND(ISNUMBER(Base_IFData!M650),ISNUMBER(Base_IFData!Q650)),IF(Base_IFData!Q650&gt;0,Base_IFData!M650/Base_IFData!Q650,"PL ≤ 0"),"NI")</f>
        <v>7.5316140107083012</v>
      </c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spans="1:30" ht="1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12" t="str">
        <f>Base_IFData!A651</f>
        <v>COOPERATIVA DE CRÉDITO SICOOB COSTA DO DESCOBRIMENTO LTDA.</v>
      </c>
      <c r="L650" s="12" t="str">
        <f>Base_IFData!F651</f>
        <v>b3S</v>
      </c>
      <c r="M650" s="14" t="str">
        <f>IF(AND(ISNUMBER(Base_IFData!L651),ISNUMBER(Base_IFData!W651)),IF(Base_IFData!L651&gt;$B$4,Base_IFData!W651,""),"")</f>
        <v/>
      </c>
      <c r="N650" s="51">
        <f>IF(AND(ISNUMBER(Base_IFData!O651),ISNUMBER(Base_IFData!Q651)),IF(Base_IFData!Q651&gt;0,Base_IFData!O651/Base_IFData!Q651,"PL ≤ 0"),"NI")</f>
        <v>5.9435983531198788</v>
      </c>
      <c r="O650" s="110">
        <f>IF(AND(ISNUMBER(Base_IFData!M651),ISNUMBER(Base_IFData!Q651)),IF(Base_IFData!Q651&gt;0,Base_IFData!M651/Base_IFData!Q651,"PL ≤ 0"),"NI")</f>
        <v>3.8687026155547559</v>
      </c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spans="1:30" ht="1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15" t="str">
        <f>Base_IFData!A652</f>
        <v>COOPERATIVA DE ECONOMIA E CRÉDITO MÚTUO DOS EMPREGADOS DE FURNAS E DAS DEMAIS EMPRESAS DO SISTEMA ELETROBRÁS LTDA. - SICOOB CECREMEF</v>
      </c>
      <c r="L651" s="15" t="str">
        <f>Base_IFData!F652</f>
        <v>b3S</v>
      </c>
      <c r="M651" s="17" t="str">
        <f>IF(AND(ISNUMBER(Base_IFData!L652),ISNUMBER(Base_IFData!W652)),IF(Base_IFData!L652&gt;$B$4,Base_IFData!W652,""),"")</f>
        <v/>
      </c>
      <c r="N651" s="50">
        <f>IF(AND(ISNUMBER(Base_IFData!O652),ISNUMBER(Base_IFData!Q652)),IF(Base_IFData!Q652&gt;0,Base_IFData!O652/Base_IFData!Q652,"PL ≤ 0"),"NI")</f>
        <v>11.660582429633241</v>
      </c>
      <c r="O651" s="107">
        <f>IF(AND(ISNUMBER(Base_IFData!M652),ISNUMBER(Base_IFData!Q652)),IF(Base_IFData!Q652&gt;0,Base_IFData!M652/Base_IFData!Q652,"PL ≤ 0"),"NI")</f>
        <v>3.4254660655537954</v>
      </c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spans="1:30" ht="1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12" t="str">
        <f>Base_IFData!A653</f>
        <v>MAGALUPAY - SOCIEDADE DE CRÉDITO, FINANCIAMENTO E INVESTIMENTO S.A.</v>
      </c>
      <c r="L652" s="12" t="str">
        <f>Base_IFData!F653</f>
        <v>n1</v>
      </c>
      <c r="M652" s="14" t="str">
        <f>IF(AND(ISNUMBER(Base_IFData!L653),ISNUMBER(Base_IFData!W653)),IF(Base_IFData!L653&gt;$B$4,Base_IFData!W653,""),"")</f>
        <v/>
      </c>
      <c r="N652" s="51">
        <f>IF(AND(ISNUMBER(Base_IFData!O653),ISNUMBER(Base_IFData!Q653)),IF(Base_IFData!Q653&gt;0,Base_IFData!O653/Base_IFData!Q653,"PL ≤ 0"),"NI")</f>
        <v>1.3396586833900992</v>
      </c>
      <c r="O652" s="110">
        <f>IF(AND(ISNUMBER(Base_IFData!M653),ISNUMBER(Base_IFData!Q653)),IF(Base_IFData!Q653&gt;0,Base_IFData!M653/Base_IFData!Q653,"PL ≤ 0"),"NI")</f>
        <v>1.932110612531762</v>
      </c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spans="1:30" ht="1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15" t="str">
        <f>Base_IFData!A654</f>
        <v>COOPERATIVA DE CRÉDITO NOSSA SENHORA DO DESTERRO - SICOOB CREDISC</v>
      </c>
      <c r="L653" s="15" t="str">
        <f>Base_IFData!F654</f>
        <v>b3S</v>
      </c>
      <c r="M653" s="17" t="str">
        <f>IF(AND(ISNUMBER(Base_IFData!L654),ISNUMBER(Base_IFData!W654)),IF(Base_IFData!L654&gt;$B$4,Base_IFData!W654,""),"")</f>
        <v/>
      </c>
      <c r="N653" s="50">
        <f>IF(AND(ISNUMBER(Base_IFData!O654),ISNUMBER(Base_IFData!Q654)),IF(Base_IFData!Q654&gt;0,Base_IFData!O654/Base_IFData!Q654,"PL ≤ 0"),"NI")</f>
        <v>10.220582499024834</v>
      </c>
      <c r="O653" s="107">
        <f>IF(AND(ISNUMBER(Base_IFData!M654),ISNUMBER(Base_IFData!Q654)),IF(Base_IFData!Q654&gt;0,Base_IFData!M654/Base_IFData!Q654,"PL ≤ 0"),"NI")</f>
        <v>5.4757508776492001</v>
      </c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spans="1:30" ht="1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12" t="str">
        <f>Base_IFData!A655</f>
        <v>COOPERATIVA DE CRÉDITO UNIPRIME SUL</v>
      </c>
      <c r="L654" s="12" t="str">
        <f>Base_IFData!F655</f>
        <v>b3S</v>
      </c>
      <c r="M654" s="14" t="str">
        <f>IF(AND(ISNUMBER(Base_IFData!L655),ISNUMBER(Base_IFData!W655)),IF(Base_IFData!L655&gt;$B$4,Base_IFData!W655,""),"")</f>
        <v/>
      </c>
      <c r="N654" s="51">
        <f>IF(AND(ISNUMBER(Base_IFData!O655),ISNUMBER(Base_IFData!Q655)),IF(Base_IFData!Q655&gt;0,Base_IFData!O655/Base_IFData!Q655,"PL ≤ 0"),"NI")</f>
        <v>9.4510621080315591</v>
      </c>
      <c r="O654" s="110">
        <f>IF(AND(ISNUMBER(Base_IFData!M655),ISNUMBER(Base_IFData!Q655)),IF(Base_IFData!Q655&gt;0,Base_IFData!M655/Base_IFData!Q655,"PL ≤ 0"),"NI")</f>
        <v>6.6513655674691483</v>
      </c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spans="1:30" ht="1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15" t="str">
        <f>Base_IFData!A656</f>
        <v>CREDISIS CREDIPLAN - COOPERATIVA DE CRÉDITO DE LIVRE ADMISSÃO DO PLANALTO MÉDIO DO RIO GRANDE DO SUL LTDA</v>
      </c>
      <c r="L655" s="15" t="str">
        <f>Base_IFData!F656</f>
        <v>b3S</v>
      </c>
      <c r="M655" s="17" t="str">
        <f>IF(AND(ISNUMBER(Base_IFData!L656),ISNUMBER(Base_IFData!W656)),IF(Base_IFData!L656&gt;$B$4,Base_IFData!W656,""),"")</f>
        <v/>
      </c>
      <c r="N655" s="50">
        <f>IF(AND(ISNUMBER(Base_IFData!O656),ISNUMBER(Base_IFData!Q656)),IF(Base_IFData!Q656&gt;0,Base_IFData!O656/Base_IFData!Q656,"PL ≤ 0"),"NI")</f>
        <v>11.104837196209065</v>
      </c>
      <c r="O655" s="107">
        <f>IF(AND(ISNUMBER(Base_IFData!M656),ISNUMBER(Base_IFData!Q656)),IF(Base_IFData!Q656&gt;0,Base_IFData!M656/Base_IFData!Q656,"PL ≤ 0"),"NI")</f>
        <v>2.2219198648775453</v>
      </c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spans="1:30" ht="1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12" t="str">
        <f>Base_IFData!A657</f>
        <v>COOPERATIVA DE CREDITO CREDIAGRO LTDA. - SICOOB CREDIAGRO</v>
      </c>
      <c r="L656" s="12" t="str">
        <f>Base_IFData!F657</f>
        <v>b3S</v>
      </c>
      <c r="M656" s="14" t="str">
        <f>IF(AND(ISNUMBER(Base_IFData!L657),ISNUMBER(Base_IFData!W657)),IF(Base_IFData!L657&gt;$B$4,Base_IFData!W657,""),"")</f>
        <v/>
      </c>
      <c r="N656" s="51">
        <f>IF(AND(ISNUMBER(Base_IFData!O657),ISNUMBER(Base_IFData!Q657)),IF(Base_IFData!Q657&gt;0,Base_IFData!O657/Base_IFData!Q657,"PL ≤ 0"),"NI")</f>
        <v>6.4512182792437569</v>
      </c>
      <c r="O656" s="110">
        <f>IF(AND(ISNUMBER(Base_IFData!M657),ISNUMBER(Base_IFData!Q657)),IF(Base_IFData!Q657&gt;0,Base_IFData!M657/Base_IFData!Q657,"PL ≤ 0"),"NI")</f>
        <v>4.6536100639831304</v>
      </c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spans="1:30" ht="1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15" t="str">
        <f>Base_IFData!A658</f>
        <v>COOPERATIVA DE CRÉDITO DE LIVRE ADMISSÃO DE ANÁPOLIS E REGIÃO LTDA</v>
      </c>
      <c r="L657" s="15" t="str">
        <f>Base_IFData!F658</f>
        <v>b3S</v>
      </c>
      <c r="M657" s="17" t="str">
        <f>IF(AND(ISNUMBER(Base_IFData!L658),ISNUMBER(Base_IFData!W658)),IF(Base_IFData!L658&gt;$B$4,Base_IFData!W658,""),"")</f>
        <v/>
      </c>
      <c r="N657" s="50">
        <f>IF(AND(ISNUMBER(Base_IFData!O658),ISNUMBER(Base_IFData!Q658)),IF(Base_IFData!Q658&gt;0,Base_IFData!O658/Base_IFData!Q658,"PL ≤ 0"),"NI")</f>
        <v>3.3318050803175621</v>
      </c>
      <c r="O657" s="107">
        <f>IF(AND(ISNUMBER(Base_IFData!M658),ISNUMBER(Base_IFData!Q658)),IF(Base_IFData!Q658&gt;0,Base_IFData!M658/Base_IFData!Q658,"PL ≤ 0"),"NI")</f>
        <v>2.5362313954860349</v>
      </c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spans="1:30" ht="1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12" t="str">
        <f>Base_IFData!A659</f>
        <v>AL5 S.A. SOCIEDADE DE CRÉDITO, FINANCIAMENTO E INVESTIMENTO</v>
      </c>
      <c r="L658" s="12" t="str">
        <f>Base_IFData!F659</f>
        <v>n1</v>
      </c>
      <c r="M658" s="14" t="str">
        <f>IF(AND(ISNUMBER(Base_IFData!L659),ISNUMBER(Base_IFData!W659)),IF(Base_IFData!L659&gt;$B$4,Base_IFData!W659,""),"")</f>
        <v/>
      </c>
      <c r="N658" s="51">
        <f>IF(AND(ISNUMBER(Base_IFData!O659),ISNUMBER(Base_IFData!Q659)),IF(Base_IFData!Q659&gt;0,Base_IFData!O659/Base_IFData!Q659,"PL ≤ 0"),"NI")</f>
        <v>5.8197082044169424</v>
      </c>
      <c r="O658" s="110">
        <f>IF(AND(ISNUMBER(Base_IFData!M659),ISNUMBER(Base_IFData!Q659)),IF(Base_IFData!Q659&gt;0,Base_IFData!M659/Base_IFData!Q659,"PL ≤ 0"),"NI")</f>
        <v>4.7685239517763787</v>
      </c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spans="1:30" ht="1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15" t="str">
        <f>Base_IFData!A660</f>
        <v>CASAS BAHIA PAY INSTITUIÇÃO DE PAGAMENTO LTDA.</v>
      </c>
      <c r="L659" s="15" t="str">
        <f>Base_IFData!F660</f>
        <v>n4</v>
      </c>
      <c r="M659" s="17" t="str">
        <f>IF(AND(ISNUMBER(Base_IFData!L660),ISNUMBER(Base_IFData!W660)),IF(Base_IFData!L660&gt;$B$4,Base_IFData!W660,""),"")</f>
        <v/>
      </c>
      <c r="N659" s="50">
        <f>IF(AND(ISNUMBER(Base_IFData!O660),ISNUMBER(Base_IFData!Q660)),IF(Base_IFData!Q660&gt;0,Base_IFData!O660/Base_IFData!Q660,"PL ≤ 0"),"NI")</f>
        <v>0.2572804780798047</v>
      </c>
      <c r="O659" s="107">
        <f>IF(AND(ISNUMBER(Base_IFData!M660),ISNUMBER(Base_IFData!Q660)),IF(Base_IFData!Q660&gt;0,Base_IFData!M660/Base_IFData!Q660,"PL ≤ 0"),"NI")</f>
        <v>0</v>
      </c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spans="1:30" ht="1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12" t="str">
        <f>Base_IFData!A661</f>
        <v>COOPERATIVA DE CRÉDITO DE LIVRE ADMISSÃO UNIÃO DO CENTRO OESTE DE MINAS LTDA - SICOOB CREDESP</v>
      </c>
      <c r="L660" s="12" t="str">
        <f>Base_IFData!F661</f>
        <v>b3S</v>
      </c>
      <c r="M660" s="14" t="str">
        <f>IF(AND(ISNUMBER(Base_IFData!L661),ISNUMBER(Base_IFData!W661)),IF(Base_IFData!L661&gt;$B$4,Base_IFData!W661,""),"")</f>
        <v/>
      </c>
      <c r="N660" s="51">
        <f>IF(AND(ISNUMBER(Base_IFData!O661),ISNUMBER(Base_IFData!Q661)),IF(Base_IFData!Q661&gt;0,Base_IFData!O661/Base_IFData!Q661,"PL ≤ 0"),"NI")</f>
        <v>6.1403091724923691</v>
      </c>
      <c r="O660" s="110">
        <f>IF(AND(ISNUMBER(Base_IFData!M661),ISNUMBER(Base_IFData!Q661)),IF(Base_IFData!Q661&gt;0,Base_IFData!M661/Base_IFData!Q661,"PL ≤ 0"),"NI")</f>
        <v>2.7652792820671515</v>
      </c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spans="1:30" ht="1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15" t="str">
        <f>Base_IFData!A662</f>
        <v>COOPERATIVA DE CRÉDITO E INVESTIMENTO COM INTERAÇÃO SOLIDÁRIA NASCENTE - CRESOL NASCENTE</v>
      </c>
      <c r="L661" s="15" t="str">
        <f>Base_IFData!F662</f>
        <v>b3S</v>
      </c>
      <c r="M661" s="17" t="str">
        <f>IF(AND(ISNUMBER(Base_IFData!L662),ISNUMBER(Base_IFData!W662)),IF(Base_IFData!L662&gt;$B$4,Base_IFData!W662,""),"")</f>
        <v/>
      </c>
      <c r="N661" s="50">
        <f>IF(AND(ISNUMBER(Base_IFData!O662),ISNUMBER(Base_IFData!Q662)),IF(Base_IFData!Q662&gt;0,Base_IFData!O662/Base_IFData!Q662,"PL ≤ 0"),"NI")</f>
        <v>6.6590536851683346</v>
      </c>
      <c r="O661" s="107">
        <f>IF(AND(ISNUMBER(Base_IFData!M662),ISNUMBER(Base_IFData!Q662)),IF(Base_IFData!Q662&gt;0,Base_IFData!M662/Base_IFData!Q662,"PL ≤ 0"),"NI")</f>
        <v>5.6266757658477404</v>
      </c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spans="1:30" ht="1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12" t="str">
        <f>Base_IFData!A663</f>
        <v>COOPERATIVA DE CRÉDITO DOS SERVIDORES MILITARES, DA POLÍCIA CIVIL, DA SECRETARIA DE EDUCAÇÃO DO ESTADO DE MINAS GERAIS E DE LIVRE ADMISSÃO LTDA - SICOOB COOPEMG</v>
      </c>
      <c r="L662" s="12" t="str">
        <f>Base_IFData!F663</f>
        <v>b3S</v>
      </c>
      <c r="M662" s="14" t="str">
        <f>IF(AND(ISNUMBER(Base_IFData!L663),ISNUMBER(Base_IFData!W663)),IF(Base_IFData!L663&gt;$B$4,Base_IFData!W663,""),"")</f>
        <v/>
      </c>
      <c r="N662" s="51">
        <f>IF(AND(ISNUMBER(Base_IFData!O663),ISNUMBER(Base_IFData!Q663)),IF(Base_IFData!Q663&gt;0,Base_IFData!O663/Base_IFData!Q663,"PL ≤ 0"),"NI")</f>
        <v>4.9430813713341593</v>
      </c>
      <c r="O662" s="110">
        <f>IF(AND(ISNUMBER(Base_IFData!M663),ISNUMBER(Base_IFData!Q663)),IF(Base_IFData!Q663&gt;0,Base_IFData!M663/Base_IFData!Q663,"PL ≤ 0"),"NI")</f>
        <v>2.9730807812592199</v>
      </c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spans="1:30" ht="1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15" t="str">
        <f>Base_IFData!A664</f>
        <v>COOPERATIVA DE CREDITO DE LIVRE ADMISSAO DE PITANGUI E REGIAO LTDA. - SICOOB CREDPIT</v>
      </c>
      <c r="L663" s="15" t="str">
        <f>Base_IFData!F664</f>
        <v>b3S</v>
      </c>
      <c r="M663" s="17" t="str">
        <f>IF(AND(ISNUMBER(Base_IFData!L664),ISNUMBER(Base_IFData!W664)),IF(Base_IFData!L664&gt;$B$4,Base_IFData!W664,""),"")</f>
        <v/>
      </c>
      <c r="N663" s="50">
        <f>IF(AND(ISNUMBER(Base_IFData!O664),ISNUMBER(Base_IFData!Q664)),IF(Base_IFData!Q664&gt;0,Base_IFData!O664/Base_IFData!Q664,"PL ≤ 0"),"NI")</f>
        <v>6.1856647767643516</v>
      </c>
      <c r="O663" s="107">
        <f>IF(AND(ISNUMBER(Base_IFData!M664),ISNUMBER(Base_IFData!Q664)),IF(Base_IFData!Q664&gt;0,Base_IFData!M664/Base_IFData!Q664,"PL ≤ 0"),"NI")</f>
        <v>3.6612531357394547</v>
      </c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spans="1:30" ht="1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12" t="str">
        <f>Base_IFData!A665</f>
        <v>COOPERATIVA DE CREDITO DO PLANALTO SUL - SICOOB CREDISSERRANA</v>
      </c>
      <c r="L664" s="12" t="str">
        <f>Base_IFData!F665</f>
        <v>b3S</v>
      </c>
      <c r="M664" s="14" t="str">
        <f>IF(AND(ISNUMBER(Base_IFData!L665),ISNUMBER(Base_IFData!W665)),IF(Base_IFData!L665&gt;$B$4,Base_IFData!W665,""),"")</f>
        <v/>
      </c>
      <c r="N664" s="51">
        <f>IF(AND(ISNUMBER(Base_IFData!O665),ISNUMBER(Base_IFData!Q665)),IF(Base_IFData!Q665&gt;0,Base_IFData!O665/Base_IFData!Q665,"PL ≤ 0"),"NI")</f>
        <v>9.4368220338983058</v>
      </c>
      <c r="O664" s="110">
        <f>IF(AND(ISNUMBER(Base_IFData!M665),ISNUMBER(Base_IFData!Q665)),IF(Base_IFData!Q665&gt;0,Base_IFData!M665/Base_IFData!Q665,"PL ≤ 0"),"NI")</f>
        <v>6.3797457627118641</v>
      </c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spans="1:30" ht="1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15" t="str">
        <f>Base_IFData!A666</f>
        <v>COOPERATIVA DE CRÉDITO DE LIVRE ADMISSÃO E DOS ADVOGADOS LTDA. - SICOOB CREDIJUR</v>
      </c>
      <c r="L665" s="15" t="str">
        <f>Base_IFData!F666</f>
        <v>b3S</v>
      </c>
      <c r="M665" s="17" t="str">
        <f>IF(AND(ISNUMBER(Base_IFData!L666),ISNUMBER(Base_IFData!W666)),IF(Base_IFData!L666&gt;$B$4,Base_IFData!W666,""),"")</f>
        <v/>
      </c>
      <c r="N665" s="50">
        <f>IF(AND(ISNUMBER(Base_IFData!O666),ISNUMBER(Base_IFData!Q666)),IF(Base_IFData!Q666&gt;0,Base_IFData!O666/Base_IFData!Q666,"PL ≤ 0"),"NI")</f>
        <v>4.4495219737002447</v>
      </c>
      <c r="O665" s="107">
        <f>IF(AND(ISNUMBER(Base_IFData!M666),ISNUMBER(Base_IFData!Q666)),IF(Base_IFData!Q666&gt;0,Base_IFData!M666/Base_IFData!Q666,"PL ≤ 0"),"NI")</f>
        <v>2.3277609757718767</v>
      </c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spans="1:30" ht="1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12" t="str">
        <f>Base_IFData!A667</f>
        <v>COOPERATIVA DE CRÉDITO DOS PROFISSIONAIS DA SAÚDE E LIVRE ADMISSÃO DO SUL DE MINAS LTDA</v>
      </c>
      <c r="L666" s="12" t="str">
        <f>Base_IFData!F667</f>
        <v>b3S</v>
      </c>
      <c r="M666" s="14" t="str">
        <f>IF(AND(ISNUMBER(Base_IFData!L667),ISNUMBER(Base_IFData!W667)),IF(Base_IFData!L667&gt;$B$4,Base_IFData!W667,""),"")</f>
        <v/>
      </c>
      <c r="N666" s="51">
        <f>IF(AND(ISNUMBER(Base_IFData!O667),ISNUMBER(Base_IFData!Q667)),IF(Base_IFData!Q667&gt;0,Base_IFData!O667/Base_IFData!Q667,"PL ≤ 0"),"NI")</f>
        <v>7.4505240656461176</v>
      </c>
      <c r="O666" s="110">
        <f>IF(AND(ISNUMBER(Base_IFData!M667),ISNUMBER(Base_IFData!Q667)),IF(Base_IFData!Q667&gt;0,Base_IFData!M667/Base_IFData!Q667,"PL ≤ 0"),"NI")</f>
        <v>2.4741932147290031</v>
      </c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spans="1:30" ht="1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15" t="str">
        <f>Base_IFData!A668</f>
        <v>COOPERATIVA DE CRÉDITO CREDICOOP LTDA - SICOOB CREDICOOP</v>
      </c>
      <c r="L667" s="15" t="str">
        <f>Base_IFData!F668</f>
        <v>b3S</v>
      </c>
      <c r="M667" s="17" t="str">
        <f>IF(AND(ISNUMBER(Base_IFData!L668),ISNUMBER(Base_IFData!W668)),IF(Base_IFData!L668&gt;$B$4,Base_IFData!W668,""),"")</f>
        <v/>
      </c>
      <c r="N667" s="50">
        <f>IF(AND(ISNUMBER(Base_IFData!O668),ISNUMBER(Base_IFData!Q668)),IF(Base_IFData!Q668&gt;0,Base_IFData!O668/Base_IFData!Q668,"PL ≤ 0"),"NI")</f>
        <v>5.7595762583279306</v>
      </c>
      <c r="O667" s="107">
        <f>IF(AND(ISNUMBER(Base_IFData!M668),ISNUMBER(Base_IFData!Q668)),IF(Base_IFData!Q668&gt;0,Base_IFData!M668/Base_IFData!Q668,"PL ≤ 0"),"NI")</f>
        <v>2.8543939749231004</v>
      </c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spans="1:30" ht="1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12" t="str">
        <f>Base_IFData!A669</f>
        <v>SOCINAL S.A. - CRÉDITO, FINANCIAMENTO E INVESTIMENTO</v>
      </c>
      <c r="L668" s="12" t="str">
        <f>Base_IFData!F669</f>
        <v>n1</v>
      </c>
      <c r="M668" s="14" t="str">
        <f>IF(AND(ISNUMBER(Base_IFData!L669),ISNUMBER(Base_IFData!W669)),IF(Base_IFData!L669&gt;$B$4,Base_IFData!W669,""),"")</f>
        <v/>
      </c>
      <c r="N668" s="51">
        <f>IF(AND(ISNUMBER(Base_IFData!O669),ISNUMBER(Base_IFData!Q669)),IF(Base_IFData!Q669&gt;0,Base_IFData!O669/Base_IFData!Q669,"PL ≤ 0"),"NI")</f>
        <v>5.6708004971523005</v>
      </c>
      <c r="O668" s="110">
        <f>IF(AND(ISNUMBER(Base_IFData!M669),ISNUMBER(Base_IFData!Q669)),IF(Base_IFData!Q669&gt;0,Base_IFData!M669/Base_IFData!Q669,"PL ≤ 0"),"NI")</f>
        <v>5.7071581736481969</v>
      </c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spans="1:30" ht="1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15" t="str">
        <f>Base_IFData!A670</f>
        <v>COOPERATIVA DE CRÉDITO DE LIVRE ADMISSÃO DE ASSOCIADOS DO PLANALTO SERRANO - SICOOB CREDISERRA SC</v>
      </c>
      <c r="L669" s="15" t="str">
        <f>Base_IFData!F670</f>
        <v>b3S</v>
      </c>
      <c r="M669" s="17" t="str">
        <f>IF(AND(ISNUMBER(Base_IFData!L670),ISNUMBER(Base_IFData!W670)),IF(Base_IFData!L670&gt;$B$4,Base_IFData!W670,""),"")</f>
        <v/>
      </c>
      <c r="N669" s="50">
        <f>IF(AND(ISNUMBER(Base_IFData!O670),ISNUMBER(Base_IFData!Q670)),IF(Base_IFData!Q670&gt;0,Base_IFData!O670/Base_IFData!Q670,"PL ≤ 0"),"NI")</f>
        <v>5.2853822884073587</v>
      </c>
      <c r="O669" s="107">
        <f>IF(AND(ISNUMBER(Base_IFData!M670),ISNUMBER(Base_IFData!Q670)),IF(Base_IFData!Q670&gt;0,Base_IFData!M670/Base_IFData!Q670,"PL ≤ 0"),"NI")</f>
        <v>4.9608558482531189</v>
      </c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spans="1:30" ht="1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12" t="str">
        <f>Base_IFData!A671</f>
        <v>COOPERATIVA DE CRÉDITO DOS INTEGRANTES DO PODER JUDICIÁRIO E DO MINISTÉRIO PÚBLICO DO ESTADO DE MINAS GERAIS LTDA. - SICOOB JUS-MP</v>
      </c>
      <c r="L670" s="12" t="str">
        <f>Base_IFData!F671</f>
        <v>b3S</v>
      </c>
      <c r="M670" s="14" t="str">
        <f>IF(AND(ISNUMBER(Base_IFData!L671),ISNUMBER(Base_IFData!W671)),IF(Base_IFData!L671&gt;$B$4,Base_IFData!W671,""),"")</f>
        <v/>
      </c>
      <c r="N670" s="51">
        <f>IF(AND(ISNUMBER(Base_IFData!O671),ISNUMBER(Base_IFData!Q671)),IF(Base_IFData!Q671&gt;0,Base_IFData!O671/Base_IFData!Q671,"PL ≤ 0"),"NI")</f>
        <v>5.5586701523384567</v>
      </c>
      <c r="O670" s="110">
        <f>IF(AND(ISNUMBER(Base_IFData!M671),ISNUMBER(Base_IFData!Q671)),IF(Base_IFData!Q671&gt;0,Base_IFData!M671/Base_IFData!Q671,"PL ≤ 0"),"NI")</f>
        <v>2.9645227960197644</v>
      </c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spans="1:30" ht="1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15" t="str">
        <f>Base_IFData!A672</f>
        <v>TENTOS S.A. CRÉDITO, FINANCIAMENTO E INVESTIMENTO</v>
      </c>
      <c r="L671" s="15" t="str">
        <f>Base_IFData!F672</f>
        <v>n1</v>
      </c>
      <c r="M671" s="17" t="str">
        <f>IF(AND(ISNUMBER(Base_IFData!L672),ISNUMBER(Base_IFData!W672)),IF(Base_IFData!L672&gt;$B$4,Base_IFData!W672,""),"")</f>
        <v/>
      </c>
      <c r="N671" s="50">
        <f>IF(AND(ISNUMBER(Base_IFData!O672),ISNUMBER(Base_IFData!Q672)),IF(Base_IFData!Q672&gt;0,Base_IFData!O672/Base_IFData!Q672,"PL ≤ 0"),"NI")</f>
        <v>4.5453522368665302</v>
      </c>
      <c r="O671" s="107">
        <f>IF(AND(ISNUMBER(Base_IFData!M672),ISNUMBER(Base_IFData!Q672)),IF(Base_IFData!Q672&gt;0,Base_IFData!M672/Base_IFData!Q672,"PL ≤ 0"),"NI")</f>
        <v>4.7384444031928714</v>
      </c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spans="1:30" ht="1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12" t="str">
        <f>Base_IFData!A673</f>
        <v>COOPERATIVA DE CRÉDITO UNICRED AMPLA LTDA - UNICRED AMPLA</v>
      </c>
      <c r="L672" s="12" t="str">
        <f>Base_IFData!F673</f>
        <v>b3S</v>
      </c>
      <c r="M672" s="14" t="str">
        <f>IF(AND(ISNUMBER(Base_IFData!L673),ISNUMBER(Base_IFData!W673)),IF(Base_IFData!L673&gt;$B$4,Base_IFData!W673,""),"")</f>
        <v/>
      </c>
      <c r="N672" s="51">
        <f>IF(AND(ISNUMBER(Base_IFData!O673),ISNUMBER(Base_IFData!Q673)),IF(Base_IFData!Q673&gt;0,Base_IFData!O673/Base_IFData!Q673,"PL ≤ 0"),"NI")</f>
        <v>5.384754891934274</v>
      </c>
      <c r="O672" s="110">
        <f>IF(AND(ISNUMBER(Base_IFData!M673),ISNUMBER(Base_IFData!Q673)),IF(Base_IFData!Q673&gt;0,Base_IFData!M673/Base_IFData!Q673,"PL ≤ 0"),"NI")</f>
        <v>3.7805413513329245</v>
      </c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spans="1:30" ht="1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15" t="str">
        <f>Base_IFData!A674</f>
        <v>COOPERATIVA DE CRÉDITO E ECONOMIA COM INTERAÇÃO SOLIDÁRIA - CRESOL ENCOSTAS DA SERRA GERAL</v>
      </c>
      <c r="L673" s="15" t="str">
        <f>Base_IFData!F674</f>
        <v>b3S</v>
      </c>
      <c r="M673" s="17" t="str">
        <f>IF(AND(ISNUMBER(Base_IFData!L674),ISNUMBER(Base_IFData!W674)),IF(Base_IFData!L674&gt;$B$4,Base_IFData!W674,""),"")</f>
        <v/>
      </c>
      <c r="N673" s="50">
        <f>IF(AND(ISNUMBER(Base_IFData!O674),ISNUMBER(Base_IFData!Q674)),IF(Base_IFData!Q674&gt;0,Base_IFData!O674/Base_IFData!Q674,"PL ≤ 0"),"NI")</f>
        <v>8.6653436129756241</v>
      </c>
      <c r="O673" s="107">
        <f>IF(AND(ISNUMBER(Base_IFData!M674),ISNUMBER(Base_IFData!Q674)),IF(Base_IFData!Q674&gt;0,Base_IFData!M674/Base_IFData!Q674,"PL ≤ 0"),"NI")</f>
        <v>6.5487832754930277</v>
      </c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spans="1:30" ht="1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12" t="str">
        <f>Base_IFData!A675</f>
        <v>URBANO S.A. - SOCIEDADE DE CRÉDITO, FINANCIAMENTO E INVESTIMENTO</v>
      </c>
      <c r="L674" s="12" t="str">
        <f>Base_IFData!F675</f>
        <v>n1</v>
      </c>
      <c r="M674" s="14" t="str">
        <f>IF(AND(ISNUMBER(Base_IFData!L675),ISNUMBER(Base_IFData!W675)),IF(Base_IFData!L675&gt;$B$4,Base_IFData!W675,""),"")</f>
        <v/>
      </c>
      <c r="N674" s="51">
        <f>IF(AND(ISNUMBER(Base_IFData!O675),ISNUMBER(Base_IFData!Q675)),IF(Base_IFData!Q675&gt;0,Base_IFData!O675/Base_IFData!Q675,"PL ≤ 0"),"NI")</f>
        <v>17.476154368040866</v>
      </c>
      <c r="O674" s="110">
        <f>IF(AND(ISNUMBER(Base_IFData!M675),ISNUMBER(Base_IFData!Q675)),IF(Base_IFData!Q675&gt;0,Base_IFData!M675/Base_IFData!Q675,"PL ≤ 0"),"NI")</f>
        <v>0</v>
      </c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spans="1:30" ht="1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15" t="str">
        <f>Base_IFData!A676</f>
        <v>GENIAL INVESTIMENTOS CORRETORA DE VALORES MOBILIÁRIOS S.A.</v>
      </c>
      <c r="L675" s="15" t="str">
        <f>Base_IFData!F676</f>
        <v>n2</v>
      </c>
      <c r="M675" s="17" t="str">
        <f>IF(AND(ISNUMBER(Base_IFData!L676),ISNUMBER(Base_IFData!W676)),IF(Base_IFData!L676&gt;$B$4,Base_IFData!W676,""),"")</f>
        <v/>
      </c>
      <c r="N675" s="50">
        <f>IF(AND(ISNUMBER(Base_IFData!O676),ISNUMBER(Base_IFData!Q676)),IF(Base_IFData!Q676&gt;0,Base_IFData!O676/Base_IFData!Q676,"PL ≤ 0"),"NI")</f>
        <v>0.75646791578369643</v>
      </c>
      <c r="O675" s="107">
        <f>IF(AND(ISNUMBER(Base_IFData!M676),ISNUMBER(Base_IFData!Q676)),IF(Base_IFData!Q676&gt;0,Base_IFData!M676/Base_IFData!Q676,"PL ≤ 0"),"NI")</f>
        <v>0</v>
      </c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spans="1:30" ht="1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12" t="str">
        <f>Base_IFData!A677</f>
        <v>COOPERATIVA DE CRÉDITO DO VALE DO ITAJAÍ E VALE DO ITAPOCÚ - SICOOB MULTICREDI</v>
      </c>
      <c r="L676" s="12" t="str">
        <f>Base_IFData!F677</f>
        <v>b3S</v>
      </c>
      <c r="M676" s="14" t="str">
        <f>IF(AND(ISNUMBER(Base_IFData!L677),ISNUMBER(Base_IFData!W677)),IF(Base_IFData!L677&gt;$B$4,Base_IFData!W677,""),"")</f>
        <v/>
      </c>
      <c r="N676" s="51">
        <f>IF(AND(ISNUMBER(Base_IFData!O677),ISNUMBER(Base_IFData!Q677)),IF(Base_IFData!Q677&gt;0,Base_IFData!O677/Base_IFData!Q677,"PL ≤ 0"),"NI")</f>
        <v>4.5525207541689863</v>
      </c>
      <c r="O676" s="110">
        <f>IF(AND(ISNUMBER(Base_IFData!M677),ISNUMBER(Base_IFData!Q677)),IF(Base_IFData!Q677&gt;0,Base_IFData!M677/Base_IFData!Q677,"PL ≤ 0"),"NI")</f>
        <v>3.3588474477817849</v>
      </c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spans="1:30" ht="1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15" t="str">
        <f>Base_IFData!A678</f>
        <v>COOPERATIVA DE CRÉDITO SACRAMENTO LTDA - SICOOB SACRAMENTO</v>
      </c>
      <c r="L677" s="15" t="str">
        <f>Base_IFData!F678</f>
        <v>b3S</v>
      </c>
      <c r="M677" s="17" t="str">
        <f>IF(AND(ISNUMBER(Base_IFData!L678),ISNUMBER(Base_IFData!W678)),IF(Base_IFData!L678&gt;$B$4,Base_IFData!W678,""),"")</f>
        <v/>
      </c>
      <c r="N677" s="50">
        <f>IF(AND(ISNUMBER(Base_IFData!O678),ISNUMBER(Base_IFData!Q678)),IF(Base_IFData!Q678&gt;0,Base_IFData!O678/Base_IFData!Q678,"PL ≤ 0"),"NI")</f>
        <v>6.3101222447125576</v>
      </c>
      <c r="O677" s="107">
        <f>IF(AND(ISNUMBER(Base_IFData!M678),ISNUMBER(Base_IFData!Q678)),IF(Base_IFData!Q678&gt;0,Base_IFData!M678/Base_IFData!Q678,"PL ≤ 0"),"NI")</f>
        <v>4.6287713370415826</v>
      </c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spans="1:30" ht="1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12" t="str">
        <f>Base_IFData!A679</f>
        <v>COOPERATIVA DE CREDITO, POUPANCA E INVESTIMENTO DO RIO DE JANEIRO - SICREDI RIO RJ</v>
      </c>
      <c r="L678" s="12" t="str">
        <f>Base_IFData!F679</f>
        <v>b3S</v>
      </c>
      <c r="M678" s="14" t="str">
        <f>IF(AND(ISNUMBER(Base_IFData!L679),ISNUMBER(Base_IFData!W679)),IF(Base_IFData!L679&gt;$B$4,Base_IFData!W679,""),"")</f>
        <v/>
      </c>
      <c r="N678" s="51">
        <f>IF(AND(ISNUMBER(Base_IFData!O679),ISNUMBER(Base_IFData!Q679)),IF(Base_IFData!Q679&gt;0,Base_IFData!O679/Base_IFData!Q679,"PL ≤ 0"),"NI")</f>
        <v>8.8010746933270543</v>
      </c>
      <c r="O678" s="110">
        <f>IF(AND(ISNUMBER(Base_IFData!M679),ISNUMBER(Base_IFData!Q679)),IF(Base_IFData!Q679&gt;0,Base_IFData!M679/Base_IFData!Q679,"PL ≤ 0"),"NI")</f>
        <v>4.0271670484468327</v>
      </c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spans="1:30" ht="1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15" t="str">
        <f>Base_IFData!A680</f>
        <v>COOPERATIVA DE ECONOMIA E CRÉDITO MÚTUO DOS INTEGRANTES DO MINISTÉRIO PÚBLICO E DA DEFENSORIA PÚBLICA NO ESTADO DO RIO DE JANEIRO LIMITADA. - SICOOB COMPERJ</v>
      </c>
      <c r="L679" s="15" t="str">
        <f>Base_IFData!F680</f>
        <v>b3S</v>
      </c>
      <c r="M679" s="17" t="str">
        <f>IF(AND(ISNUMBER(Base_IFData!L680),ISNUMBER(Base_IFData!W680)),IF(Base_IFData!L680&gt;$B$4,Base_IFData!W680,""),"")</f>
        <v/>
      </c>
      <c r="N679" s="50">
        <f>IF(AND(ISNUMBER(Base_IFData!O680),ISNUMBER(Base_IFData!Q680)),IF(Base_IFData!Q680&gt;0,Base_IFData!O680/Base_IFData!Q680,"PL ≤ 0"),"NI")</f>
        <v>14.977856943280246</v>
      </c>
      <c r="O679" s="107">
        <f>IF(AND(ISNUMBER(Base_IFData!M680),ISNUMBER(Base_IFData!Q680)),IF(Base_IFData!Q680&gt;0,Base_IFData!M680/Base_IFData!Q680,"PL ≤ 0"),"NI")</f>
        <v>4.3000139703827882</v>
      </c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spans="1:30" ht="1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12" t="str">
        <f>Base_IFData!A681</f>
        <v>COOPERATIVA DE ECONOMIA E CRÉDITO MÚTUO DOS SERVIDORES DO PODER JUDICIÁRIO, DO TRIBUNAL DE CONTAS ESTADUAL E DEMAIS ÓRGÃOS PÚBLICOS MUNICIPAIS, ESTADUAIS E FEDERAIS NO ESTADO DO RIO DE JANEIRO LTDA.</v>
      </c>
      <c r="L680" s="12" t="str">
        <f>Base_IFData!F681</f>
        <v>b3S</v>
      </c>
      <c r="M680" s="14" t="str">
        <f>IF(AND(ISNUMBER(Base_IFData!L681),ISNUMBER(Base_IFData!W681)),IF(Base_IFData!L681&gt;$B$4,Base_IFData!W681,""),"")</f>
        <v/>
      </c>
      <c r="N680" s="51">
        <f>IF(AND(ISNUMBER(Base_IFData!O681),ISNUMBER(Base_IFData!Q681)),IF(Base_IFData!Q681&gt;0,Base_IFData!O681/Base_IFData!Q681,"PL ≤ 0"),"NI")</f>
        <v>3.3708875762267976</v>
      </c>
      <c r="O680" s="110">
        <f>IF(AND(ISNUMBER(Base_IFData!M681),ISNUMBER(Base_IFData!Q681)),IF(Base_IFData!Q681&gt;0,Base_IFData!M681/Base_IFData!Q681,"PL ≤ 0"),"NI")</f>
        <v>2.7049760088700272</v>
      </c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spans="1:30" ht="1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15" t="str">
        <f>Base_IFData!A682</f>
        <v>CREDI&amp;GENTE - COOPERATIVA DE CRÉDITO E INVESTIMENTOS</v>
      </c>
      <c r="L681" s="15" t="str">
        <f>Base_IFData!F682</f>
        <v>b3S</v>
      </c>
      <c r="M681" s="17" t="str">
        <f>IF(AND(ISNUMBER(Base_IFData!L682),ISNUMBER(Base_IFData!W682)),IF(Base_IFData!L682&gt;$B$4,Base_IFData!W682,""),"")</f>
        <v/>
      </c>
      <c r="N681" s="50">
        <f>IF(AND(ISNUMBER(Base_IFData!O682),ISNUMBER(Base_IFData!Q682)),IF(Base_IFData!Q682&gt;0,Base_IFData!O682/Base_IFData!Q682,"PL ≤ 0"),"NI")</f>
        <v>1.8100232379916441</v>
      </c>
      <c r="O681" s="107">
        <f>IF(AND(ISNUMBER(Base_IFData!M682),ISNUMBER(Base_IFData!Q682)),IF(Base_IFData!Q682&gt;0,Base_IFData!M682/Base_IFData!Q682,"PL ≤ 0"),"NI")</f>
        <v>0.88468764678252698</v>
      </c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spans="1:30" ht="1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12" t="str">
        <f>Base_IFData!A683</f>
        <v>LAR COOPERATIVA DE CRÉDITO - LAR CREDI</v>
      </c>
      <c r="L682" s="12" t="str">
        <f>Base_IFData!F683</f>
        <v>b3S</v>
      </c>
      <c r="M682" s="14" t="str">
        <f>IF(AND(ISNUMBER(Base_IFData!L683),ISNUMBER(Base_IFData!W683)),IF(Base_IFData!L683&gt;$B$4,Base_IFData!W683,""),"")</f>
        <v/>
      </c>
      <c r="N682" s="51">
        <f>IF(AND(ISNUMBER(Base_IFData!O683),ISNUMBER(Base_IFData!Q683)),IF(Base_IFData!Q683&gt;0,Base_IFData!O683/Base_IFData!Q683,"PL ≤ 0"),"NI")</f>
        <v>4.5813862115538093</v>
      </c>
      <c r="O682" s="110">
        <f>IF(AND(ISNUMBER(Base_IFData!M683),ISNUMBER(Base_IFData!Q683)),IF(Base_IFData!Q683&gt;0,Base_IFData!M683/Base_IFData!Q683,"PL ≤ 0"),"NI")</f>
        <v>2.2028362698753758</v>
      </c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spans="1:30" ht="1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15" t="str">
        <f>Base_IFData!A684</f>
        <v>CREDIARE S.A. - CRÉDITO, FINANCIAMENTO E INVESTIMENTO</v>
      </c>
      <c r="L683" s="15" t="str">
        <f>Base_IFData!F684</f>
        <v>n1</v>
      </c>
      <c r="M683" s="17" t="str">
        <f>IF(AND(ISNUMBER(Base_IFData!L684),ISNUMBER(Base_IFData!W684)),IF(Base_IFData!L684&gt;$B$4,Base_IFData!W684,""),"")</f>
        <v/>
      </c>
      <c r="N683" s="50">
        <f>IF(AND(ISNUMBER(Base_IFData!O684),ISNUMBER(Base_IFData!Q684)),IF(Base_IFData!Q684&gt;0,Base_IFData!O684/Base_IFData!Q684,"PL ≤ 0"),"NI")</f>
        <v>4.5432201319325678</v>
      </c>
      <c r="O683" s="107">
        <f>IF(AND(ISNUMBER(Base_IFData!M684),ISNUMBER(Base_IFData!Q684)),IF(Base_IFData!Q684&gt;0,Base_IFData!M684/Base_IFData!Q684,"PL ≤ 0"),"NI")</f>
        <v>3.6333129733691667</v>
      </c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spans="1:30" ht="1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12" t="str">
        <f>Base_IFData!A685</f>
        <v>WISE BRASIL CORRETORA DE CÂMBIO LTDA</v>
      </c>
      <c r="L684" s="12" t="str">
        <f>Base_IFData!F685</f>
        <v>n2</v>
      </c>
      <c r="M684" s="14" t="str">
        <f>IF(AND(ISNUMBER(Base_IFData!L685),ISNUMBER(Base_IFData!W685)),IF(Base_IFData!L685&gt;$B$4,Base_IFData!W685,""),"")</f>
        <v/>
      </c>
      <c r="N684" s="51">
        <f>IF(AND(ISNUMBER(Base_IFData!O685),ISNUMBER(Base_IFData!Q685)),IF(Base_IFData!Q685&gt;0,Base_IFData!O685/Base_IFData!Q685,"PL ≤ 0"),"NI")</f>
        <v>1.7486040663228337</v>
      </c>
      <c r="O684" s="110">
        <f>IF(AND(ISNUMBER(Base_IFData!M685),ISNUMBER(Base_IFData!Q685)),IF(Base_IFData!Q685&gt;0,Base_IFData!M685/Base_IFData!Q685,"PL ≤ 0"),"NI")</f>
        <v>0</v>
      </c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spans="1:30" ht="1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15" t="str">
        <f>Base_IFData!A686</f>
        <v>COOPERATIVA DE CRÉDITO UNICRED COOMARCA LTDA. - COOMARCA</v>
      </c>
      <c r="L685" s="15" t="str">
        <f>Base_IFData!F686</f>
        <v>b3S</v>
      </c>
      <c r="M685" s="17" t="str">
        <f>IF(AND(ISNUMBER(Base_IFData!L686),ISNUMBER(Base_IFData!W686)),IF(Base_IFData!L686&gt;$B$4,Base_IFData!W686,""),"")</f>
        <v/>
      </c>
      <c r="N685" s="50">
        <f>IF(AND(ISNUMBER(Base_IFData!O686),ISNUMBER(Base_IFData!Q686)),IF(Base_IFData!Q686&gt;0,Base_IFData!O686/Base_IFData!Q686,"PL ≤ 0"),"NI")</f>
        <v>9.935643324448753</v>
      </c>
      <c r="O685" s="107">
        <f>IF(AND(ISNUMBER(Base_IFData!M686),ISNUMBER(Base_IFData!Q686)),IF(Base_IFData!Q686&gt;0,Base_IFData!M686/Base_IFData!Q686,"PL ≤ 0"),"NI")</f>
        <v>6.2375090865035139</v>
      </c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spans="1:30" ht="1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12" t="str">
        <f>Base_IFData!A687</f>
        <v>COOPERATIVA DE CRÉDITO E ECONOMIA COM INTERAÇÃO SOLIDÁRIA DE JACUTINGA - CRESOL JACUTINGA</v>
      </c>
      <c r="L686" s="12" t="str">
        <f>Base_IFData!F687</f>
        <v>b3S</v>
      </c>
      <c r="M686" s="14" t="str">
        <f>IF(AND(ISNUMBER(Base_IFData!L687),ISNUMBER(Base_IFData!W687)),IF(Base_IFData!L687&gt;$B$4,Base_IFData!W687,""),"")</f>
        <v/>
      </c>
      <c r="N686" s="51">
        <f>IF(AND(ISNUMBER(Base_IFData!O687),ISNUMBER(Base_IFData!Q687)),IF(Base_IFData!Q687&gt;0,Base_IFData!O687/Base_IFData!Q687,"PL ≤ 0"),"NI")</f>
        <v>6.9363801335471029</v>
      </c>
      <c r="O686" s="110">
        <f>IF(AND(ISNUMBER(Base_IFData!M687),ISNUMBER(Base_IFData!Q687)),IF(Base_IFData!Q687&gt;0,Base_IFData!M687/Base_IFData!Q687,"PL ≤ 0"),"NI")</f>
        <v>5.4111242269948381</v>
      </c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spans="1:30" ht="1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15" t="str">
        <f>Base_IFData!A688</f>
        <v>COOPERATIVA DE CREDITO CREDIMOTA   SICOOB CREDIMOTA</v>
      </c>
      <c r="L687" s="15" t="str">
        <f>Base_IFData!F688</f>
        <v>b3S</v>
      </c>
      <c r="M687" s="17" t="str">
        <f>IF(AND(ISNUMBER(Base_IFData!L688),ISNUMBER(Base_IFData!W688)),IF(Base_IFData!L688&gt;$B$4,Base_IFData!W688,""),"")</f>
        <v/>
      </c>
      <c r="N687" s="50">
        <f>IF(AND(ISNUMBER(Base_IFData!O688),ISNUMBER(Base_IFData!Q688)),IF(Base_IFData!Q688&gt;0,Base_IFData!O688/Base_IFData!Q688,"PL ≤ 0"),"NI")</f>
        <v>10.892909288805118</v>
      </c>
      <c r="O687" s="107">
        <f>IF(AND(ISNUMBER(Base_IFData!M688),ISNUMBER(Base_IFData!Q688)),IF(Base_IFData!Q688&gt;0,Base_IFData!M688/Base_IFData!Q688,"PL ≤ 0"),"NI")</f>
        <v>6.6228994664047356</v>
      </c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0" ht="1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12" t="str">
        <f>Base_IFData!A689</f>
        <v>COOPERATIVA DE CRÉDITO DE LIVRE ADMISSÃO DE PIRACANJUBA LTDA. - SICOOB CERRADO</v>
      </c>
      <c r="L688" s="12" t="str">
        <f>Base_IFData!F689</f>
        <v>b3S</v>
      </c>
      <c r="M688" s="14" t="str">
        <f>IF(AND(ISNUMBER(Base_IFData!L689),ISNUMBER(Base_IFData!W689)),IF(Base_IFData!L689&gt;$B$4,Base_IFData!W689,""),"")</f>
        <v/>
      </c>
      <c r="N688" s="51">
        <f>IF(AND(ISNUMBER(Base_IFData!O689),ISNUMBER(Base_IFData!Q689)),IF(Base_IFData!Q689&gt;0,Base_IFData!O689/Base_IFData!Q689,"PL ≤ 0"),"NI")</f>
        <v>8.3489887734936712</v>
      </c>
      <c r="O688" s="110">
        <f>IF(AND(ISNUMBER(Base_IFData!M689),ISNUMBER(Base_IFData!Q689)),IF(Base_IFData!Q689&gt;0,Base_IFData!M689/Base_IFData!Q689,"PL ≤ 0"),"NI")</f>
        <v>6.1903250220745907</v>
      </c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30" ht="1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15" t="str">
        <f>Base_IFData!A690</f>
        <v>KREDILIG S.A. - CRÉDITO, FINANCIAMENTO E INVESTIMENTO</v>
      </c>
      <c r="L689" s="15" t="str">
        <f>Base_IFData!F690</f>
        <v>n1</v>
      </c>
      <c r="M689" s="17" t="str">
        <f>IF(AND(ISNUMBER(Base_IFData!L690),ISNUMBER(Base_IFData!W690)),IF(Base_IFData!L690&gt;$B$4,Base_IFData!W690,""),"")</f>
        <v/>
      </c>
      <c r="N689" s="50">
        <f>IF(AND(ISNUMBER(Base_IFData!O690),ISNUMBER(Base_IFData!Q690)),IF(Base_IFData!Q690&gt;0,Base_IFData!O690/Base_IFData!Q690,"PL ≤ 0"),"NI")</f>
        <v>1.066266996464456</v>
      </c>
      <c r="O689" s="107">
        <f>IF(AND(ISNUMBER(Base_IFData!M690),ISNUMBER(Base_IFData!Q690)),IF(Base_IFData!Q690&gt;0,Base_IFData!M690/Base_IFData!Q690,"PL ≤ 0"),"NI")</f>
        <v>1.9400308370249257</v>
      </c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30" ht="1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12" t="str">
        <f>Base_IFData!A691</f>
        <v>COOPERATIVA DE CRÉDITO DO VALE EUROPEU - SICOOB EURO VALE</v>
      </c>
      <c r="L690" s="12" t="str">
        <f>Base_IFData!F691</f>
        <v>b3S</v>
      </c>
      <c r="M690" s="14" t="str">
        <f>IF(AND(ISNUMBER(Base_IFData!L691),ISNUMBER(Base_IFData!W691)),IF(Base_IFData!L691&gt;$B$4,Base_IFData!W691,""),"")</f>
        <v/>
      </c>
      <c r="N690" s="51">
        <f>IF(AND(ISNUMBER(Base_IFData!O691),ISNUMBER(Base_IFData!Q691)),IF(Base_IFData!Q691&gt;0,Base_IFData!O691/Base_IFData!Q691,"PL ≤ 0"),"NI")</f>
        <v>7.2137369163388021</v>
      </c>
      <c r="O690" s="110">
        <f>IF(AND(ISNUMBER(Base_IFData!M691),ISNUMBER(Base_IFData!Q691)),IF(Base_IFData!Q691&gt;0,Base_IFData!M691/Base_IFData!Q691,"PL ≤ 0"),"NI")</f>
        <v>5.4864338208002374</v>
      </c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spans="1:30" ht="1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15" t="str">
        <f>Base_IFData!A692</f>
        <v>OXY COMPANHIA HIPOTECÁRIA</v>
      </c>
      <c r="L691" s="15" t="str">
        <f>Base_IFData!F692</f>
        <v>n1</v>
      </c>
      <c r="M691" s="17" t="str">
        <f>IF(AND(ISNUMBER(Base_IFData!L692),ISNUMBER(Base_IFData!W692)),IF(Base_IFData!L692&gt;$B$4,Base_IFData!W692,""),"")</f>
        <v/>
      </c>
      <c r="N691" s="50">
        <f>IF(AND(ISNUMBER(Base_IFData!O692),ISNUMBER(Base_IFData!Q692)),IF(Base_IFData!Q692&gt;0,Base_IFData!O692/Base_IFData!Q692,"PL ≤ 0"),"NI")</f>
        <v>7.4254798898708101</v>
      </c>
      <c r="O691" s="107">
        <f>IF(AND(ISNUMBER(Base_IFData!M692),ISNUMBER(Base_IFData!Q692)),IF(Base_IFData!Q692&gt;0,Base_IFData!M692/Base_IFData!Q692,"PL ≤ 0"),"NI")</f>
        <v>6.1456323764415952</v>
      </c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spans="1:30" ht="1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12" t="str">
        <f>Base_IFData!A693</f>
        <v>BMP SOCIEDADE DE CRÉDITO DIRETO S.A</v>
      </c>
      <c r="L692" s="12" t="str">
        <f>Base_IFData!F693</f>
        <v>n1</v>
      </c>
      <c r="M692" s="14" t="str">
        <f>IF(AND(ISNUMBER(Base_IFData!L693),ISNUMBER(Base_IFData!W693)),IF(Base_IFData!L693&gt;$B$4,Base_IFData!W693,""),"")</f>
        <v/>
      </c>
      <c r="N692" s="51">
        <f>IF(AND(ISNUMBER(Base_IFData!O693),ISNUMBER(Base_IFData!Q693)),IF(Base_IFData!Q693&gt;0,Base_IFData!O693/Base_IFData!Q693,"PL ≤ 0"),"NI")</f>
        <v>1.226202233920153</v>
      </c>
      <c r="O692" s="110">
        <f>IF(AND(ISNUMBER(Base_IFData!M693),ISNUMBER(Base_IFData!Q693)),IF(Base_IFData!Q693&gt;0,Base_IFData!M693/Base_IFData!Q693,"PL ≤ 0"),"NI")</f>
        <v>0.47223890930935825</v>
      </c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spans="1:30" ht="1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15" t="str">
        <f>Base_IFData!A694</f>
        <v>COOPERATIVA DE CRÉDITO E INVESTIMENTO COM INTERAÇÃO SOLIDÁRIA CENTRO SERRA - CRESOL CENTRO SERRA</v>
      </c>
      <c r="L693" s="15" t="str">
        <f>Base_IFData!F694</f>
        <v>b3S</v>
      </c>
      <c r="M693" s="17" t="str">
        <f>IF(AND(ISNUMBER(Base_IFData!L694),ISNUMBER(Base_IFData!W694)),IF(Base_IFData!L694&gt;$B$4,Base_IFData!W694,""),"")</f>
        <v/>
      </c>
      <c r="N693" s="50">
        <f>IF(AND(ISNUMBER(Base_IFData!O694),ISNUMBER(Base_IFData!Q694)),IF(Base_IFData!Q694&gt;0,Base_IFData!O694/Base_IFData!Q694,"PL ≤ 0"),"NI")</f>
        <v>6.0056426130134781</v>
      </c>
      <c r="O693" s="107">
        <f>IF(AND(ISNUMBER(Base_IFData!M694),ISNUMBER(Base_IFData!Q694)),IF(Base_IFData!Q694&gt;0,Base_IFData!M694/Base_IFData!Q694,"PL ≤ 0"),"NI")</f>
        <v>5.1933481653446831</v>
      </c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spans="1:30" ht="1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12" t="str">
        <f>Base_IFData!A695</f>
        <v>COOPERATIVA DE CRÉDITO DE LIVRE ADMISSÃO DE PEDRO LEOPOLDO LTDA - SICOOB CREDIPEL</v>
      </c>
      <c r="L694" s="12" t="str">
        <f>Base_IFData!F695</f>
        <v>b3S</v>
      </c>
      <c r="M694" s="14" t="str">
        <f>IF(AND(ISNUMBER(Base_IFData!L695),ISNUMBER(Base_IFData!W695)),IF(Base_IFData!L695&gt;$B$4,Base_IFData!W695,""),"")</f>
        <v/>
      </c>
      <c r="N694" s="51">
        <f>IF(AND(ISNUMBER(Base_IFData!O695),ISNUMBER(Base_IFData!Q695)),IF(Base_IFData!Q695&gt;0,Base_IFData!O695/Base_IFData!Q695,"PL ≤ 0"),"NI")</f>
        <v>6.038156193219951</v>
      </c>
      <c r="O694" s="110">
        <f>IF(AND(ISNUMBER(Base_IFData!M695),ISNUMBER(Base_IFData!Q695)),IF(Base_IFData!Q695&gt;0,Base_IFData!M695/Base_IFData!Q695,"PL ≤ 0"),"NI")</f>
        <v>2.5601152379237533</v>
      </c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spans="1:30" ht="1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15" t="str">
        <f>Base_IFData!A696</f>
        <v>SUMUP SOCIEDADE DE CRÉDITO DIRETO S.A.</v>
      </c>
      <c r="L695" s="15" t="str">
        <f>Base_IFData!F696</f>
        <v>n1</v>
      </c>
      <c r="M695" s="17" t="str">
        <f>IF(AND(ISNUMBER(Base_IFData!L696),ISNUMBER(Base_IFData!W696)),IF(Base_IFData!L696&gt;$B$4,Base_IFData!W696,""),"")</f>
        <v/>
      </c>
      <c r="N695" s="50">
        <f>IF(AND(ISNUMBER(Base_IFData!O696),ISNUMBER(Base_IFData!Q696)),IF(Base_IFData!Q696&gt;0,Base_IFData!O696/Base_IFData!Q696,"PL ≤ 0"),"NI")</f>
        <v>4.4486151186587177</v>
      </c>
      <c r="O695" s="107">
        <f>IF(AND(ISNUMBER(Base_IFData!M696),ISNUMBER(Base_IFData!Q696)),IF(Base_IFData!Q696&gt;0,Base_IFData!M696/Base_IFData!Q696,"PL ≤ 0"),"NI")</f>
        <v>0.42570960074233199</v>
      </c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spans="1:30" ht="1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12" t="str">
        <f>Base_IFData!A697</f>
        <v>COOPERATIVA DE ECONOMIA E CRÉDITO MÚTUO NOS ESTADOS DE ALAGOAS, SERGIPE E BAHIA - SICOOB LESTE</v>
      </c>
      <c r="L696" s="12" t="str">
        <f>Base_IFData!F697</f>
        <v>b3S</v>
      </c>
      <c r="M696" s="14" t="str">
        <f>IF(AND(ISNUMBER(Base_IFData!L697),ISNUMBER(Base_IFData!W697)),IF(Base_IFData!L697&gt;$B$4,Base_IFData!W697,""),"")</f>
        <v/>
      </c>
      <c r="N696" s="51">
        <f>IF(AND(ISNUMBER(Base_IFData!O697),ISNUMBER(Base_IFData!Q697)),IF(Base_IFData!Q697&gt;0,Base_IFData!O697/Base_IFData!Q697,"PL ≤ 0"),"NI")</f>
        <v>5.1301773434672455</v>
      </c>
      <c r="O696" s="110">
        <f>IF(AND(ISNUMBER(Base_IFData!M697),ISNUMBER(Base_IFData!Q697)),IF(Base_IFData!Q697&gt;0,Base_IFData!M697/Base_IFData!Q697,"PL ≤ 0"),"NI")</f>
        <v>3.7228809265291352</v>
      </c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spans="1:30" ht="1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15" t="str">
        <f>Base_IFData!A698</f>
        <v>ALFA ARRENDAMENTO MERCANTIL S.A.</v>
      </c>
      <c r="L697" s="15" t="str">
        <f>Base_IFData!F698</f>
        <v>n1</v>
      </c>
      <c r="M697" s="17" t="str">
        <f>IF(AND(ISNUMBER(Base_IFData!L698),ISNUMBER(Base_IFData!W698)),IF(Base_IFData!L698&gt;$B$4,Base_IFData!W698,""),"")</f>
        <v/>
      </c>
      <c r="N697" s="50">
        <f>IF(AND(ISNUMBER(Base_IFData!O698),ISNUMBER(Base_IFData!Q698)),IF(Base_IFData!Q698&gt;0,Base_IFData!O698/Base_IFData!Q698,"PL ≤ 0"),"NI")</f>
        <v>0.84647941515967684</v>
      </c>
      <c r="O697" s="107">
        <f>IF(AND(ISNUMBER(Base_IFData!M698),ISNUMBER(Base_IFData!Q698)),IF(Base_IFData!Q698&gt;0,Base_IFData!M698/Base_IFData!Q698,"PL ≤ 0"),"NI")</f>
        <v>0.50772587358774357</v>
      </c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spans="1:30" ht="1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12" t="str">
        <f>Base_IFData!A699</f>
        <v>RENDIMENTOPAY INSTITUIÇÃO DE PAGAMENTO S.A.</v>
      </c>
      <c r="L698" s="12" t="str">
        <f>Base_IFData!F699</f>
        <v>n4</v>
      </c>
      <c r="M698" s="14" t="str">
        <f>IF(AND(ISNUMBER(Base_IFData!L699),ISNUMBER(Base_IFData!W699)),IF(Base_IFData!L699&gt;$B$4,Base_IFData!W699,""),"")</f>
        <v/>
      </c>
      <c r="N698" s="51">
        <f>IF(AND(ISNUMBER(Base_IFData!O699),ISNUMBER(Base_IFData!Q699)),IF(Base_IFData!Q699&gt;0,Base_IFData!O699/Base_IFData!Q699,"PL ≤ 0"),"NI")</f>
        <v>21.469057627840154</v>
      </c>
      <c r="O698" s="110">
        <f>IF(AND(ISNUMBER(Base_IFData!M699),ISNUMBER(Base_IFData!Q699)),IF(Base_IFData!Q699&gt;0,Base_IFData!M699/Base_IFData!Q699,"PL ≤ 0"),"NI")</f>
        <v>0.87005800031926783</v>
      </c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spans="1:30" ht="1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15" t="str">
        <f>Base_IFData!A700</f>
        <v>COOPERATIVA DE CRÉDITO CREDIPINHO LTDA - SICOOB CREDIPINHO</v>
      </c>
      <c r="L699" s="15" t="str">
        <f>Base_IFData!F700</f>
        <v>b3S</v>
      </c>
      <c r="M699" s="17" t="str">
        <f>IF(AND(ISNUMBER(Base_IFData!L700),ISNUMBER(Base_IFData!W700)),IF(Base_IFData!L700&gt;$B$4,Base_IFData!W700,""),"")</f>
        <v/>
      </c>
      <c r="N699" s="50">
        <f>IF(AND(ISNUMBER(Base_IFData!O700),ISNUMBER(Base_IFData!Q700)),IF(Base_IFData!Q700&gt;0,Base_IFData!O700/Base_IFData!Q700,"PL ≤ 0"),"NI")</f>
        <v>5.1577050472035371</v>
      </c>
      <c r="O699" s="107">
        <f>IF(AND(ISNUMBER(Base_IFData!M700),ISNUMBER(Base_IFData!Q700)),IF(Base_IFData!Q700&gt;0,Base_IFData!M700/Base_IFData!Q700,"PL ≤ 0"),"NI")</f>
        <v>3.2914216508835161</v>
      </c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spans="1:30" ht="1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12" t="str">
        <f>Base_IFData!A701</f>
        <v>GREENPASS TECNOLOGIA E INSTITUICAO DE PAGAMENTO HUE S.A.</v>
      </c>
      <c r="L700" s="12" t="str">
        <f>Base_IFData!F701</f>
        <v>n4</v>
      </c>
      <c r="M700" s="14" t="str">
        <f>IF(AND(ISNUMBER(Base_IFData!L701),ISNUMBER(Base_IFData!W701)),IF(Base_IFData!L701&gt;$B$4,Base_IFData!W701,""),"")</f>
        <v/>
      </c>
      <c r="N700" s="51">
        <f>IF(AND(ISNUMBER(Base_IFData!O701),ISNUMBER(Base_IFData!Q701)),IF(Base_IFData!Q701&gt;0,Base_IFData!O701/Base_IFData!Q701,"PL ≤ 0"),"NI")</f>
        <v>20.076626046838172</v>
      </c>
      <c r="O700" s="110">
        <f>IF(AND(ISNUMBER(Base_IFData!M701),ISNUMBER(Base_IFData!Q701)),IF(Base_IFData!Q701&gt;0,Base_IFData!M701/Base_IFData!Q701,"PL ≤ 0"),"NI")</f>
        <v>0</v>
      </c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spans="1:30" ht="1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15" t="str">
        <f>Base_IFData!A702</f>
        <v>SWILE INSTITUICAO DE PAGAMENTO LTDA</v>
      </c>
      <c r="L701" s="15" t="str">
        <f>Base_IFData!F702</f>
        <v>n4</v>
      </c>
      <c r="M701" s="17" t="str">
        <f>IF(AND(ISNUMBER(Base_IFData!L702),ISNUMBER(Base_IFData!W702)),IF(Base_IFData!L702&gt;$B$4,Base_IFData!W702,""),"")</f>
        <v/>
      </c>
      <c r="N701" s="50">
        <f>IF(AND(ISNUMBER(Base_IFData!O702),ISNUMBER(Base_IFData!Q702)),IF(Base_IFData!Q702&gt;0,Base_IFData!O702/Base_IFData!Q702,"PL ≤ 0"),"NI")</f>
        <v>30.287860576923077</v>
      </c>
      <c r="O701" s="107">
        <f>IF(AND(ISNUMBER(Base_IFData!M702),ISNUMBER(Base_IFData!Q702)),IF(Base_IFData!Q702&gt;0,Base_IFData!M702/Base_IFData!Q702,"PL ≤ 0"),"NI")</f>
        <v>0</v>
      </c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spans="1:30" ht="1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12" t="str">
        <f>Base_IFData!A703</f>
        <v>CREDISAN COOPERATIVA DE CRÉDITO</v>
      </c>
      <c r="L702" s="12" t="str">
        <f>Base_IFData!F703</f>
        <v>b3S</v>
      </c>
      <c r="M702" s="14" t="str">
        <f>IF(AND(ISNUMBER(Base_IFData!L703),ISNUMBER(Base_IFData!W703)),IF(Base_IFData!L703&gt;$B$4,Base_IFData!W703,""),"")</f>
        <v/>
      </c>
      <c r="N702" s="51">
        <f>IF(AND(ISNUMBER(Base_IFData!O703),ISNUMBER(Base_IFData!Q703)),IF(Base_IFData!Q703&gt;0,Base_IFData!O703/Base_IFData!Q703,"PL ≤ 0"),"NI")</f>
        <v>5.358151201382622</v>
      </c>
      <c r="O702" s="110">
        <f>IF(AND(ISNUMBER(Base_IFData!M703),ISNUMBER(Base_IFData!Q703)),IF(Base_IFData!Q703&gt;0,Base_IFData!M703/Base_IFData!Q703,"PL ≤ 0"),"NI")</f>
        <v>2.0509612590428703</v>
      </c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spans="1:30" ht="1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15" t="str">
        <f>Base_IFData!A704</f>
        <v>COOPERATIVA DE CRÉDITO DE LIVRE ADMISSÃO DE CAMPOS GERAIS E CAMPO DO MEIO LTDA - SICOOB CREDCAM</v>
      </c>
      <c r="L703" s="15" t="str">
        <f>Base_IFData!F704</f>
        <v>b3S</v>
      </c>
      <c r="M703" s="17" t="str">
        <f>IF(AND(ISNUMBER(Base_IFData!L704),ISNUMBER(Base_IFData!W704)),IF(Base_IFData!L704&gt;$B$4,Base_IFData!W704,""),"")</f>
        <v/>
      </c>
      <c r="N703" s="50">
        <f>IF(AND(ISNUMBER(Base_IFData!O704),ISNUMBER(Base_IFData!Q704)),IF(Base_IFData!Q704&gt;0,Base_IFData!O704/Base_IFData!Q704,"PL ≤ 0"),"NI")</f>
        <v>5.5991616119914891</v>
      </c>
      <c r="O703" s="107">
        <f>IF(AND(ISNUMBER(Base_IFData!M704),ISNUMBER(Base_IFData!Q704)),IF(Base_IFData!Q704&gt;0,Base_IFData!M704/Base_IFData!Q704,"PL ≤ 0"),"NI")</f>
        <v>2.9571755216107212</v>
      </c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spans="1:30" ht="1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12" t="str">
        <f>Base_IFData!A705</f>
        <v>COOPERATIVA DE CRÉDITO E ECONOMIA COM INTERAÇÃO SOLIDÁRIA CAMINHOS - CRESOL CAMINHOS</v>
      </c>
      <c r="L704" s="12" t="str">
        <f>Base_IFData!F705</f>
        <v>b3S</v>
      </c>
      <c r="M704" s="14" t="str">
        <f>IF(AND(ISNUMBER(Base_IFData!L705),ISNUMBER(Base_IFData!W705)),IF(Base_IFData!L705&gt;$B$4,Base_IFData!W705,""),"")</f>
        <v/>
      </c>
      <c r="N704" s="51">
        <f>IF(AND(ISNUMBER(Base_IFData!O705),ISNUMBER(Base_IFData!Q705)),IF(Base_IFData!Q705&gt;0,Base_IFData!O705/Base_IFData!Q705,"PL ≤ 0"),"NI")</f>
        <v>7.4787527821284314</v>
      </c>
      <c r="O704" s="110">
        <f>IF(AND(ISNUMBER(Base_IFData!M705),ISNUMBER(Base_IFData!Q705)),IF(Base_IFData!Q705&gt;0,Base_IFData!M705/Base_IFData!Q705,"PL ≤ 0"),"NI")</f>
        <v>5.861923996372929</v>
      </c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spans="1:30" ht="1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15" t="str">
        <f>Base_IFData!A706</f>
        <v>COOPERATIVA DE CRÉDITO DE LIVRE ADMISSÃO DE ASSOCIADOS DO SUL DO BRASIL - CREVISC</v>
      </c>
      <c r="L705" s="15" t="str">
        <f>Base_IFData!F706</f>
        <v>b3S</v>
      </c>
      <c r="M705" s="17" t="str">
        <f>IF(AND(ISNUMBER(Base_IFData!L706),ISNUMBER(Base_IFData!W706)),IF(Base_IFData!L706&gt;$B$4,Base_IFData!W706,""),"")</f>
        <v/>
      </c>
      <c r="N705" s="50">
        <f>IF(AND(ISNUMBER(Base_IFData!O706),ISNUMBER(Base_IFData!Q706)),IF(Base_IFData!Q706&gt;0,Base_IFData!O706/Base_IFData!Q706,"PL ≤ 0"),"NI")</f>
        <v>6.9752125470709263</v>
      </c>
      <c r="O705" s="107">
        <f>IF(AND(ISNUMBER(Base_IFData!M706),ISNUMBER(Base_IFData!Q706)),IF(Base_IFData!Q706&gt;0,Base_IFData!M706/Base_IFData!Q706,"PL ≤ 0"),"NI")</f>
        <v>4.995710237198649</v>
      </c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spans="1:30" ht="1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12" t="str">
        <f>Base_IFData!A707</f>
        <v>COOPERATIVA DE CRÉDITO DE LIVRE ADMISSÃO DO CENTRO SUL DE MATO GROSSO DO SUL - SICOOB CENTRO SUL MS</v>
      </c>
      <c r="L706" s="12" t="str">
        <f>Base_IFData!F707</f>
        <v>b3S</v>
      </c>
      <c r="M706" s="14" t="str">
        <f>IF(AND(ISNUMBER(Base_IFData!L707),ISNUMBER(Base_IFData!W707)),IF(Base_IFData!L707&gt;$B$4,Base_IFData!W707,""),"")</f>
        <v/>
      </c>
      <c r="N706" s="51">
        <f>IF(AND(ISNUMBER(Base_IFData!O707),ISNUMBER(Base_IFData!Q707)),IF(Base_IFData!Q707&gt;0,Base_IFData!O707/Base_IFData!Q707,"PL ≤ 0"),"NI")</f>
        <v>7.7041174456428694</v>
      </c>
      <c r="O706" s="110">
        <f>IF(AND(ISNUMBER(Base_IFData!M707),ISNUMBER(Base_IFData!Q707)),IF(Base_IFData!Q707&gt;0,Base_IFData!M707/Base_IFData!Q707,"PL ≤ 0"),"NI")</f>
        <v>5.3141371340523884</v>
      </c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spans="1:30" ht="1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15" t="str">
        <f>Base_IFData!A708</f>
        <v>AGORACRED S/A SOCIEDADE DE CRÉDITO, FINANCIAMENTO E INVESTIMENTO</v>
      </c>
      <c r="L707" s="15" t="str">
        <f>Base_IFData!F708</f>
        <v>n1</v>
      </c>
      <c r="M707" s="17" t="str">
        <f>IF(AND(ISNUMBER(Base_IFData!L708),ISNUMBER(Base_IFData!W708)),IF(Base_IFData!L708&gt;$B$4,Base_IFData!W708,""),"")</f>
        <v/>
      </c>
      <c r="N707" s="50">
        <f>IF(AND(ISNUMBER(Base_IFData!O708),ISNUMBER(Base_IFData!Q708)),IF(Base_IFData!Q708&gt;0,Base_IFData!O708/Base_IFData!Q708,"PL ≤ 0"),"NI")</f>
        <v>5.0832647318555324</v>
      </c>
      <c r="O707" s="107">
        <f>IF(AND(ISNUMBER(Base_IFData!M708),ISNUMBER(Base_IFData!Q708)),IF(Base_IFData!Q708&gt;0,Base_IFData!M708/Base_IFData!Q708,"PL ≤ 0"),"NI")</f>
        <v>4.5304964751313408</v>
      </c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spans="1:30" ht="1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12" t="str">
        <f>Base_IFData!A709</f>
        <v>COOPERATIVA DE CRÉDITO DOS SERVIDORES DOS PODERES LEGISLATIVOS DO ESTADO DE MINAS GERAIS E DO SEU ÓRGÃO AUXILIAR E DE LIVRE ADMISSÃO LTDA. - SICOOB COFAL</v>
      </c>
      <c r="L708" s="12" t="str">
        <f>Base_IFData!F709</f>
        <v>b3S</v>
      </c>
      <c r="M708" s="14" t="str">
        <f>IF(AND(ISNUMBER(Base_IFData!L709),ISNUMBER(Base_IFData!W709)),IF(Base_IFData!L709&gt;$B$4,Base_IFData!W709,""),"")</f>
        <v/>
      </c>
      <c r="N708" s="51">
        <f>IF(AND(ISNUMBER(Base_IFData!O709),ISNUMBER(Base_IFData!Q709)),IF(Base_IFData!Q709&gt;0,Base_IFData!O709/Base_IFData!Q709,"PL ≤ 0"),"NI")</f>
        <v>4.9573172521055255</v>
      </c>
      <c r="O708" s="110">
        <f>IF(AND(ISNUMBER(Base_IFData!M709),ISNUMBER(Base_IFData!Q709)),IF(Base_IFData!Q709&gt;0,Base_IFData!M709/Base_IFData!Q709,"PL ≤ 0"),"NI")</f>
        <v>1.0560201895706782</v>
      </c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spans="1:30" ht="1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15" t="str">
        <f>Base_IFData!A710</f>
        <v>EBURY BANCO DE CÂMBIO S.A.</v>
      </c>
      <c r="L709" s="15" t="str">
        <f>Base_IFData!F710</f>
        <v>b2</v>
      </c>
      <c r="M709" s="17" t="str">
        <f>IF(AND(ISNUMBER(Base_IFData!L710),ISNUMBER(Base_IFData!W710)),IF(Base_IFData!L710&gt;$B$4,Base_IFData!W710,""),"")</f>
        <v/>
      </c>
      <c r="N709" s="50">
        <f>IF(AND(ISNUMBER(Base_IFData!O710),ISNUMBER(Base_IFData!Q710)),IF(Base_IFData!Q710&gt;0,Base_IFData!O710/Base_IFData!Q710,"PL ≤ 0"),"NI")</f>
        <v>0.7289566596735404</v>
      </c>
      <c r="O709" s="107">
        <f>IF(AND(ISNUMBER(Base_IFData!M710),ISNUMBER(Base_IFData!Q710)),IF(Base_IFData!Q710&gt;0,Base_IFData!M710/Base_IFData!Q710,"PL ≤ 0"),"NI")</f>
        <v>0</v>
      </c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spans="1:30" ht="1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12" t="str">
        <f>Base_IFData!A711</f>
        <v>COOPERATIVA DE ECONOMIA E CRÉDITO MÚTUO UNICRED HORIZONTES LTDA - UNICRED HORIZONTES</v>
      </c>
      <c r="L710" s="12" t="str">
        <f>Base_IFData!F711</f>
        <v>b3S</v>
      </c>
      <c r="M710" s="14" t="str">
        <f>IF(AND(ISNUMBER(Base_IFData!L711),ISNUMBER(Base_IFData!W711)),IF(Base_IFData!L711&gt;$B$4,Base_IFData!W711,""),"")</f>
        <v/>
      </c>
      <c r="N710" s="51">
        <f>IF(AND(ISNUMBER(Base_IFData!O711),ISNUMBER(Base_IFData!Q711)),IF(Base_IFData!Q711&gt;0,Base_IFData!O711/Base_IFData!Q711,"PL ≤ 0"),"NI")</f>
        <v>4.5757826278659612</v>
      </c>
      <c r="O710" s="110">
        <f>IF(AND(ISNUMBER(Base_IFData!M711),ISNUMBER(Base_IFData!Q711)),IF(Base_IFData!Q711&gt;0,Base_IFData!M711/Base_IFData!Q711,"PL ≤ 0"),"NI")</f>
        <v>2.8857197971781305</v>
      </c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spans="1:30" ht="1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15" t="str">
        <f>Base_IFData!A712</f>
        <v>COOPERATIVA DE CRÉDITO DE LIVRE ADMISSÃO DO SUL CATARINENSE - ACENTRA</v>
      </c>
      <c r="L711" s="15" t="str">
        <f>Base_IFData!F712</f>
        <v>b3S</v>
      </c>
      <c r="M711" s="17" t="str">
        <f>IF(AND(ISNUMBER(Base_IFData!L712),ISNUMBER(Base_IFData!W712)),IF(Base_IFData!L712&gt;$B$4,Base_IFData!W712,""),"")</f>
        <v/>
      </c>
      <c r="N711" s="50">
        <f>IF(AND(ISNUMBER(Base_IFData!O712),ISNUMBER(Base_IFData!Q712)),IF(Base_IFData!Q712&gt;0,Base_IFData!O712/Base_IFData!Q712,"PL ≤ 0"),"NI")</f>
        <v>7.4709498730565054</v>
      </c>
      <c r="O711" s="107">
        <f>IF(AND(ISNUMBER(Base_IFData!M712),ISNUMBER(Base_IFData!Q712)),IF(Base_IFData!Q712&gt;0,Base_IFData!M712/Base_IFData!Q712,"PL ≤ 0"),"NI")</f>
        <v>6.0129881029815984</v>
      </c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spans="1:30" ht="1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12" t="str">
        <f>Base_IFData!A713</f>
        <v>OKTO INSTITUIÇÃO DE PAGAMENTO S.A.</v>
      </c>
      <c r="L712" s="12" t="str">
        <f>Base_IFData!F713</f>
        <v>n4</v>
      </c>
      <c r="M712" s="14" t="str">
        <f>IF(AND(ISNUMBER(Base_IFData!L713),ISNUMBER(Base_IFData!W713)),IF(Base_IFData!L713&gt;$B$4,Base_IFData!W713,""),"")</f>
        <v/>
      </c>
      <c r="N712" s="51">
        <f>IF(AND(ISNUMBER(Base_IFData!O713),ISNUMBER(Base_IFData!Q713)),IF(Base_IFData!Q713&gt;0,Base_IFData!O713/Base_IFData!Q713,"PL ≤ 0"),"NI")</f>
        <v>8.4495210884990986</v>
      </c>
      <c r="O712" s="110">
        <f>IF(AND(ISNUMBER(Base_IFData!M713),ISNUMBER(Base_IFData!Q713)),IF(Base_IFData!Q713&gt;0,Base_IFData!M713/Base_IFData!Q713,"PL ≤ 0"),"NI")</f>
        <v>0</v>
      </c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spans="1:30" ht="1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15" t="str">
        <f>Base_IFData!A714</f>
        <v>COOPERATIVA DE CRÉDITO DOS SERVIDORES PÚBLICOS NO ESTADO DA BAHIA LTDA. - SICOOB INOVA</v>
      </c>
      <c r="L713" s="15" t="str">
        <f>Base_IFData!F714</f>
        <v>b3S</v>
      </c>
      <c r="M713" s="17" t="str">
        <f>IF(AND(ISNUMBER(Base_IFData!L714),ISNUMBER(Base_IFData!W714)),IF(Base_IFData!L714&gt;$B$4,Base_IFData!W714,""),"")</f>
        <v/>
      </c>
      <c r="N713" s="50">
        <f>IF(AND(ISNUMBER(Base_IFData!O714),ISNUMBER(Base_IFData!Q714)),IF(Base_IFData!Q714&gt;0,Base_IFData!O714/Base_IFData!Q714,"PL ≤ 0"),"NI")</f>
        <v>7.2243815894120766</v>
      </c>
      <c r="O713" s="107">
        <f>IF(AND(ISNUMBER(Base_IFData!M714),ISNUMBER(Base_IFData!Q714)),IF(Base_IFData!Q714&gt;0,Base_IFData!M714/Base_IFData!Q714,"PL ≤ 0"),"NI")</f>
        <v>4.2160817342007055</v>
      </c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spans="1:30" ht="1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12" t="str">
        <f>Base_IFData!A715</f>
        <v>COOPERATIVA DE CRÉDITO, POUPANÇA E INVESTIMENTO BANDEIRANTES - SICREDI BANDEIRANTES SP</v>
      </c>
      <c r="L714" s="12" t="str">
        <f>Base_IFData!F715</f>
        <v>b3S</v>
      </c>
      <c r="M714" s="14" t="str">
        <f>IF(AND(ISNUMBER(Base_IFData!L715),ISNUMBER(Base_IFData!W715)),IF(Base_IFData!L715&gt;$B$4,Base_IFData!W715,""),"")</f>
        <v/>
      </c>
      <c r="N714" s="51">
        <f>IF(AND(ISNUMBER(Base_IFData!O715),ISNUMBER(Base_IFData!Q715)),IF(Base_IFData!Q715&gt;0,Base_IFData!O715/Base_IFData!Q715,"PL ≤ 0"),"NI")</f>
        <v>10.714643741803876</v>
      </c>
      <c r="O714" s="110">
        <f>IF(AND(ISNUMBER(Base_IFData!M715),ISNUMBER(Base_IFData!Q715)),IF(Base_IFData!Q715&gt;0,Base_IFData!M715/Base_IFData!Q715,"PL ≤ 0"),"NI")</f>
        <v>4.9099519160716891</v>
      </c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spans="1:30" ht="1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15" t="str">
        <f>Base_IFData!A716</f>
        <v>COOPERATIVA DE CRÉDITO DE TIROS E MATUTINA LTDA.- SICOOB CREDITIROS</v>
      </c>
      <c r="L715" s="15" t="str">
        <f>Base_IFData!F716</f>
        <v>b3S</v>
      </c>
      <c r="M715" s="17" t="str">
        <f>IF(AND(ISNUMBER(Base_IFData!L716),ISNUMBER(Base_IFData!W716)),IF(Base_IFData!L716&gt;$B$4,Base_IFData!W716,""),"")</f>
        <v/>
      </c>
      <c r="N715" s="50">
        <f>IF(AND(ISNUMBER(Base_IFData!O716),ISNUMBER(Base_IFData!Q716)),IF(Base_IFData!Q716&gt;0,Base_IFData!O716/Base_IFData!Q716,"PL ≤ 0"),"NI")</f>
        <v>6.9481916513416779</v>
      </c>
      <c r="O715" s="107">
        <f>IF(AND(ISNUMBER(Base_IFData!M716),ISNUMBER(Base_IFData!Q716)),IF(Base_IFData!Q716&gt;0,Base_IFData!M716/Base_IFData!Q716,"PL ≤ 0"),"NI")</f>
        <v>4.9805026596270592</v>
      </c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spans="1:30" ht="1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12" t="str">
        <f>Base_IFData!A717</f>
        <v>COOPERATIVA DE CREDITO SULCREDI AMPLEA</v>
      </c>
      <c r="L716" s="12" t="str">
        <f>Base_IFData!F717</f>
        <v>b3S</v>
      </c>
      <c r="M716" s="14" t="str">
        <f>IF(AND(ISNUMBER(Base_IFData!L717),ISNUMBER(Base_IFData!W717)),IF(Base_IFData!L717&gt;$B$4,Base_IFData!W717,""),"")</f>
        <v/>
      </c>
      <c r="N716" s="51">
        <f>IF(AND(ISNUMBER(Base_IFData!O717),ISNUMBER(Base_IFData!Q717)),IF(Base_IFData!Q717&gt;0,Base_IFData!O717/Base_IFData!Q717,"PL ≤ 0"),"NI")</f>
        <v>5.3385475392653525</v>
      </c>
      <c r="O716" s="110">
        <f>IF(AND(ISNUMBER(Base_IFData!M717),ISNUMBER(Base_IFData!Q717)),IF(Base_IFData!Q717&gt;0,Base_IFData!M717/Base_IFData!Q717,"PL ≤ 0"),"NI")</f>
        <v>3.7347266115072495</v>
      </c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spans="1:30" ht="1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15" t="str">
        <f>Base_IFData!A718</f>
        <v>EQI INVESTIMENTOS CORRETORA DE TÍTULOS E VALORES MOBILIÁRIOS S.A.</v>
      </c>
      <c r="L717" s="15" t="str">
        <f>Base_IFData!F718</f>
        <v>n2</v>
      </c>
      <c r="M717" s="17" t="str">
        <f>IF(AND(ISNUMBER(Base_IFData!L718),ISNUMBER(Base_IFData!W718)),IF(Base_IFData!L718&gt;$B$4,Base_IFData!W718,""),"")</f>
        <v/>
      </c>
      <c r="N717" s="50">
        <f>IF(AND(ISNUMBER(Base_IFData!O718),ISNUMBER(Base_IFData!Q718)),IF(Base_IFData!Q718&gt;0,Base_IFData!O718/Base_IFData!Q718,"PL ≤ 0"),"NI")</f>
        <v>0.52643267956837725</v>
      </c>
      <c r="O717" s="107">
        <f>IF(AND(ISNUMBER(Base_IFData!M718),ISNUMBER(Base_IFData!Q718)),IF(Base_IFData!Q718&gt;0,Base_IFData!M718/Base_IFData!Q718,"PL ≤ 0"),"NI")</f>
        <v>0</v>
      </c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spans="1:30" ht="1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12" t="str">
        <f>Base_IFData!A719</f>
        <v>BNY MELLON SERVIÇOS FINANCEIROS DISTRIBUIDORA DE TÍTULOS E VALORES MOBILIÁRIOS S.A.</v>
      </c>
      <c r="L718" s="12" t="str">
        <f>Base_IFData!F719</f>
        <v>n2</v>
      </c>
      <c r="M718" s="14" t="str">
        <f>IF(AND(ISNUMBER(Base_IFData!L719),ISNUMBER(Base_IFData!W719)),IF(Base_IFData!L719&gt;$B$4,Base_IFData!W719,""),"")</f>
        <v/>
      </c>
      <c r="N718" s="51">
        <f>IF(AND(ISNUMBER(Base_IFData!O719),ISNUMBER(Base_IFData!Q719)),IF(Base_IFData!Q719&gt;0,Base_IFData!O719/Base_IFData!Q719,"PL ≤ 0"),"NI")</f>
        <v>13.954775578056521</v>
      </c>
      <c r="O718" s="110">
        <f>IF(AND(ISNUMBER(Base_IFData!M719),ISNUMBER(Base_IFData!Q719)),IF(Base_IFData!Q719&gt;0,Base_IFData!M719/Base_IFData!Q719,"PL ≤ 0"),"NI")</f>
        <v>0</v>
      </c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spans="1:30" ht="1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15" t="str">
        <f>Base_IFData!A720</f>
        <v>COOPERATIVA DE CRÉDITO DA GRANDE FLORIANÓPOLIS - ÚNILOS</v>
      </c>
      <c r="L719" s="15" t="str">
        <f>Base_IFData!F720</f>
        <v>b3S</v>
      </c>
      <c r="M719" s="17" t="str">
        <f>IF(AND(ISNUMBER(Base_IFData!L720),ISNUMBER(Base_IFData!W720)),IF(Base_IFData!L720&gt;$B$4,Base_IFData!W720,""),"")</f>
        <v/>
      </c>
      <c r="N719" s="50">
        <f>IF(AND(ISNUMBER(Base_IFData!O720),ISNUMBER(Base_IFData!Q720)),IF(Base_IFData!Q720&gt;0,Base_IFData!O720/Base_IFData!Q720,"PL ≤ 0"),"NI")</f>
        <v>5.3798843780868948</v>
      </c>
      <c r="O719" s="107">
        <f>IF(AND(ISNUMBER(Base_IFData!M720),ISNUMBER(Base_IFData!Q720)),IF(Base_IFData!Q720&gt;0,Base_IFData!M720/Base_IFData!Q720,"PL ≤ 0"),"NI")</f>
        <v>3.9610707172121193</v>
      </c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spans="1:30" ht="1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12" t="str">
        <f>Base_IFData!A721</f>
        <v>COOPERATIVA DE CRÉDITO RURAL DE IRAÍ DE MINAS LTDA -SICOOB CREDIMIL</v>
      </c>
      <c r="L720" s="12" t="str">
        <f>Base_IFData!F721</f>
        <v>b3S</v>
      </c>
      <c r="M720" s="14" t="str">
        <f>IF(AND(ISNUMBER(Base_IFData!L721),ISNUMBER(Base_IFData!W721)),IF(Base_IFData!L721&gt;$B$4,Base_IFData!W721,""),"")</f>
        <v/>
      </c>
      <c r="N720" s="51">
        <f>IF(AND(ISNUMBER(Base_IFData!O721),ISNUMBER(Base_IFData!Q721)),IF(Base_IFData!Q721&gt;0,Base_IFData!O721/Base_IFData!Q721,"PL ≤ 0"),"NI")</f>
        <v>3.907142678316601</v>
      </c>
      <c r="O720" s="110">
        <f>IF(AND(ISNUMBER(Base_IFData!M721),ISNUMBER(Base_IFData!Q721)),IF(Base_IFData!Q721&gt;0,Base_IFData!M721/Base_IFData!Q721,"PL ≤ 0"),"NI")</f>
        <v>1.6711814335427986</v>
      </c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spans="1:30" ht="1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15" t="str">
        <f>Base_IFData!A722</f>
        <v>COOPERATIVA DE CRÉDITO SICOOB CONFIANÇA</v>
      </c>
      <c r="L721" s="15" t="str">
        <f>Base_IFData!F722</f>
        <v>b3S</v>
      </c>
      <c r="M721" s="17" t="str">
        <f>IF(AND(ISNUMBER(Base_IFData!L722),ISNUMBER(Base_IFData!W722)),IF(Base_IFData!L722&gt;$B$4,Base_IFData!W722,""),"")</f>
        <v/>
      </c>
      <c r="N721" s="50">
        <f>IF(AND(ISNUMBER(Base_IFData!O722),ISNUMBER(Base_IFData!Q722)),IF(Base_IFData!Q722&gt;0,Base_IFData!O722/Base_IFData!Q722,"PL ≤ 0"),"NI")</f>
        <v>8.5977963469644312</v>
      </c>
      <c r="O721" s="107">
        <f>IF(AND(ISNUMBER(Base_IFData!M722),ISNUMBER(Base_IFData!Q722)),IF(Base_IFData!Q722&gt;0,Base_IFData!M722/Base_IFData!Q722,"PL ≤ 0"),"NI")</f>
        <v>5.3221918213414181</v>
      </c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spans="1:30" ht="1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12" t="str">
        <f>Base_IFData!A723</f>
        <v>COOPERATIVA DE CRÉDITO DE LIVRE ADMISSÃO DE CARMO DO RIO CLARO LTDA - SICOOB CREDICARMO</v>
      </c>
      <c r="L722" s="12" t="str">
        <f>Base_IFData!F723</f>
        <v>b3S</v>
      </c>
      <c r="M722" s="14" t="str">
        <f>IF(AND(ISNUMBER(Base_IFData!L723),ISNUMBER(Base_IFData!W723)),IF(Base_IFData!L723&gt;$B$4,Base_IFData!W723,""),"")</f>
        <v/>
      </c>
      <c r="N722" s="51">
        <f>IF(AND(ISNUMBER(Base_IFData!O723),ISNUMBER(Base_IFData!Q723)),IF(Base_IFData!Q723&gt;0,Base_IFData!O723/Base_IFData!Q723,"PL ≤ 0"),"NI")</f>
        <v>3.872666065975872</v>
      </c>
      <c r="O722" s="110">
        <f>IF(AND(ISNUMBER(Base_IFData!M723),ISNUMBER(Base_IFData!Q723)),IF(Base_IFData!Q723&gt;0,Base_IFData!M723/Base_IFData!Q723,"PL ≤ 0"),"NI")</f>
        <v>2.0654627821995293</v>
      </c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spans="1:30" ht="1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15" t="str">
        <f>Base_IFData!A724</f>
        <v>COOPERATIVA DE CRÉDITO, POUPANÇA E INVESTIMENTO DOS JUÍZES E CARREIRAS PÚBLICAS DO DIREITO DO ESTADO DO RIO GRANDE DO SUL - SICREDI AJURIS RS</v>
      </c>
      <c r="L723" s="15" t="str">
        <f>Base_IFData!F724</f>
        <v>b3S</v>
      </c>
      <c r="M723" s="17" t="str">
        <f>IF(AND(ISNUMBER(Base_IFData!L724),ISNUMBER(Base_IFData!W724)),IF(Base_IFData!L724&gt;$B$4,Base_IFData!W724,""),"")</f>
        <v/>
      </c>
      <c r="N723" s="50">
        <f>IF(AND(ISNUMBER(Base_IFData!O724),ISNUMBER(Base_IFData!Q724)),IF(Base_IFData!Q724&gt;0,Base_IFData!O724/Base_IFData!Q724,"PL ≤ 0"),"NI")</f>
        <v>13.262684154450936</v>
      </c>
      <c r="O723" s="107">
        <f>IF(AND(ISNUMBER(Base_IFData!M724),ISNUMBER(Base_IFData!Q724)),IF(Base_IFData!Q724&gt;0,Base_IFData!M724/Base_IFData!Q724,"PL ≤ 0"),"NI")</f>
        <v>1.8364377824313898</v>
      </c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spans="1:30" ht="1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12" t="str">
        <f>Base_IFData!A725</f>
        <v>COOPERATIVA DE CRÉDITO CREDIVAG LTDA - SICOOB CREDIVAG</v>
      </c>
      <c r="L724" s="12" t="str">
        <f>Base_IFData!F725</f>
        <v>b3S</v>
      </c>
      <c r="M724" s="14" t="str">
        <f>IF(AND(ISNUMBER(Base_IFData!L725),ISNUMBER(Base_IFData!W725)),IF(Base_IFData!L725&gt;$B$4,Base_IFData!W725,""),"")</f>
        <v/>
      </c>
      <c r="N724" s="51">
        <f>IF(AND(ISNUMBER(Base_IFData!O725),ISNUMBER(Base_IFData!Q725)),IF(Base_IFData!Q725&gt;0,Base_IFData!O725/Base_IFData!Q725,"PL ≤ 0"),"NI")</f>
        <v>3.8930112818959643</v>
      </c>
      <c r="O724" s="110">
        <f>IF(AND(ISNUMBER(Base_IFData!M725),ISNUMBER(Base_IFData!Q725)),IF(Base_IFData!Q725&gt;0,Base_IFData!M725/Base_IFData!Q725,"PL ≤ 0"),"NI")</f>
        <v>1.5758562378536634</v>
      </c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spans="1:30" ht="1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15" t="str">
        <f>Base_IFData!A726</f>
        <v>EDENRED SOLUCOES E INSTITUICAO DE PAGAMENTO AHA S.A.</v>
      </c>
      <c r="L725" s="15" t="str">
        <f>Base_IFData!F726</f>
        <v>n4</v>
      </c>
      <c r="M725" s="17" t="str">
        <f>IF(AND(ISNUMBER(Base_IFData!L726),ISNUMBER(Base_IFData!W726)),IF(Base_IFData!L726&gt;$B$4,Base_IFData!W726,""),"")</f>
        <v/>
      </c>
      <c r="N725" s="50">
        <f>IF(AND(ISNUMBER(Base_IFData!O726),ISNUMBER(Base_IFData!Q726)),IF(Base_IFData!Q726&gt;0,Base_IFData!O726/Base_IFData!Q726,"PL ≤ 0"),"NI")</f>
        <v>8.2467758884218565</v>
      </c>
      <c r="O725" s="107">
        <f>IF(AND(ISNUMBER(Base_IFData!M726),ISNUMBER(Base_IFData!Q726)),IF(Base_IFData!Q726&gt;0,Base_IFData!M726/Base_IFData!Q726,"PL ≤ 0"),"NI")</f>
        <v>1.0750382116927779</v>
      </c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spans="1:30" ht="1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12" t="str">
        <f>Base_IFData!A727</f>
        <v>COOPERATIVA DE CRÉDITO DE LIVRE ADMISSÃO DO ESTADO DE GOIÁS</v>
      </c>
      <c r="L726" s="12" t="str">
        <f>Base_IFData!F727</f>
        <v>b3S</v>
      </c>
      <c r="M726" s="14" t="str">
        <f>IF(AND(ISNUMBER(Base_IFData!L727),ISNUMBER(Base_IFData!W727)),IF(Base_IFData!L727&gt;$B$4,Base_IFData!W727,""),"")</f>
        <v/>
      </c>
      <c r="N726" s="51">
        <f>IF(AND(ISNUMBER(Base_IFData!O727),ISNUMBER(Base_IFData!Q727)),IF(Base_IFData!Q727&gt;0,Base_IFData!O727/Base_IFData!Q727,"PL ≤ 0"),"NI")</f>
        <v>10.462058088322818</v>
      </c>
      <c r="O726" s="110">
        <f>IF(AND(ISNUMBER(Base_IFData!M727),ISNUMBER(Base_IFData!Q727)),IF(Base_IFData!Q727&gt;0,Base_IFData!M727/Base_IFData!Q727,"PL ≤ 0"),"NI")</f>
        <v>5.1254910129746456</v>
      </c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spans="1:30" ht="1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15" t="str">
        <f>Base_IFData!A728</f>
        <v>GAZINCRED S.A. SOCIEDADE DE CRÉDITO, FINANCIAMENTO E INVESTIMENTO</v>
      </c>
      <c r="L727" s="15" t="str">
        <f>Base_IFData!F728</f>
        <v>n1</v>
      </c>
      <c r="M727" s="17" t="str">
        <f>IF(AND(ISNUMBER(Base_IFData!L728),ISNUMBER(Base_IFData!W728)),IF(Base_IFData!L728&gt;$B$4,Base_IFData!W728,""),"")</f>
        <v/>
      </c>
      <c r="N727" s="50">
        <f>IF(AND(ISNUMBER(Base_IFData!O728),ISNUMBER(Base_IFData!Q728)),IF(Base_IFData!Q728&gt;0,Base_IFData!O728/Base_IFData!Q728,"PL ≤ 0"),"NI")</f>
        <v>0.97546317935969018</v>
      </c>
      <c r="O727" s="107">
        <f>IF(AND(ISNUMBER(Base_IFData!M728),ISNUMBER(Base_IFData!Q728)),IF(Base_IFData!Q728&gt;0,Base_IFData!M728/Base_IFData!Q728,"PL ≤ 0"),"NI")</f>
        <v>1.3354101711978714</v>
      </c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spans="1:30" ht="1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12" t="str">
        <f>Base_IFData!A729</f>
        <v>UNIPRIME DO IGUAÇU - COOPERATIVA DE CRÉDITO, POUPANÇA E INVESTIMENTO</v>
      </c>
      <c r="L728" s="12" t="str">
        <f>Base_IFData!F729</f>
        <v>b3S</v>
      </c>
      <c r="M728" s="14" t="str">
        <f>IF(AND(ISNUMBER(Base_IFData!L729),ISNUMBER(Base_IFData!W729)),IF(Base_IFData!L729&gt;$B$4,Base_IFData!W729,""),"")</f>
        <v/>
      </c>
      <c r="N728" s="51">
        <f>IF(AND(ISNUMBER(Base_IFData!O729),ISNUMBER(Base_IFData!Q729)),IF(Base_IFData!Q729&gt;0,Base_IFData!O729/Base_IFData!Q729,"PL ≤ 0"),"NI")</f>
        <v>8.580552502747528</v>
      </c>
      <c r="O728" s="110">
        <f>IF(AND(ISNUMBER(Base_IFData!M729),ISNUMBER(Base_IFData!Q729)),IF(Base_IFData!Q729&gt;0,Base_IFData!M729/Base_IFData!Q729,"PL ≤ 0"),"NI")</f>
        <v>6.0979868118693172</v>
      </c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spans="1:30" ht="1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15" t="str">
        <f>Base_IFData!A730</f>
        <v>COOPERATIVA DE CRÉDITO SICREDI ALTO SERTÃO PARAIBANO - SICREDI ALTO SERTÃO PARAIBANO</v>
      </c>
      <c r="L729" s="15" t="str">
        <f>Base_IFData!F730</f>
        <v>b3S</v>
      </c>
      <c r="M729" s="17" t="str">
        <f>IF(AND(ISNUMBER(Base_IFData!L730),ISNUMBER(Base_IFData!W730)),IF(Base_IFData!L730&gt;$B$4,Base_IFData!W730,""),"")</f>
        <v/>
      </c>
      <c r="N729" s="50">
        <f>IF(AND(ISNUMBER(Base_IFData!O730),ISNUMBER(Base_IFData!Q730)),IF(Base_IFData!Q730&gt;0,Base_IFData!O730/Base_IFData!Q730,"PL ≤ 0"),"NI")</f>
        <v>3.6373702170914108</v>
      </c>
      <c r="O729" s="107">
        <f>IF(AND(ISNUMBER(Base_IFData!M730),ISNUMBER(Base_IFData!Q730)),IF(Base_IFData!Q730&gt;0,Base_IFData!M730/Base_IFData!Q730,"PL ≤ 0"),"NI")</f>
        <v>2.1815387594085047</v>
      </c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spans="1:30" ht="1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12" t="str">
        <f>Base_IFData!A731</f>
        <v>COOPERATIVA DE CRÉDITO, POUPANÇA E INVESTIMENTO CENTRO PERNAMBUCANA - SICREDI CENTRO PERNAMBUCANA PE</v>
      </c>
      <c r="L730" s="12" t="str">
        <f>Base_IFData!F731</f>
        <v>b3S</v>
      </c>
      <c r="M730" s="14" t="str">
        <f>IF(AND(ISNUMBER(Base_IFData!L731),ISNUMBER(Base_IFData!W731)),IF(Base_IFData!L731&gt;$B$4,Base_IFData!W731,""),"")</f>
        <v/>
      </c>
      <c r="N730" s="51">
        <f>IF(AND(ISNUMBER(Base_IFData!O731),ISNUMBER(Base_IFData!Q731)),IF(Base_IFData!Q731&gt;0,Base_IFData!O731/Base_IFData!Q731,"PL ≤ 0"),"NI")</f>
        <v>4.2010183990766512</v>
      </c>
      <c r="O730" s="110">
        <f>IF(AND(ISNUMBER(Base_IFData!M731),ISNUMBER(Base_IFData!Q731)),IF(Base_IFData!Q731&gt;0,Base_IFData!M731/Base_IFData!Q731,"PL ≤ 0"),"NI")</f>
        <v>2.0128318283658091</v>
      </c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spans="1:30" ht="1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15" t="str">
        <f>Base_IFData!A732</f>
        <v>COOPERATIVA DE CRÉDITO E ECONOMIA COM INTERAÇÃO SOLIDÁRIA - CRESOL MAIS</v>
      </c>
      <c r="L731" s="15" t="str">
        <f>Base_IFData!F732</f>
        <v>b3S</v>
      </c>
      <c r="M731" s="17" t="str">
        <f>IF(AND(ISNUMBER(Base_IFData!L732),ISNUMBER(Base_IFData!W732)),IF(Base_IFData!L732&gt;$B$4,Base_IFData!W732,""),"")</f>
        <v/>
      </c>
      <c r="N731" s="50">
        <f>IF(AND(ISNUMBER(Base_IFData!O732),ISNUMBER(Base_IFData!Q732)),IF(Base_IFData!Q732&gt;0,Base_IFData!O732/Base_IFData!Q732,"PL ≤ 0"),"NI")</f>
        <v>5.324537121450712</v>
      </c>
      <c r="O731" s="107">
        <f>IF(AND(ISNUMBER(Base_IFData!M732),ISNUMBER(Base_IFData!Q732)),IF(Base_IFData!Q732&gt;0,Base_IFData!M732/Base_IFData!Q732,"PL ≤ 0"),"NI")</f>
        <v>3.4583533623961942</v>
      </c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spans="1:30" ht="1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12" t="str">
        <f>Base_IFData!A733</f>
        <v>COOPERATIVA DE CRÉDITO DO SUDOESTE BAIANO LTDA - SICOOB CREDICONQUISTA</v>
      </c>
      <c r="L732" s="12" t="str">
        <f>Base_IFData!F733</f>
        <v>b3S</v>
      </c>
      <c r="M732" s="14" t="str">
        <f>IF(AND(ISNUMBER(Base_IFData!L733),ISNUMBER(Base_IFData!W733)),IF(Base_IFData!L733&gt;$B$4,Base_IFData!W733,""),"")</f>
        <v/>
      </c>
      <c r="N732" s="51">
        <f>IF(AND(ISNUMBER(Base_IFData!O733),ISNUMBER(Base_IFData!Q733)),IF(Base_IFData!Q733&gt;0,Base_IFData!O733/Base_IFData!Q733,"PL ≤ 0"),"NI")</f>
        <v>4.5061881903880634</v>
      </c>
      <c r="O732" s="110">
        <f>IF(AND(ISNUMBER(Base_IFData!M733),ISNUMBER(Base_IFData!Q733)),IF(Base_IFData!Q733&gt;0,Base_IFData!M733/Base_IFData!Q733,"PL ≤ 0"),"NI")</f>
        <v>2.1289109941588111</v>
      </c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spans="1:30" ht="1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15" t="str">
        <f>Base_IFData!A734</f>
        <v>COOPERATIVA DE CRÉDITO E ECONOMIA COM INTERAÇÃO SOLIDÁRIA DE ARATIBA - CRESOL ARATIBA</v>
      </c>
      <c r="L733" s="15" t="str">
        <f>Base_IFData!F734</f>
        <v>b3S</v>
      </c>
      <c r="M733" s="17" t="str">
        <f>IF(AND(ISNUMBER(Base_IFData!L734),ISNUMBER(Base_IFData!W734)),IF(Base_IFData!L734&gt;$B$4,Base_IFData!W734,""),"")</f>
        <v/>
      </c>
      <c r="N733" s="50">
        <f>IF(AND(ISNUMBER(Base_IFData!O734),ISNUMBER(Base_IFData!Q734)),IF(Base_IFData!Q734&gt;0,Base_IFData!O734/Base_IFData!Q734,"PL ≤ 0"),"NI")</f>
        <v>7.0186227620942141</v>
      </c>
      <c r="O733" s="107">
        <f>IF(AND(ISNUMBER(Base_IFData!M734),ISNUMBER(Base_IFData!Q734)),IF(Base_IFData!Q734&gt;0,Base_IFData!M734/Base_IFData!Q734,"PL ≤ 0"),"NI")</f>
        <v>4.8463410504930797</v>
      </c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spans="1:30" ht="1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12" t="str">
        <f>Base_IFData!A735</f>
        <v>COOPERATIVA DE CRÉDITO RURAL DE ABELARDO LUZ - SULCREDI/CREDILUZ</v>
      </c>
      <c r="L734" s="12" t="str">
        <f>Base_IFData!F735</f>
        <v>b3S</v>
      </c>
      <c r="M734" s="14" t="str">
        <f>IF(AND(ISNUMBER(Base_IFData!L735),ISNUMBER(Base_IFData!W735)),IF(Base_IFData!L735&gt;$B$4,Base_IFData!W735,""),"")</f>
        <v/>
      </c>
      <c r="N734" s="51">
        <f>IF(AND(ISNUMBER(Base_IFData!O735),ISNUMBER(Base_IFData!Q735)),IF(Base_IFData!Q735&gt;0,Base_IFData!O735/Base_IFData!Q735,"PL ≤ 0"),"NI")</f>
        <v>4.0422047663426977</v>
      </c>
      <c r="O734" s="110">
        <f>IF(AND(ISNUMBER(Base_IFData!M735),ISNUMBER(Base_IFData!Q735)),IF(Base_IFData!Q735&gt;0,Base_IFData!M735/Base_IFData!Q735,"PL ≤ 0"),"NI")</f>
        <v>2.7250698974836904</v>
      </c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spans="1:30" ht="1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15" t="str">
        <f>Base_IFData!A736</f>
        <v>BANCO LOSANGO S.A. - BANCO MÚLTIPLO</v>
      </c>
      <c r="L735" s="15" t="str">
        <f>Base_IFData!F736</f>
        <v>b2</v>
      </c>
      <c r="M735" s="17" t="str">
        <f>IF(AND(ISNUMBER(Base_IFData!L736),ISNUMBER(Base_IFData!W736)),IF(Base_IFData!L736&gt;$B$4,Base_IFData!W736,""),"")</f>
        <v/>
      </c>
      <c r="N735" s="50">
        <f>IF(AND(ISNUMBER(Base_IFData!O736),ISNUMBER(Base_IFData!Q736)),IF(Base_IFData!Q736&gt;0,Base_IFData!O736/Base_IFData!Q736,"PL ≤ 0"),"NI")</f>
        <v>0.4118492470565398</v>
      </c>
      <c r="O735" s="107">
        <f>IF(AND(ISNUMBER(Base_IFData!M736),ISNUMBER(Base_IFData!Q736)),IF(Base_IFData!Q736&gt;0,Base_IFData!M736/Base_IFData!Q736,"PL ≤ 0"),"NI")</f>
        <v>1.4106957541006861E-2</v>
      </c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spans="1:30" ht="1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12" t="str">
        <f>Base_IFData!A737</f>
        <v>RENDIMENTO SOCIEDADE DE CRÉDITO DIRETO S.A.</v>
      </c>
      <c r="L736" s="12" t="str">
        <f>Base_IFData!F737</f>
        <v>n1</v>
      </c>
      <c r="M736" s="14" t="str">
        <f>IF(AND(ISNUMBER(Base_IFData!L737),ISNUMBER(Base_IFData!W737)),IF(Base_IFData!L737&gt;$B$4,Base_IFData!W737,""),"")</f>
        <v/>
      </c>
      <c r="N736" s="51">
        <f>IF(AND(ISNUMBER(Base_IFData!O737),ISNUMBER(Base_IFData!Q737)),IF(Base_IFData!Q737&gt;0,Base_IFData!O737/Base_IFData!Q737,"PL ≤ 0"),"NI")</f>
        <v>1.1098724682397127E-2</v>
      </c>
      <c r="O736" s="110">
        <f>IF(AND(ISNUMBER(Base_IFData!M737),ISNUMBER(Base_IFData!Q737)),IF(Base_IFData!Q737&gt;0,Base_IFData!M737/Base_IFData!Q737,"PL ≤ 0"),"NI")</f>
        <v>0</v>
      </c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spans="1:30" ht="1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15" t="str">
        <f>Base_IFData!A738</f>
        <v>BEM - DISTRIBUIDORA DE TITULOS E VALORES MOBILIARIOS LTDA</v>
      </c>
      <c r="L737" s="15" t="str">
        <f>Base_IFData!F738</f>
        <v>n2</v>
      </c>
      <c r="M737" s="17" t="str">
        <f>IF(AND(ISNUMBER(Base_IFData!L738),ISNUMBER(Base_IFData!W738)),IF(Base_IFData!L738&gt;$B$4,Base_IFData!W738,""),"")</f>
        <v/>
      </c>
      <c r="N737" s="50">
        <f>IF(AND(ISNUMBER(Base_IFData!O738),ISNUMBER(Base_IFData!Q738)),IF(Base_IFData!Q738&gt;0,Base_IFData!O738/Base_IFData!Q738,"PL ≤ 0"),"NI")</f>
        <v>0.34917977294979635</v>
      </c>
      <c r="O737" s="107">
        <f>IF(AND(ISNUMBER(Base_IFData!M738),ISNUMBER(Base_IFData!Q738)),IF(Base_IFData!Q738&gt;0,Base_IFData!M738/Base_IFData!Q738,"PL ≤ 0"),"NI")</f>
        <v>0</v>
      </c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spans="1:30" ht="1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12" t="str">
        <f>Base_IFData!A739</f>
        <v>BGC LIQUIDEZ DISTRIBUIDORA DE TÍTULOS E VALORES MOBILIÁRIOS LTDA</v>
      </c>
      <c r="L738" s="12" t="str">
        <f>Base_IFData!F739</f>
        <v>n2</v>
      </c>
      <c r="M738" s="14" t="str">
        <f>IF(AND(ISNUMBER(Base_IFData!L739),ISNUMBER(Base_IFData!W739)),IF(Base_IFData!L739&gt;$B$4,Base_IFData!W739,""),"")</f>
        <v/>
      </c>
      <c r="N738" s="51">
        <f>IF(AND(ISNUMBER(Base_IFData!O739),ISNUMBER(Base_IFData!Q739)),IF(Base_IFData!Q739&gt;0,Base_IFData!O739/Base_IFData!Q739,"PL ≤ 0"),"NI")</f>
        <v>0.38888242906172055</v>
      </c>
      <c r="O738" s="110">
        <f>IF(AND(ISNUMBER(Base_IFData!M739),ISNUMBER(Base_IFData!Q739)),IF(Base_IFData!Q739&gt;0,Base_IFData!M739/Base_IFData!Q739,"PL ≤ 0"),"NI")</f>
        <v>0</v>
      </c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spans="1:30" ht="1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15" t="str">
        <f>Base_IFData!A740</f>
        <v>REVOLUT SOCIEDADE DE CRÉDITO DIRETO S.A.</v>
      </c>
      <c r="L739" s="15" t="str">
        <f>Base_IFData!F740</f>
        <v>n1</v>
      </c>
      <c r="M739" s="17" t="str">
        <f>IF(AND(ISNUMBER(Base_IFData!L740),ISNUMBER(Base_IFData!W740)),IF(Base_IFData!L740&gt;$B$4,Base_IFData!W740,""),"")</f>
        <v/>
      </c>
      <c r="N739" s="50">
        <f>IF(AND(ISNUMBER(Base_IFData!O740),ISNUMBER(Base_IFData!Q740)),IF(Base_IFData!Q740&gt;0,Base_IFData!O740/Base_IFData!Q740,"PL ≤ 0"),"NI")</f>
        <v>2.3750866566935454</v>
      </c>
      <c r="O739" s="107">
        <f>IF(AND(ISNUMBER(Base_IFData!M740),ISNUMBER(Base_IFData!Q740)),IF(Base_IFData!Q740&gt;0,Base_IFData!M740/Base_IFData!Q740,"PL ≤ 0"),"NI")</f>
        <v>0.41854270806728205</v>
      </c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spans="1:30" ht="1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12" t="str">
        <f>Base_IFData!A741</f>
        <v>COOPERATIVA DE CRÉDITO, POUPANÇA E INVESTIMENTO INTEGRAÇÃO BAHIA - SICREDI INTEGRAÇÃO BAHIA - BA</v>
      </c>
      <c r="L740" s="12" t="str">
        <f>Base_IFData!F741</f>
        <v>b3S</v>
      </c>
      <c r="M740" s="14" t="str">
        <f>IF(AND(ISNUMBER(Base_IFData!L741),ISNUMBER(Base_IFData!W741)),IF(Base_IFData!L741&gt;$B$4,Base_IFData!W741,""),"")</f>
        <v/>
      </c>
      <c r="N740" s="51">
        <f>IF(AND(ISNUMBER(Base_IFData!O741),ISNUMBER(Base_IFData!Q741)),IF(Base_IFData!Q741&gt;0,Base_IFData!O741/Base_IFData!Q741,"PL ≤ 0"),"NI")</f>
        <v>6.49095371384528</v>
      </c>
      <c r="O740" s="110">
        <f>IF(AND(ISNUMBER(Base_IFData!M741),ISNUMBER(Base_IFData!Q741)),IF(Base_IFData!Q741&gt;0,Base_IFData!M741/Base_IFData!Q741,"PL ≤ 0"),"NI")</f>
        <v>3.1732992576366073</v>
      </c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spans="1:30" ht="1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15" t="str">
        <f>Base_IFData!A742</f>
        <v>AGÊNCIA DE FOMENTO DO ESTADO DO AMAZONAS S.A. - AFEAM</v>
      </c>
      <c r="L741" s="15" t="str">
        <f>Base_IFData!F742</f>
        <v>n1</v>
      </c>
      <c r="M741" s="17" t="str">
        <f>IF(AND(ISNUMBER(Base_IFData!L742),ISNUMBER(Base_IFData!W742)),IF(Base_IFData!L742&gt;$B$4,Base_IFData!W742,""),"")</f>
        <v/>
      </c>
      <c r="N741" s="50">
        <f>IF(AND(ISNUMBER(Base_IFData!O742),ISNUMBER(Base_IFData!Q742)),IF(Base_IFData!Q742&gt;0,Base_IFData!O742/Base_IFData!Q742,"PL ≤ 0"),"NI")</f>
        <v>1.3675150375455634</v>
      </c>
      <c r="O741" s="107">
        <f>IF(AND(ISNUMBER(Base_IFData!M742),ISNUMBER(Base_IFData!Q742)),IF(Base_IFData!Q742&gt;0,Base_IFData!M742/Base_IFData!Q742,"PL ≤ 0"),"NI")</f>
        <v>0.23396102474271951</v>
      </c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spans="1:30" ht="1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12" t="str">
        <f>Base_IFData!A743</f>
        <v>NEGRESCO S.A. - CREDITO, FINANCIAMENTO E INVESTIMENTOS</v>
      </c>
      <c r="L742" s="12" t="str">
        <f>Base_IFData!F743</f>
        <v>n1</v>
      </c>
      <c r="M742" s="14" t="str">
        <f>IF(AND(ISNUMBER(Base_IFData!L743),ISNUMBER(Base_IFData!W743)),IF(Base_IFData!L743&gt;$B$4,Base_IFData!W743,""),"")</f>
        <v/>
      </c>
      <c r="N742" s="51">
        <f>IF(AND(ISNUMBER(Base_IFData!O743),ISNUMBER(Base_IFData!Q743)),IF(Base_IFData!Q743&gt;0,Base_IFData!O743/Base_IFData!Q743,"PL ≤ 0"),"NI")</f>
        <v>3.4762688714909391</v>
      </c>
      <c r="O742" s="110">
        <f>IF(AND(ISNUMBER(Base_IFData!M743),ISNUMBER(Base_IFData!Q743)),IF(Base_IFData!Q743&gt;0,Base_IFData!M743/Base_IFData!Q743,"PL ≤ 0"),"NI")</f>
        <v>3.5153045047681766</v>
      </c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spans="1:30" ht="1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15" t="str">
        <f>Base_IFData!A744</f>
        <v>IDEAL CORRETORA DE TÍTULOS E VALORES MOBILIÁRIOS S.A.</v>
      </c>
      <c r="L743" s="15" t="str">
        <f>Base_IFData!F744</f>
        <v>n2</v>
      </c>
      <c r="M743" s="17" t="str">
        <f>IF(AND(ISNUMBER(Base_IFData!L744),ISNUMBER(Base_IFData!W744)),IF(Base_IFData!L744&gt;$B$4,Base_IFData!W744,""),"")</f>
        <v/>
      </c>
      <c r="N743" s="50">
        <f>IF(AND(ISNUMBER(Base_IFData!O744),ISNUMBER(Base_IFData!Q744)),IF(Base_IFData!Q744&gt;0,Base_IFData!O744/Base_IFData!Q744,"PL ≤ 0"),"NI")</f>
        <v>0.23424643687455776</v>
      </c>
      <c r="O743" s="107">
        <f>IF(AND(ISNUMBER(Base_IFData!M744),ISNUMBER(Base_IFData!Q744)),IF(Base_IFData!Q744&gt;0,Base_IFData!M744/Base_IFData!Q744,"PL ≤ 0"),"NI")</f>
        <v>0</v>
      </c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spans="1:30" ht="1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12" t="str">
        <f>Base_IFData!A745</f>
        <v>COOPERATIVA DE CRÉDITO SICOOB NORTE SUL LTDA</v>
      </c>
      <c r="L744" s="12" t="str">
        <f>Base_IFData!F745</f>
        <v>b3S</v>
      </c>
      <c r="M744" s="14" t="str">
        <f>IF(AND(ISNUMBER(Base_IFData!L745),ISNUMBER(Base_IFData!W745)),IF(Base_IFData!L745&gt;$B$4,Base_IFData!W745,""),"")</f>
        <v/>
      </c>
      <c r="N744" s="51">
        <f>IF(AND(ISNUMBER(Base_IFData!O745),ISNUMBER(Base_IFData!Q745)),IF(Base_IFData!Q745&gt;0,Base_IFData!O745/Base_IFData!Q745,"PL ≤ 0"),"NI")</f>
        <v>5.8662768837419161</v>
      </c>
      <c r="O744" s="110">
        <f>IF(AND(ISNUMBER(Base_IFData!M745),ISNUMBER(Base_IFData!Q745)),IF(Base_IFData!Q745&gt;0,Base_IFData!M745/Base_IFData!Q745,"PL ≤ 0"),"NI")</f>
        <v>4.4596743871258839</v>
      </c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spans="1:30" ht="1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15" t="str">
        <f>Base_IFData!A746</f>
        <v>COOPERATIVA DE CRÉDITO DE LIVRE ADMISSÃO DE PALMEIRAS E REGIÃO LTDA.</v>
      </c>
      <c r="L745" s="15" t="str">
        <f>Base_IFData!F746</f>
        <v>b3S</v>
      </c>
      <c r="M745" s="17" t="str">
        <f>IF(AND(ISNUMBER(Base_IFData!L746),ISNUMBER(Base_IFData!W746)),IF(Base_IFData!L746&gt;$B$4,Base_IFData!W746,""),"")</f>
        <v/>
      </c>
      <c r="N745" s="50">
        <f>IF(AND(ISNUMBER(Base_IFData!O746),ISNUMBER(Base_IFData!Q746)),IF(Base_IFData!Q746&gt;0,Base_IFData!O746/Base_IFData!Q746,"PL ≤ 0"),"NI")</f>
        <v>2.4043978133042776</v>
      </c>
      <c r="O745" s="107">
        <f>IF(AND(ISNUMBER(Base_IFData!M746),ISNUMBER(Base_IFData!Q746)),IF(Base_IFData!Q746&gt;0,Base_IFData!M746/Base_IFData!Q746,"PL ≤ 0"),"NI")</f>
        <v>1.7990174898085702</v>
      </c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spans="1:30" ht="1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12" t="str">
        <f>Base_IFData!A747</f>
        <v>ZERO INSTITUIÇÃO DE PAGAMENTO S.A.</v>
      </c>
      <c r="L746" s="12" t="str">
        <f>Base_IFData!F747</f>
        <v>n4</v>
      </c>
      <c r="M746" s="14" t="str">
        <f>IF(AND(ISNUMBER(Base_IFData!L747),ISNUMBER(Base_IFData!W747)),IF(Base_IFData!L747&gt;$B$4,Base_IFData!W747,""),"")</f>
        <v/>
      </c>
      <c r="N746" s="51">
        <f>IF(AND(ISNUMBER(Base_IFData!O747),ISNUMBER(Base_IFData!Q747)),IF(Base_IFData!Q747&gt;0,Base_IFData!O747/Base_IFData!Q747,"PL ≤ 0"),"NI")</f>
        <v>25.419863566346365</v>
      </c>
      <c r="O746" s="110">
        <f>IF(AND(ISNUMBER(Base_IFData!M747),ISNUMBER(Base_IFData!Q747)),IF(Base_IFData!Q747&gt;0,Base_IFData!M747/Base_IFData!Q747,"PL ≤ 0"),"NI")</f>
        <v>0</v>
      </c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spans="1:30" ht="1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15" t="str">
        <f>Base_IFData!A748</f>
        <v>COOPERATIVA DE ECONOMIA E CRÉDITO DE LIVRE ADMISSÃO LTDA. - SICOOB EMPRESARIAL</v>
      </c>
      <c r="L747" s="15" t="str">
        <f>Base_IFData!F748</f>
        <v>b3S</v>
      </c>
      <c r="M747" s="17" t="str">
        <f>IF(AND(ISNUMBER(Base_IFData!L748),ISNUMBER(Base_IFData!W748)),IF(Base_IFData!L748&gt;$B$4,Base_IFData!W748,""),"")</f>
        <v/>
      </c>
      <c r="N747" s="50">
        <f>IF(AND(ISNUMBER(Base_IFData!O748),ISNUMBER(Base_IFData!Q748)),IF(Base_IFData!Q748&gt;0,Base_IFData!O748/Base_IFData!Q748,"PL ≤ 0"),"NI")</f>
        <v>3.958167028049774</v>
      </c>
      <c r="O747" s="107">
        <f>IF(AND(ISNUMBER(Base_IFData!M748),ISNUMBER(Base_IFData!Q748)),IF(Base_IFData!Q748&gt;0,Base_IFData!M748/Base_IFData!Q748,"PL ≤ 0"),"NI")</f>
        <v>1.8033201209827778</v>
      </c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spans="1:30" ht="1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12" t="str">
        <f>Base_IFData!A749</f>
        <v>SANTINVEST S.A. - CREDITO, FINANCIAMENTO E INVESTIMENTOS</v>
      </c>
      <c r="L748" s="12" t="str">
        <f>Base_IFData!F749</f>
        <v>n1</v>
      </c>
      <c r="M748" s="14" t="str">
        <f>IF(AND(ISNUMBER(Base_IFData!L749),ISNUMBER(Base_IFData!W749)),IF(Base_IFData!L749&gt;$B$4,Base_IFData!W749,""),"")</f>
        <v/>
      </c>
      <c r="N748" s="51">
        <f>IF(AND(ISNUMBER(Base_IFData!O749),ISNUMBER(Base_IFData!Q749)),IF(Base_IFData!Q749&gt;0,Base_IFData!O749/Base_IFData!Q749,"PL ≤ 0"),"NI")</f>
        <v>1.5711363734228998</v>
      </c>
      <c r="O748" s="110">
        <f>IF(AND(ISNUMBER(Base_IFData!M749),ISNUMBER(Base_IFData!Q749)),IF(Base_IFData!Q749&gt;0,Base_IFData!M749/Base_IFData!Q749,"PL ≤ 0"),"NI")</f>
        <v>2.0698373738678608</v>
      </c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spans="1:30" ht="1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15" t="str">
        <f>Base_IFData!A750</f>
        <v>STRADA PAY INSTITUIÇÃO DE PAGAMENTO LTDA.</v>
      </c>
      <c r="L749" s="15" t="str">
        <f>Base_IFData!F750</f>
        <v>n4</v>
      </c>
      <c r="M749" s="17" t="str">
        <f>IF(AND(ISNUMBER(Base_IFData!L750),ISNUMBER(Base_IFData!W750)),IF(Base_IFData!L750&gt;$B$4,Base_IFData!W750,""),"")</f>
        <v/>
      </c>
      <c r="N749" s="50">
        <f>IF(AND(ISNUMBER(Base_IFData!O750),ISNUMBER(Base_IFData!Q750)),IF(Base_IFData!Q750&gt;0,Base_IFData!O750/Base_IFData!Q750,"PL ≤ 0"),"NI")</f>
        <v>2.8133693435955465</v>
      </c>
      <c r="O749" s="107">
        <f>IF(AND(ISNUMBER(Base_IFData!M750),ISNUMBER(Base_IFData!Q750)),IF(Base_IFData!Q750&gt;0,Base_IFData!M750/Base_IFData!Q750,"PL ≤ 0"),"NI")</f>
        <v>0</v>
      </c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spans="1:30" ht="1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12" t="str">
        <f>Base_IFData!A751</f>
        <v>COOPERATIVA DE CRÉDITO E INVESTIMENTO COM INTERAÇÃO SOLIDÁRIA DE NOVA MUTUM E REGIÃO - CRESOL MATO GROSSO</v>
      </c>
      <c r="L750" s="12" t="str">
        <f>Base_IFData!F751</f>
        <v>b3S</v>
      </c>
      <c r="M750" s="14" t="str">
        <f>IF(AND(ISNUMBER(Base_IFData!L751),ISNUMBER(Base_IFData!W751)),IF(Base_IFData!L751&gt;$B$4,Base_IFData!W751,""),"")</f>
        <v/>
      </c>
      <c r="N750" s="51">
        <f>IF(AND(ISNUMBER(Base_IFData!O751),ISNUMBER(Base_IFData!Q751)),IF(Base_IFData!Q751&gt;0,Base_IFData!O751/Base_IFData!Q751,"PL ≤ 0"),"NI")</f>
        <v>8.5010037204571614</v>
      </c>
      <c r="O750" s="110">
        <f>IF(AND(ISNUMBER(Base_IFData!M751),ISNUMBER(Base_IFData!Q751)),IF(Base_IFData!Q751&gt;0,Base_IFData!M751/Base_IFData!Q751,"PL ≤ 0"),"NI")</f>
        <v>7.2064719895077758</v>
      </c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spans="1:30" ht="1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15" t="str">
        <f>Base_IFData!A752</f>
        <v>GENIAL INSTITUCIONAL CORRETORA DE CÂMBIO, TÍTULOS E VALORES MOBILIÁRIOS S.A.</v>
      </c>
      <c r="L751" s="15" t="str">
        <f>Base_IFData!F752</f>
        <v>n2</v>
      </c>
      <c r="M751" s="17" t="str">
        <f>IF(AND(ISNUMBER(Base_IFData!L752),ISNUMBER(Base_IFData!W752)),IF(Base_IFData!L752&gt;$B$4,Base_IFData!W752,""),"")</f>
        <v/>
      </c>
      <c r="N751" s="50">
        <f>IF(AND(ISNUMBER(Base_IFData!O752),ISNUMBER(Base_IFData!Q752)),IF(Base_IFData!Q752&gt;0,Base_IFData!O752/Base_IFData!Q752,"PL ≤ 0"),"NI")</f>
        <v>2.0095073319254682</v>
      </c>
      <c r="O751" s="107">
        <f>IF(AND(ISNUMBER(Base_IFData!M752),ISNUMBER(Base_IFData!Q752)),IF(Base_IFData!Q752&gt;0,Base_IFData!M752/Base_IFData!Q752,"PL ≤ 0"),"NI")</f>
        <v>3.5705501700463919E-3</v>
      </c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spans="1:30" ht="1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12" t="str">
        <f>Base_IFData!A753</f>
        <v>COOPERATIVA DE CRÉDITO E ECONOMIA COM INTERAÇÃO SOLIDÁRIA CRESOL VALE</v>
      </c>
      <c r="L752" s="12" t="str">
        <f>Base_IFData!F753</f>
        <v>b3S</v>
      </c>
      <c r="M752" s="14" t="str">
        <f>IF(AND(ISNUMBER(Base_IFData!L753),ISNUMBER(Base_IFData!W753)),IF(Base_IFData!L753&gt;$B$4,Base_IFData!W753,""),"")</f>
        <v/>
      </c>
      <c r="N752" s="51">
        <f>IF(AND(ISNUMBER(Base_IFData!O753),ISNUMBER(Base_IFData!Q753)),IF(Base_IFData!Q753&gt;0,Base_IFData!O753/Base_IFData!Q753,"PL ≤ 0"),"NI")</f>
        <v>5.4948553999926508</v>
      </c>
      <c r="O752" s="110">
        <f>IF(AND(ISNUMBER(Base_IFData!M753),ISNUMBER(Base_IFData!Q753)),IF(Base_IFData!Q753&gt;0,Base_IFData!M753/Base_IFData!Q753,"PL ≤ 0"),"NI")</f>
        <v>4.591335023701907</v>
      </c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spans="1:30" ht="1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15" t="str">
        <f>Base_IFData!A754</f>
        <v>BRAZA BANK S.A. BANCO DE CÂMBIO</v>
      </c>
      <c r="L753" s="15" t="str">
        <f>Base_IFData!F754</f>
        <v>b2</v>
      </c>
      <c r="M753" s="17" t="str">
        <f>IF(AND(ISNUMBER(Base_IFData!L754),ISNUMBER(Base_IFData!W754)),IF(Base_IFData!L754&gt;$B$4,Base_IFData!W754,""),"")</f>
        <v/>
      </c>
      <c r="N753" s="50">
        <f>IF(AND(ISNUMBER(Base_IFData!O754),ISNUMBER(Base_IFData!Q754)),IF(Base_IFData!Q754&gt;0,Base_IFData!O754/Base_IFData!Q754,"PL ≤ 0"),"NI")</f>
        <v>3.5191191729756737</v>
      </c>
      <c r="O753" s="107">
        <f>IF(AND(ISNUMBER(Base_IFData!M754),ISNUMBER(Base_IFData!Q754)),IF(Base_IFData!Q754&gt;0,Base_IFData!M754/Base_IFData!Q754,"PL ≤ 0"),"NI")</f>
        <v>0</v>
      </c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spans="1:30" ht="1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12" t="str">
        <f>Base_IFData!A755</f>
        <v>COOPERATIVA DE CRÉDITO, POUPANÇA E INVESTIMENTO EMPREENDEDORES - SICREDI EMPREENDEDORES PR</v>
      </c>
      <c r="L754" s="12" t="str">
        <f>Base_IFData!F755</f>
        <v>b3S</v>
      </c>
      <c r="M754" s="14" t="str">
        <f>IF(AND(ISNUMBER(Base_IFData!L755),ISNUMBER(Base_IFData!W755)),IF(Base_IFData!L755&gt;$B$4,Base_IFData!W755,""),"")</f>
        <v/>
      </c>
      <c r="N754" s="51">
        <f>IF(AND(ISNUMBER(Base_IFData!O755),ISNUMBER(Base_IFData!Q755)),IF(Base_IFData!Q755&gt;0,Base_IFData!O755/Base_IFData!Q755,"PL ≤ 0"),"NI")</f>
        <v>9.8341683828727753</v>
      </c>
      <c r="O754" s="110">
        <f>IF(AND(ISNUMBER(Base_IFData!M755),ISNUMBER(Base_IFData!Q755)),IF(Base_IFData!Q755&gt;0,Base_IFData!M755/Base_IFData!Q755,"PL ≤ 0"),"NI")</f>
        <v>3.9415977622721545</v>
      </c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spans="1:30" ht="1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15" t="str">
        <f>Base_IFData!A756</f>
        <v>COOPERATIVA DE CRÉDITO CREDIBAM LTDA. - SICOOB CREDIBAM</v>
      </c>
      <c r="L755" s="15" t="str">
        <f>Base_IFData!F756</f>
        <v>b3S</v>
      </c>
      <c r="M755" s="17" t="str">
        <f>IF(AND(ISNUMBER(Base_IFData!L756),ISNUMBER(Base_IFData!W756)),IF(Base_IFData!L756&gt;$B$4,Base_IFData!W756,""),"")</f>
        <v/>
      </c>
      <c r="N755" s="50">
        <f>IF(AND(ISNUMBER(Base_IFData!O756),ISNUMBER(Base_IFData!Q756)),IF(Base_IFData!Q756&gt;0,Base_IFData!O756/Base_IFData!Q756,"PL ≤ 0"),"NI")</f>
        <v>4.1123065307663271</v>
      </c>
      <c r="O755" s="107">
        <f>IF(AND(ISNUMBER(Base_IFData!M756),ISNUMBER(Base_IFData!Q756)),IF(Base_IFData!Q756&gt;0,Base_IFData!M756/Base_IFData!Q756,"PL ≤ 0"),"NI")</f>
        <v>1.6502889334146413</v>
      </c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spans="1:30" ht="1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12" t="str">
        <f>Base_IFData!A757</f>
        <v>COBUCCIO S/A - SOCIEDADE DE CRÉDITO, FINANCIAMENTO E INVESTIMENTOS</v>
      </c>
      <c r="L756" s="12" t="str">
        <f>Base_IFData!F757</f>
        <v>n1</v>
      </c>
      <c r="M756" s="14" t="str">
        <f>IF(AND(ISNUMBER(Base_IFData!L757),ISNUMBER(Base_IFData!W757)),IF(Base_IFData!L757&gt;$B$4,Base_IFData!W757,""),"")</f>
        <v/>
      </c>
      <c r="N756" s="51">
        <f>IF(AND(ISNUMBER(Base_IFData!O757),ISNUMBER(Base_IFData!Q757)),IF(Base_IFData!Q757&gt;0,Base_IFData!O757/Base_IFData!Q757,"PL ≤ 0"),"NI")</f>
        <v>6.576924733034792</v>
      </c>
      <c r="O756" s="110">
        <f>IF(AND(ISNUMBER(Base_IFData!M757),ISNUMBER(Base_IFData!Q757)),IF(Base_IFData!Q757&gt;0,Base_IFData!M757/Base_IFData!Q757,"PL ≤ 0"),"NI")</f>
        <v>5.4684808818463654E-3</v>
      </c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spans="1:30" ht="1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15" t="str">
        <f>Base_IFData!A758</f>
        <v>COOPERATIVA DE ECONOMIA E CRÉDITO MÚTUO DOS PROFISSIONAIS DA ÁREA NOTARIAL E REGISTRAL - COOPNORE</v>
      </c>
      <c r="L757" s="15" t="str">
        <f>Base_IFData!F758</f>
        <v>b3S</v>
      </c>
      <c r="M757" s="17" t="str">
        <f>IF(AND(ISNUMBER(Base_IFData!L758),ISNUMBER(Base_IFData!W758)),IF(Base_IFData!L758&gt;$B$4,Base_IFData!W758,""),"")</f>
        <v/>
      </c>
      <c r="N757" s="50">
        <f>IF(AND(ISNUMBER(Base_IFData!O758),ISNUMBER(Base_IFData!Q758)),IF(Base_IFData!Q758&gt;0,Base_IFData!O758/Base_IFData!Q758,"PL ≤ 0"),"NI")</f>
        <v>9.069037656903765</v>
      </c>
      <c r="O757" s="107">
        <f>IF(AND(ISNUMBER(Base_IFData!M758),ISNUMBER(Base_IFData!Q758)),IF(Base_IFData!Q758&gt;0,Base_IFData!M758/Base_IFData!Q758,"PL ≤ 0"),"NI")</f>
        <v>2.9737777268298276</v>
      </c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spans="1:30" ht="1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12" t="str">
        <f>Base_IFData!A759</f>
        <v>CALCARD S.A. - INSTITUIÇÃO DE PAGAMENTOS</v>
      </c>
      <c r="L758" s="12" t="str">
        <f>Base_IFData!F759</f>
        <v>n4</v>
      </c>
      <c r="M758" s="14" t="str">
        <f>IF(AND(ISNUMBER(Base_IFData!L759),ISNUMBER(Base_IFData!W759)),IF(Base_IFData!L759&gt;$B$4,Base_IFData!W759,""),"")</f>
        <v/>
      </c>
      <c r="N758" s="51">
        <f>IF(AND(ISNUMBER(Base_IFData!O759),ISNUMBER(Base_IFData!Q759)),IF(Base_IFData!Q759&gt;0,Base_IFData!O759/Base_IFData!Q759,"PL ≤ 0"),"NI")</f>
        <v>2.6352501600562559</v>
      </c>
      <c r="O758" s="110">
        <f>IF(AND(ISNUMBER(Base_IFData!M759),ISNUMBER(Base_IFData!Q759)),IF(Base_IFData!Q759&gt;0,Base_IFData!M759/Base_IFData!Q759,"PL ≤ 0"),"NI")</f>
        <v>2.140020361254841</v>
      </c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spans="1:30" ht="1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15" t="str">
        <f>Base_IFData!A760</f>
        <v>BRINKS PAY INSTITUICAO DE PAGAMENTO LTDA</v>
      </c>
      <c r="L759" s="15" t="str">
        <f>Base_IFData!F760</f>
        <v>n4</v>
      </c>
      <c r="M759" s="17" t="str">
        <f>IF(AND(ISNUMBER(Base_IFData!L760),ISNUMBER(Base_IFData!W760)),IF(Base_IFData!L760&gt;$B$4,Base_IFData!W760,""),"")</f>
        <v/>
      </c>
      <c r="N759" s="50">
        <f>IF(AND(ISNUMBER(Base_IFData!O760),ISNUMBER(Base_IFData!Q760)),IF(Base_IFData!Q760&gt;0,Base_IFData!O760/Base_IFData!Q760,"PL ≤ 0"),"NI")</f>
        <v>2.7583295874401115</v>
      </c>
      <c r="O759" s="107">
        <f>IF(AND(ISNUMBER(Base_IFData!M760),ISNUMBER(Base_IFData!Q760)),IF(Base_IFData!Q760&gt;0,Base_IFData!M760/Base_IFData!Q760,"PL ≤ 0"),"NI")</f>
        <v>0</v>
      </c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spans="1:30" ht="1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12" t="str">
        <f>Base_IFData!A761</f>
        <v>COOPERATIVA DE CRÉDITO HORIZONTE - SICOOB HORIZONTE</v>
      </c>
      <c r="L760" s="12" t="str">
        <f>Base_IFData!F761</f>
        <v>b3S</v>
      </c>
      <c r="M760" s="14" t="str">
        <f>IF(AND(ISNUMBER(Base_IFData!L761),ISNUMBER(Base_IFData!W761)),IF(Base_IFData!L761&gt;$B$4,Base_IFData!W761,""),"")</f>
        <v/>
      </c>
      <c r="N760" s="51">
        <f>IF(AND(ISNUMBER(Base_IFData!O761),ISNUMBER(Base_IFData!Q761)),IF(Base_IFData!Q761&gt;0,Base_IFData!O761/Base_IFData!Q761,"PL ≤ 0"),"NI")</f>
        <v>7.7289889132989318</v>
      </c>
      <c r="O760" s="110">
        <f>IF(AND(ISNUMBER(Base_IFData!M761),ISNUMBER(Base_IFData!Q761)),IF(Base_IFData!Q761&gt;0,Base_IFData!M761/Base_IFData!Q761,"PL ≤ 0"),"NI")</f>
        <v>4.2587237521074952</v>
      </c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spans="1:30" ht="1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15" t="str">
        <f>Base_IFData!A762</f>
        <v>COOPERATIVA DE CRÉDITO CREDICAMPINA LTDA. - SICOOB CREDICAMPINA</v>
      </c>
      <c r="L761" s="15" t="str">
        <f>Base_IFData!F762</f>
        <v>b3S</v>
      </c>
      <c r="M761" s="17" t="str">
        <f>IF(AND(ISNUMBER(Base_IFData!L762),ISNUMBER(Base_IFData!W762)),IF(Base_IFData!L762&gt;$B$4,Base_IFData!W762,""),"")</f>
        <v/>
      </c>
      <c r="N761" s="50">
        <f>IF(AND(ISNUMBER(Base_IFData!O762),ISNUMBER(Base_IFData!Q762)),IF(Base_IFData!Q762&gt;0,Base_IFData!O762/Base_IFData!Q762,"PL ≤ 0"),"NI")</f>
        <v>6.0364864027751963</v>
      </c>
      <c r="O761" s="107">
        <f>IF(AND(ISNUMBER(Base_IFData!M762),ISNUMBER(Base_IFData!Q762)),IF(Base_IFData!Q762&gt;0,Base_IFData!M762/Base_IFData!Q762,"PL ≤ 0"),"NI")</f>
        <v>4.5844638543021743</v>
      </c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spans="1:30" ht="1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12" t="str">
        <f>Base_IFData!A763</f>
        <v>MÊNTORE INSTITUIÇÃO DE PAGAMENTO S.A.</v>
      </c>
      <c r="L762" s="12" t="str">
        <f>Base_IFData!F763</f>
        <v>n4</v>
      </c>
      <c r="M762" s="14" t="str">
        <f>IF(AND(ISNUMBER(Base_IFData!L763),ISNUMBER(Base_IFData!W763)),IF(Base_IFData!L763&gt;$B$4,Base_IFData!W763,""),"")</f>
        <v/>
      </c>
      <c r="N762" s="51">
        <f>IF(AND(ISNUMBER(Base_IFData!O763),ISNUMBER(Base_IFData!Q763)),IF(Base_IFData!Q763&gt;0,Base_IFData!O763/Base_IFData!Q763,"PL ≤ 0"),"NI")</f>
        <v>4.1331010663167582</v>
      </c>
      <c r="O762" s="110">
        <f>IF(AND(ISNUMBER(Base_IFData!M763),ISNUMBER(Base_IFData!Q763)),IF(Base_IFData!Q763&gt;0,Base_IFData!M763/Base_IFData!Q763,"PL ≤ 0"),"NI")</f>
        <v>0</v>
      </c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spans="1:30" ht="1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15" t="str">
        <f>Base_IFData!A764</f>
        <v>COOPERATIVA DE CRÉDITO DO VALE DOS PINHAIS - SICOOB VALE DOS PINHAIS</v>
      </c>
      <c r="L763" s="15" t="str">
        <f>Base_IFData!F764</f>
        <v>b3S</v>
      </c>
      <c r="M763" s="17" t="str">
        <f>IF(AND(ISNUMBER(Base_IFData!L764),ISNUMBER(Base_IFData!W764)),IF(Base_IFData!L764&gt;$B$4,Base_IFData!W764,""),"")</f>
        <v/>
      </c>
      <c r="N763" s="50">
        <f>IF(AND(ISNUMBER(Base_IFData!O764),ISNUMBER(Base_IFData!Q764)),IF(Base_IFData!Q764&gt;0,Base_IFData!O764/Base_IFData!Q764,"PL ≤ 0"),"NI")</f>
        <v>10.939503655793025</v>
      </c>
      <c r="O763" s="107">
        <f>IF(AND(ISNUMBER(Base_IFData!M764),ISNUMBER(Base_IFData!Q764)),IF(Base_IFData!Q764&gt;0,Base_IFData!M764/Base_IFData!Q764,"PL ≤ 0"),"NI")</f>
        <v>6.4769755343082114</v>
      </c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spans="1:30" ht="1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12" t="str">
        <f>Base_IFData!A765</f>
        <v>BARRACRED - COOPERATIVA DE ECONOMIA E CRÉDITO MÚTUO</v>
      </c>
      <c r="L764" s="12" t="str">
        <f>Base_IFData!F765</f>
        <v>b3S</v>
      </c>
      <c r="M764" s="14" t="str">
        <f>IF(AND(ISNUMBER(Base_IFData!L765),ISNUMBER(Base_IFData!W765)),IF(Base_IFData!L765&gt;$B$4,Base_IFData!W765,""),"")</f>
        <v/>
      </c>
      <c r="N764" s="51">
        <f>IF(AND(ISNUMBER(Base_IFData!O765),ISNUMBER(Base_IFData!Q765)),IF(Base_IFData!Q765&gt;0,Base_IFData!O765/Base_IFData!Q765,"PL ≤ 0"),"NI")</f>
        <v>8.570638650815593E-2</v>
      </c>
      <c r="O764" s="110">
        <f>IF(AND(ISNUMBER(Base_IFData!M765),ISNUMBER(Base_IFData!Q765)),IF(Base_IFData!Q765&gt;0,Base_IFData!M765/Base_IFData!Q765,"PL ≤ 0"),"NI")</f>
        <v>0.63692125685554646</v>
      </c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spans="1:30" ht="1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15" t="str">
        <f>Base_IFData!A766</f>
        <v>COOPERATIVA DE ECONOMIA E CRÉDITO MÚTUO - SICOOB COOPERAC</v>
      </c>
      <c r="L765" s="15" t="str">
        <f>Base_IFData!F766</f>
        <v>b3S</v>
      </c>
      <c r="M765" s="17" t="str">
        <f>IF(AND(ISNUMBER(Base_IFData!L766),ISNUMBER(Base_IFData!W766)),IF(Base_IFData!L766&gt;$B$4,Base_IFData!W766,""),"")</f>
        <v/>
      </c>
      <c r="N765" s="50">
        <f>IF(AND(ISNUMBER(Base_IFData!O766),ISNUMBER(Base_IFData!Q766)),IF(Base_IFData!Q766&gt;0,Base_IFData!O766/Base_IFData!Q766,"PL ≤ 0"),"NI")</f>
        <v>5.9154996001558366</v>
      </c>
      <c r="O765" s="107">
        <f>IF(AND(ISNUMBER(Base_IFData!M766),ISNUMBER(Base_IFData!Q766)),IF(Base_IFData!Q766&gt;0,Base_IFData!M766/Base_IFData!Q766,"PL ≤ 0"),"NI")</f>
        <v>3.5267280444544689</v>
      </c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spans="1:30" ht="1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12" t="str">
        <f>Base_IFData!A767</f>
        <v>PARATI - CREDITO, FINANCIAMENTO E INVESTIMENTO S.A.</v>
      </c>
      <c r="L766" s="12" t="str">
        <f>Base_IFData!F767</f>
        <v>n1</v>
      </c>
      <c r="M766" s="14" t="str">
        <f>IF(AND(ISNUMBER(Base_IFData!L767),ISNUMBER(Base_IFData!W767)),IF(Base_IFData!L767&gt;$B$4,Base_IFData!W767,""),"")</f>
        <v/>
      </c>
      <c r="N766" s="51">
        <f>IF(AND(ISNUMBER(Base_IFData!O767),ISNUMBER(Base_IFData!Q767)),IF(Base_IFData!Q767&gt;0,Base_IFData!O767/Base_IFData!Q767,"PL ≤ 0"),"NI")</f>
        <v>2.3796759793349049</v>
      </c>
      <c r="O766" s="110">
        <f>IF(AND(ISNUMBER(Base_IFData!M767),ISNUMBER(Base_IFData!Q767)),IF(Base_IFData!Q767&gt;0,Base_IFData!M767/Base_IFData!Q767,"PL ≤ 0"),"NI")</f>
        <v>0.40215679390078746</v>
      </c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spans="1:30" ht="1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15" t="str">
        <f>Base_IFData!A768</f>
        <v>AGENCIA DE FOMENTO DE GOIAS S/A</v>
      </c>
      <c r="L767" s="15" t="str">
        <f>Base_IFData!F768</f>
        <v>n1</v>
      </c>
      <c r="M767" s="17" t="str">
        <f>IF(AND(ISNUMBER(Base_IFData!L768),ISNUMBER(Base_IFData!W768)),IF(Base_IFData!L768&gt;$B$4,Base_IFData!W768,""),"")</f>
        <v/>
      </c>
      <c r="N767" s="50">
        <f>IF(AND(ISNUMBER(Base_IFData!O768),ISNUMBER(Base_IFData!Q768)),IF(Base_IFData!Q768&gt;0,Base_IFData!O768/Base_IFData!Q768,"PL ≤ 0"),"NI")</f>
        <v>0.58287621330701078</v>
      </c>
      <c r="O767" s="107">
        <f>IF(AND(ISNUMBER(Base_IFData!M768),ISNUMBER(Base_IFData!Q768)),IF(Base_IFData!Q768&gt;0,Base_IFData!M768/Base_IFData!Q768,"PL ≤ 0"),"NI")</f>
        <v>0.68074455333850381</v>
      </c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spans="1:30" ht="1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12" t="str">
        <f>Base_IFData!A769</f>
        <v>COOPERATIVA DE CRÉDITO DE LIVRE ADMISSÃO SICOOB CREDMISSÃO LTDA. - SICOOB CREDMISSÃO</v>
      </c>
      <c r="L768" s="12" t="str">
        <f>Base_IFData!F769</f>
        <v>b3S</v>
      </c>
      <c r="M768" s="14" t="str">
        <f>IF(AND(ISNUMBER(Base_IFData!L769),ISNUMBER(Base_IFData!W769)),IF(Base_IFData!L769&gt;$B$4,Base_IFData!W769,""),"")</f>
        <v/>
      </c>
      <c r="N768" s="51">
        <f>IF(AND(ISNUMBER(Base_IFData!O769),ISNUMBER(Base_IFData!Q769)),IF(Base_IFData!Q769&gt;0,Base_IFData!O769/Base_IFData!Q769,"PL ≤ 0"),"NI")</f>
        <v>7.4211108040895271</v>
      </c>
      <c r="O768" s="110">
        <f>IF(AND(ISNUMBER(Base_IFData!M769),ISNUMBER(Base_IFData!Q769)),IF(Base_IFData!Q769&gt;0,Base_IFData!M769/Base_IFData!Q769,"PL ≤ 0"),"NI")</f>
        <v>5.0148961290160514</v>
      </c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spans="1:30" ht="1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15" t="str">
        <f>Base_IFData!A770</f>
        <v>COOPERATIVA DE CRÉDITO E ECONOMIA COM INTERAÇÃO SOLIDÁRIA - CRESOL DESENVOLVIMENTO</v>
      </c>
      <c r="L769" s="15" t="str">
        <f>Base_IFData!F770</f>
        <v>b3S</v>
      </c>
      <c r="M769" s="17" t="str">
        <f>IF(AND(ISNUMBER(Base_IFData!L770),ISNUMBER(Base_IFData!W770)),IF(Base_IFData!L770&gt;$B$4,Base_IFData!W770,""),"")</f>
        <v/>
      </c>
      <c r="N769" s="50">
        <f>IF(AND(ISNUMBER(Base_IFData!O770),ISNUMBER(Base_IFData!Q770)),IF(Base_IFData!Q770&gt;0,Base_IFData!O770/Base_IFData!Q770,"PL ≤ 0"),"NI")</f>
        <v>8.706471718995747</v>
      </c>
      <c r="O769" s="107">
        <f>IF(AND(ISNUMBER(Base_IFData!M770),ISNUMBER(Base_IFData!Q770)),IF(Base_IFData!Q770&gt;0,Base_IFData!M770/Base_IFData!Q770,"PL ≤ 0"),"NI")</f>
        <v>6.7483544008854199</v>
      </c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spans="1:30" ht="1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12" t="str">
        <f>Base_IFData!A771</f>
        <v>LAUNCH PAD SOCIEDADE DE CRÉDITO DIRETO S.A.</v>
      </c>
      <c r="L770" s="12" t="str">
        <f>Base_IFData!F771</f>
        <v>n1</v>
      </c>
      <c r="M770" s="14" t="str">
        <f>IF(AND(ISNUMBER(Base_IFData!L771),ISNUMBER(Base_IFData!W771)),IF(Base_IFData!L771&gt;$B$4,Base_IFData!W771,""),"")</f>
        <v/>
      </c>
      <c r="N770" s="51">
        <f>IF(AND(ISNUMBER(Base_IFData!O771),ISNUMBER(Base_IFData!Q771)),IF(Base_IFData!Q771&gt;0,Base_IFData!O771/Base_IFData!Q771,"PL ≤ 0"),"NI")</f>
        <v>3.7028648802736601</v>
      </c>
      <c r="O770" s="110">
        <f>IF(AND(ISNUMBER(Base_IFData!M771),ISNUMBER(Base_IFData!Q771)),IF(Base_IFData!Q771&gt;0,Base_IFData!M771/Base_IFData!Q771,"PL ≤ 0"),"NI")</f>
        <v>0</v>
      </c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spans="1:30" ht="1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15" t="str">
        <f>Base_IFData!A772</f>
        <v>VIC-DISTRIBUIDORA DE TITULOS E VALORES MOBILIARIOS S/A</v>
      </c>
      <c r="L771" s="15" t="str">
        <f>Base_IFData!F772</f>
        <v>n2</v>
      </c>
      <c r="M771" s="17" t="str">
        <f>IF(AND(ISNUMBER(Base_IFData!L772),ISNUMBER(Base_IFData!W772)),IF(Base_IFData!L772&gt;$B$4,Base_IFData!W772,""),"")</f>
        <v/>
      </c>
      <c r="N771" s="50">
        <f>IF(AND(ISNUMBER(Base_IFData!O772),ISNUMBER(Base_IFData!Q772)),IF(Base_IFData!Q772&gt;0,Base_IFData!O772/Base_IFData!Q772,"PL ≤ 0"),"NI")</f>
        <v>0.59370346525651552</v>
      </c>
      <c r="O771" s="107">
        <f>IF(AND(ISNUMBER(Base_IFData!M772),ISNUMBER(Base_IFData!Q772)),IF(Base_IFData!Q772&gt;0,Base_IFData!M772/Base_IFData!Q772,"PL ≤ 0"),"NI")</f>
        <v>0</v>
      </c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spans="1:30" ht="1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12" t="str">
        <f>Base_IFData!A773</f>
        <v>Z-ON SOCIEDADE DE CRÉDITO DIRETO S.A.</v>
      </c>
      <c r="L772" s="12" t="str">
        <f>Base_IFData!F773</f>
        <v>n1</v>
      </c>
      <c r="M772" s="14" t="str">
        <f>IF(AND(ISNUMBER(Base_IFData!L773),ISNUMBER(Base_IFData!W773)),IF(Base_IFData!L773&gt;$B$4,Base_IFData!W773,""),"")</f>
        <v/>
      </c>
      <c r="N772" s="51">
        <f>IF(AND(ISNUMBER(Base_IFData!O773),ISNUMBER(Base_IFData!Q773)),IF(Base_IFData!Q773&gt;0,Base_IFData!O773/Base_IFData!Q773,"PL ≤ 0"),"NI")</f>
        <v>23.644672754946729</v>
      </c>
      <c r="O772" s="110">
        <f>IF(AND(ISNUMBER(Base_IFData!M773),ISNUMBER(Base_IFData!Q773)),IF(Base_IFData!Q773&gt;0,Base_IFData!M773/Base_IFData!Q773,"PL ≤ 0"),"NI")</f>
        <v>2.8158295281582951E-2</v>
      </c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spans="1:30" ht="1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15" t="str">
        <f>Base_IFData!A774</f>
        <v>DAYCOVAL CORRETORA DE TÍTULOS E VALORES MOBILIÁRIOS LTDA.</v>
      </c>
      <c r="L773" s="15" t="str">
        <f>Base_IFData!F774</f>
        <v>n2</v>
      </c>
      <c r="M773" s="17" t="str">
        <f>IF(AND(ISNUMBER(Base_IFData!L774),ISNUMBER(Base_IFData!W774)),IF(Base_IFData!L774&gt;$B$4,Base_IFData!W774,""),"")</f>
        <v/>
      </c>
      <c r="N773" s="50">
        <f>IF(AND(ISNUMBER(Base_IFData!O774),ISNUMBER(Base_IFData!Q774)),IF(Base_IFData!Q774&gt;0,Base_IFData!O774/Base_IFData!Q774,"PL ≤ 0"),"NI")</f>
        <v>0.33209131136015879</v>
      </c>
      <c r="O773" s="107">
        <f>IF(AND(ISNUMBER(Base_IFData!M774),ISNUMBER(Base_IFData!Q774)),IF(Base_IFData!Q774&gt;0,Base_IFData!M774/Base_IFData!Q774,"PL ≤ 0"),"NI")</f>
        <v>0</v>
      </c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spans="1:30" ht="1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12" t="str">
        <f>Base_IFData!A775</f>
        <v>COOPERATIVA DE CRÉDITO DOS PROFISSIONAIS DE SAÚDE E DE LIVRE ADMISSÃO DO TRIÂNGULO MINEIRO E SUL DE MINAS LTDA. - UNICRED PROGRESSO</v>
      </c>
      <c r="L774" s="12" t="str">
        <f>Base_IFData!F775</f>
        <v>b3S</v>
      </c>
      <c r="M774" s="14" t="str">
        <f>IF(AND(ISNUMBER(Base_IFData!L775),ISNUMBER(Base_IFData!W775)),IF(Base_IFData!L775&gt;$B$4,Base_IFData!W775,""),"")</f>
        <v/>
      </c>
      <c r="N774" s="51">
        <f>IF(AND(ISNUMBER(Base_IFData!O775),ISNUMBER(Base_IFData!Q775)),IF(Base_IFData!Q775&gt;0,Base_IFData!O775/Base_IFData!Q775,"PL ≤ 0"),"NI")</f>
        <v>8.6905213698382582</v>
      </c>
      <c r="O774" s="110">
        <f>IF(AND(ISNUMBER(Base_IFData!M775),ISNUMBER(Base_IFData!Q775)),IF(Base_IFData!Q775&gt;0,Base_IFData!M775/Base_IFData!Q775,"PL ≤ 0"),"NI")</f>
        <v>4.3506822083672176</v>
      </c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spans="1:30" ht="1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15" t="str">
        <f>Base_IFData!A776</f>
        <v>COOPERATIVA DE CRÉDITO DE LIVRE ADMISSÃO DE ASSOCIADOS LTDA. - SICOOB JUDICIÁRIO</v>
      </c>
      <c r="L775" s="15" t="str">
        <f>Base_IFData!F776</f>
        <v>b3S</v>
      </c>
      <c r="M775" s="17" t="str">
        <f>IF(AND(ISNUMBER(Base_IFData!L776),ISNUMBER(Base_IFData!W776)),IF(Base_IFData!L776&gt;$B$4,Base_IFData!W776,""),"")</f>
        <v/>
      </c>
      <c r="N775" s="50">
        <f>IF(AND(ISNUMBER(Base_IFData!O776),ISNUMBER(Base_IFData!Q776)),IF(Base_IFData!Q776&gt;0,Base_IFData!O776/Base_IFData!Q776,"PL ≤ 0"),"NI")</f>
        <v>3.785418168709445</v>
      </c>
      <c r="O775" s="107">
        <f>IF(AND(ISNUMBER(Base_IFData!M776),ISNUMBER(Base_IFData!Q776)),IF(Base_IFData!Q776&gt;0,Base_IFData!M776/Base_IFData!Q776,"PL ≤ 0"),"NI")</f>
        <v>1.9459114395577986</v>
      </c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spans="1:30" ht="1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12" t="str">
        <f>Base_IFData!A777</f>
        <v>COOPERATIVA DE CRÉDITO E INVESTIMENTO COM INTERAÇÃO SOLIDÁRIA TRANSAMAZÔNICA - CRESOL TRANSAMAZÔNICA</v>
      </c>
      <c r="L776" s="12" t="str">
        <f>Base_IFData!F777</f>
        <v>b3S</v>
      </c>
      <c r="M776" s="14" t="str">
        <f>IF(AND(ISNUMBER(Base_IFData!L777),ISNUMBER(Base_IFData!W777)),IF(Base_IFData!L777&gt;$B$4,Base_IFData!W777,""),"")</f>
        <v/>
      </c>
      <c r="N776" s="51">
        <f>IF(AND(ISNUMBER(Base_IFData!O777),ISNUMBER(Base_IFData!Q777)),IF(Base_IFData!Q777&gt;0,Base_IFData!O777/Base_IFData!Q777,"PL ≤ 0"),"NI")</f>
        <v>9.0729899137739025</v>
      </c>
      <c r="O776" s="110">
        <f>IF(AND(ISNUMBER(Base_IFData!M777),ISNUMBER(Base_IFData!Q777)),IF(Base_IFData!Q777&gt;0,Base_IFData!M777/Base_IFData!Q777,"PL ≤ 0"),"NI")</f>
        <v>5.9679277100766805</v>
      </c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spans="1:30" ht="1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15" t="str">
        <f>Base_IFData!A778</f>
        <v>PLUXEE INSTITUIÇÃO DE PAGAMENTO BRASIL S.A.</v>
      </c>
      <c r="L777" s="15" t="str">
        <f>Base_IFData!F778</f>
        <v>n4</v>
      </c>
      <c r="M777" s="17" t="str">
        <f>IF(AND(ISNUMBER(Base_IFData!L778),ISNUMBER(Base_IFData!W778)),IF(Base_IFData!L778&gt;$B$4,Base_IFData!W778,""),"")</f>
        <v/>
      </c>
      <c r="N777" s="50">
        <f>IF(AND(ISNUMBER(Base_IFData!O778),ISNUMBER(Base_IFData!Q778)),IF(Base_IFData!Q778&gt;0,Base_IFData!O778/Base_IFData!Q778,"PL ≤ 0"),"NI")</f>
        <v>2.4733828724570595</v>
      </c>
      <c r="O777" s="107">
        <f>IF(AND(ISNUMBER(Base_IFData!M778),ISNUMBER(Base_IFData!Q778)),IF(Base_IFData!Q778&gt;0,Base_IFData!M778/Base_IFData!Q778,"PL ≤ 0"),"NI")</f>
        <v>0</v>
      </c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spans="1:30" ht="1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12" t="str">
        <f>Base_IFData!A779</f>
        <v>COOPERATIVA DE ECONOMIA E CRÉDITO MÚTUO DO VALE DAS ANTAS LTDA. - UNICRED PIONEIRA</v>
      </c>
      <c r="L778" s="12" t="str">
        <f>Base_IFData!F779</f>
        <v>b3S</v>
      </c>
      <c r="M778" s="14" t="str">
        <f>IF(AND(ISNUMBER(Base_IFData!L779),ISNUMBER(Base_IFData!W779)),IF(Base_IFData!L779&gt;$B$4,Base_IFData!W779,""),"")</f>
        <v/>
      </c>
      <c r="N778" s="51">
        <f>IF(AND(ISNUMBER(Base_IFData!O779),ISNUMBER(Base_IFData!Q779)),IF(Base_IFData!Q779&gt;0,Base_IFData!O779/Base_IFData!Q779,"PL ≤ 0"),"NI")</f>
        <v>7.6555703876745094</v>
      </c>
      <c r="O778" s="110">
        <f>IF(AND(ISNUMBER(Base_IFData!M779),ISNUMBER(Base_IFData!Q779)),IF(Base_IFData!Q779&gt;0,Base_IFData!M779/Base_IFData!Q779,"PL ≤ 0"),"NI")</f>
        <v>5.7388341954502478</v>
      </c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spans="1:30" ht="1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15" t="str">
        <f>Base_IFData!A780</f>
        <v>COOPERATIVA DE CRÉDITO DOS MAGISTRADOS, SERVIDORES DA JUSTIÇA DO ESTADO DE GOIÁS E EMPREGADOS DA CELG LTDA. - SICOOB JURISCRED</v>
      </c>
      <c r="L779" s="15" t="str">
        <f>Base_IFData!F780</f>
        <v>b3S</v>
      </c>
      <c r="M779" s="17" t="str">
        <f>IF(AND(ISNUMBER(Base_IFData!L780),ISNUMBER(Base_IFData!W780)),IF(Base_IFData!L780&gt;$B$4,Base_IFData!W780,""),"")</f>
        <v/>
      </c>
      <c r="N779" s="50">
        <f>IF(AND(ISNUMBER(Base_IFData!O780),ISNUMBER(Base_IFData!Q780)),IF(Base_IFData!Q780&gt;0,Base_IFData!O780/Base_IFData!Q780,"PL ≤ 0"),"NI")</f>
        <v>3.5769595495628983</v>
      </c>
      <c r="O779" s="107">
        <f>IF(AND(ISNUMBER(Base_IFData!M780),ISNUMBER(Base_IFData!Q780)),IF(Base_IFData!Q780&gt;0,Base_IFData!M780/Base_IFData!Q780,"PL ≤ 0"),"NI")</f>
        <v>1.6734331012001777</v>
      </c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spans="1:30" ht="1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12" t="str">
        <f>Base_IFData!A781</f>
        <v>COOPERATIVA DE CRÉDITO CREDIVAZ LTDA. - SICOOB CREDIVAZ</v>
      </c>
      <c r="L780" s="12" t="str">
        <f>Base_IFData!F781</f>
        <v>b3S</v>
      </c>
      <c r="M780" s="14" t="str">
        <f>IF(AND(ISNUMBER(Base_IFData!L781),ISNUMBER(Base_IFData!W781)),IF(Base_IFData!L781&gt;$B$4,Base_IFData!W781,""),"")</f>
        <v/>
      </c>
      <c r="N780" s="51">
        <f>IF(AND(ISNUMBER(Base_IFData!O781),ISNUMBER(Base_IFData!Q781)),IF(Base_IFData!Q781&gt;0,Base_IFData!O781/Base_IFData!Q781,"PL ≤ 0"),"NI")</f>
        <v>4.6481535971752246</v>
      </c>
      <c r="O780" s="110">
        <f>IF(AND(ISNUMBER(Base_IFData!M781),ISNUMBER(Base_IFData!Q781)),IF(Base_IFData!Q781&gt;0,Base_IFData!M781/Base_IFData!Q781,"PL ≤ 0"),"NI")</f>
        <v>2.5740032367220831</v>
      </c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spans="1:30" ht="1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15" t="str">
        <f>Base_IFData!A782</f>
        <v>COOPERATIVA DE CRÉDITO DE LIVRE ADMISSÃO DE JATAÍ E REGIÃO LTDA.</v>
      </c>
      <c r="L781" s="15" t="str">
        <f>Base_IFData!F782</f>
        <v>b3S</v>
      </c>
      <c r="M781" s="17" t="str">
        <f>IF(AND(ISNUMBER(Base_IFData!L782),ISNUMBER(Base_IFData!W782)),IF(Base_IFData!L782&gt;$B$4,Base_IFData!W782,""),"")</f>
        <v/>
      </c>
      <c r="N781" s="50">
        <f>IF(AND(ISNUMBER(Base_IFData!O782),ISNUMBER(Base_IFData!Q782)),IF(Base_IFData!Q782&gt;0,Base_IFData!O782/Base_IFData!Q782,"PL ≤ 0"),"NI")</f>
        <v>6.191485856826846</v>
      </c>
      <c r="O781" s="107">
        <f>IF(AND(ISNUMBER(Base_IFData!M782),ISNUMBER(Base_IFData!Q782)),IF(Base_IFData!Q782&gt;0,Base_IFData!M782/Base_IFData!Q782,"PL ≤ 0"),"NI")</f>
        <v>4.5667623664517345</v>
      </c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spans="1:30" ht="1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12" t="str">
        <f>Base_IFData!A783</f>
        <v>ONEKEY PAYMENTS INSTITUICAO DE PAGAMENTO SA</v>
      </c>
      <c r="L782" s="12" t="str">
        <f>Base_IFData!F783</f>
        <v>n4</v>
      </c>
      <c r="M782" s="14" t="str">
        <f>IF(AND(ISNUMBER(Base_IFData!L783),ISNUMBER(Base_IFData!W783)),IF(Base_IFData!L783&gt;$B$4,Base_IFData!W783,""),"")</f>
        <v/>
      </c>
      <c r="N782" s="51">
        <f>IF(AND(ISNUMBER(Base_IFData!O783),ISNUMBER(Base_IFData!Q783)),IF(Base_IFData!Q783&gt;0,Base_IFData!O783/Base_IFData!Q783,"PL ≤ 0"),"NI")</f>
        <v>15.399373277864823</v>
      </c>
      <c r="O782" s="110">
        <f>IF(AND(ISNUMBER(Base_IFData!M783),ISNUMBER(Base_IFData!Q783)),IF(Base_IFData!Q783&gt;0,Base_IFData!M783/Base_IFData!Q783,"PL ≤ 0"),"NI")</f>
        <v>0</v>
      </c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spans="1:30" ht="1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15" t="str">
        <f>Base_IFData!A784</f>
        <v>COOPERATIVA DE CRÉDITO DE LIVRE ADMISSÃO DE ITAJUBÁ LTDA - SICOOB SUDESTE MAIS</v>
      </c>
      <c r="L783" s="15" t="str">
        <f>Base_IFData!F784</f>
        <v>b3S</v>
      </c>
      <c r="M783" s="17" t="str">
        <f>IF(AND(ISNUMBER(Base_IFData!L784),ISNUMBER(Base_IFData!W784)),IF(Base_IFData!L784&gt;$B$4,Base_IFData!W784,""),"")</f>
        <v/>
      </c>
      <c r="N783" s="50">
        <f>IF(AND(ISNUMBER(Base_IFData!O784),ISNUMBER(Base_IFData!Q784)),IF(Base_IFData!Q784&gt;0,Base_IFData!O784/Base_IFData!Q784,"PL ≤ 0"),"NI")</f>
        <v>10.950708953750148</v>
      </c>
      <c r="O783" s="107">
        <f>IF(AND(ISNUMBER(Base_IFData!M784),ISNUMBER(Base_IFData!Q784)),IF(Base_IFData!Q784&gt;0,Base_IFData!M784/Base_IFData!Q784,"PL ≤ 0"),"NI")</f>
        <v>5.0459338836446941</v>
      </c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spans="1:30" ht="1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12" t="str">
        <f>Base_IFData!A785</f>
        <v>COOPERATIVA DE CRÉDITO E ECONOMIA COM INTERAÇÃO SOLIDÁRIA - CRESOL INOVAÇÃO</v>
      </c>
      <c r="L784" s="12" t="str">
        <f>Base_IFData!F785</f>
        <v>b3S</v>
      </c>
      <c r="M784" s="14" t="str">
        <f>IF(AND(ISNUMBER(Base_IFData!L785),ISNUMBER(Base_IFData!W785)),IF(Base_IFData!L785&gt;$B$4,Base_IFData!W785,""),"")</f>
        <v/>
      </c>
      <c r="N784" s="51">
        <f>IF(AND(ISNUMBER(Base_IFData!O785),ISNUMBER(Base_IFData!Q785)),IF(Base_IFData!Q785&gt;0,Base_IFData!O785/Base_IFData!Q785,"PL ≤ 0"),"NI")</f>
        <v>7.2657065558986691</v>
      </c>
      <c r="O784" s="110">
        <f>IF(AND(ISNUMBER(Base_IFData!M785),ISNUMBER(Base_IFData!Q785)),IF(Base_IFData!Q785&gt;0,Base_IFData!M785/Base_IFData!Q785,"PL ≤ 0"),"NI")</f>
        <v>5.6566556445221767</v>
      </c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spans="1:30" ht="1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15" t="str">
        <f>Base_IFData!A786</f>
        <v>COOPERATIVA DE CRÉDITO DE LIVRE ADMISSÃO DO BRASIL CENTRAL LTDA. - SICOOB EXECUTIVO</v>
      </c>
      <c r="L785" s="15" t="str">
        <f>Base_IFData!F786</f>
        <v>b3S</v>
      </c>
      <c r="M785" s="17" t="str">
        <f>IF(AND(ISNUMBER(Base_IFData!L786),ISNUMBER(Base_IFData!W786)),IF(Base_IFData!L786&gt;$B$4,Base_IFData!W786,""),"")</f>
        <v/>
      </c>
      <c r="N785" s="50">
        <f>IF(AND(ISNUMBER(Base_IFData!O786),ISNUMBER(Base_IFData!Q786)),IF(Base_IFData!Q786&gt;0,Base_IFData!O786/Base_IFData!Q786,"PL ≤ 0"),"NI")</f>
        <v>4.640975900917705</v>
      </c>
      <c r="O785" s="107">
        <f>IF(AND(ISNUMBER(Base_IFData!M786),ISNUMBER(Base_IFData!Q786)),IF(Base_IFData!Q786&gt;0,Base_IFData!M786/Base_IFData!Q786,"PL ≤ 0"),"NI")</f>
        <v>2.8539506080728194</v>
      </c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spans="1:30" ht="1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12" t="str">
        <f>Base_IFData!A787</f>
        <v>COOPERATIVA DE CRÉDITO E ECONOMIA COM INTERAÇÃO SOLIDÁRIA DE SÃO VALENTIM - CRESOL SÃO VALENTIM</v>
      </c>
      <c r="L786" s="12" t="str">
        <f>Base_IFData!F787</f>
        <v>b3S</v>
      </c>
      <c r="M786" s="14" t="str">
        <f>IF(AND(ISNUMBER(Base_IFData!L787),ISNUMBER(Base_IFData!W787)),IF(Base_IFData!L787&gt;$B$4,Base_IFData!W787,""),"")</f>
        <v/>
      </c>
      <c r="N786" s="51">
        <f>IF(AND(ISNUMBER(Base_IFData!O787),ISNUMBER(Base_IFData!Q787)),IF(Base_IFData!Q787&gt;0,Base_IFData!O787/Base_IFData!Q787,"PL ≤ 0"),"NI")</f>
        <v>7.892832905491133</v>
      </c>
      <c r="O786" s="110">
        <f>IF(AND(ISNUMBER(Base_IFData!M787),ISNUMBER(Base_IFData!Q787)),IF(Base_IFData!Q787&gt;0,Base_IFData!M787/Base_IFData!Q787,"PL ≤ 0"),"NI")</f>
        <v>5.7296037296037294</v>
      </c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spans="1:30" ht="1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15" t="str">
        <f>Base_IFData!A788</f>
        <v>BEES INSTITUICAO DE PAGAMENTO LTDA.</v>
      </c>
      <c r="L787" s="15" t="str">
        <f>Base_IFData!F788</f>
        <v>n4</v>
      </c>
      <c r="M787" s="17" t="str">
        <f>IF(AND(ISNUMBER(Base_IFData!L788),ISNUMBER(Base_IFData!W788)),IF(Base_IFData!L788&gt;$B$4,Base_IFData!W788,""),"")</f>
        <v/>
      </c>
      <c r="N787" s="50">
        <f>IF(AND(ISNUMBER(Base_IFData!O788),ISNUMBER(Base_IFData!Q788)),IF(Base_IFData!Q788&gt;0,Base_IFData!O788/Base_IFData!Q788,"PL ≤ 0"),"NI")</f>
        <v>3.4027610515494198</v>
      </c>
      <c r="O787" s="107">
        <f>IF(AND(ISNUMBER(Base_IFData!M788),ISNUMBER(Base_IFData!Q788)),IF(Base_IFData!Q788&gt;0,Base_IFData!M788/Base_IFData!Q788,"PL ≤ 0"),"NI")</f>
        <v>0</v>
      </c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spans="1:30" ht="1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12" t="str">
        <f>Base_IFData!A789</f>
        <v>COOPERATIVA DE ECONOMIA E CRÉDITO MÚTUO DOS FUNCIONÁRIOS DA SECRETARIA DE ESTADO DA FAZENDA  DO ESTADO DE MINAS GERAIS E DE LIVRE ADMISSÃO LTDA - SICOOB COOPSEF</v>
      </c>
      <c r="L788" s="12" t="str">
        <f>Base_IFData!F789</f>
        <v>b3S</v>
      </c>
      <c r="M788" s="14" t="str">
        <f>IF(AND(ISNUMBER(Base_IFData!L789),ISNUMBER(Base_IFData!W789)),IF(Base_IFData!L789&gt;$B$4,Base_IFData!W789,""),"")</f>
        <v/>
      </c>
      <c r="N788" s="51">
        <f>IF(AND(ISNUMBER(Base_IFData!O789),ISNUMBER(Base_IFData!Q789)),IF(Base_IFData!Q789&gt;0,Base_IFData!O789/Base_IFData!Q789,"PL ≤ 0"),"NI")</f>
        <v>2.2701019064585015</v>
      </c>
      <c r="O788" s="110">
        <f>IF(AND(ISNUMBER(Base_IFData!M789),ISNUMBER(Base_IFData!Q789)),IF(Base_IFData!Q789&gt;0,Base_IFData!M789/Base_IFData!Q789,"PL ≤ 0"),"NI")</f>
        <v>0.94624738594996516</v>
      </c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spans="1:30" ht="1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15" t="str">
        <f>Base_IFData!A790</f>
        <v>COOPERATIVA DE CRÉDITO COOPCRED</v>
      </c>
      <c r="L789" s="15" t="str">
        <f>Base_IFData!F790</f>
        <v>b3S</v>
      </c>
      <c r="M789" s="17" t="str">
        <f>IF(AND(ISNUMBER(Base_IFData!L790),ISNUMBER(Base_IFData!W790)),IF(Base_IFData!L790&gt;$B$4,Base_IFData!W790,""),"")</f>
        <v/>
      </c>
      <c r="N789" s="50">
        <f>IF(AND(ISNUMBER(Base_IFData!O790),ISNUMBER(Base_IFData!Q790)),IF(Base_IFData!Q790&gt;0,Base_IFData!O790/Base_IFData!Q790,"PL ≤ 0"),"NI")</f>
        <v>4.9286610032362459</v>
      </c>
      <c r="O789" s="107">
        <f>IF(AND(ISNUMBER(Base_IFData!M790),ISNUMBER(Base_IFData!Q790)),IF(Base_IFData!Q790&gt;0,Base_IFData!M790/Base_IFData!Q790,"PL ≤ 0"),"NI")</f>
        <v>1.6963592233009708</v>
      </c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spans="1:30" ht="1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12" t="str">
        <f>Base_IFData!A791</f>
        <v>COOPERATIVA DE CRÉDITO DE LIVRE ADMISSÃO CREDFAZ LTDA. - SICOOB CREDFAZ</v>
      </c>
      <c r="L790" s="12" t="str">
        <f>Base_IFData!F791</f>
        <v>b3S</v>
      </c>
      <c r="M790" s="14" t="str">
        <f>IF(AND(ISNUMBER(Base_IFData!L791),ISNUMBER(Base_IFData!W791)),IF(Base_IFData!L791&gt;$B$4,Base_IFData!W791,""),"")</f>
        <v/>
      </c>
      <c r="N790" s="51">
        <f>IF(AND(ISNUMBER(Base_IFData!O791),ISNUMBER(Base_IFData!Q791)),IF(Base_IFData!Q791&gt;0,Base_IFData!O791/Base_IFData!Q791,"PL ≤ 0"),"NI")</f>
        <v>1.2001322045865979</v>
      </c>
      <c r="O790" s="110">
        <f>IF(AND(ISNUMBER(Base_IFData!M791),ISNUMBER(Base_IFData!Q791)),IF(Base_IFData!Q791&gt;0,Base_IFData!M791/Base_IFData!Q791,"PL ≤ 0"),"NI")</f>
        <v>0.94267879543593713</v>
      </c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spans="1:30" ht="1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15" t="str">
        <f>Base_IFData!A792</f>
        <v>COOPERATIVA DE CRÉDITO CREDISUCESSO LTDA.- SICOOB CREDISUCESSO</v>
      </c>
      <c r="L791" s="15" t="str">
        <f>Base_IFData!F792</f>
        <v>b3S</v>
      </c>
      <c r="M791" s="17" t="str">
        <f>IF(AND(ISNUMBER(Base_IFData!L792),ISNUMBER(Base_IFData!W792)),IF(Base_IFData!L792&gt;$B$4,Base_IFData!W792,""),"")</f>
        <v/>
      </c>
      <c r="N791" s="50">
        <f>IF(AND(ISNUMBER(Base_IFData!O792),ISNUMBER(Base_IFData!Q792)),IF(Base_IFData!Q792&gt;0,Base_IFData!O792/Base_IFData!Q792,"PL ≤ 0"),"NI")</f>
        <v>5.7703780133195757</v>
      </c>
      <c r="O791" s="107">
        <f>IF(AND(ISNUMBER(Base_IFData!M792),ISNUMBER(Base_IFData!Q792)),IF(Base_IFData!Q792&gt;0,Base_IFData!M792/Base_IFData!Q792,"PL ≤ 0"),"NI")</f>
        <v>1.8628177469280556</v>
      </c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spans="1:30" ht="1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12" t="str">
        <f>Base_IFData!A793</f>
        <v>STONEX DISTRIBUIDORA DE TÍTULOS E VALORES MOBILIÁRIOS LTDA.</v>
      </c>
      <c r="L792" s="12" t="str">
        <f>Base_IFData!F793</f>
        <v>n2</v>
      </c>
      <c r="M792" s="14" t="str">
        <f>IF(AND(ISNUMBER(Base_IFData!L793),ISNUMBER(Base_IFData!W793)),IF(Base_IFData!L793&gt;$B$4,Base_IFData!W793,""),"")</f>
        <v/>
      </c>
      <c r="N792" s="51">
        <f>IF(AND(ISNUMBER(Base_IFData!O793),ISNUMBER(Base_IFData!Q793)),IF(Base_IFData!Q793&gt;0,Base_IFData!O793/Base_IFData!Q793,"PL ≤ 0"),"NI")</f>
        <v>0.20003370052867706</v>
      </c>
      <c r="O792" s="110">
        <f>IF(AND(ISNUMBER(Base_IFData!M793),ISNUMBER(Base_IFData!Q793)),IF(Base_IFData!Q793&gt;0,Base_IFData!M793/Base_IFData!Q793,"PL ≤ 0"),"NI")</f>
        <v>0</v>
      </c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spans="1:30" ht="1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15" t="str">
        <f>Base_IFData!A794</f>
        <v>COOPERATIVA DE CRÉDITO DE LIVRE ADMISSÃO DE ARCOS LTDA. - SICOOB ARCOMCREDI</v>
      </c>
      <c r="L793" s="15" t="str">
        <f>Base_IFData!F794</f>
        <v>b3S</v>
      </c>
      <c r="M793" s="17" t="str">
        <f>IF(AND(ISNUMBER(Base_IFData!L794),ISNUMBER(Base_IFData!W794)),IF(Base_IFData!L794&gt;$B$4,Base_IFData!W794,""),"")</f>
        <v/>
      </c>
      <c r="N793" s="50">
        <f>IF(AND(ISNUMBER(Base_IFData!O794),ISNUMBER(Base_IFData!Q794)),IF(Base_IFData!Q794&gt;0,Base_IFData!O794/Base_IFData!Q794,"PL ≤ 0"),"NI")</f>
        <v>5.166499410969065</v>
      </c>
      <c r="O793" s="107">
        <f>IF(AND(ISNUMBER(Base_IFData!M794),ISNUMBER(Base_IFData!Q794)),IF(Base_IFData!Q794&gt;0,Base_IFData!M794/Base_IFData!Q794,"PL ≤ 0"),"NI")</f>
        <v>1.9346830140931106</v>
      </c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spans="1:30" ht="1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12" t="str">
        <f>Base_IFData!A795</f>
        <v>BOC BRASIL ARRENDAMENTO MERCANTIL S/A</v>
      </c>
      <c r="L794" s="12" t="str">
        <f>Base_IFData!F795</f>
        <v>n1</v>
      </c>
      <c r="M794" s="14" t="str">
        <f>IF(AND(ISNUMBER(Base_IFData!L795),ISNUMBER(Base_IFData!W795)),IF(Base_IFData!L795&gt;$B$4,Base_IFData!W795,""),"")</f>
        <v/>
      </c>
      <c r="N794" s="51">
        <f>IF(AND(ISNUMBER(Base_IFData!O795),ISNUMBER(Base_IFData!Q795)),IF(Base_IFData!Q795&gt;0,Base_IFData!O795/Base_IFData!Q795,"PL ≤ 0"),"NI")</f>
        <v>0.19483444607514613</v>
      </c>
      <c r="O794" s="110">
        <f>IF(AND(ISNUMBER(Base_IFData!M795),ISNUMBER(Base_IFData!Q795)),IF(Base_IFData!Q795&gt;0,Base_IFData!M795/Base_IFData!Q795,"PL ≤ 0"),"NI")</f>
        <v>0.97833334747236522</v>
      </c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spans="1:30" ht="1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15" t="str">
        <f>Base_IFData!A796</f>
        <v>FIDÚCIA SOCIEDADE DE CRÉDITO AO MICROEMPREENDEDOR E À EMPRESA DE PEQUENO PORTE LIMITADA.</v>
      </c>
      <c r="L795" s="15" t="str">
        <f>Base_IFData!F796</f>
        <v>n1</v>
      </c>
      <c r="M795" s="17" t="str">
        <f>IF(AND(ISNUMBER(Base_IFData!L796),ISNUMBER(Base_IFData!W796)),IF(Base_IFData!L796&gt;$B$4,Base_IFData!W796,""),"")</f>
        <v/>
      </c>
      <c r="N795" s="50">
        <f>IF(AND(ISNUMBER(Base_IFData!O796),ISNUMBER(Base_IFData!Q796)),IF(Base_IFData!Q796&gt;0,Base_IFData!O796/Base_IFData!Q796,"PL ≤ 0"),"NI")</f>
        <v>11.07678448867536</v>
      </c>
      <c r="O795" s="107">
        <f>IF(AND(ISNUMBER(Base_IFData!M796),ISNUMBER(Base_IFData!Q796)),IF(Base_IFData!Q796&gt;0,Base_IFData!M796/Base_IFData!Q796,"PL ≤ 0"),"NI")</f>
        <v>5.7223747426218254E-2</v>
      </c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spans="1:30" ht="1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12" t="str">
        <f>Base_IFData!A797</f>
        <v>COOPERATIVA DE CRÉDITO DE LIVRE ADMISSÃO SICOOB COOPJUS LTDA.</v>
      </c>
      <c r="L796" s="12" t="str">
        <f>Base_IFData!F797</f>
        <v>b3S</v>
      </c>
      <c r="M796" s="14" t="str">
        <f>IF(AND(ISNUMBER(Base_IFData!L797),ISNUMBER(Base_IFData!W797)),IF(Base_IFData!L797&gt;$B$4,Base_IFData!W797,""),"")</f>
        <v/>
      </c>
      <c r="N796" s="51">
        <f>IF(AND(ISNUMBER(Base_IFData!O797),ISNUMBER(Base_IFData!Q797)),IF(Base_IFData!Q797&gt;0,Base_IFData!O797/Base_IFData!Q797,"PL ≤ 0"),"NI")</f>
        <v>2.3729194998375314</v>
      </c>
      <c r="O796" s="110">
        <f>IF(AND(ISNUMBER(Base_IFData!M797),ISNUMBER(Base_IFData!Q797)),IF(Base_IFData!Q797&gt;0,Base_IFData!M797/Base_IFData!Q797,"PL ≤ 0"),"NI")</f>
        <v>1.3054168221149796</v>
      </c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spans="1:30" ht="1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15" t="str">
        <f>Base_IFData!A798</f>
        <v>COOPERATIVA DE CREDITO CLASSICA DO ESTADO DO RIO DE JANEIRO - SICOOB EMPRESAS RJ</v>
      </c>
      <c r="L797" s="15" t="str">
        <f>Base_IFData!F798</f>
        <v>b3S</v>
      </c>
      <c r="M797" s="17" t="str">
        <f>IF(AND(ISNUMBER(Base_IFData!L798),ISNUMBER(Base_IFData!W798)),IF(Base_IFData!L798&gt;$B$4,Base_IFData!W798,""),"")</f>
        <v/>
      </c>
      <c r="N797" s="50">
        <f>IF(AND(ISNUMBER(Base_IFData!O798),ISNUMBER(Base_IFData!Q798)),IF(Base_IFData!Q798&gt;0,Base_IFData!O798/Base_IFData!Q798,"PL ≤ 0"),"NI")</f>
        <v>4.1012041598248494</v>
      </c>
      <c r="O797" s="107">
        <f>IF(AND(ISNUMBER(Base_IFData!M798),ISNUMBER(Base_IFData!Q798)),IF(Base_IFData!Q798&gt;0,Base_IFData!M798/Base_IFData!Q798,"PL ≤ 0"),"NI")</f>
        <v>1.535303776683087</v>
      </c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spans="1:30" ht="1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12" t="str">
        <f>Base_IFData!A799</f>
        <v>SICOOB CRESSEM - COOPERATIVA DE ECONOMIA E CRÉDITO MUTUO DOS SERVIDORES MUNICIPAIS DA REGIÃO METROPOLITANA DO VALE DO PARAIBA E LITORAL NORTE</v>
      </c>
      <c r="L798" s="12" t="str">
        <f>Base_IFData!F799</f>
        <v>b3S</v>
      </c>
      <c r="M798" s="14" t="str">
        <f>IF(AND(ISNUMBER(Base_IFData!L799),ISNUMBER(Base_IFData!W799)),IF(Base_IFData!L799&gt;$B$4,Base_IFData!W799,""),"")</f>
        <v/>
      </c>
      <c r="N798" s="51">
        <f>IF(AND(ISNUMBER(Base_IFData!O799),ISNUMBER(Base_IFData!Q799)),IF(Base_IFData!Q799&gt;0,Base_IFData!O799/Base_IFData!Q799,"PL ≤ 0"),"NI")</f>
        <v>0.80596377196276203</v>
      </c>
      <c r="O798" s="110">
        <f>IF(AND(ISNUMBER(Base_IFData!M799),ISNUMBER(Base_IFData!Q799)),IF(Base_IFData!Q799&gt;0,Base_IFData!M799/Base_IFData!Q799,"PL ≤ 0"),"NI")</f>
        <v>1.0169357657995934</v>
      </c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spans="1:30" ht="1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15" t="str">
        <f>Base_IFData!A800</f>
        <v>CONTAAZUL INSTITUICAO DE PAGAMENTO LTDA.</v>
      </c>
      <c r="L799" s="15" t="str">
        <f>Base_IFData!F800</f>
        <v>n4</v>
      </c>
      <c r="M799" s="17" t="str">
        <f>IF(AND(ISNUMBER(Base_IFData!L800),ISNUMBER(Base_IFData!W800)),IF(Base_IFData!L800&gt;$B$4,Base_IFData!W800,""),"")</f>
        <v/>
      </c>
      <c r="N799" s="50">
        <f>IF(AND(ISNUMBER(Base_IFData!O800),ISNUMBER(Base_IFData!Q800)),IF(Base_IFData!Q800&gt;0,Base_IFData!O800/Base_IFData!Q800,"PL ≤ 0"),"NI")</f>
        <v>19.104696032034948</v>
      </c>
      <c r="O799" s="107">
        <f>IF(AND(ISNUMBER(Base_IFData!M800),ISNUMBER(Base_IFData!Q800)),IF(Base_IFData!Q800&gt;0,Base_IFData!M800/Base_IFData!Q800,"PL ≤ 0"),"NI")</f>
        <v>0</v>
      </c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spans="1:30" ht="1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12" t="str">
        <f>Base_IFData!A801</f>
        <v>COOPERATIVA DE CRÉDITO SICOOB COOPMIL</v>
      </c>
      <c r="L800" s="12" t="str">
        <f>Base_IFData!F801</f>
        <v>b3S</v>
      </c>
      <c r="M800" s="14" t="str">
        <f>IF(AND(ISNUMBER(Base_IFData!L801),ISNUMBER(Base_IFData!W801)),IF(Base_IFData!L801&gt;$B$4,Base_IFData!W801,""),"")</f>
        <v/>
      </c>
      <c r="N800" s="51">
        <f>IF(AND(ISNUMBER(Base_IFData!O801),ISNUMBER(Base_IFData!Q801)),IF(Base_IFData!Q801&gt;0,Base_IFData!O801/Base_IFData!Q801,"PL ≤ 0"),"NI")</f>
        <v>2.8855822262551221</v>
      </c>
      <c r="O800" s="110">
        <f>IF(AND(ISNUMBER(Base_IFData!M801),ISNUMBER(Base_IFData!Q801)),IF(Base_IFData!Q801&gt;0,Base_IFData!M801/Base_IFData!Q801,"PL ≤ 0"),"NI")</f>
        <v>2.4756631835646736</v>
      </c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spans="1:30" ht="1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15" t="str">
        <f>Base_IFData!A802</f>
        <v>COOPERATIVA DE CRÉDITO CREDIESMERALDAS LTDA. - SICOOB CREDIESMERALDAS</v>
      </c>
      <c r="L801" s="15" t="str">
        <f>Base_IFData!F802</f>
        <v>b3S</v>
      </c>
      <c r="M801" s="17" t="str">
        <f>IF(AND(ISNUMBER(Base_IFData!L802),ISNUMBER(Base_IFData!W802)),IF(Base_IFData!L802&gt;$B$4,Base_IFData!W802,""),"")</f>
        <v/>
      </c>
      <c r="N801" s="50">
        <f>IF(AND(ISNUMBER(Base_IFData!O802),ISNUMBER(Base_IFData!Q802)),IF(Base_IFData!Q802&gt;0,Base_IFData!O802/Base_IFData!Q802,"PL ≤ 0"),"NI")</f>
        <v>7.9341834904275794</v>
      </c>
      <c r="O801" s="107">
        <f>IF(AND(ISNUMBER(Base_IFData!M802),ISNUMBER(Base_IFData!Q802)),IF(Base_IFData!Q802&gt;0,Base_IFData!M802/Base_IFData!Q802,"PL ≤ 0"),"NI")</f>
        <v>3.0892338801735102</v>
      </c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spans="1:30" ht="1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12" t="str">
        <f>Base_IFData!A803</f>
        <v>COOPERATIVA DE CRÉDITO DE LIVRE ADMISSÃO BRMIL LTDA. - SICOOB BRMIL</v>
      </c>
      <c r="L802" s="12" t="str">
        <f>Base_IFData!F803</f>
        <v>b3S</v>
      </c>
      <c r="M802" s="14" t="str">
        <f>IF(AND(ISNUMBER(Base_IFData!L803),ISNUMBER(Base_IFData!W803)),IF(Base_IFData!L803&gt;$B$4,Base_IFData!W803,""),"")</f>
        <v/>
      </c>
      <c r="N802" s="51">
        <f>IF(AND(ISNUMBER(Base_IFData!O803),ISNUMBER(Base_IFData!Q803)),IF(Base_IFData!Q803&gt;0,Base_IFData!O803/Base_IFData!Q803,"PL ≤ 0"),"NI")</f>
        <v>5.5703305149884708</v>
      </c>
      <c r="O802" s="110">
        <f>IF(AND(ISNUMBER(Base_IFData!M803),ISNUMBER(Base_IFData!Q803)),IF(Base_IFData!Q803&gt;0,Base_IFData!M803/Base_IFData!Q803,"PL ≤ 0"),"NI")</f>
        <v>2.9655073020753266</v>
      </c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spans="1:30" ht="1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15" t="str">
        <f>Base_IFData!A804</f>
        <v>HS FINANCEIRA S/A CREDITO, FINANCIAMENTO E INVESTIMENTOS</v>
      </c>
      <c r="L803" s="15" t="str">
        <f>Base_IFData!F804</f>
        <v>n1</v>
      </c>
      <c r="M803" s="17" t="str">
        <f>IF(AND(ISNUMBER(Base_IFData!L804),ISNUMBER(Base_IFData!W804)),IF(Base_IFData!L804&gt;$B$4,Base_IFData!W804,""),"")</f>
        <v/>
      </c>
      <c r="N803" s="50">
        <f>IF(AND(ISNUMBER(Base_IFData!O804),ISNUMBER(Base_IFData!Q804)),IF(Base_IFData!Q804&gt;0,Base_IFData!O804/Base_IFData!Q804,"PL ≤ 0"),"NI")</f>
        <v>8.8290841094609664</v>
      </c>
      <c r="O803" s="107">
        <f>IF(AND(ISNUMBER(Base_IFData!M804),ISNUMBER(Base_IFData!Q804)),IF(Base_IFData!Q804&gt;0,Base_IFData!M804/Base_IFData!Q804,"PL ≤ 0"),"NI")</f>
        <v>7.931820633607825</v>
      </c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spans="1:30" ht="1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12" t="str">
        <f>Base_IFData!A805</f>
        <v>CACTVS INSTITUICAO DE PAGAMENTO S.A</v>
      </c>
      <c r="L804" s="12" t="str">
        <f>Base_IFData!F805</f>
        <v>n4</v>
      </c>
      <c r="M804" s="14" t="str">
        <f>IF(AND(ISNUMBER(Base_IFData!L805),ISNUMBER(Base_IFData!W805)),IF(Base_IFData!L805&gt;$B$4,Base_IFData!W805,""),"")</f>
        <v/>
      </c>
      <c r="N804" s="51">
        <f>IF(AND(ISNUMBER(Base_IFData!O805),ISNUMBER(Base_IFData!Q805)),IF(Base_IFData!Q805&gt;0,Base_IFData!O805/Base_IFData!Q805,"PL ≤ 0"),"NI")</f>
        <v>8.0427540809202434</v>
      </c>
      <c r="O804" s="110">
        <f>IF(AND(ISNUMBER(Base_IFData!M805),ISNUMBER(Base_IFData!Q805)),IF(Base_IFData!Q805&gt;0,Base_IFData!M805/Base_IFData!Q805,"PL ≤ 0"),"NI")</f>
        <v>0</v>
      </c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spans="1:30" ht="1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15" t="str">
        <f>Base_IFData!A806</f>
        <v>RPW S/A SOCIEDADE DE CRÉDITO, FINANCIAMENTO E INVESTIMENTO</v>
      </c>
      <c r="L805" s="15" t="str">
        <f>Base_IFData!F806</f>
        <v>n1</v>
      </c>
      <c r="M805" s="17" t="str">
        <f>IF(AND(ISNUMBER(Base_IFData!L806),ISNUMBER(Base_IFData!W806)),IF(Base_IFData!L806&gt;$B$4,Base_IFData!W806,""),"")</f>
        <v/>
      </c>
      <c r="N805" s="50">
        <f>IF(AND(ISNUMBER(Base_IFData!O806),ISNUMBER(Base_IFData!Q806)),IF(Base_IFData!Q806&gt;0,Base_IFData!O806/Base_IFData!Q806,"PL ≤ 0"),"NI")</f>
        <v>5.8267145276675345</v>
      </c>
      <c r="O805" s="107">
        <f>IF(AND(ISNUMBER(Base_IFData!M806),ISNUMBER(Base_IFData!Q806)),IF(Base_IFData!Q806&gt;0,Base_IFData!M806/Base_IFData!Q806,"PL ≤ 0"),"NI")</f>
        <v>5.2967213529158981</v>
      </c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spans="1:30" ht="1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12" t="str">
        <f>Base_IFData!A807</f>
        <v>STARK SOCIEDADE DE CRÉDITO DIRETO S.A.</v>
      </c>
      <c r="L806" s="12" t="str">
        <f>Base_IFData!F807</f>
        <v>n1</v>
      </c>
      <c r="M806" s="14" t="str">
        <f>IF(AND(ISNUMBER(Base_IFData!L807),ISNUMBER(Base_IFData!W807)),IF(Base_IFData!L807&gt;$B$4,Base_IFData!W807,""),"")</f>
        <v/>
      </c>
      <c r="N806" s="51">
        <f>IF(AND(ISNUMBER(Base_IFData!O807),ISNUMBER(Base_IFData!Q807)),IF(Base_IFData!Q807&gt;0,Base_IFData!O807/Base_IFData!Q807,"PL ≤ 0"),"NI")</f>
        <v>1.116138846414553</v>
      </c>
      <c r="O806" s="110">
        <f>IF(AND(ISNUMBER(Base_IFData!M807),ISNUMBER(Base_IFData!Q807)),IF(Base_IFData!Q807&gt;0,Base_IFData!M807/Base_IFData!Q807,"PL ≤ 0"),"NI")</f>
        <v>0.23224616548701862</v>
      </c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spans="1:30" ht="1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15" t="str">
        <f>Base_IFData!A808</f>
        <v>COOPERATIVA DE CRÉDITO VALE DO CANOAS - SICOOB/SC CREDICANOAS</v>
      </c>
      <c r="L807" s="15" t="str">
        <f>Base_IFData!F808</f>
        <v>b3S</v>
      </c>
      <c r="M807" s="17" t="str">
        <f>IF(AND(ISNUMBER(Base_IFData!L808),ISNUMBER(Base_IFData!W808)),IF(Base_IFData!L808&gt;$B$4,Base_IFData!W808,""),"")</f>
        <v/>
      </c>
      <c r="N807" s="50">
        <f>IF(AND(ISNUMBER(Base_IFData!O808),ISNUMBER(Base_IFData!Q808)),IF(Base_IFData!Q808&gt;0,Base_IFData!O808/Base_IFData!Q808,"PL ≤ 0"),"NI")</f>
        <v>5.1619155163275181</v>
      </c>
      <c r="O807" s="107">
        <f>IF(AND(ISNUMBER(Base_IFData!M808),ISNUMBER(Base_IFData!Q808)),IF(Base_IFData!Q808&gt;0,Base_IFData!M808/Base_IFData!Q808,"PL ≤ 0"),"NI")</f>
        <v>3.0248427165671883</v>
      </c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spans="1:30" ht="1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12" t="str">
        <f>Base_IFData!A809</f>
        <v>COOPERATIVA DE CRÉDITO SICOOB ITAPAGIPE LTDA - SICOOB ITAPAGIPE</v>
      </c>
      <c r="L808" s="12" t="str">
        <f>Base_IFData!F809</f>
        <v>b3S</v>
      </c>
      <c r="M808" s="14" t="str">
        <f>IF(AND(ISNUMBER(Base_IFData!L809),ISNUMBER(Base_IFData!W809)),IF(Base_IFData!L809&gt;$B$4,Base_IFData!W809,""),"")</f>
        <v/>
      </c>
      <c r="N808" s="51">
        <f>IF(AND(ISNUMBER(Base_IFData!O809),ISNUMBER(Base_IFData!Q809)),IF(Base_IFData!Q809&gt;0,Base_IFData!O809/Base_IFData!Q809,"PL ≤ 0"),"NI")</f>
        <v>3.6924233579224821</v>
      </c>
      <c r="O808" s="110">
        <f>IF(AND(ISNUMBER(Base_IFData!M809),ISNUMBER(Base_IFData!Q809)),IF(Base_IFData!Q809&gt;0,Base_IFData!M809/Base_IFData!Q809,"PL ≤ 0"),"NI")</f>
        <v>2.2620071113941518</v>
      </c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spans="1:30" ht="1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15" t="str">
        <f>Base_IFData!A810</f>
        <v>BANESTES DISTRIBUIDORA DE TITULOS E VALORES MOBILIARIOS S/A</v>
      </c>
      <c r="L809" s="15" t="str">
        <f>Base_IFData!F810</f>
        <v>n2</v>
      </c>
      <c r="M809" s="17" t="str">
        <f>IF(AND(ISNUMBER(Base_IFData!L810),ISNUMBER(Base_IFData!W810)),IF(Base_IFData!L810&gt;$B$4,Base_IFData!W810,""),"")</f>
        <v/>
      </c>
      <c r="N809" s="50">
        <f>IF(AND(ISNUMBER(Base_IFData!O810),ISNUMBER(Base_IFData!Q810)),IF(Base_IFData!Q810&gt;0,Base_IFData!O810/Base_IFData!Q810,"PL ≤ 0"),"NI")</f>
        <v>4.4763006515680964E-2</v>
      </c>
      <c r="O809" s="107">
        <f>IF(AND(ISNUMBER(Base_IFData!M810),ISNUMBER(Base_IFData!Q810)),IF(Base_IFData!Q810&gt;0,Base_IFData!M810/Base_IFData!Q810,"PL ≤ 0"),"NI")</f>
        <v>0</v>
      </c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spans="1:30" ht="1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12" t="str">
        <f>Base_IFData!A811</f>
        <v>CAPPTA INSTITUIÇÃO DE PAGAMENTO S.A.</v>
      </c>
      <c r="L810" s="12" t="str">
        <f>Base_IFData!F811</f>
        <v>n4</v>
      </c>
      <c r="M810" s="14" t="str">
        <f>IF(AND(ISNUMBER(Base_IFData!L811),ISNUMBER(Base_IFData!W811)),IF(Base_IFData!L811&gt;$B$4,Base_IFData!W811,""),"")</f>
        <v/>
      </c>
      <c r="N810" s="51">
        <f>IF(AND(ISNUMBER(Base_IFData!O811),ISNUMBER(Base_IFData!Q811)),IF(Base_IFData!Q811&gt;0,Base_IFData!O811/Base_IFData!Q811,"PL ≤ 0"),"NI")</f>
        <v>7.0855345128332914</v>
      </c>
      <c r="O810" s="110">
        <f>IF(AND(ISNUMBER(Base_IFData!M811),ISNUMBER(Base_IFData!Q811)),IF(Base_IFData!Q811&gt;0,Base_IFData!M811/Base_IFData!Q811,"PL ≤ 0"),"NI")</f>
        <v>0</v>
      </c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spans="1:30" ht="1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15" t="str">
        <f>Base_IFData!A812</f>
        <v>AGÊNCIA DE FOMENTO DO ESTADO DE MATO GROSSO S/A - DESENVOLVE MT</v>
      </c>
      <c r="L811" s="15" t="str">
        <f>Base_IFData!F812</f>
        <v>n1</v>
      </c>
      <c r="M811" s="17" t="str">
        <f>IF(AND(ISNUMBER(Base_IFData!L812),ISNUMBER(Base_IFData!W812)),IF(Base_IFData!L812&gt;$B$4,Base_IFData!W812,""),"")</f>
        <v/>
      </c>
      <c r="N811" s="50">
        <f>IF(AND(ISNUMBER(Base_IFData!O812),ISNUMBER(Base_IFData!Q812)),IF(Base_IFData!Q812&gt;0,Base_IFData!O812/Base_IFData!Q812,"PL ≤ 0"),"NI")</f>
        <v>0.14201709280784519</v>
      </c>
      <c r="O811" s="107">
        <f>IF(AND(ISNUMBER(Base_IFData!M812),ISNUMBER(Base_IFData!Q812)),IF(Base_IFData!Q812&gt;0,Base_IFData!M812/Base_IFData!Q812,"PL ≤ 0"),"NI")</f>
        <v>0.5717645914482905</v>
      </c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spans="1:30" ht="1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12" t="str">
        <f>Base_IFData!A813</f>
        <v>COOPERATIVA DE CRÉDITO DE LIVRE ADMISSÃO DE SANTA CRUZ DAS PALMEIRAS E REGIÃO</v>
      </c>
      <c r="L812" s="12" t="str">
        <f>Base_IFData!F813</f>
        <v>b3S</v>
      </c>
      <c r="M812" s="14" t="str">
        <f>IF(AND(ISNUMBER(Base_IFData!L813),ISNUMBER(Base_IFData!W813)),IF(Base_IFData!L813&gt;$B$4,Base_IFData!W813,""),"")</f>
        <v/>
      </c>
      <c r="N812" s="51">
        <f>IF(AND(ISNUMBER(Base_IFData!O813),ISNUMBER(Base_IFData!Q813)),IF(Base_IFData!Q813&gt;0,Base_IFData!O813/Base_IFData!Q813,"PL ≤ 0"),"NI")</f>
        <v>6.516352072818508</v>
      </c>
      <c r="O812" s="110">
        <f>IF(AND(ISNUMBER(Base_IFData!M813),ISNUMBER(Base_IFData!Q813)),IF(Base_IFData!Q813&gt;0,Base_IFData!M813/Base_IFData!Q813,"PL ≤ 0"),"NI")</f>
        <v>3.8585932257782187</v>
      </c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spans="1:30" ht="1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15" t="str">
        <f>Base_IFData!A814</f>
        <v>ALESTA SOCIEDADE DE CREDITO DIRETO S.A.</v>
      </c>
      <c r="L813" s="15" t="str">
        <f>Base_IFData!F814</f>
        <v>n1</v>
      </c>
      <c r="M813" s="17" t="str">
        <f>IF(AND(ISNUMBER(Base_IFData!L814),ISNUMBER(Base_IFData!W814)),IF(Base_IFData!L814&gt;$B$4,Base_IFData!W814,""),"")</f>
        <v/>
      </c>
      <c r="N813" s="50">
        <f>IF(AND(ISNUMBER(Base_IFData!O814),ISNUMBER(Base_IFData!Q814)),IF(Base_IFData!Q814&gt;0,Base_IFData!O814/Base_IFData!Q814,"PL ≤ 0"),"NI")</f>
        <v>0.31333789399524192</v>
      </c>
      <c r="O813" s="107">
        <f>IF(AND(ISNUMBER(Base_IFData!M814),ISNUMBER(Base_IFData!Q814)),IF(Base_IFData!Q814&gt;0,Base_IFData!M814/Base_IFData!Q814,"PL ≤ 0"),"NI")</f>
        <v>0.96785243876290339</v>
      </c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spans="1:30" ht="1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12" t="str">
        <f>Base_IFData!A815</f>
        <v>COOPERATIVA DE CRÉDITO SICOOB COOPEMAR LTDA</v>
      </c>
      <c r="L814" s="12" t="str">
        <f>Base_IFData!F815</f>
        <v>b3S</v>
      </c>
      <c r="M814" s="14" t="str">
        <f>IF(AND(ISNUMBER(Base_IFData!L815),ISNUMBER(Base_IFData!W815)),IF(Base_IFData!L815&gt;$B$4,Base_IFData!W815,""),"")</f>
        <v/>
      </c>
      <c r="N814" s="51">
        <f>IF(AND(ISNUMBER(Base_IFData!O815),ISNUMBER(Base_IFData!Q815)),IF(Base_IFData!Q815&gt;0,Base_IFData!O815/Base_IFData!Q815,"PL ≤ 0"),"NI")</f>
        <v>5.9923892362054909</v>
      </c>
      <c r="O814" s="110">
        <f>IF(AND(ISNUMBER(Base_IFData!M815),ISNUMBER(Base_IFData!Q815)),IF(Base_IFData!Q815&gt;0,Base_IFData!M815/Base_IFData!Q815,"PL ≤ 0"),"NI")</f>
        <v>2.3918184289209026</v>
      </c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spans="1:30" ht="1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15" t="str">
        <f>Base_IFData!A816</f>
        <v>COOPERATIVA DE CRÉDITO DE LIVRE ADMISSÃO DA MARGEM ESQUERDA DO URUCUIA E SÃO FRANCISCO LTDA - SICOOB CREDICHAPADA</v>
      </c>
      <c r="L815" s="15" t="str">
        <f>Base_IFData!F816</f>
        <v>b3S</v>
      </c>
      <c r="M815" s="17" t="str">
        <f>IF(AND(ISNUMBER(Base_IFData!L816),ISNUMBER(Base_IFData!W816)),IF(Base_IFData!L816&gt;$B$4,Base_IFData!W816,""),"")</f>
        <v/>
      </c>
      <c r="N815" s="50">
        <f>IF(AND(ISNUMBER(Base_IFData!O816),ISNUMBER(Base_IFData!Q816)),IF(Base_IFData!Q816&gt;0,Base_IFData!O816/Base_IFData!Q816,"PL ≤ 0"),"NI")</f>
        <v>4.6197768202408573</v>
      </c>
      <c r="O815" s="107">
        <f>IF(AND(ISNUMBER(Base_IFData!M816),ISNUMBER(Base_IFData!Q816)),IF(Base_IFData!Q816&gt;0,Base_IFData!M816/Base_IFData!Q816,"PL ≤ 0"),"NI")</f>
        <v>3.730350237542813</v>
      </c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spans="1:30" ht="1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12" t="str">
        <f>Base_IFData!A817</f>
        <v>TRANSFEERA INSTITUIÇÃO DE PAGAMENTO S.A</v>
      </c>
      <c r="L816" s="12" t="str">
        <f>Base_IFData!F817</f>
        <v>n4</v>
      </c>
      <c r="M816" s="14" t="str">
        <f>IF(AND(ISNUMBER(Base_IFData!L817),ISNUMBER(Base_IFData!W817)),IF(Base_IFData!L817&gt;$B$4,Base_IFData!W817,""),"")</f>
        <v/>
      </c>
      <c r="N816" s="51">
        <f>IF(AND(ISNUMBER(Base_IFData!O817),ISNUMBER(Base_IFData!Q817)),IF(Base_IFData!Q817&gt;0,Base_IFData!O817/Base_IFData!Q817,"PL ≤ 0"),"NI")</f>
        <v>13.952397805698107</v>
      </c>
      <c r="O816" s="110">
        <f>IF(AND(ISNUMBER(Base_IFData!M817),ISNUMBER(Base_IFData!Q817)),IF(Base_IFData!Q817&gt;0,Base_IFData!M817/Base_IFData!Q817,"PL ≤ 0"),"NI")</f>
        <v>0</v>
      </c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spans="1:30" ht="1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15" t="str">
        <f>Base_IFData!A818</f>
        <v>COOPERATIVA DE CREDITO POTIGUAR - SICOOB POTIGUAR</v>
      </c>
      <c r="L817" s="15" t="str">
        <f>Base_IFData!F818</f>
        <v>b3S</v>
      </c>
      <c r="M817" s="17" t="str">
        <f>IF(AND(ISNUMBER(Base_IFData!L818),ISNUMBER(Base_IFData!W818)),IF(Base_IFData!L818&gt;$B$4,Base_IFData!W818,""),"")</f>
        <v/>
      </c>
      <c r="N817" s="50">
        <f>IF(AND(ISNUMBER(Base_IFData!O818),ISNUMBER(Base_IFData!Q818)),IF(Base_IFData!Q818&gt;0,Base_IFData!O818/Base_IFData!Q818,"PL ≤ 0"),"NI")</f>
        <v>7.5656610169491527</v>
      </c>
      <c r="O817" s="107">
        <f>IF(AND(ISNUMBER(Base_IFData!M818),ISNUMBER(Base_IFData!Q818)),IF(Base_IFData!Q818&gt;0,Base_IFData!M818/Base_IFData!Q818,"PL ≤ 0"),"NI")</f>
        <v>4.4563050847457628</v>
      </c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spans="1:30" ht="1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12" t="str">
        <f>Base_IFData!A819</f>
        <v>COOPERATIVA DE CREDITO E ECONOMIA COM INTERAÇÃO SOLIDÁRIA - CRESOL SERRA MAR</v>
      </c>
      <c r="L818" s="12" t="str">
        <f>Base_IFData!F819</f>
        <v>b3S</v>
      </c>
      <c r="M818" s="14" t="str">
        <f>IF(AND(ISNUMBER(Base_IFData!L819),ISNUMBER(Base_IFData!W819)),IF(Base_IFData!L819&gt;$B$4,Base_IFData!W819,""),"")</f>
        <v/>
      </c>
      <c r="N818" s="51">
        <f>IF(AND(ISNUMBER(Base_IFData!O819),ISNUMBER(Base_IFData!Q819)),IF(Base_IFData!Q819&gt;0,Base_IFData!O819/Base_IFData!Q819,"PL ≤ 0"),"NI")</f>
        <v>5.8095981592571286</v>
      </c>
      <c r="O818" s="110">
        <f>IF(AND(ISNUMBER(Base_IFData!M819),ISNUMBER(Base_IFData!Q819)),IF(Base_IFData!Q819&gt;0,Base_IFData!M819/Base_IFData!Q819,"PL ≤ 0"),"NI")</f>
        <v>4.6213876790752462</v>
      </c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spans="1:30" ht="1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15" t="str">
        <f>Base_IFData!A820</f>
        <v>FINAMAX S.A. - CREDITO, FINANCIAMENTO E INVESTIMENTO</v>
      </c>
      <c r="L819" s="15" t="str">
        <f>Base_IFData!F820</f>
        <v>n1</v>
      </c>
      <c r="M819" s="17" t="str">
        <f>IF(AND(ISNUMBER(Base_IFData!L820),ISNUMBER(Base_IFData!W820)),IF(Base_IFData!L820&gt;$B$4,Base_IFData!W820,""),"")</f>
        <v/>
      </c>
      <c r="N819" s="50">
        <f>IF(AND(ISNUMBER(Base_IFData!O820),ISNUMBER(Base_IFData!Q820)),IF(Base_IFData!Q820&gt;0,Base_IFData!O820/Base_IFData!Q820,"PL ≤ 0"),"NI")</f>
        <v>5.9154004563922751</v>
      </c>
      <c r="O819" s="107">
        <f>IF(AND(ISNUMBER(Base_IFData!M820),ISNUMBER(Base_IFData!Q820)),IF(Base_IFData!Q820&gt;0,Base_IFData!M820/Base_IFData!Q820,"PL ≤ 0"),"NI")</f>
        <v>3.5067623977291702</v>
      </c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spans="1:30" ht="1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12" t="str">
        <f>Base_IFData!A821</f>
        <v>COOPERATIVA DE CRÉDITO DOS INTEGRANTES DO MINISTÉRIO PÚBLICO E DO PODER JUDICIÁRIO NOS ESTADOS DO AMAPÁ E CEARÁ E LIVRE ADMISSÃO NO ESTADO DO PARÁ - SICOOB COIMPPA</v>
      </c>
      <c r="L820" s="12" t="str">
        <f>Base_IFData!F821</f>
        <v>b3S</v>
      </c>
      <c r="M820" s="14" t="str">
        <f>IF(AND(ISNUMBER(Base_IFData!L821),ISNUMBER(Base_IFData!W821)),IF(Base_IFData!L821&gt;$B$4,Base_IFData!W821,""),"")</f>
        <v/>
      </c>
      <c r="N820" s="51">
        <f>IF(AND(ISNUMBER(Base_IFData!O821),ISNUMBER(Base_IFData!Q821)),IF(Base_IFData!Q821&gt;0,Base_IFData!O821/Base_IFData!Q821,"PL ≤ 0"),"NI")</f>
        <v>1.9525789951718533</v>
      </c>
      <c r="O820" s="110">
        <f>IF(AND(ISNUMBER(Base_IFData!M821),ISNUMBER(Base_IFData!Q821)),IF(Base_IFData!Q821&gt;0,Base_IFData!M821/Base_IFData!Q821,"PL ≤ 0"),"NI")</f>
        <v>1.2582580429274821</v>
      </c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spans="1:30" ht="1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15" t="str">
        <f>Base_IFData!A822</f>
        <v>COOPERATIVA CENTRAL DE CRÉDITO, POUPANÇA E INVESTIMENTO DO NORDESTE - CENTRAL SICREDI NORDESTE</v>
      </c>
      <c r="L821" s="15" t="str">
        <f>Base_IFData!F822</f>
        <v>b3C</v>
      </c>
      <c r="M821" s="17" t="str">
        <f>IF(AND(ISNUMBER(Base_IFData!L822),ISNUMBER(Base_IFData!W822)),IF(Base_IFData!L822&gt;$B$4,Base_IFData!W822,""),"")</f>
        <v/>
      </c>
      <c r="N821" s="50">
        <f>IF(AND(ISNUMBER(Base_IFData!O822),ISNUMBER(Base_IFData!Q822)),IF(Base_IFData!Q822&gt;0,Base_IFData!O822/Base_IFData!Q822,"PL ≤ 0"),"NI")</f>
        <v>0.66236525774725796</v>
      </c>
      <c r="O821" s="107">
        <f>IF(AND(ISNUMBER(Base_IFData!M822),ISNUMBER(Base_IFData!Q822)),IF(Base_IFData!Q822&gt;0,Base_IFData!M822/Base_IFData!Q822,"PL ≤ 0"),"NI")</f>
        <v>0</v>
      </c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spans="1:30" ht="1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12" t="str">
        <f>Base_IFData!A823</f>
        <v>COOPERATIVA DE CRÉDITO - SICOOB CREDUNI</v>
      </c>
      <c r="L822" s="12" t="str">
        <f>Base_IFData!F823</f>
        <v>b3S</v>
      </c>
      <c r="M822" s="14" t="str">
        <f>IF(AND(ISNUMBER(Base_IFData!L823),ISNUMBER(Base_IFData!W823)),IF(Base_IFData!L823&gt;$B$4,Base_IFData!W823,""),"")</f>
        <v/>
      </c>
      <c r="N822" s="51">
        <f>IF(AND(ISNUMBER(Base_IFData!O823),ISNUMBER(Base_IFData!Q823)),IF(Base_IFData!Q823&gt;0,Base_IFData!O823/Base_IFData!Q823,"PL ≤ 0"),"NI")</f>
        <v>3.8301049074692548</v>
      </c>
      <c r="O822" s="110">
        <f>IF(AND(ISNUMBER(Base_IFData!M823),ISNUMBER(Base_IFData!Q823)),IF(Base_IFData!Q823&gt;0,Base_IFData!M823/Base_IFData!Q823,"PL ≤ 0"),"NI")</f>
        <v>3.4093552316215474</v>
      </c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spans="1:30" ht="1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15" t="str">
        <f>Base_IFData!A824</f>
        <v>ATIVA INVESTIMENTOS S.A. CORRETORA DE TÍTULOS, CÂMBIO E VALORES</v>
      </c>
      <c r="L823" s="15" t="str">
        <f>Base_IFData!F824</f>
        <v>n2</v>
      </c>
      <c r="M823" s="17" t="str">
        <f>IF(AND(ISNUMBER(Base_IFData!L824),ISNUMBER(Base_IFData!W824)),IF(Base_IFData!L824&gt;$B$4,Base_IFData!W824,""),"")</f>
        <v/>
      </c>
      <c r="N823" s="50">
        <f>IF(AND(ISNUMBER(Base_IFData!O824),ISNUMBER(Base_IFData!Q824)),IF(Base_IFData!Q824&gt;0,Base_IFData!O824/Base_IFData!Q824,"PL ≤ 0"),"NI")</f>
        <v>4.3097659892862561</v>
      </c>
      <c r="O823" s="107">
        <f>IF(AND(ISNUMBER(Base_IFData!M824),ISNUMBER(Base_IFData!Q824)),IF(Base_IFData!Q824&gt;0,Base_IFData!M824/Base_IFData!Q824,"PL ≤ 0"),"NI")</f>
        <v>0</v>
      </c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spans="1:30" ht="1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12" t="str">
        <f>Base_IFData!A825</f>
        <v>MONTE BRAVO CORRETORA DE TÍTULOS E VALORES MOBILIÁRIOS S.A.</v>
      </c>
      <c r="L824" s="12" t="str">
        <f>Base_IFData!F825</f>
        <v>n2</v>
      </c>
      <c r="M824" s="14" t="str">
        <f>IF(AND(ISNUMBER(Base_IFData!L825),ISNUMBER(Base_IFData!W825)),IF(Base_IFData!L825&gt;$B$4,Base_IFData!W825,""),"")</f>
        <v/>
      </c>
      <c r="N824" s="51">
        <f>IF(AND(ISNUMBER(Base_IFData!O825),ISNUMBER(Base_IFData!Q825)),IF(Base_IFData!Q825&gt;0,Base_IFData!O825/Base_IFData!Q825,"PL ≤ 0"),"NI")</f>
        <v>0.71937212594100119</v>
      </c>
      <c r="O824" s="110">
        <f>IF(AND(ISNUMBER(Base_IFData!M825),ISNUMBER(Base_IFData!Q825)),IF(Base_IFData!Q825&gt;0,Base_IFData!M825/Base_IFData!Q825,"PL ≤ 0"),"NI")</f>
        <v>0</v>
      </c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spans="1:30" ht="1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15" t="str">
        <f>Base_IFData!A826</f>
        <v>CREDISIS SUDOESTE/RO - COOPERATIVA DE CRÉDITO E INVESTIMENTO DO SUDOESTE DE RONDÔNIA</v>
      </c>
      <c r="L825" s="15" t="str">
        <f>Base_IFData!F826</f>
        <v>b3S</v>
      </c>
      <c r="M825" s="17" t="str">
        <f>IF(AND(ISNUMBER(Base_IFData!L826),ISNUMBER(Base_IFData!W826)),IF(Base_IFData!L826&gt;$B$4,Base_IFData!W826,""),"")</f>
        <v/>
      </c>
      <c r="N825" s="50">
        <f>IF(AND(ISNUMBER(Base_IFData!O826),ISNUMBER(Base_IFData!Q826)),IF(Base_IFData!Q826&gt;0,Base_IFData!O826/Base_IFData!Q826,"PL ≤ 0"),"NI")</f>
        <v>5.7190522110483535</v>
      </c>
      <c r="O825" s="107">
        <f>IF(AND(ISNUMBER(Base_IFData!M826),ISNUMBER(Base_IFData!Q826)),IF(Base_IFData!Q826&gt;0,Base_IFData!M826/Base_IFData!Q826,"PL ≤ 0"),"NI")</f>
        <v>3.4961013913762224</v>
      </c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spans="1:30" ht="1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12" t="str">
        <f>Base_IFData!A827</f>
        <v>COOPERATIVA DE CRÉDITO DE LIVRE ADMISSÃO DE CERES E RIALMA LTDA</v>
      </c>
      <c r="L826" s="12" t="str">
        <f>Base_IFData!F827</f>
        <v>b3S</v>
      </c>
      <c r="M826" s="14" t="str">
        <f>IF(AND(ISNUMBER(Base_IFData!L827),ISNUMBER(Base_IFData!W827)),IF(Base_IFData!L827&gt;$B$4,Base_IFData!W827,""),"")</f>
        <v/>
      </c>
      <c r="N826" s="51">
        <f>IF(AND(ISNUMBER(Base_IFData!O827),ISNUMBER(Base_IFData!Q827)),IF(Base_IFData!Q827&gt;0,Base_IFData!O827/Base_IFData!Q827,"PL ≤ 0"),"NI")</f>
        <v>5.445737990097685</v>
      </c>
      <c r="O826" s="110">
        <f>IF(AND(ISNUMBER(Base_IFData!M827),ISNUMBER(Base_IFData!Q827)),IF(Base_IFData!Q827&gt;0,Base_IFData!M827/Base_IFData!Q827,"PL ≤ 0"),"NI")</f>
        <v>1.6049243944868192</v>
      </c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spans="1:30" ht="1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15" t="str">
        <f>Base_IFData!A828</f>
        <v>COOPERATIVA DE CRÉDITO LIVRE ADMISSÃO SICOOB OURICRED</v>
      </c>
      <c r="L827" s="15" t="str">
        <f>Base_IFData!F828</f>
        <v>b3S</v>
      </c>
      <c r="M827" s="17" t="str">
        <f>IF(AND(ISNUMBER(Base_IFData!L828),ISNUMBER(Base_IFData!W828)),IF(Base_IFData!L828&gt;$B$4,Base_IFData!W828,""),"")</f>
        <v/>
      </c>
      <c r="N827" s="50">
        <f>IF(AND(ISNUMBER(Base_IFData!O828),ISNUMBER(Base_IFData!Q828)),IF(Base_IFData!Q828&gt;0,Base_IFData!O828/Base_IFData!Q828,"PL ≤ 0"),"NI")</f>
        <v>5.5553618134263294</v>
      </c>
      <c r="O827" s="107">
        <f>IF(AND(ISNUMBER(Base_IFData!M828),ISNUMBER(Base_IFData!Q828)),IF(Base_IFData!Q828&gt;0,Base_IFData!M828/Base_IFData!Q828,"PL ≤ 0"),"NI")</f>
        <v>2.9696218395815168</v>
      </c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spans="1:30" ht="1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12" t="str">
        <f>Base_IFData!A829</f>
        <v>BRADESCO S.A. CORRETORA DE TITULOS E VALORES MOBILIARIOS</v>
      </c>
      <c r="L828" s="12" t="str">
        <f>Base_IFData!F829</f>
        <v>n2</v>
      </c>
      <c r="M828" s="14" t="str">
        <f>IF(AND(ISNUMBER(Base_IFData!L829),ISNUMBER(Base_IFData!W829)),IF(Base_IFData!L829&gt;$B$4,Base_IFData!W829,""),"")</f>
        <v/>
      </c>
      <c r="N828" s="51">
        <f>IF(AND(ISNUMBER(Base_IFData!O829),ISNUMBER(Base_IFData!Q829)),IF(Base_IFData!Q829&gt;0,Base_IFData!O829/Base_IFData!Q829,"PL ≤ 0"),"NI")</f>
        <v>1.8395885492937787</v>
      </c>
      <c r="O828" s="110">
        <f>IF(AND(ISNUMBER(Base_IFData!M829),ISNUMBER(Base_IFData!Q829)),IF(Base_IFData!Q829&gt;0,Base_IFData!M829/Base_IFData!Q829,"PL ≤ 0"),"NI")</f>
        <v>0</v>
      </c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spans="1:30" ht="1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15" t="str">
        <f>Base_IFData!A830</f>
        <v>REAG IP S.A. - INSTITUIÇÃO DE PAGAMENTO</v>
      </c>
      <c r="L829" s="15" t="str">
        <f>Base_IFData!F830</f>
        <v>n4</v>
      </c>
      <c r="M829" s="17" t="str">
        <f>IF(AND(ISNUMBER(Base_IFData!L830),ISNUMBER(Base_IFData!W830)),IF(Base_IFData!L830&gt;$B$4,Base_IFData!W830,""),"")</f>
        <v/>
      </c>
      <c r="N829" s="50">
        <f>IF(AND(ISNUMBER(Base_IFData!O830),ISNUMBER(Base_IFData!Q830)),IF(Base_IFData!Q830&gt;0,Base_IFData!O830/Base_IFData!Q830,"PL ≤ 0"),"NI")</f>
        <v>3.583653237896342E-2</v>
      </c>
      <c r="O829" s="107">
        <f>IF(AND(ISNUMBER(Base_IFData!M830),ISNUMBER(Base_IFData!Q830)),IF(Base_IFData!Q830&gt;0,Base_IFData!M830/Base_IFData!Q830,"PL ≤ 0"),"NI")</f>
        <v>-4.7717051274274475E-2</v>
      </c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spans="1:30" ht="1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12" t="str">
        <f>Base_IFData!A831</f>
        <v>COOPERATIVA DE CRÉDITO DA REGIÃO DO VALE DO RIO GRANDE LTDA. - SICOOB CREDILEITE</v>
      </c>
      <c r="L830" s="12" t="str">
        <f>Base_IFData!F831</f>
        <v>b3S</v>
      </c>
      <c r="M830" s="14" t="str">
        <f>IF(AND(ISNUMBER(Base_IFData!L831),ISNUMBER(Base_IFData!W831)),IF(Base_IFData!L831&gt;$B$4,Base_IFData!W831,""),"")</f>
        <v/>
      </c>
      <c r="N830" s="51">
        <f>IF(AND(ISNUMBER(Base_IFData!O831),ISNUMBER(Base_IFData!Q831)),IF(Base_IFData!Q831&gt;0,Base_IFData!O831/Base_IFData!Q831,"PL ≤ 0"),"NI")</f>
        <v>6.8121356997838758</v>
      </c>
      <c r="O830" s="110">
        <f>IF(AND(ISNUMBER(Base_IFData!M831),ISNUMBER(Base_IFData!Q831)),IF(Base_IFData!Q831&gt;0,Base_IFData!M831/Base_IFData!Q831,"PL ≤ 0"),"NI")</f>
        <v>4.5266553146898945</v>
      </c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spans="1:30" ht="1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15" t="str">
        <f>Base_IFData!A832</f>
        <v>CREDISIS CAPITALCREDI - COOPERATIVA DE CRÉDITO DE LIVRE ADMISSÃO DO ACRE LTDA</v>
      </c>
      <c r="L831" s="15" t="str">
        <f>Base_IFData!F832</f>
        <v>b3S</v>
      </c>
      <c r="M831" s="17" t="str">
        <f>IF(AND(ISNUMBER(Base_IFData!L832),ISNUMBER(Base_IFData!W832)),IF(Base_IFData!L832&gt;$B$4,Base_IFData!W832,""),"")</f>
        <v/>
      </c>
      <c r="N831" s="50">
        <f>IF(AND(ISNUMBER(Base_IFData!O832),ISNUMBER(Base_IFData!Q832)),IF(Base_IFData!Q832&gt;0,Base_IFData!O832/Base_IFData!Q832,"PL ≤ 0"),"NI")</f>
        <v>4.6024663889414885</v>
      </c>
      <c r="O831" s="107">
        <f>IF(AND(ISNUMBER(Base_IFData!M832),ISNUMBER(Base_IFData!Q832)),IF(Base_IFData!Q832&gt;0,Base_IFData!M832/Base_IFData!Q832,"PL ≤ 0"),"NI")</f>
        <v>1.7012639651581141</v>
      </c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spans="1:30" ht="1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12" t="str">
        <f>Base_IFData!A833</f>
        <v>COOPERATIVA DE CREDITO CREDLIDER - SICOOB CREDLIDER</v>
      </c>
      <c r="L832" s="12" t="str">
        <f>Base_IFData!F833</f>
        <v>b3S</v>
      </c>
      <c r="M832" s="14" t="str">
        <f>IF(AND(ISNUMBER(Base_IFData!L833),ISNUMBER(Base_IFData!W833)),IF(Base_IFData!L833&gt;$B$4,Base_IFData!W833,""),"")</f>
        <v/>
      </c>
      <c r="N832" s="51">
        <f>IF(AND(ISNUMBER(Base_IFData!O833),ISNUMBER(Base_IFData!Q833)),IF(Base_IFData!Q833&gt;0,Base_IFData!O833/Base_IFData!Q833,"PL ≤ 0"),"NI")</f>
        <v>3.9196332030275305</v>
      </c>
      <c r="O832" s="110">
        <f>IF(AND(ISNUMBER(Base_IFData!M833),ISNUMBER(Base_IFData!Q833)),IF(Base_IFData!Q833&gt;0,Base_IFData!M833/Base_IFData!Q833,"PL ≤ 0"),"NI")</f>
        <v>0.93664226898444647</v>
      </c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spans="1:30" ht="1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15" t="str">
        <f>Base_IFData!A834</f>
        <v>COOPERATIVA DE CRÉDITO DE LIVRE ADMISSÃO DA REGIÃO DE GUAXUPÉ LTDA. - SICOOB ACICREDI</v>
      </c>
      <c r="L833" s="15" t="str">
        <f>Base_IFData!F834</f>
        <v>b3S</v>
      </c>
      <c r="M833" s="17" t="str">
        <f>IF(AND(ISNUMBER(Base_IFData!L834),ISNUMBER(Base_IFData!W834)),IF(Base_IFData!L834&gt;$B$4,Base_IFData!W834,""),"")</f>
        <v/>
      </c>
      <c r="N833" s="50">
        <f>IF(AND(ISNUMBER(Base_IFData!O834),ISNUMBER(Base_IFData!Q834)),IF(Base_IFData!Q834&gt;0,Base_IFData!O834/Base_IFData!Q834,"PL ≤ 0"),"NI")</f>
        <v>4.3580075547262549</v>
      </c>
      <c r="O833" s="107">
        <f>IF(AND(ISNUMBER(Base_IFData!M834),ISNUMBER(Base_IFData!Q834)),IF(Base_IFData!Q834&gt;0,Base_IFData!M834/Base_IFData!Q834,"PL ≤ 0"),"NI")</f>
        <v>2.5518590998043051</v>
      </c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spans="1:30" ht="1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12" t="str">
        <f>Base_IFData!A835</f>
        <v>ROADCARD INSTITUICAO DE PAGAMENTO INTEGRADO DA LOGISTICA S.A.</v>
      </c>
      <c r="L834" s="12" t="str">
        <f>Base_IFData!F835</f>
        <v>n4</v>
      </c>
      <c r="M834" s="14" t="str">
        <f>IF(AND(ISNUMBER(Base_IFData!L835),ISNUMBER(Base_IFData!W835)),IF(Base_IFData!L835&gt;$B$4,Base_IFData!W835,""),"")</f>
        <v/>
      </c>
      <c r="N834" s="51">
        <f>IF(AND(ISNUMBER(Base_IFData!O835),ISNUMBER(Base_IFData!Q835)),IF(Base_IFData!Q835&gt;0,Base_IFData!O835/Base_IFData!Q835,"PL ≤ 0"),"NI")</f>
        <v>4.4640518289830666</v>
      </c>
      <c r="O834" s="110">
        <f>IF(AND(ISNUMBER(Base_IFData!M835),ISNUMBER(Base_IFData!Q835)),IF(Base_IFData!Q835&gt;0,Base_IFData!M835/Base_IFData!Q835,"PL ≤ 0"),"NI")</f>
        <v>0</v>
      </c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spans="1:30" ht="1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15" t="str">
        <f>Base_IFData!A836</f>
        <v>COOPERATIVA DE CRÉDITO, POUPANÇA E INVESTIMENTO DOS INTEGRANTES DA MAGISTRATURA E DO MINISTÉRIO PÚBLICO NO ESTADO DO PARANÁ - SICREDI CREDJURIS</v>
      </c>
      <c r="L835" s="15" t="str">
        <f>Base_IFData!F836</f>
        <v>b3S</v>
      </c>
      <c r="M835" s="17" t="str">
        <f>IF(AND(ISNUMBER(Base_IFData!L836),ISNUMBER(Base_IFData!W836)),IF(Base_IFData!L836&gt;$B$4,Base_IFData!W836,""),"")</f>
        <v/>
      </c>
      <c r="N835" s="50">
        <f>IF(AND(ISNUMBER(Base_IFData!O836),ISNUMBER(Base_IFData!Q836)),IF(Base_IFData!Q836&gt;0,Base_IFData!O836/Base_IFData!Q836,"PL ≤ 0"),"NI")</f>
        <v>7.4402387538215171</v>
      </c>
      <c r="O835" s="107">
        <f>IF(AND(ISNUMBER(Base_IFData!M836),ISNUMBER(Base_IFData!Q836)),IF(Base_IFData!Q836&gt;0,Base_IFData!M836/Base_IFData!Q836,"PL ≤ 0"),"NI")</f>
        <v>1.6535521910030573</v>
      </c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spans="1:30" ht="1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12" t="str">
        <f>Base_IFData!A837</f>
        <v>ACG INSTITUIÇÃO DE PAGAMENTO S.A.</v>
      </c>
      <c r="L836" s="12" t="str">
        <f>Base_IFData!F837</f>
        <v>n4</v>
      </c>
      <c r="M836" s="14" t="str">
        <f>IF(AND(ISNUMBER(Base_IFData!L837),ISNUMBER(Base_IFData!W837)),IF(Base_IFData!L837&gt;$B$4,Base_IFData!W837,""),"")</f>
        <v/>
      </c>
      <c r="N836" s="51">
        <f>IF(AND(ISNUMBER(Base_IFData!O837),ISNUMBER(Base_IFData!Q837)),IF(Base_IFData!Q837&gt;0,Base_IFData!O837/Base_IFData!Q837,"PL ≤ 0"),"NI")</f>
        <v>7.0264524617408766</v>
      </c>
      <c r="O836" s="110">
        <f>IF(AND(ISNUMBER(Base_IFData!M837),ISNUMBER(Base_IFData!Q837)),IF(Base_IFData!Q837&gt;0,Base_IFData!M837/Base_IFData!Q837,"PL ≤ 0"),"NI")</f>
        <v>2.4607714147219721</v>
      </c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spans="1:30" ht="1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15" t="str">
        <f>Base_IFData!A838</f>
        <v>COOPERATIVA DE ECONOMIA E CRÉDITO MÚTUO DOS SERVIDORES DA FEDERAÇÃO DO COMÉRCIO, SESC E SENAC DE SÃO PAULO</v>
      </c>
      <c r="L837" s="15" t="str">
        <f>Base_IFData!F838</f>
        <v>b3S</v>
      </c>
      <c r="M837" s="17" t="str">
        <f>IF(AND(ISNUMBER(Base_IFData!L838),ISNUMBER(Base_IFData!W838)),IF(Base_IFData!L838&gt;$B$4,Base_IFData!W838,""),"")</f>
        <v/>
      </c>
      <c r="N837" s="50">
        <f>IF(AND(ISNUMBER(Base_IFData!O838),ISNUMBER(Base_IFData!Q838)),IF(Base_IFData!Q838&gt;0,Base_IFData!O838/Base_IFData!Q838,"PL ≤ 0"),"NI")</f>
        <v>2.9743334119605322E-2</v>
      </c>
      <c r="O837" s="107">
        <f>IF(AND(ISNUMBER(Base_IFData!M838),ISNUMBER(Base_IFData!Q838)),IF(Base_IFData!Q838&gt;0,Base_IFData!M838/Base_IFData!Q838,"PL ≤ 0"),"NI")</f>
        <v>0.84404666005011375</v>
      </c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spans="1:30" ht="1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12" t="str">
        <f>Base_IFData!A839</f>
        <v>AVENUE SECURITIES BANCO DE INVESTIMENTO S.A.</v>
      </c>
      <c r="L838" s="12" t="str">
        <f>Base_IFData!F839</f>
        <v>b2</v>
      </c>
      <c r="M838" s="14" t="str">
        <f>IF(AND(ISNUMBER(Base_IFData!L839),ISNUMBER(Base_IFData!W839)),IF(Base_IFData!L839&gt;$B$4,Base_IFData!W839,""),"")</f>
        <v/>
      </c>
      <c r="N838" s="51">
        <f>IF(AND(ISNUMBER(Base_IFData!O839),ISNUMBER(Base_IFData!Q839)),IF(Base_IFData!Q839&gt;0,Base_IFData!O839/Base_IFData!Q839,"PL ≤ 0"),"NI")</f>
        <v>4.3346257152866983</v>
      </c>
      <c r="O838" s="110">
        <f>IF(AND(ISNUMBER(Base_IFData!M839),ISNUMBER(Base_IFData!Q839)),IF(Base_IFData!Q839&gt;0,Base_IFData!M839/Base_IFData!Q839,"PL ≤ 0"),"NI")</f>
        <v>0</v>
      </c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spans="1:30" ht="1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15" t="str">
        <f>Base_IFData!A840</f>
        <v>SUL AMERICA INVESTIMENTOS DISTRIBUIDORA DE TITULOS E VALORES MOBILIARIOS S.A.</v>
      </c>
      <c r="L839" s="15" t="str">
        <f>Base_IFData!F840</f>
        <v>n2</v>
      </c>
      <c r="M839" s="17" t="str">
        <f>IF(AND(ISNUMBER(Base_IFData!L840),ISNUMBER(Base_IFData!W840)),IF(Base_IFData!L840&gt;$B$4,Base_IFData!W840,""),"")</f>
        <v/>
      </c>
      <c r="N839" s="50">
        <f>IF(AND(ISNUMBER(Base_IFData!O840),ISNUMBER(Base_IFData!Q840)),IF(Base_IFData!Q840&gt;0,Base_IFData!O840/Base_IFData!Q840,"PL ≤ 0"),"NI")</f>
        <v>0.15697350140453711</v>
      </c>
      <c r="O839" s="107">
        <f>IF(AND(ISNUMBER(Base_IFData!M840),ISNUMBER(Base_IFData!Q840)),IF(Base_IFData!Q840&gt;0,Base_IFData!M840/Base_IFData!Q840,"PL ≤ 0"),"NI")</f>
        <v>0</v>
      </c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spans="1:30" ht="1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12" t="str">
        <f>Base_IFData!A841</f>
        <v>SERVNET INSTITUIÇÃO DE PAGAMENTO LTDA.</v>
      </c>
      <c r="L840" s="12" t="str">
        <f>Base_IFData!F841</f>
        <v>n4</v>
      </c>
      <c r="M840" s="14" t="str">
        <f>IF(AND(ISNUMBER(Base_IFData!L841),ISNUMBER(Base_IFData!W841)),IF(Base_IFData!L841&gt;$B$4,Base_IFData!W841,""),"")</f>
        <v/>
      </c>
      <c r="N840" s="51">
        <f>IF(AND(ISNUMBER(Base_IFData!O841),ISNUMBER(Base_IFData!Q841)),IF(Base_IFData!Q841&gt;0,Base_IFData!O841/Base_IFData!Q841,"PL ≤ 0"),"NI")</f>
        <v>21.651313817564191</v>
      </c>
      <c r="O840" s="110">
        <f>IF(AND(ISNUMBER(Base_IFData!M841),ISNUMBER(Base_IFData!Q841)),IF(Base_IFData!Q841&gt;0,Base_IFData!M841/Base_IFData!Q841,"PL ≤ 0"),"NI")</f>
        <v>1.53471875312219</v>
      </c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spans="1:30" ht="1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15" t="str">
        <f>Base_IFData!A842</f>
        <v>SICOOB CREDIMONTES - COOPERATIVA DE CRÉDITO DE LIVRE ADMISSÃO REGIONAL DE MONTES CLAROS LTDA</v>
      </c>
      <c r="L841" s="15" t="str">
        <f>Base_IFData!F842</f>
        <v>b3S</v>
      </c>
      <c r="M841" s="17" t="str">
        <f>IF(AND(ISNUMBER(Base_IFData!L842),ISNUMBER(Base_IFData!W842)),IF(Base_IFData!L842&gt;$B$4,Base_IFData!W842,""),"")</f>
        <v/>
      </c>
      <c r="N841" s="50">
        <f>IF(AND(ISNUMBER(Base_IFData!O842),ISNUMBER(Base_IFData!Q842)),IF(Base_IFData!Q842&gt;0,Base_IFData!O842/Base_IFData!Q842,"PL ≤ 0"),"NI")</f>
        <v>4.628083349910483</v>
      </c>
      <c r="O841" s="107">
        <f>IF(AND(ISNUMBER(Base_IFData!M842),ISNUMBER(Base_IFData!Q842)),IF(Base_IFData!Q842&gt;0,Base_IFData!M842/Base_IFData!Q842,"PL ≤ 0"),"NI")</f>
        <v>1.6485229759299782</v>
      </c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spans="1:30" ht="1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12" t="str">
        <f>Base_IFData!A843</f>
        <v>COOPERATIVA DE CRÉDITO DE LIVRE ADMISSÃO DA REGIÃO DE SÃO SEBASTIÃO DO PARAÍSO LTDA. - SICOOB PARAÍSOCRED</v>
      </c>
      <c r="L842" s="12" t="str">
        <f>Base_IFData!F843</f>
        <v>b3S</v>
      </c>
      <c r="M842" s="14" t="str">
        <f>IF(AND(ISNUMBER(Base_IFData!L843),ISNUMBER(Base_IFData!W843)),IF(Base_IFData!L843&gt;$B$4,Base_IFData!W843,""),"")</f>
        <v/>
      </c>
      <c r="N842" s="51">
        <f>IF(AND(ISNUMBER(Base_IFData!O843),ISNUMBER(Base_IFData!Q843)),IF(Base_IFData!Q843&gt;0,Base_IFData!O843/Base_IFData!Q843,"PL ≤ 0"),"NI")</f>
        <v>6.0179420872841041</v>
      </c>
      <c r="O842" s="110">
        <f>IF(AND(ISNUMBER(Base_IFData!M843),ISNUMBER(Base_IFData!Q843)),IF(Base_IFData!Q843&gt;0,Base_IFData!M843/Base_IFData!Q843,"PL ≤ 0"),"NI")</f>
        <v>3.4030584554480732</v>
      </c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spans="1:30" ht="1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15" t="str">
        <f>Base_IFData!A844</f>
        <v>SRM BANK INSTITUIÇÃO DE PAGAMENTO S/A</v>
      </c>
      <c r="L843" s="15" t="str">
        <f>Base_IFData!F844</f>
        <v>n4</v>
      </c>
      <c r="M843" s="17" t="str">
        <f>IF(AND(ISNUMBER(Base_IFData!L844),ISNUMBER(Base_IFData!W844)),IF(Base_IFData!L844&gt;$B$4,Base_IFData!W844,""),"")</f>
        <v/>
      </c>
      <c r="N843" s="50">
        <f>IF(AND(ISNUMBER(Base_IFData!O844),ISNUMBER(Base_IFData!Q844)),IF(Base_IFData!Q844&gt;0,Base_IFData!O844/Base_IFData!Q844,"PL ≤ 0"),"NI")</f>
        <v>9.323852952237683</v>
      </c>
      <c r="O843" s="107">
        <f>IF(AND(ISNUMBER(Base_IFData!M844),ISNUMBER(Base_IFData!Q844)),IF(Base_IFData!Q844&gt;0,Base_IFData!M844/Base_IFData!Q844,"PL ≤ 0"),"NI")</f>
        <v>0</v>
      </c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spans="1:30" ht="1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12" t="str">
        <f>Base_IFData!A845</f>
        <v>BOLT CARD INSTITUIÇÃO DE PAGAMENTOS LTDA.</v>
      </c>
      <c r="L844" s="12" t="str">
        <f>Base_IFData!F845</f>
        <v>n4</v>
      </c>
      <c r="M844" s="14" t="str">
        <f>IF(AND(ISNUMBER(Base_IFData!L845),ISNUMBER(Base_IFData!W845)),IF(Base_IFData!L845&gt;$B$4,Base_IFData!W845,""),"")</f>
        <v/>
      </c>
      <c r="N844" s="51">
        <f>IF(AND(ISNUMBER(Base_IFData!O845),ISNUMBER(Base_IFData!Q845)),IF(Base_IFData!Q845&gt;0,Base_IFData!O845/Base_IFData!Q845,"PL ≤ 0"),"NI")</f>
        <v>1.3227293536469811</v>
      </c>
      <c r="O844" s="110">
        <f>IF(AND(ISNUMBER(Base_IFData!M845),ISNUMBER(Base_IFData!Q845)),IF(Base_IFData!Q845&gt;0,Base_IFData!M845/Base_IFData!Q845,"PL ≤ 0"),"NI")</f>
        <v>0</v>
      </c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spans="1:30" ht="1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15" t="str">
        <f>Base_IFData!A846</f>
        <v>AGÊNCIA DE FOMENTO E DESENVOLVIMENTO DO ESTADO DO PIAUÍ S.A.</v>
      </c>
      <c r="L845" s="15" t="str">
        <f>Base_IFData!F846</f>
        <v>n1</v>
      </c>
      <c r="M845" s="17" t="str">
        <f>IF(AND(ISNUMBER(Base_IFData!L846),ISNUMBER(Base_IFData!W846)),IF(Base_IFData!L846&gt;$B$4,Base_IFData!W846,""),"")</f>
        <v/>
      </c>
      <c r="N845" s="50">
        <f>IF(AND(ISNUMBER(Base_IFData!O846),ISNUMBER(Base_IFData!Q846)),IF(Base_IFData!Q846&gt;0,Base_IFData!O846/Base_IFData!Q846,"PL ≤ 0"),"NI")</f>
        <v>1.0056370407834843</v>
      </c>
      <c r="O845" s="107">
        <f>IF(AND(ISNUMBER(Base_IFData!M846),ISNUMBER(Base_IFData!Q846)),IF(Base_IFData!Q846&gt;0,Base_IFData!M846/Base_IFData!Q846,"PL ≤ 0"),"NI")</f>
        <v>1.2169846889512161</v>
      </c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spans="1:30" ht="1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12" t="str">
        <f>Base_IFData!A847</f>
        <v>COOPERATIVA DE CRÉDITO DE LIVRE ADMISSÃO CREDIEMBRAPA LTDA - SICOOB.</v>
      </c>
      <c r="L846" s="12" t="str">
        <f>Base_IFData!F847</f>
        <v>b3S</v>
      </c>
      <c r="M846" s="14" t="str">
        <f>IF(AND(ISNUMBER(Base_IFData!L847),ISNUMBER(Base_IFData!W847)),IF(Base_IFData!L847&gt;$B$4,Base_IFData!W847,""),"")</f>
        <v/>
      </c>
      <c r="N846" s="51">
        <f>IF(AND(ISNUMBER(Base_IFData!O847),ISNUMBER(Base_IFData!Q847)),IF(Base_IFData!Q847&gt;0,Base_IFData!O847/Base_IFData!Q847,"PL ≤ 0"),"NI")</f>
        <v>2.3905087817988626</v>
      </c>
      <c r="O846" s="110">
        <f>IF(AND(ISNUMBER(Base_IFData!M847),ISNUMBER(Base_IFData!Q847)),IF(Base_IFData!Q847&gt;0,Base_IFData!M847/Base_IFData!Q847,"PL ≤ 0"),"NI")</f>
        <v>1.7515313457091068</v>
      </c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spans="1:30" ht="1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15" t="str">
        <f>Base_IFData!A848</f>
        <v>APEX GROUP DISTRIBUIDORA DE TÍTULOS E VALORES MOBILIÁRIOS S.A.</v>
      </c>
      <c r="L847" s="15" t="str">
        <f>Base_IFData!F848</f>
        <v>n2</v>
      </c>
      <c r="M847" s="17" t="str">
        <f>IF(AND(ISNUMBER(Base_IFData!L848),ISNUMBER(Base_IFData!W848)),IF(Base_IFData!L848&gt;$B$4,Base_IFData!W848,""),"")</f>
        <v/>
      </c>
      <c r="N847" s="50">
        <f>IF(AND(ISNUMBER(Base_IFData!O848),ISNUMBER(Base_IFData!Q848)),IF(Base_IFData!Q848&gt;0,Base_IFData!O848/Base_IFData!Q848,"PL ≤ 0"),"NI")</f>
        <v>6.5252171476604088</v>
      </c>
      <c r="O847" s="107">
        <f>IF(AND(ISNUMBER(Base_IFData!M848),ISNUMBER(Base_IFData!Q848)),IF(Base_IFData!Q848&gt;0,Base_IFData!M848/Base_IFData!Q848,"PL ≤ 0"),"NI")</f>
        <v>0</v>
      </c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spans="1:30" ht="1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12" t="str">
        <f>Base_IFData!A849</f>
        <v>MERCEDES-BENZ LEASING DO BRASIL ARRENDAMENTO MERCANTIL S.A.</v>
      </c>
      <c r="L848" s="12" t="str">
        <f>Base_IFData!F849</f>
        <v>n1</v>
      </c>
      <c r="M848" s="14" t="str">
        <f>IF(AND(ISNUMBER(Base_IFData!L849),ISNUMBER(Base_IFData!W849)),IF(Base_IFData!L849&gt;$B$4,Base_IFData!W849,""),"")</f>
        <v/>
      </c>
      <c r="N848" s="51">
        <f>IF(AND(ISNUMBER(Base_IFData!O849),ISNUMBER(Base_IFData!Q849)),IF(Base_IFData!Q849&gt;0,Base_IFData!O849/Base_IFData!Q849,"PL ≤ 0"),"NI")</f>
        <v>0.33455242075931729</v>
      </c>
      <c r="O848" s="110">
        <f>IF(AND(ISNUMBER(Base_IFData!M849),ISNUMBER(Base_IFData!Q849)),IF(Base_IFData!Q849&gt;0,Base_IFData!M849/Base_IFData!Q849,"PL ≤ 0"),"NI")</f>
        <v>5.6762203313927451E-2</v>
      </c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spans="1:30" ht="1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15" t="str">
        <f>Base_IFData!A850</f>
        <v>C&amp;A PAY SOCIEDADE DE CRÉDITO DIRETO S.A.</v>
      </c>
      <c r="L849" s="15" t="str">
        <f>Base_IFData!F850</f>
        <v>n1</v>
      </c>
      <c r="M849" s="17" t="str">
        <f>IF(AND(ISNUMBER(Base_IFData!L850),ISNUMBER(Base_IFData!W850)),IF(Base_IFData!L850&gt;$B$4,Base_IFData!W850,""),"")</f>
        <v/>
      </c>
      <c r="N849" s="50">
        <f>IF(AND(ISNUMBER(Base_IFData!O850),ISNUMBER(Base_IFData!Q850)),IF(Base_IFData!Q850&gt;0,Base_IFData!O850/Base_IFData!Q850,"PL ≤ 0"),"NI")</f>
        <v>0.328095950522382</v>
      </c>
      <c r="O849" s="107">
        <f>IF(AND(ISNUMBER(Base_IFData!M850),ISNUMBER(Base_IFData!Q850)),IF(Base_IFData!Q850&gt;0,Base_IFData!M850/Base_IFData!Q850,"PL ≤ 0"),"NI")</f>
        <v>0</v>
      </c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spans="1:30" ht="1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12" t="str">
        <f>Base_IFData!A851</f>
        <v>VITREO DISTRIBUIDORA DE TÍTULOS E VALORES MOBILIÁRIOS S.A.</v>
      </c>
      <c r="L850" s="12" t="str">
        <f>Base_IFData!F851</f>
        <v>n2</v>
      </c>
      <c r="M850" s="14" t="str">
        <f>IF(AND(ISNUMBER(Base_IFData!L851),ISNUMBER(Base_IFData!W851)),IF(Base_IFData!L851&gt;$B$4,Base_IFData!W851,""),"")</f>
        <v/>
      </c>
      <c r="N850" s="51">
        <f>IF(AND(ISNUMBER(Base_IFData!O851),ISNUMBER(Base_IFData!Q851)),IF(Base_IFData!Q851&gt;0,Base_IFData!O851/Base_IFData!Q851,"PL ≤ 0"),"NI")</f>
        <v>9.9467316391107674E-2</v>
      </c>
      <c r="O850" s="110">
        <f>IF(AND(ISNUMBER(Base_IFData!M851),ISNUMBER(Base_IFData!Q851)),IF(Base_IFData!Q851&gt;0,Base_IFData!M851/Base_IFData!Q851,"PL ≤ 0"),"NI")</f>
        <v>0</v>
      </c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spans="1:30" ht="1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15" t="str">
        <f>Base_IFData!A852</f>
        <v>COOPERATIVA DE CRÉDITO SICOOB UNI SUL MS</v>
      </c>
      <c r="L851" s="15" t="str">
        <f>Base_IFData!F852</f>
        <v>b3S</v>
      </c>
      <c r="M851" s="17" t="str">
        <f>IF(AND(ISNUMBER(Base_IFData!L852),ISNUMBER(Base_IFData!W852)),IF(Base_IFData!L852&gt;$B$4,Base_IFData!W852,""),"")</f>
        <v/>
      </c>
      <c r="N851" s="50">
        <f>IF(AND(ISNUMBER(Base_IFData!O852),ISNUMBER(Base_IFData!Q852)),IF(Base_IFData!Q852&gt;0,Base_IFData!O852/Base_IFData!Q852,"PL ≤ 0"),"NI")</f>
        <v>3.4951898075923036</v>
      </c>
      <c r="O851" s="107">
        <f>IF(AND(ISNUMBER(Base_IFData!M852),ISNUMBER(Base_IFData!Q852)),IF(Base_IFData!Q852&gt;0,Base_IFData!M852/Base_IFData!Q852,"PL ≤ 0"),"NI")</f>
        <v>1.8384252036748137</v>
      </c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spans="1:30" ht="1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12" t="str">
        <f>Base_IFData!A853</f>
        <v>COOPERATIVA DE CREDITO E ECONOMIA COM INTERAÇÃO SOLIDARIA - CRESOL LITORAL</v>
      </c>
      <c r="L852" s="12" t="str">
        <f>Base_IFData!F853</f>
        <v>b3S</v>
      </c>
      <c r="M852" s="14" t="str">
        <f>IF(AND(ISNUMBER(Base_IFData!L853),ISNUMBER(Base_IFData!W853)),IF(Base_IFData!L853&gt;$B$4,Base_IFData!W853,""),"")</f>
        <v/>
      </c>
      <c r="N852" s="51">
        <f>IF(AND(ISNUMBER(Base_IFData!O853),ISNUMBER(Base_IFData!Q853)),IF(Base_IFData!Q853&gt;0,Base_IFData!O853/Base_IFData!Q853,"PL ≤ 0"),"NI")</f>
        <v>9.474292929292929</v>
      </c>
      <c r="O852" s="110">
        <f>IF(AND(ISNUMBER(Base_IFData!M853),ISNUMBER(Base_IFData!Q853)),IF(Base_IFData!Q853&gt;0,Base_IFData!M853/Base_IFData!Q853,"PL ≤ 0"),"NI")</f>
        <v>7.3756565656565654</v>
      </c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spans="1:30" ht="1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15" t="str">
        <f>Base_IFData!A854</f>
        <v>COOPERATIVA DE CRÉDITO, POUPANÇA E INVESTIMENTO DOS PROFESSORES, FUNCIONÁRIOS E ALUNOS DA UNIVERSIDADE DE CAXIAS DO SUL - SICREDI EDUCAÇÃO RS</v>
      </c>
      <c r="L853" s="15" t="str">
        <f>Base_IFData!F854</f>
        <v>b3S</v>
      </c>
      <c r="M853" s="17" t="str">
        <f>IF(AND(ISNUMBER(Base_IFData!L854),ISNUMBER(Base_IFData!W854)),IF(Base_IFData!L854&gt;$B$4,Base_IFData!W854,""),"")</f>
        <v/>
      </c>
      <c r="N853" s="50">
        <f>IF(AND(ISNUMBER(Base_IFData!O854),ISNUMBER(Base_IFData!Q854)),IF(Base_IFData!Q854&gt;0,Base_IFData!O854/Base_IFData!Q854,"PL ≤ 0"),"NI")</f>
        <v>7.3279635012919897</v>
      </c>
      <c r="O853" s="107">
        <f>IF(AND(ISNUMBER(Base_IFData!M854),ISNUMBER(Base_IFData!Q854)),IF(Base_IFData!Q854&gt;0,Base_IFData!M854/Base_IFData!Q854,"PL ≤ 0"),"NI")</f>
        <v>4.7141876614987082</v>
      </c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spans="1:30" ht="1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12" t="str">
        <f>Base_IFData!A855</f>
        <v>COOPERATIVA DE CRÉDITO CREDICAPI LTDA - SICOOB CREDICAPI</v>
      </c>
      <c r="L854" s="12" t="str">
        <f>Base_IFData!F855</f>
        <v>b3S</v>
      </c>
      <c r="M854" s="14" t="str">
        <f>IF(AND(ISNUMBER(Base_IFData!L855),ISNUMBER(Base_IFData!W855)),IF(Base_IFData!L855&gt;$B$4,Base_IFData!W855,""),"")</f>
        <v/>
      </c>
      <c r="N854" s="51">
        <f>IF(AND(ISNUMBER(Base_IFData!O855),ISNUMBER(Base_IFData!Q855)),IF(Base_IFData!Q855&gt;0,Base_IFData!O855/Base_IFData!Q855,"PL ≤ 0"),"NI")</f>
        <v>4.9716247808299237</v>
      </c>
      <c r="O854" s="110">
        <f>IF(AND(ISNUMBER(Base_IFData!M855),ISNUMBER(Base_IFData!Q855)),IF(Base_IFData!Q855&gt;0,Base_IFData!M855/Base_IFData!Q855,"PL ≤ 0"),"NI")</f>
        <v>3.3182057276446524</v>
      </c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spans="1:30" ht="1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15" t="str">
        <f>Base_IFData!A856</f>
        <v>WESTERN UNION CORRETORA DE CÂMBIO S.A.</v>
      </c>
      <c r="L855" s="15" t="str">
        <f>Base_IFData!F856</f>
        <v>n2</v>
      </c>
      <c r="M855" s="17" t="str">
        <f>IF(AND(ISNUMBER(Base_IFData!L856),ISNUMBER(Base_IFData!W856)),IF(Base_IFData!L856&gt;$B$4,Base_IFData!W856,""),"")</f>
        <v/>
      </c>
      <c r="N855" s="50">
        <f>IF(AND(ISNUMBER(Base_IFData!O856),ISNUMBER(Base_IFData!Q856)),IF(Base_IFData!Q856&gt;0,Base_IFData!O856/Base_IFData!Q856,"PL ≤ 0"),"NI")</f>
        <v>0.31454309608703301</v>
      </c>
      <c r="O855" s="107">
        <f>IF(AND(ISNUMBER(Base_IFData!M856),ISNUMBER(Base_IFData!Q856)),IF(Base_IFData!Q856&gt;0,Base_IFData!M856/Base_IFData!Q856,"PL ≤ 0"),"NI")</f>
        <v>0</v>
      </c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spans="1:30" ht="1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12" t="str">
        <f>Base_IFData!A857</f>
        <v>BRASIL CASH INSTITUICAO DE PAGAMENTO S.A</v>
      </c>
      <c r="L856" s="12" t="str">
        <f>Base_IFData!F857</f>
        <v>n4</v>
      </c>
      <c r="M856" s="14" t="str">
        <f>IF(AND(ISNUMBER(Base_IFData!L857),ISNUMBER(Base_IFData!W857)),IF(Base_IFData!L857&gt;$B$4,Base_IFData!W857,""),"")</f>
        <v/>
      </c>
      <c r="N856" s="51">
        <f>IF(AND(ISNUMBER(Base_IFData!O857),ISNUMBER(Base_IFData!Q857)),IF(Base_IFData!Q857&gt;0,Base_IFData!O857/Base_IFData!Q857,"PL ≤ 0"),"NI")</f>
        <v>31.823461853978671</v>
      </c>
      <c r="O856" s="110">
        <f>IF(AND(ISNUMBER(Base_IFData!M857),ISNUMBER(Base_IFData!Q857)),IF(Base_IFData!Q857&gt;0,Base_IFData!M857/Base_IFData!Q857,"PL ≤ 0"),"NI")</f>
        <v>0</v>
      </c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spans="1:30" ht="1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15" t="str">
        <f>Base_IFData!A858</f>
        <v>PAGBRASIL INSTITUICAO DE PAGAMENTO LTDA</v>
      </c>
      <c r="L857" s="15" t="str">
        <f>Base_IFData!F858</f>
        <v>n4</v>
      </c>
      <c r="M857" s="17" t="str">
        <f>IF(AND(ISNUMBER(Base_IFData!L858),ISNUMBER(Base_IFData!W858)),IF(Base_IFData!L858&gt;$B$4,Base_IFData!W858,""),"")</f>
        <v/>
      </c>
      <c r="N857" s="50">
        <f>IF(AND(ISNUMBER(Base_IFData!O858),ISNUMBER(Base_IFData!Q858)),IF(Base_IFData!Q858&gt;0,Base_IFData!O858/Base_IFData!Q858,"PL ≤ 0"),"NI")</f>
        <v>8.5623475391017365</v>
      </c>
      <c r="O857" s="107">
        <f>IF(AND(ISNUMBER(Base_IFData!M858),ISNUMBER(Base_IFData!Q858)),IF(Base_IFData!Q858&gt;0,Base_IFData!M858/Base_IFData!Q858,"PL ≤ 0"),"NI")</f>
        <v>0</v>
      </c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spans="1:30" ht="1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12" t="str">
        <f>Base_IFData!A859</f>
        <v>BANRISUL S/A - CORRETORA DE VALORES MOBILIARIOS E CAMBIO</v>
      </c>
      <c r="L858" s="12" t="str">
        <f>Base_IFData!F859</f>
        <v>n2</v>
      </c>
      <c r="M858" s="14" t="str">
        <f>IF(AND(ISNUMBER(Base_IFData!L859),ISNUMBER(Base_IFData!W859)),IF(Base_IFData!L859&gt;$B$4,Base_IFData!W859,""),"")</f>
        <v/>
      </c>
      <c r="N858" s="51">
        <f>IF(AND(ISNUMBER(Base_IFData!O859),ISNUMBER(Base_IFData!Q859)),IF(Base_IFData!Q859&gt;0,Base_IFData!O859/Base_IFData!Q859,"PL ≤ 0"),"NI")</f>
        <v>0.11493963219317699</v>
      </c>
      <c r="O858" s="110">
        <f>IF(AND(ISNUMBER(Base_IFData!M859),ISNUMBER(Base_IFData!Q859)),IF(Base_IFData!Q859&gt;0,Base_IFData!M859/Base_IFData!Q859,"PL ≤ 0"),"NI")</f>
        <v>0</v>
      </c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spans="1:30" ht="1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15" t="str">
        <f>Base_IFData!A860</f>
        <v>BANCO DE LA PROVINCIA DE BUENOS AIRES</v>
      </c>
      <c r="L859" s="15" t="str">
        <f>Base_IFData!F860</f>
        <v>b1</v>
      </c>
      <c r="M859" s="17" t="str">
        <f>IF(AND(ISNUMBER(Base_IFData!L860),ISNUMBER(Base_IFData!W860)),IF(Base_IFData!L860&gt;$B$4,Base_IFData!W860,""),"")</f>
        <v/>
      </c>
      <c r="N859" s="50">
        <f>IF(AND(ISNUMBER(Base_IFData!O860),ISNUMBER(Base_IFData!Q860)),IF(Base_IFData!Q860&gt;0,Base_IFData!O860/Base_IFData!Q860,"PL ≤ 0"),"NI")</f>
        <v>0.32427922312919699</v>
      </c>
      <c r="O859" s="107">
        <f>IF(AND(ISNUMBER(Base_IFData!M860),ISNUMBER(Base_IFData!Q860)),IF(Base_IFData!Q860&gt;0,Base_IFData!M860/Base_IFData!Q860,"PL ≤ 0"),"NI")</f>
        <v>0.28422936185612613</v>
      </c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spans="1:30" ht="1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12" t="str">
        <f>Base_IFData!A861</f>
        <v>CREDISIS CREDIBRÁS COOPERATIVA DE CRÉDITO E INVESTIMENTO DE LIVRE ADMISSÃO DO OESTE DE RONDÔNIA</v>
      </c>
      <c r="L860" s="12" t="str">
        <f>Base_IFData!F861</f>
        <v>b3S</v>
      </c>
      <c r="M860" s="14" t="str">
        <f>IF(AND(ISNUMBER(Base_IFData!L861),ISNUMBER(Base_IFData!W861)),IF(Base_IFData!L861&gt;$B$4,Base_IFData!W861,""),"")</f>
        <v/>
      </c>
      <c r="N860" s="51">
        <f>IF(AND(ISNUMBER(Base_IFData!O861),ISNUMBER(Base_IFData!Q861)),IF(Base_IFData!Q861&gt;0,Base_IFData!O861/Base_IFData!Q861,"PL ≤ 0"),"NI")</f>
        <v>3.7501990974250066</v>
      </c>
      <c r="O860" s="110">
        <f>IF(AND(ISNUMBER(Base_IFData!M861),ISNUMBER(Base_IFData!Q861)),IF(Base_IFData!Q861&gt;0,Base_IFData!M861/Base_IFData!Q861,"PL ≤ 0"),"NI")</f>
        <v>2.3787919009580811</v>
      </c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spans="1:30" ht="1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15" t="str">
        <f>Base_IFData!A862</f>
        <v>BANCO ITAUBANK S.A.</v>
      </c>
      <c r="L861" s="15" t="str">
        <f>Base_IFData!F862</f>
        <v>b1</v>
      </c>
      <c r="M861" s="17" t="str">
        <f>IF(AND(ISNUMBER(Base_IFData!L862),ISNUMBER(Base_IFData!W862)),IF(Base_IFData!L862&gt;$B$4,Base_IFData!W862,""),"")</f>
        <v/>
      </c>
      <c r="N861" s="50">
        <f>IF(AND(ISNUMBER(Base_IFData!O862),ISNUMBER(Base_IFData!Q862)),IF(Base_IFData!Q862&gt;0,Base_IFData!O862/Base_IFData!Q862,"PL ≤ 0"),"NI")</f>
        <v>8.7026239067055394E-2</v>
      </c>
      <c r="O861" s="107">
        <f>IF(AND(ISNUMBER(Base_IFData!M862),ISNUMBER(Base_IFData!Q862)),IF(Base_IFData!Q862&gt;0,Base_IFData!M862/Base_IFData!Q862,"PL ≤ 0"),"NI")</f>
        <v>0</v>
      </c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spans="1:30" ht="1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12" t="str">
        <f>Base_IFData!A863</f>
        <v>POMELO INSTITUICAO DE PAGAMENTO LTDA.</v>
      </c>
      <c r="L862" s="12" t="str">
        <f>Base_IFData!F863</f>
        <v>n4</v>
      </c>
      <c r="M862" s="14" t="str">
        <f>IF(AND(ISNUMBER(Base_IFData!L863),ISNUMBER(Base_IFData!W863)),IF(Base_IFData!L863&gt;$B$4,Base_IFData!W863,""),"")</f>
        <v/>
      </c>
      <c r="N862" s="51">
        <f>IF(AND(ISNUMBER(Base_IFData!O863),ISNUMBER(Base_IFData!Q863)),IF(Base_IFData!Q863&gt;0,Base_IFData!O863/Base_IFData!Q863,"PL ≤ 0"),"NI")</f>
        <v>8.6149416654148521</v>
      </c>
      <c r="O862" s="110">
        <f>IF(AND(ISNUMBER(Base_IFData!M863),ISNUMBER(Base_IFData!Q863)),IF(Base_IFData!Q863&gt;0,Base_IFData!M863/Base_IFData!Q863,"PL ≤ 0"),"NI")</f>
        <v>2.58404686795854</v>
      </c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spans="1:30" ht="1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15" t="str">
        <f>Base_IFData!A864</f>
        <v>COOPERATIVA DE CRÉDITO DE LIVRE ADMISSÃO DE ASSOCIADOS DE DORES DO INDAIÁ LTDA - SICOOB COOPCREDI</v>
      </c>
      <c r="L863" s="15" t="str">
        <f>Base_IFData!F864</f>
        <v>b3S</v>
      </c>
      <c r="M863" s="17" t="str">
        <f>IF(AND(ISNUMBER(Base_IFData!L864),ISNUMBER(Base_IFData!W864)),IF(Base_IFData!L864&gt;$B$4,Base_IFData!W864,""),"")</f>
        <v/>
      </c>
      <c r="N863" s="50">
        <f>IF(AND(ISNUMBER(Base_IFData!O864),ISNUMBER(Base_IFData!Q864)),IF(Base_IFData!Q864&gt;0,Base_IFData!O864/Base_IFData!Q864,"PL ≤ 0"),"NI")</f>
        <v>5.6526720223541735</v>
      </c>
      <c r="O863" s="107">
        <f>IF(AND(ISNUMBER(Base_IFData!M864),ISNUMBER(Base_IFData!Q864)),IF(Base_IFData!Q864&gt;0,Base_IFData!M864/Base_IFData!Q864,"PL ≤ 0"),"NI")</f>
        <v>1.6579811386657353</v>
      </c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spans="1:30" ht="1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12" t="str">
        <f>Base_IFData!A865</f>
        <v>PLANNER CORRETORA DE VALORES S.A.</v>
      </c>
      <c r="L864" s="12" t="str">
        <f>Base_IFData!F865</f>
        <v>n2</v>
      </c>
      <c r="M864" s="14" t="str">
        <f>IF(AND(ISNUMBER(Base_IFData!L865),ISNUMBER(Base_IFData!W865)),IF(Base_IFData!L865&gt;$B$4,Base_IFData!W865,""),"")</f>
        <v/>
      </c>
      <c r="N864" s="51" t="str">
        <f>IF(AND(ISNUMBER(Base_IFData!O865),ISNUMBER(Base_IFData!Q865)),IF(Base_IFData!Q865&gt;0,Base_IFData!O865/Base_IFData!Q865,"PL ≤ 0"),"NI")</f>
        <v>PL ≤ 0</v>
      </c>
      <c r="O864" s="110" t="str">
        <f>IF(AND(ISNUMBER(Base_IFData!M865),ISNUMBER(Base_IFData!Q865)),IF(Base_IFData!Q865&gt;0,Base_IFData!M865/Base_IFData!Q865,"PL ≤ 0"),"NI")</f>
        <v>PL ≤ 0</v>
      </c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spans="1:30" ht="1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15" t="str">
        <f>Base_IFData!A866</f>
        <v>COOPERATIVA DE ECONOMIA E CRÉDITO MÚTUO DOS FUNCIONÁRIOS DO ATACADÃO</v>
      </c>
      <c r="L865" s="15" t="str">
        <f>Base_IFData!F866</f>
        <v>b3S</v>
      </c>
      <c r="M865" s="17" t="str">
        <f>IF(AND(ISNUMBER(Base_IFData!L866),ISNUMBER(Base_IFData!W866)),IF(Base_IFData!L866&gt;$B$4,Base_IFData!W866,""),"")</f>
        <v/>
      </c>
      <c r="N865" s="50">
        <f>IF(AND(ISNUMBER(Base_IFData!O866),ISNUMBER(Base_IFData!Q866)),IF(Base_IFData!Q866&gt;0,Base_IFData!O866/Base_IFData!Q866,"PL ≤ 0"),"NI")</f>
        <v>0.12125571112748711</v>
      </c>
      <c r="O865" s="107">
        <f>IF(AND(ISNUMBER(Base_IFData!M866),ISNUMBER(Base_IFData!Q866)),IF(Base_IFData!Q866&gt;0,Base_IFData!M866/Base_IFData!Q866,"PL ≤ 0"),"NI")</f>
        <v>0.46954163596168019</v>
      </c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spans="1:30" ht="1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12" t="str">
        <f>Base_IFData!A867</f>
        <v>TULLETT PREBON BRASIL CORRETORA DE VALORES E CÂMBIO LTDA</v>
      </c>
      <c r="L866" s="12" t="str">
        <f>Base_IFData!F867</f>
        <v>n2</v>
      </c>
      <c r="M866" s="14" t="str">
        <f>IF(AND(ISNUMBER(Base_IFData!L867),ISNUMBER(Base_IFData!W867)),IF(Base_IFData!L867&gt;$B$4,Base_IFData!W867,""),"")</f>
        <v/>
      </c>
      <c r="N866" s="51">
        <f>IF(AND(ISNUMBER(Base_IFData!O867),ISNUMBER(Base_IFData!Q867)),IF(Base_IFData!Q867&gt;0,Base_IFData!O867/Base_IFData!Q867,"PL ≤ 0"),"NI")</f>
        <v>0.84491105105283482</v>
      </c>
      <c r="O866" s="110">
        <f>IF(AND(ISNUMBER(Base_IFData!M867),ISNUMBER(Base_IFData!Q867)),IF(Base_IFData!Q867&gt;0,Base_IFData!M867/Base_IFData!Q867,"PL ≤ 0"),"NI")</f>
        <v>0</v>
      </c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spans="1:30" ht="1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15" t="str">
        <f>Base_IFData!A868</f>
        <v>COOPERATIVA DE CRÉDITO DE LIVRE ADMISSÃO SICOOB UNIÃO SUDESTE</v>
      </c>
      <c r="L867" s="15" t="str">
        <f>Base_IFData!F868</f>
        <v>b3S</v>
      </c>
      <c r="M867" s="17" t="str">
        <f>IF(AND(ISNUMBER(Base_IFData!L868),ISNUMBER(Base_IFData!W868)),IF(Base_IFData!L868&gt;$B$4,Base_IFData!W868,""),"")</f>
        <v/>
      </c>
      <c r="N867" s="50">
        <f>IF(AND(ISNUMBER(Base_IFData!O868),ISNUMBER(Base_IFData!Q868)),IF(Base_IFData!Q868&gt;0,Base_IFData!O868/Base_IFData!Q868,"PL ≤ 0"),"NI")</f>
        <v>10.910244089948106</v>
      </c>
      <c r="O867" s="107">
        <f>IF(AND(ISNUMBER(Base_IFData!M868),ISNUMBER(Base_IFData!Q868)),IF(Base_IFData!Q868&gt;0,Base_IFData!M868/Base_IFData!Q868,"PL ≤ 0"),"NI")</f>
        <v>4.4901659299122301</v>
      </c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spans="1:30" ht="1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12" t="str">
        <f>Base_IFData!A869</f>
        <v>COOPERATIVA DE CRÉDITO DE LIVRE ADMISSÃO DE ASSOCIADOS - SICOOB CRUZ ALTA</v>
      </c>
      <c r="L868" s="12" t="str">
        <f>Base_IFData!F869</f>
        <v>b3S</v>
      </c>
      <c r="M868" s="14" t="str">
        <f>IF(AND(ISNUMBER(Base_IFData!L869),ISNUMBER(Base_IFData!W869)),IF(Base_IFData!L869&gt;$B$4,Base_IFData!W869,""),"")</f>
        <v/>
      </c>
      <c r="N868" s="51">
        <f>IF(AND(ISNUMBER(Base_IFData!O869),ISNUMBER(Base_IFData!Q869)),IF(Base_IFData!Q869&gt;0,Base_IFData!O869/Base_IFData!Q869,"PL ≤ 0"),"NI")</f>
        <v>7.5670065045901183</v>
      </c>
      <c r="O868" s="110">
        <f>IF(AND(ISNUMBER(Base_IFData!M869),ISNUMBER(Base_IFData!Q869)),IF(Base_IFData!Q869&gt;0,Base_IFData!M869/Base_IFData!Q869,"PL ≤ 0"),"NI")</f>
        <v>4.5803386077409236</v>
      </c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spans="1:30" ht="1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15" t="str">
        <f>Base_IFData!A870</f>
        <v>BANCO UBS (BRASIL) S.A.</v>
      </c>
      <c r="L869" s="15" t="str">
        <f>Base_IFData!F870</f>
        <v>b1</v>
      </c>
      <c r="M869" s="17" t="str">
        <f>IF(AND(ISNUMBER(Base_IFData!L870),ISNUMBER(Base_IFData!W870)),IF(Base_IFData!L870&gt;$B$4,Base_IFData!W870,""),"")</f>
        <v/>
      </c>
      <c r="N869" s="50">
        <f>IF(AND(ISNUMBER(Base_IFData!O870),ISNUMBER(Base_IFData!Q870)),IF(Base_IFData!Q870&gt;0,Base_IFData!O870/Base_IFData!Q870,"PL ≤ 0"),"NI")</f>
        <v>0.11447669111205053</v>
      </c>
      <c r="O869" s="107">
        <f>IF(AND(ISNUMBER(Base_IFData!M870),ISNUMBER(Base_IFData!Q870)),IF(Base_IFData!Q870&gt;0,Base_IFData!M870/Base_IFData!Q870,"PL ≤ 0"),"NI")</f>
        <v>1.0755478768050679</v>
      </c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spans="1:30" ht="1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12" t="str">
        <f>Base_IFData!A871</f>
        <v>SINOSSERRA FINANCEIRA S/A - SOCIEDADE DE CRÉDITO, FINANCIAMENTO E INVESTIMENTO</v>
      </c>
      <c r="L870" s="12" t="str">
        <f>Base_IFData!F871</f>
        <v>n1</v>
      </c>
      <c r="M870" s="14" t="str">
        <f>IF(AND(ISNUMBER(Base_IFData!L871),ISNUMBER(Base_IFData!W871)),IF(Base_IFData!L871&gt;$B$4,Base_IFData!W871,""),"")</f>
        <v/>
      </c>
      <c r="N870" s="51">
        <f>IF(AND(ISNUMBER(Base_IFData!O871),ISNUMBER(Base_IFData!Q871)),IF(Base_IFData!Q871&gt;0,Base_IFData!O871/Base_IFData!Q871,"PL ≤ 0"),"NI")</f>
        <v>6.0552986361498666</v>
      </c>
      <c r="O870" s="110">
        <f>IF(AND(ISNUMBER(Base_IFData!M871),ISNUMBER(Base_IFData!Q871)),IF(Base_IFData!Q871&gt;0,Base_IFData!M871/Base_IFData!Q871,"PL ≤ 0"),"NI")</f>
        <v>6.4017871139677069</v>
      </c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spans="1:30" ht="1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15" t="str">
        <f>Base_IFData!A872</f>
        <v>CALCRED S.A. - CRÉDITO, FINANCIAMENTO E INVESTIMENTO</v>
      </c>
      <c r="L871" s="15" t="str">
        <f>Base_IFData!F872</f>
        <v>n1</v>
      </c>
      <c r="M871" s="17" t="str">
        <f>IF(AND(ISNUMBER(Base_IFData!L872),ISNUMBER(Base_IFData!W872)),IF(Base_IFData!L872&gt;$B$4,Base_IFData!W872,""),"")</f>
        <v/>
      </c>
      <c r="N871" s="50">
        <f>IF(AND(ISNUMBER(Base_IFData!O872),ISNUMBER(Base_IFData!Q872)),IF(Base_IFData!Q872&gt;0,Base_IFData!O872/Base_IFData!Q872,"PL ≤ 0"),"NI")</f>
        <v>2.9320326837367823</v>
      </c>
      <c r="O871" s="107">
        <f>IF(AND(ISNUMBER(Base_IFData!M872),ISNUMBER(Base_IFData!Q872)),IF(Base_IFData!Q872&gt;0,Base_IFData!M872/Base_IFData!Q872,"PL ≤ 0"),"NI")</f>
        <v>1.313641527571441</v>
      </c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spans="1:30" ht="1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12" t="str">
        <f>Base_IFData!A873</f>
        <v>COOPERATIVA DE CRÉDITO DE LIVRE ADMISSÃO DO OESTE MARANHENSE - SICOOB OESTE MARANHENSE</v>
      </c>
      <c r="L872" s="12" t="str">
        <f>Base_IFData!F873</f>
        <v>b3S</v>
      </c>
      <c r="M872" s="14" t="str">
        <f>IF(AND(ISNUMBER(Base_IFData!L873),ISNUMBER(Base_IFData!W873)),IF(Base_IFData!L873&gt;$B$4,Base_IFData!W873,""),"")</f>
        <v/>
      </c>
      <c r="N872" s="51">
        <f>IF(AND(ISNUMBER(Base_IFData!O873),ISNUMBER(Base_IFData!Q873)),IF(Base_IFData!Q873&gt;0,Base_IFData!O873/Base_IFData!Q873,"PL ≤ 0"),"NI")</f>
        <v>3.787098153443254</v>
      </c>
      <c r="O872" s="110">
        <f>IF(AND(ISNUMBER(Base_IFData!M873),ISNUMBER(Base_IFData!Q873)),IF(Base_IFData!Q873&gt;0,Base_IFData!M873/Base_IFData!Q873,"PL ≤ 0"),"NI")</f>
        <v>3.0611955853665056</v>
      </c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spans="1:30" ht="1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15" t="str">
        <f>Base_IFData!A874</f>
        <v>SCOTIABANK BRASIL S.A. CORRETORA DE TÍTULOS E VALORES MOBILIÁRIOS</v>
      </c>
      <c r="L873" s="15" t="str">
        <f>Base_IFData!F874</f>
        <v>n2</v>
      </c>
      <c r="M873" s="17" t="str">
        <f>IF(AND(ISNUMBER(Base_IFData!L874),ISNUMBER(Base_IFData!W874)),IF(Base_IFData!L874&gt;$B$4,Base_IFData!W874,""),"")</f>
        <v/>
      </c>
      <c r="N873" s="50">
        <f>IF(AND(ISNUMBER(Base_IFData!O874),ISNUMBER(Base_IFData!Q874)),IF(Base_IFData!Q874&gt;0,Base_IFData!O874/Base_IFData!Q874,"PL ≤ 0"),"NI")</f>
        <v>1.8349554576292679</v>
      </c>
      <c r="O873" s="107">
        <f>IF(AND(ISNUMBER(Base_IFData!M874),ISNUMBER(Base_IFData!Q874)),IF(Base_IFData!Q874&gt;0,Base_IFData!M874/Base_IFData!Q874,"PL ≤ 0"),"NI")</f>
        <v>0</v>
      </c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spans="1:30" ht="1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12" t="str">
        <f>Base_IFData!A875</f>
        <v>321 SOCIEDADE DE CRÉDITO DIRETO S.A.</v>
      </c>
      <c r="L874" s="12" t="str">
        <f>Base_IFData!F875</f>
        <v>n1</v>
      </c>
      <c r="M874" s="14" t="str">
        <f>IF(AND(ISNUMBER(Base_IFData!L875),ISNUMBER(Base_IFData!W875)),IF(Base_IFData!L875&gt;$B$4,Base_IFData!W875,""),"")</f>
        <v/>
      </c>
      <c r="N874" s="51">
        <f>IF(AND(ISNUMBER(Base_IFData!O875),ISNUMBER(Base_IFData!Q875)),IF(Base_IFData!Q875&gt;0,Base_IFData!O875/Base_IFData!Q875,"PL ≤ 0"),"NI")</f>
        <v>0.30420206288422319</v>
      </c>
      <c r="O874" s="110">
        <f>IF(AND(ISNUMBER(Base_IFData!M875),ISNUMBER(Base_IFData!Q875)),IF(Base_IFData!Q875&gt;0,Base_IFData!M875/Base_IFData!Q875,"PL ≤ 0"),"NI")</f>
        <v>0.3921534105080916</v>
      </c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spans="1:30" ht="1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15" t="str">
        <f>Base_IFData!A876</f>
        <v>VOX INSTITUICAO DE PAGAMENTO S.A.</v>
      </c>
      <c r="L875" s="15" t="str">
        <f>Base_IFData!F876</f>
        <v>n4</v>
      </c>
      <c r="M875" s="17" t="str">
        <f>IF(AND(ISNUMBER(Base_IFData!L876),ISNUMBER(Base_IFData!W876)),IF(Base_IFData!L876&gt;$B$4,Base_IFData!W876,""),"")</f>
        <v/>
      </c>
      <c r="N875" s="50">
        <f>IF(AND(ISNUMBER(Base_IFData!O876),ISNUMBER(Base_IFData!Q876)),IF(Base_IFData!Q876&gt;0,Base_IFData!O876/Base_IFData!Q876,"PL ≤ 0"),"NI")</f>
        <v>7.61271536034943</v>
      </c>
      <c r="O875" s="107">
        <f>IF(AND(ISNUMBER(Base_IFData!M876),ISNUMBER(Base_IFData!Q876)),IF(Base_IFData!Q876&gt;0,Base_IFData!M876/Base_IFData!Q876,"PL ≤ 0"),"NI")</f>
        <v>4.8158699344819222</v>
      </c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spans="1:30" ht="1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12" t="str">
        <f>Base_IFData!A877</f>
        <v>COOPERATIVA DE CRÉDITO NO PIAUÍ - SICOOB PIAUÍ</v>
      </c>
      <c r="L876" s="12" t="str">
        <f>Base_IFData!F877</f>
        <v>b3S</v>
      </c>
      <c r="M876" s="14" t="str">
        <f>IF(AND(ISNUMBER(Base_IFData!L877),ISNUMBER(Base_IFData!W877)),IF(Base_IFData!L877&gt;$B$4,Base_IFData!W877,""),"")</f>
        <v/>
      </c>
      <c r="N876" s="51">
        <f>IF(AND(ISNUMBER(Base_IFData!O877),ISNUMBER(Base_IFData!Q877)),IF(Base_IFData!Q877&gt;0,Base_IFData!O877/Base_IFData!Q877,"PL ≤ 0"),"NI")</f>
        <v>6.4090282707646056</v>
      </c>
      <c r="O876" s="110">
        <f>IF(AND(ISNUMBER(Base_IFData!M877),ISNUMBER(Base_IFData!Q877)),IF(Base_IFData!Q877&gt;0,Base_IFData!M877/Base_IFData!Q877,"PL ≤ 0"),"NI")</f>
        <v>3.4917943792541863</v>
      </c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spans="1:30" ht="1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15" t="str">
        <f>Base_IFData!A878</f>
        <v>COOPERATIVA DE ECONOMIA E CRÉDITO MÚTUO DOS MILITARES ESTADUAIS DE SANTA CATARINA - CREDPOM</v>
      </c>
      <c r="L877" s="15" t="str">
        <f>Base_IFData!F878</f>
        <v>b3S</v>
      </c>
      <c r="M877" s="17" t="str">
        <f>IF(AND(ISNUMBER(Base_IFData!L878),ISNUMBER(Base_IFData!W878)),IF(Base_IFData!L878&gt;$B$4,Base_IFData!W878,""),"")</f>
        <v/>
      </c>
      <c r="N877" s="50">
        <f>IF(AND(ISNUMBER(Base_IFData!O878),ISNUMBER(Base_IFData!Q878)),IF(Base_IFData!Q878&gt;0,Base_IFData!O878/Base_IFData!Q878,"PL ≤ 0"),"NI")</f>
        <v>9.7666949975716371</v>
      </c>
      <c r="O877" s="107">
        <f>IF(AND(ISNUMBER(Base_IFData!M878),ISNUMBER(Base_IFData!Q878)),IF(Base_IFData!Q878&gt;0,Base_IFData!M878/Base_IFData!Q878,"PL ≤ 0"),"NI")</f>
        <v>5.6154686741136475</v>
      </c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spans="1:30" ht="1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12" t="str">
        <f>Base_IFData!A879</f>
        <v>COOPERATIVA DE CRÉDITO DE LIVRE ADMISSÃO DO CIRCUITO DAS ÁGUAS - SICOOB CIRCUITO DAS ÁGUAS</v>
      </c>
      <c r="L878" s="12" t="str">
        <f>Base_IFData!F879</f>
        <v>b3S</v>
      </c>
      <c r="M878" s="14" t="str">
        <f>IF(AND(ISNUMBER(Base_IFData!L879),ISNUMBER(Base_IFData!W879)),IF(Base_IFData!L879&gt;$B$4,Base_IFData!W879,""),"")</f>
        <v/>
      </c>
      <c r="N878" s="51">
        <f>IF(AND(ISNUMBER(Base_IFData!O879),ISNUMBER(Base_IFData!Q879)),IF(Base_IFData!Q879&gt;0,Base_IFData!O879/Base_IFData!Q879,"PL ≤ 0"),"NI")</f>
        <v>9.7044417026526837</v>
      </c>
      <c r="O878" s="110">
        <f>IF(AND(ISNUMBER(Base_IFData!M879),ISNUMBER(Base_IFData!Q879)),IF(Base_IFData!Q879&gt;0,Base_IFData!M879/Base_IFData!Q879,"PL ≤ 0"),"NI")</f>
        <v>5.5210980876002465</v>
      </c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spans="1:30" ht="1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15" t="str">
        <f>Base_IFData!A880</f>
        <v>COOPERATIVA DE CRÉDITO POPULAR DO BRASIL - CREHNOR</v>
      </c>
      <c r="L879" s="15" t="str">
        <f>Base_IFData!F880</f>
        <v>b3S</v>
      </c>
      <c r="M879" s="17" t="str">
        <f>IF(AND(ISNUMBER(Base_IFData!L880),ISNUMBER(Base_IFData!W880)),IF(Base_IFData!L880&gt;$B$4,Base_IFData!W880,""),"")</f>
        <v/>
      </c>
      <c r="N879" s="50">
        <f>IF(AND(ISNUMBER(Base_IFData!O880),ISNUMBER(Base_IFData!Q880)),IF(Base_IFData!Q880&gt;0,Base_IFData!O880/Base_IFData!Q880,"PL ≤ 0"),"NI")</f>
        <v>9.6747522009481006</v>
      </c>
      <c r="O879" s="107">
        <f>IF(AND(ISNUMBER(Base_IFData!M880),ISNUMBER(Base_IFData!Q880)),IF(Base_IFData!Q880&gt;0,Base_IFData!M880/Base_IFData!Q880,"PL ≤ 0"),"NI")</f>
        <v>1.7200640275811119</v>
      </c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spans="1:30" ht="1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12" t="str">
        <f>Base_IFData!A881</f>
        <v>COOPERATIVA DE CRÉDITO SICOOB IPÊ - SICOOB IPÊ</v>
      </c>
      <c r="L880" s="12" t="str">
        <f>Base_IFData!F881</f>
        <v>b3S</v>
      </c>
      <c r="M880" s="14" t="str">
        <f>IF(AND(ISNUMBER(Base_IFData!L881),ISNUMBER(Base_IFData!W881)),IF(Base_IFData!L881&gt;$B$4,Base_IFData!W881,""),"")</f>
        <v/>
      </c>
      <c r="N880" s="51">
        <f>IF(AND(ISNUMBER(Base_IFData!O881),ISNUMBER(Base_IFData!Q881)),IF(Base_IFData!Q881&gt;0,Base_IFData!O881/Base_IFData!Q881,"PL ≤ 0"),"NI")</f>
        <v>6.093279305828422</v>
      </c>
      <c r="O880" s="110">
        <f>IF(AND(ISNUMBER(Base_IFData!M881),ISNUMBER(Base_IFData!Q881)),IF(Base_IFData!Q881&gt;0,Base_IFData!M881/Base_IFData!Q881,"PL ≤ 0"),"NI")</f>
        <v>5.0353634577603144</v>
      </c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spans="1:30" ht="1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15" t="str">
        <f>Base_IFData!A882</f>
        <v>PLANTAE S.A. - CRÉDITO, FINANCIAMENTO E INVESTIMENTO</v>
      </c>
      <c r="L881" s="15" t="str">
        <f>Base_IFData!F882</f>
        <v>n1</v>
      </c>
      <c r="M881" s="17" t="str">
        <f>IF(AND(ISNUMBER(Base_IFData!L882),ISNUMBER(Base_IFData!W882)),IF(Base_IFData!L882&gt;$B$4,Base_IFData!W882,""),"")</f>
        <v/>
      </c>
      <c r="N881" s="50">
        <f>IF(AND(ISNUMBER(Base_IFData!O882),ISNUMBER(Base_IFData!Q882)),IF(Base_IFData!Q882&gt;0,Base_IFData!O882/Base_IFData!Q882,"PL ≤ 0"),"NI")</f>
        <v>5.639592352783418</v>
      </c>
      <c r="O881" s="107">
        <f>IF(AND(ISNUMBER(Base_IFData!M882),ISNUMBER(Base_IFData!Q882)),IF(Base_IFData!Q882&gt;0,Base_IFData!M882/Base_IFData!Q882,"PL ≤ 0"),"NI")</f>
        <v>5.8759051377341862</v>
      </c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spans="1:30" ht="1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12" t="str">
        <f>Base_IFData!A883</f>
        <v>COOPERATIVA DE CRÉDITO DE RIO RUFINO - SICOOB CREDIUNIÃO</v>
      </c>
      <c r="L882" s="12" t="str">
        <f>Base_IFData!F883</f>
        <v>b3S</v>
      </c>
      <c r="M882" s="14" t="str">
        <f>IF(AND(ISNUMBER(Base_IFData!L883),ISNUMBER(Base_IFData!W883)),IF(Base_IFData!L883&gt;$B$4,Base_IFData!W883,""),"")</f>
        <v/>
      </c>
      <c r="N882" s="51">
        <f>IF(AND(ISNUMBER(Base_IFData!O883),ISNUMBER(Base_IFData!Q883)),IF(Base_IFData!Q883&gt;0,Base_IFData!O883/Base_IFData!Q883,"PL ≤ 0"),"NI")</f>
        <v>5.7269820223842762</v>
      </c>
      <c r="O882" s="110">
        <f>IF(AND(ISNUMBER(Base_IFData!M883),ISNUMBER(Base_IFData!Q883)),IF(Base_IFData!Q883&gt;0,Base_IFData!M883/Base_IFData!Q883,"PL ≤ 0"),"NI")</f>
        <v>4.2805833950785788</v>
      </c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spans="1:30" ht="1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15" t="str">
        <f>Base_IFData!A884</f>
        <v>BANCO STONEX S.A.</v>
      </c>
      <c r="L883" s="15" t="str">
        <f>Base_IFData!F884</f>
        <v>b1</v>
      </c>
      <c r="M883" s="17" t="str">
        <f>IF(AND(ISNUMBER(Base_IFData!L884),ISNUMBER(Base_IFData!W884)),IF(Base_IFData!L884&gt;$B$4,Base_IFData!W884,""),"")</f>
        <v/>
      </c>
      <c r="N883" s="50">
        <f>IF(AND(ISNUMBER(Base_IFData!O884),ISNUMBER(Base_IFData!Q884)),IF(Base_IFData!Q884&gt;0,Base_IFData!O884/Base_IFData!Q884,"PL ≤ 0"),"NI")</f>
        <v>0.55478279768534866</v>
      </c>
      <c r="O883" s="107">
        <f>IF(AND(ISNUMBER(Base_IFData!M884),ISNUMBER(Base_IFData!Q884)),IF(Base_IFData!Q884&gt;0,Base_IFData!M884/Base_IFData!Q884,"PL ≤ 0"),"NI")</f>
        <v>0</v>
      </c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spans="1:30" ht="1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12" t="str">
        <f>Base_IFData!A885</f>
        <v>PAY4FUN INSTITUICAO DE PAGAMENTO S.A.</v>
      </c>
      <c r="L884" s="12" t="str">
        <f>Base_IFData!F885</f>
        <v>n4</v>
      </c>
      <c r="M884" s="14" t="str">
        <f>IF(AND(ISNUMBER(Base_IFData!L885),ISNUMBER(Base_IFData!W885)),IF(Base_IFData!L885&gt;$B$4,Base_IFData!W885,""),"")</f>
        <v/>
      </c>
      <c r="N884" s="51">
        <f>IF(AND(ISNUMBER(Base_IFData!O885),ISNUMBER(Base_IFData!Q885)),IF(Base_IFData!Q885&gt;0,Base_IFData!O885/Base_IFData!Q885,"PL ≤ 0"),"NI")</f>
        <v>3.5142842110801285</v>
      </c>
      <c r="O884" s="110">
        <f>IF(AND(ISNUMBER(Base_IFData!M885),ISNUMBER(Base_IFData!Q885)),IF(Base_IFData!Q885&gt;0,Base_IFData!M885/Base_IFData!Q885,"PL ≤ 0"),"NI")</f>
        <v>0</v>
      </c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spans="1:30" ht="1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15" t="str">
        <f>Base_IFData!A886</f>
        <v>GPATIVA - COOPERATIVA DE ECONOMIA E CRÉDITO MÚTUO DOS EMPREGADOS DO GRUPO PÃO DE AÇÚCAR</v>
      </c>
      <c r="L885" s="15" t="str">
        <f>Base_IFData!F886</f>
        <v>b3S</v>
      </c>
      <c r="M885" s="17" t="str">
        <f>IF(AND(ISNUMBER(Base_IFData!L886),ISNUMBER(Base_IFData!W886)),IF(Base_IFData!L886&gt;$B$4,Base_IFData!W886,""),"")</f>
        <v/>
      </c>
      <c r="N885" s="50">
        <f>IF(AND(ISNUMBER(Base_IFData!O886),ISNUMBER(Base_IFData!Q886)),IF(Base_IFData!Q886&gt;0,Base_IFData!O886/Base_IFData!Q886,"PL ≤ 0"),"NI")</f>
        <v>0.96166034778800835</v>
      </c>
      <c r="O885" s="107">
        <f>IF(AND(ISNUMBER(Base_IFData!M886),ISNUMBER(Base_IFData!Q886)),IF(Base_IFData!Q886&gt;0,Base_IFData!M886/Base_IFData!Q886,"PL ≤ 0"),"NI")</f>
        <v>0.48571626122129136</v>
      </c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spans="1:30" ht="1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12" t="str">
        <f>Base_IFData!A887</f>
        <v>COOPERATIVA DE CRÉDITO RURAL DOS FORNECEDORES DE CANA DA REGIÃO DE CATANDUVA-COFOCRED</v>
      </c>
      <c r="L886" s="12" t="str">
        <f>Base_IFData!F887</f>
        <v>b3S</v>
      </c>
      <c r="M886" s="14" t="str">
        <f>IF(AND(ISNUMBER(Base_IFData!L887),ISNUMBER(Base_IFData!W887)),IF(Base_IFData!L887&gt;$B$4,Base_IFData!W887,""),"")</f>
        <v/>
      </c>
      <c r="N886" s="51">
        <f>IF(AND(ISNUMBER(Base_IFData!O887),ISNUMBER(Base_IFData!Q887)),IF(Base_IFData!Q887&gt;0,Base_IFData!O887/Base_IFData!Q887,"PL ≤ 0"),"NI")</f>
        <v>8.0996825031781627E-2</v>
      </c>
      <c r="O886" s="110">
        <f>IF(AND(ISNUMBER(Base_IFData!M887),ISNUMBER(Base_IFData!Q887)),IF(Base_IFData!Q887&gt;0,Base_IFData!M887/Base_IFData!Q887,"PL ≤ 0"),"NI")</f>
        <v>0.44379284130908347</v>
      </c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spans="1:30" ht="1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15" t="str">
        <f>Base_IFData!A888</f>
        <v>PINBANK BRASIL INSTITUIÇÃO DE PAGAMENTO S.A.</v>
      </c>
      <c r="L887" s="15" t="str">
        <f>Base_IFData!F888</f>
        <v>n4</v>
      </c>
      <c r="M887" s="17" t="str">
        <f>IF(AND(ISNUMBER(Base_IFData!L888),ISNUMBER(Base_IFData!W888)),IF(Base_IFData!L888&gt;$B$4,Base_IFData!W888,""),"")</f>
        <v/>
      </c>
      <c r="N887" s="50">
        <f>IF(AND(ISNUMBER(Base_IFData!O888),ISNUMBER(Base_IFData!Q888)),IF(Base_IFData!Q888&gt;0,Base_IFData!O888/Base_IFData!Q888,"PL ≤ 0"),"NI")</f>
        <v>9.3579317578823957</v>
      </c>
      <c r="O887" s="107">
        <f>IF(AND(ISNUMBER(Base_IFData!M888),ISNUMBER(Base_IFData!Q888)),IF(Base_IFData!Q888&gt;0,Base_IFData!M888/Base_IFData!Q888,"PL ≤ 0"),"NI")</f>
        <v>0</v>
      </c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spans="1:30" ht="1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12" t="str">
        <f>Base_IFData!A889</f>
        <v>COOPERATIVA DE CRÉDITO CREDIMAC LTDA - SICOOB CREDIMAC</v>
      </c>
      <c r="L888" s="12" t="str">
        <f>Base_IFData!F889</f>
        <v>b3S</v>
      </c>
      <c r="M888" s="14" t="str">
        <f>IF(AND(ISNUMBER(Base_IFData!L889),ISNUMBER(Base_IFData!W889)),IF(Base_IFData!L889&gt;$B$4,Base_IFData!W889,""),"")</f>
        <v/>
      </c>
      <c r="N888" s="51">
        <f>IF(AND(ISNUMBER(Base_IFData!O889),ISNUMBER(Base_IFData!Q889)),IF(Base_IFData!Q889&gt;0,Base_IFData!O889/Base_IFData!Q889,"PL ≤ 0"),"NI")</f>
        <v>4.4247135842880523</v>
      </c>
      <c r="O888" s="110">
        <f>IF(AND(ISNUMBER(Base_IFData!M889),ISNUMBER(Base_IFData!Q889)),IF(Base_IFData!Q889&gt;0,Base_IFData!M889/Base_IFData!Q889,"PL ≤ 0"),"NI")</f>
        <v>2.1041571194762683</v>
      </c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spans="1:30" ht="1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15" t="str">
        <f>Base_IFData!A890</f>
        <v>COOPERATIVA DE CRÉDITO DE LIVRE ADMISSÃO DO ESTADO DO PARÁ - SICOOB COOESA</v>
      </c>
      <c r="L889" s="15" t="str">
        <f>Base_IFData!F890</f>
        <v>b3S</v>
      </c>
      <c r="M889" s="17" t="str">
        <f>IF(AND(ISNUMBER(Base_IFData!L890),ISNUMBER(Base_IFData!W890)),IF(Base_IFData!L890&gt;$B$4,Base_IFData!W890,""),"")</f>
        <v/>
      </c>
      <c r="N889" s="50">
        <f>IF(AND(ISNUMBER(Base_IFData!O890),ISNUMBER(Base_IFData!Q890)),IF(Base_IFData!Q890&gt;0,Base_IFData!O890/Base_IFData!Q890,"PL ≤ 0"),"NI")</f>
        <v>6.0957968024755029</v>
      </c>
      <c r="O889" s="107">
        <f>IF(AND(ISNUMBER(Base_IFData!M890),ISNUMBER(Base_IFData!Q890)),IF(Base_IFData!Q890&gt;0,Base_IFData!M890/Base_IFData!Q890,"PL ≤ 0"),"NI")</f>
        <v>4.4301186178442498</v>
      </c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spans="1:30" ht="1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12" t="str">
        <f>Base_IFData!A891</f>
        <v>BIZ INSTITUIÇÃO DE PAGAMENTO S.A.</v>
      </c>
      <c r="L890" s="12" t="str">
        <f>Base_IFData!F891</f>
        <v>n4</v>
      </c>
      <c r="M890" s="14" t="str">
        <f>IF(AND(ISNUMBER(Base_IFData!L891),ISNUMBER(Base_IFData!W891)),IF(Base_IFData!L891&gt;$B$4,Base_IFData!W891,""),"")</f>
        <v/>
      </c>
      <c r="N890" s="51">
        <f>IF(AND(ISNUMBER(Base_IFData!O891),ISNUMBER(Base_IFData!Q891)),IF(Base_IFData!Q891&gt;0,Base_IFData!O891/Base_IFData!Q891,"PL ≤ 0"),"NI")</f>
        <v>22.300807251097577</v>
      </c>
      <c r="O890" s="110">
        <f>IF(AND(ISNUMBER(Base_IFData!M891),ISNUMBER(Base_IFData!Q891)),IF(Base_IFData!Q891&gt;0,Base_IFData!M891/Base_IFData!Q891,"PL ≤ 0"),"NI")</f>
        <v>0.28579521314261436</v>
      </c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spans="1:30" ht="1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15" t="str">
        <f>Base_IFData!A892</f>
        <v>COOPERATIVA DE ECONOMIA E CRÉDITO MÚTUO DOS TRABALHADORES DO GRUPO SÃO MARTINHO   USICRED</v>
      </c>
      <c r="L891" s="15" t="str">
        <f>Base_IFData!F892</f>
        <v>b3S</v>
      </c>
      <c r="M891" s="17" t="str">
        <f>IF(AND(ISNUMBER(Base_IFData!L892),ISNUMBER(Base_IFData!W892)),IF(Base_IFData!L892&gt;$B$4,Base_IFData!W892,""),"")</f>
        <v/>
      </c>
      <c r="N891" s="50">
        <f>IF(AND(ISNUMBER(Base_IFData!O892),ISNUMBER(Base_IFData!Q892)),IF(Base_IFData!Q892&gt;0,Base_IFData!O892/Base_IFData!Q892,"PL ≤ 0"),"NI")</f>
        <v>4.218543732042554E-2</v>
      </c>
      <c r="O891" s="107">
        <f>IF(AND(ISNUMBER(Base_IFData!M892),ISNUMBER(Base_IFData!Q892)),IF(Base_IFData!Q892&gt;0,Base_IFData!M892/Base_IFData!Q892,"PL ≤ 0"),"NI")</f>
        <v>0.81634871741775161</v>
      </c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spans="1:30" ht="1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12" t="str">
        <f>Base_IFData!A893</f>
        <v>COOPERATIVA DE ECONOMIA E CRÉDITO MÚTUO E BENEFÍCIOS SOCIAIS BECOOPER</v>
      </c>
      <c r="L892" s="12" t="str">
        <f>Base_IFData!F893</f>
        <v>b3S</v>
      </c>
      <c r="M892" s="14" t="str">
        <f>IF(AND(ISNUMBER(Base_IFData!L893),ISNUMBER(Base_IFData!W893)),IF(Base_IFData!L893&gt;$B$4,Base_IFData!W893,""),"")</f>
        <v/>
      </c>
      <c r="N892" s="51">
        <f>IF(AND(ISNUMBER(Base_IFData!O893),ISNUMBER(Base_IFData!Q893)),IF(Base_IFData!Q893&gt;0,Base_IFData!O893/Base_IFData!Q893,"PL ≤ 0"),"NI")</f>
        <v>0.1278511362109328</v>
      </c>
      <c r="O892" s="110">
        <f>IF(AND(ISNUMBER(Base_IFData!M893),ISNUMBER(Base_IFData!Q893)),IF(Base_IFData!Q893&gt;0,Base_IFData!M893/Base_IFData!Q893,"PL ≤ 0"),"NI")</f>
        <v>0.63040080344576388</v>
      </c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spans="1:30" ht="1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15" t="str">
        <f>Base_IFData!A894</f>
        <v>COOPERATIVA DE CRÉDITO MÚTUO DO CEARÁ - SICOOB CEARÁ</v>
      </c>
      <c r="L893" s="15" t="str">
        <f>Base_IFData!F894</f>
        <v>b3S</v>
      </c>
      <c r="M893" s="17" t="str">
        <f>IF(AND(ISNUMBER(Base_IFData!L894),ISNUMBER(Base_IFData!W894)),IF(Base_IFData!L894&gt;$B$4,Base_IFData!W894,""),"")</f>
        <v/>
      </c>
      <c r="N893" s="50">
        <f>IF(AND(ISNUMBER(Base_IFData!O894),ISNUMBER(Base_IFData!Q894)),IF(Base_IFData!Q894&gt;0,Base_IFData!O894/Base_IFData!Q894,"PL ≤ 0"),"NI")</f>
        <v>6.0692055328959036</v>
      </c>
      <c r="O893" s="107">
        <f>IF(AND(ISNUMBER(Base_IFData!M894),ISNUMBER(Base_IFData!Q894)),IF(Base_IFData!Q894&gt;0,Base_IFData!M894/Base_IFData!Q894,"PL ≤ 0"),"NI")</f>
        <v>5.3521901046284803</v>
      </c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spans="1:30" ht="1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12" t="str">
        <f>Base_IFData!A895</f>
        <v>COOPERATIVA DE CRÉDITO SICOOB CREDCOOP LTDA.</v>
      </c>
      <c r="L894" s="12" t="str">
        <f>Base_IFData!F895</f>
        <v>b3S</v>
      </c>
      <c r="M894" s="14" t="str">
        <f>IF(AND(ISNUMBER(Base_IFData!L895),ISNUMBER(Base_IFData!W895)),IF(Base_IFData!L895&gt;$B$4,Base_IFData!W895,""),"")</f>
        <v/>
      </c>
      <c r="N894" s="51">
        <f>IF(AND(ISNUMBER(Base_IFData!O895),ISNUMBER(Base_IFData!Q895)),IF(Base_IFData!Q895&gt;0,Base_IFData!O895/Base_IFData!Q895,"PL ≤ 0"),"NI")</f>
        <v>3.4459539279385707</v>
      </c>
      <c r="O894" s="110">
        <f>IF(AND(ISNUMBER(Base_IFData!M895),ISNUMBER(Base_IFData!Q895)),IF(Base_IFData!Q895&gt;0,Base_IFData!M895/Base_IFData!Q895,"PL ≤ 0"),"NI")</f>
        <v>2.9717042162405423</v>
      </c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spans="1:30" ht="1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15" t="str">
        <f>Base_IFData!A896</f>
        <v>COOPER CARD INSTITUIÇÃO DE PAGAMENTO LTDA.</v>
      </c>
      <c r="L895" s="15" t="str">
        <f>Base_IFData!F896</f>
        <v>n4</v>
      </c>
      <c r="M895" s="17" t="str">
        <f>IF(AND(ISNUMBER(Base_IFData!L896),ISNUMBER(Base_IFData!W896)),IF(Base_IFData!L896&gt;$B$4,Base_IFData!W896,""),"")</f>
        <v/>
      </c>
      <c r="N895" s="50">
        <f>IF(AND(ISNUMBER(Base_IFData!O896),ISNUMBER(Base_IFData!Q896)),IF(Base_IFData!Q896&gt;0,Base_IFData!O896/Base_IFData!Q896,"PL ≤ 0"),"NI")</f>
        <v>5.3154446556395847</v>
      </c>
      <c r="O895" s="107">
        <f>IF(AND(ISNUMBER(Base_IFData!M896),ISNUMBER(Base_IFData!Q896)),IF(Base_IFData!Q896&gt;0,Base_IFData!M896/Base_IFData!Q896,"PL ≤ 0"),"NI")</f>
        <v>4.4791523435920251</v>
      </c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spans="1:30" ht="1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12" t="str">
        <f>Base_IFData!A897</f>
        <v>COOPERATIVA DE CRÉDITO DE LIVRE ADMISSÃO DE VITÓRIA DA CONQUISTA - UNICRED SUDOESTE DA BAHIA</v>
      </c>
      <c r="L896" s="12" t="str">
        <f>Base_IFData!F897</f>
        <v>b3S</v>
      </c>
      <c r="M896" s="14" t="str">
        <f>IF(AND(ISNUMBER(Base_IFData!L897),ISNUMBER(Base_IFData!W897)),IF(Base_IFData!L897&gt;$B$4,Base_IFData!W897,""),"")</f>
        <v/>
      </c>
      <c r="N896" s="51">
        <f>IF(AND(ISNUMBER(Base_IFData!O897),ISNUMBER(Base_IFData!Q897)),IF(Base_IFData!Q897&gt;0,Base_IFData!O897/Base_IFData!Q897,"PL ≤ 0"),"NI")</f>
        <v>6.2430019529433647</v>
      </c>
      <c r="O896" s="110">
        <f>IF(AND(ISNUMBER(Base_IFData!M897),ISNUMBER(Base_IFData!Q897)),IF(Base_IFData!Q897&gt;0,Base_IFData!M897/Base_IFData!Q897,"PL ≤ 0"),"NI")</f>
        <v>4.8799869803775691</v>
      </c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spans="1:30" ht="1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15" t="str">
        <f>Base_IFData!A898</f>
        <v>COOPERATIVA DE ECONOMIA E CRÉDITO MÚTUO DE LIVRE ADMISSÃO DOS SERVIDORES DA UNIVERSIDADE FEDERAL DE VIÇOSA LTDA. - SICOOB UFVCREDI</v>
      </c>
      <c r="L897" s="15" t="str">
        <f>Base_IFData!F898</f>
        <v>b3S</v>
      </c>
      <c r="M897" s="17" t="str">
        <f>IF(AND(ISNUMBER(Base_IFData!L898),ISNUMBER(Base_IFData!W898)),IF(Base_IFData!L898&gt;$B$4,Base_IFData!W898,""),"")</f>
        <v/>
      </c>
      <c r="N897" s="50">
        <f>IF(AND(ISNUMBER(Base_IFData!O898),ISNUMBER(Base_IFData!Q898)),IF(Base_IFData!Q898&gt;0,Base_IFData!O898/Base_IFData!Q898,"PL ≤ 0"),"NI")</f>
        <v>3.0209688706876441</v>
      </c>
      <c r="O897" s="107">
        <f>IF(AND(ISNUMBER(Base_IFData!M898),ISNUMBER(Base_IFData!Q898)),IF(Base_IFData!Q898&gt;0,Base_IFData!M898/Base_IFData!Q898,"PL ≤ 0"),"NI")</f>
        <v>1.3175397216246338</v>
      </c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spans="1:30" ht="1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12" t="str">
        <f>Base_IFData!A899</f>
        <v>UY3 SOCIEDADE DE CRÉDITO DIRETO S/A</v>
      </c>
      <c r="L898" s="12" t="str">
        <f>Base_IFData!F899</f>
        <v>n1</v>
      </c>
      <c r="M898" s="14" t="str">
        <f>IF(AND(ISNUMBER(Base_IFData!L899),ISNUMBER(Base_IFData!W899)),IF(Base_IFData!L899&gt;$B$4,Base_IFData!W899,""),"")</f>
        <v/>
      </c>
      <c r="N898" s="51">
        <f>IF(AND(ISNUMBER(Base_IFData!O899),ISNUMBER(Base_IFData!Q899)),IF(Base_IFData!Q899&gt;0,Base_IFData!O899/Base_IFData!Q899,"PL ≤ 0"),"NI")</f>
        <v>2.7776475185619383</v>
      </c>
      <c r="O898" s="110">
        <f>IF(AND(ISNUMBER(Base_IFData!M899),ISNUMBER(Base_IFData!Q899)),IF(Base_IFData!Q899&gt;0,Base_IFData!M899/Base_IFData!Q899,"PL ≤ 0"),"NI")</f>
        <v>0.7467028135990621</v>
      </c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spans="1:30" ht="1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15" t="str">
        <f>Base_IFData!A900</f>
        <v>COOPERATIVA DE CREDITO E ECONOMIA COM INTERAÇÃO SOLIDÁRIA - CRESOL JACINTO MACHADO</v>
      </c>
      <c r="L899" s="15" t="str">
        <f>Base_IFData!F900</f>
        <v>b3S</v>
      </c>
      <c r="M899" s="17" t="str">
        <f>IF(AND(ISNUMBER(Base_IFData!L900),ISNUMBER(Base_IFData!W900)),IF(Base_IFData!L900&gt;$B$4,Base_IFData!W900,""),"")</f>
        <v/>
      </c>
      <c r="N899" s="50">
        <f>IF(AND(ISNUMBER(Base_IFData!O900),ISNUMBER(Base_IFData!Q900)),IF(Base_IFData!Q900&gt;0,Base_IFData!O900/Base_IFData!Q900,"PL ≤ 0"),"NI")</f>
        <v>6.8181168300653594</v>
      </c>
      <c r="O899" s="107">
        <f>IF(AND(ISNUMBER(Base_IFData!M900),ISNUMBER(Base_IFData!Q900)),IF(Base_IFData!Q900&gt;0,Base_IFData!M900/Base_IFData!Q900,"PL ≤ 0"),"NI")</f>
        <v>5.218290441176471</v>
      </c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spans="1:30" ht="1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12" t="str">
        <f>Base_IFData!A901</f>
        <v>FINSOL SOCIEDADE DE CRÉDITO AO MICROEMPREENDEDOR E À EMPRESA DE PEQUENO PORTE S.A.</v>
      </c>
      <c r="L900" s="12" t="str">
        <f>Base_IFData!F901</f>
        <v>n1</v>
      </c>
      <c r="M900" s="14" t="str">
        <f>IF(AND(ISNUMBER(Base_IFData!L901),ISNUMBER(Base_IFData!W901)),IF(Base_IFData!L901&gt;$B$4,Base_IFData!W901,""),"")</f>
        <v/>
      </c>
      <c r="N900" s="51">
        <f>IF(AND(ISNUMBER(Base_IFData!O901),ISNUMBER(Base_IFData!Q901)),IF(Base_IFData!Q901&gt;0,Base_IFData!O901/Base_IFData!Q901,"PL ≤ 0"),"NI")</f>
        <v>4.862414561093618</v>
      </c>
      <c r="O900" s="110">
        <f>IF(AND(ISNUMBER(Base_IFData!M901),ISNUMBER(Base_IFData!Q901)),IF(Base_IFData!Q901&gt;0,Base_IFData!M901/Base_IFData!Q901,"PL ≤ 0"),"NI")</f>
        <v>4.670455418170647</v>
      </c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spans="1:30" ht="1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15" t="str">
        <f>Base_IFData!A902</f>
        <v>COOPERATIVA DE CRÉDITO, POUPANÇA E INVESTIMENTO DOS MILITARES ESTADUAIS E SERVIDORES DA SEGURANÇA DO ESTADO DO RIO GRANDE DO SUL - SICREDI TRADIÇÃO RS</v>
      </c>
      <c r="L901" s="15" t="str">
        <f>Base_IFData!F902</f>
        <v>b3S</v>
      </c>
      <c r="M901" s="17" t="str">
        <f>IF(AND(ISNUMBER(Base_IFData!L902),ISNUMBER(Base_IFData!W902)),IF(Base_IFData!L902&gt;$B$4,Base_IFData!W902,""),"")</f>
        <v/>
      </c>
      <c r="N901" s="50">
        <f>IF(AND(ISNUMBER(Base_IFData!O902),ISNUMBER(Base_IFData!Q902)),IF(Base_IFData!Q902&gt;0,Base_IFData!O902/Base_IFData!Q902,"PL ≤ 0"),"NI")</f>
        <v>5.977671157040044</v>
      </c>
      <c r="O901" s="107">
        <f>IF(AND(ISNUMBER(Base_IFData!M902),ISNUMBER(Base_IFData!Q902)),IF(Base_IFData!Q902&gt;0,Base_IFData!M902/Base_IFData!Q902,"PL ≤ 0"),"NI")</f>
        <v>3.5362151688503416</v>
      </c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spans="1:30" ht="1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12" t="str">
        <f>Base_IFData!A903</f>
        <v>GREENCRED - COOPERATIVA DE CREDITO</v>
      </c>
      <c r="L902" s="12" t="str">
        <f>Base_IFData!F903</f>
        <v>b3S</v>
      </c>
      <c r="M902" s="14" t="str">
        <f>IF(AND(ISNUMBER(Base_IFData!L903),ISNUMBER(Base_IFData!W903)),IF(Base_IFData!L903&gt;$B$4,Base_IFData!W903,""),"")</f>
        <v/>
      </c>
      <c r="N902" s="51">
        <f>IF(AND(ISNUMBER(Base_IFData!O903),ISNUMBER(Base_IFData!Q903)),IF(Base_IFData!Q903&gt;0,Base_IFData!O903/Base_IFData!Q903,"PL ≤ 0"),"NI")</f>
        <v>4.1488356046230805</v>
      </c>
      <c r="O902" s="110">
        <f>IF(AND(ISNUMBER(Base_IFData!M903),ISNUMBER(Base_IFData!Q903)),IF(Base_IFData!Q903&gt;0,Base_IFData!M903/Base_IFData!Q903,"PL ≤ 0"),"NI")</f>
        <v>1.98109366913921</v>
      </c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spans="1:30" ht="1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15" t="str">
        <f>Base_IFData!A904</f>
        <v>COOPERATIVA DE ECONOMIA E CRÉDITO MÚTUO SICOOB METALCRED</v>
      </c>
      <c r="L903" s="15" t="str">
        <f>Base_IFData!F904</f>
        <v>b3S</v>
      </c>
      <c r="M903" s="17" t="str">
        <f>IF(AND(ISNUMBER(Base_IFData!L904),ISNUMBER(Base_IFData!W904)),IF(Base_IFData!L904&gt;$B$4,Base_IFData!W904,""),"")</f>
        <v/>
      </c>
      <c r="N903" s="50">
        <f>IF(AND(ISNUMBER(Base_IFData!O904),ISNUMBER(Base_IFData!Q904)),IF(Base_IFData!Q904&gt;0,Base_IFData!O904/Base_IFData!Q904,"PL ≤ 0"),"NI")</f>
        <v>3.596448424953675</v>
      </c>
      <c r="O903" s="107">
        <f>IF(AND(ISNUMBER(Base_IFData!M904),ISNUMBER(Base_IFData!Q904)),IF(Base_IFData!Q904&gt;0,Base_IFData!M904/Base_IFData!Q904,"PL ≤ 0"),"NI")</f>
        <v>3.0581840642371834</v>
      </c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spans="1:30" ht="1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12" t="str">
        <f>Base_IFData!A905</f>
        <v>COOPERATIVA DE CRÉDITO MÚTUO DOS CORRETORES DE SEGUROS DO ESTADO DE SÃO PAULO - SICOOB CREDICOR/SP</v>
      </c>
      <c r="L904" s="12" t="str">
        <f>Base_IFData!F905</f>
        <v>b3S</v>
      </c>
      <c r="M904" s="14" t="str">
        <f>IF(AND(ISNUMBER(Base_IFData!L905),ISNUMBER(Base_IFData!W905)),IF(Base_IFData!L905&gt;$B$4,Base_IFData!W905,""),"")</f>
        <v/>
      </c>
      <c r="N904" s="51">
        <f>IF(AND(ISNUMBER(Base_IFData!O905),ISNUMBER(Base_IFData!Q905)),IF(Base_IFData!Q905&gt;0,Base_IFData!O905/Base_IFData!Q905,"PL ≤ 0"),"NI")</f>
        <v>7.819966781350101</v>
      </c>
      <c r="O904" s="110">
        <f>IF(AND(ISNUMBER(Base_IFData!M905),ISNUMBER(Base_IFData!Q905)),IF(Base_IFData!Q905&gt;0,Base_IFData!M905/Base_IFData!Q905,"PL ≤ 0"),"NI")</f>
        <v>0.27049472060742674</v>
      </c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spans="1:30" ht="1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15" t="str">
        <f>Base_IFData!A906</f>
        <v>COOPERATIVA DE CREDITO E ECONOMIA COM INTERAÇÃO SOLIDÁRIA - CRESOL TREZE DE MAIO</v>
      </c>
      <c r="L905" s="15" t="str">
        <f>Base_IFData!F906</f>
        <v>b3S</v>
      </c>
      <c r="M905" s="17" t="str">
        <f>IF(AND(ISNUMBER(Base_IFData!L906),ISNUMBER(Base_IFData!W906)),IF(Base_IFData!L906&gt;$B$4,Base_IFData!W906,""),"")</f>
        <v/>
      </c>
      <c r="N905" s="50">
        <f>IF(AND(ISNUMBER(Base_IFData!O906),ISNUMBER(Base_IFData!Q906)),IF(Base_IFData!Q906&gt;0,Base_IFData!O906/Base_IFData!Q906,"PL ≤ 0"),"NI")</f>
        <v>9.4588729187419958</v>
      </c>
      <c r="O905" s="107">
        <f>IF(AND(ISNUMBER(Base_IFData!M906),ISNUMBER(Base_IFData!Q906)),IF(Base_IFData!Q906&gt;0,Base_IFData!M906/Base_IFData!Q906,"PL ≤ 0"),"NI")</f>
        <v>5.876191831507044</v>
      </c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spans="1:30" ht="1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12" t="str">
        <f>Base_IFData!A907</f>
        <v>BELLUNO INSTITUICAO DE PAGAMENTO LTDA</v>
      </c>
      <c r="L906" s="12" t="str">
        <f>Base_IFData!F907</f>
        <v>n4</v>
      </c>
      <c r="M906" s="14" t="str">
        <f>IF(AND(ISNUMBER(Base_IFData!L907),ISNUMBER(Base_IFData!W907)),IF(Base_IFData!L907&gt;$B$4,Base_IFData!W907,""),"")</f>
        <v/>
      </c>
      <c r="N906" s="51">
        <f>IF(AND(ISNUMBER(Base_IFData!O907),ISNUMBER(Base_IFData!Q907)),IF(Base_IFData!Q907&gt;0,Base_IFData!O907/Base_IFData!Q907,"PL ≤ 0"),"NI")</f>
        <v>17.090368166604687</v>
      </c>
      <c r="O906" s="110">
        <f>IF(AND(ISNUMBER(Base_IFData!M907),ISNUMBER(Base_IFData!Q907)),IF(Base_IFData!Q907&gt;0,Base_IFData!M907/Base_IFData!Q907,"PL ≤ 0"),"NI")</f>
        <v>0</v>
      </c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spans="1:30" ht="1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15" t="str">
        <f>Base_IFData!A908</f>
        <v>COOPERATIVA DE CRÉDITO E INVESTIMENTOS DE RONDÔNIA - SICOOB CREDJURD</v>
      </c>
      <c r="L907" s="15" t="str">
        <f>Base_IFData!F908</f>
        <v>b3S</v>
      </c>
      <c r="M907" s="17" t="str">
        <f>IF(AND(ISNUMBER(Base_IFData!L908),ISNUMBER(Base_IFData!W908)),IF(Base_IFData!L908&gt;$B$4,Base_IFData!W908,""),"")</f>
        <v/>
      </c>
      <c r="N907" s="50">
        <f>IF(AND(ISNUMBER(Base_IFData!O908),ISNUMBER(Base_IFData!Q908)),IF(Base_IFData!Q908&gt;0,Base_IFData!O908/Base_IFData!Q908,"PL ≤ 0"),"NI")</f>
        <v>2.8237578047116849</v>
      </c>
      <c r="O907" s="107">
        <f>IF(AND(ISNUMBER(Base_IFData!M908),ISNUMBER(Base_IFData!Q908)),IF(Base_IFData!Q908&gt;0,Base_IFData!M908/Base_IFData!Q908,"PL ≤ 0"),"NI")</f>
        <v>2.0745841859488956</v>
      </c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spans="1:30" ht="1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12" t="str">
        <f>Base_IFData!A909</f>
        <v>COOPERATIVA DE CRÉDITO UNIPRIME CREDICANA</v>
      </c>
      <c r="L908" s="12" t="str">
        <f>Base_IFData!F909</f>
        <v>b3S</v>
      </c>
      <c r="M908" s="14" t="str">
        <f>IF(AND(ISNUMBER(Base_IFData!L909),ISNUMBER(Base_IFData!W909)),IF(Base_IFData!L909&gt;$B$4,Base_IFData!W909,""),"")</f>
        <v/>
      </c>
      <c r="N908" s="51">
        <f>IF(AND(ISNUMBER(Base_IFData!O909),ISNUMBER(Base_IFData!Q909)),IF(Base_IFData!Q909&gt;0,Base_IFData!O909/Base_IFData!Q909,"PL ≤ 0"),"NI")</f>
        <v>5.0665247694169695</v>
      </c>
      <c r="O908" s="110">
        <f>IF(AND(ISNUMBER(Base_IFData!M909),ISNUMBER(Base_IFData!Q909)),IF(Base_IFData!Q909&gt;0,Base_IFData!M909/Base_IFData!Q909,"PL ≤ 0"),"NI")</f>
        <v>1.8540962397228831</v>
      </c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spans="1:30" ht="1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15" t="str">
        <f>Base_IFData!A910</f>
        <v>PICPAY INVEST DISTRIBUIDORA DE TÍTULOS E VALORES MOBILIÁRIOS LTDA</v>
      </c>
      <c r="L909" s="15" t="str">
        <f>Base_IFData!F910</f>
        <v>n2</v>
      </c>
      <c r="M909" s="17" t="str">
        <f>IF(AND(ISNUMBER(Base_IFData!L910),ISNUMBER(Base_IFData!W910)),IF(Base_IFData!L910&gt;$B$4,Base_IFData!W910,""),"")</f>
        <v/>
      </c>
      <c r="N909" s="50">
        <f>IF(AND(ISNUMBER(Base_IFData!O910),ISNUMBER(Base_IFData!Q910)),IF(Base_IFData!Q910&gt;0,Base_IFData!O910/Base_IFData!Q910,"PL ≤ 0"),"NI")</f>
        <v>0.86586139485506397</v>
      </c>
      <c r="O909" s="107">
        <f>IF(AND(ISNUMBER(Base_IFData!M910),ISNUMBER(Base_IFData!Q910)),IF(Base_IFData!Q910&gt;0,Base_IFData!M910/Base_IFData!Q910,"PL ≤ 0"),"NI")</f>
        <v>0</v>
      </c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spans="1:30" ht="1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12" t="str">
        <f>Base_IFData!A911</f>
        <v>ASTRO INSTITUICAO DE PAGAMENTO LTDA.</v>
      </c>
      <c r="L910" s="12" t="str">
        <f>Base_IFData!F911</f>
        <v>n4</v>
      </c>
      <c r="M910" s="14" t="str">
        <f>IF(AND(ISNUMBER(Base_IFData!L911),ISNUMBER(Base_IFData!W911)),IF(Base_IFData!L911&gt;$B$4,Base_IFData!W911,""),"")</f>
        <v/>
      </c>
      <c r="N910" s="51">
        <f>IF(AND(ISNUMBER(Base_IFData!O911),ISNUMBER(Base_IFData!Q911)),IF(Base_IFData!Q911&gt;0,Base_IFData!O911/Base_IFData!Q911,"PL ≤ 0"),"NI")</f>
        <v>10.332887068829738</v>
      </c>
      <c r="O910" s="110">
        <f>IF(AND(ISNUMBER(Base_IFData!M911),ISNUMBER(Base_IFData!Q911)),IF(Base_IFData!Q911&gt;0,Base_IFData!M911/Base_IFData!Q911,"PL ≤ 0"),"NI")</f>
        <v>0</v>
      </c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spans="1:30" ht="1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15" t="str">
        <f>Base_IFData!A912</f>
        <v>COOPERATIVA DE CRÉDITO CREDINOSSO LTDA - SICOOB CREDINOSSO</v>
      </c>
      <c r="L911" s="15" t="str">
        <f>Base_IFData!F912</f>
        <v>b3S</v>
      </c>
      <c r="M911" s="17" t="str">
        <f>IF(AND(ISNUMBER(Base_IFData!L912),ISNUMBER(Base_IFData!W912)),IF(Base_IFData!L912&gt;$B$4,Base_IFData!W912,""),"")</f>
        <v/>
      </c>
      <c r="N911" s="50">
        <f>IF(AND(ISNUMBER(Base_IFData!O912),ISNUMBER(Base_IFData!Q912)),IF(Base_IFData!Q912&gt;0,Base_IFData!O912/Base_IFData!Q912,"PL ≤ 0"),"NI")</f>
        <v>6.0512581089050519</v>
      </c>
      <c r="O911" s="107">
        <f>IF(AND(ISNUMBER(Base_IFData!M912),ISNUMBER(Base_IFData!Q912)),IF(Base_IFData!Q912&gt;0,Base_IFData!M912/Base_IFData!Q912,"PL ≤ 0"),"NI")</f>
        <v>2.7781600157263613</v>
      </c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spans="1:30" ht="1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12" t="str">
        <f>Base_IFData!A913</f>
        <v>PAY2ALL INSTITUICAO DE PAGAMENTO LTDA</v>
      </c>
      <c r="L912" s="12" t="str">
        <f>Base_IFData!F913</f>
        <v>n4</v>
      </c>
      <c r="M912" s="14" t="str">
        <f>IF(AND(ISNUMBER(Base_IFData!L913),ISNUMBER(Base_IFData!W913)),IF(Base_IFData!L913&gt;$B$4,Base_IFData!W913,""),"")</f>
        <v/>
      </c>
      <c r="N912" s="51">
        <f>IF(AND(ISNUMBER(Base_IFData!O913),ISNUMBER(Base_IFData!Q913)),IF(Base_IFData!Q913&gt;0,Base_IFData!O913/Base_IFData!Q913,"PL ≤ 0"),"NI")</f>
        <v>8.3767469326159709</v>
      </c>
      <c r="O912" s="110">
        <f>IF(AND(ISNUMBER(Base_IFData!M913),ISNUMBER(Base_IFData!Q913)),IF(Base_IFData!Q913&gt;0,Base_IFData!M913/Base_IFData!Q913,"PL ≤ 0"),"NI")</f>
        <v>0</v>
      </c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spans="1:30" ht="1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15" t="str">
        <f>Base_IFData!A914</f>
        <v>NSTECH IP INSTITUICAO DE PAGAMENTO S.A.</v>
      </c>
      <c r="L913" s="15" t="str">
        <f>Base_IFData!F914</f>
        <v>n4</v>
      </c>
      <c r="M913" s="17" t="str">
        <f>IF(AND(ISNUMBER(Base_IFData!L914),ISNUMBER(Base_IFData!W914)),IF(Base_IFData!L914&gt;$B$4,Base_IFData!W914,""),"")</f>
        <v/>
      </c>
      <c r="N913" s="50">
        <f>IF(AND(ISNUMBER(Base_IFData!O914),ISNUMBER(Base_IFData!Q914)),IF(Base_IFData!Q914&gt;0,Base_IFData!O914/Base_IFData!Q914,"PL ≤ 0"),"NI")</f>
        <v>4.333909514504735</v>
      </c>
      <c r="O913" s="107">
        <f>IF(AND(ISNUMBER(Base_IFData!M914),ISNUMBER(Base_IFData!Q914)),IF(Base_IFData!Q914&gt;0,Base_IFData!M914/Base_IFData!Q914,"PL ≤ 0"),"NI")</f>
        <v>0</v>
      </c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spans="1:30" ht="1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12" t="str">
        <f>Base_IFData!A915</f>
        <v>COOPERFEMSA - COOPERATIVA DE CRÉDITO</v>
      </c>
      <c r="L914" s="12" t="str">
        <f>Base_IFData!F915</f>
        <v>b3S</v>
      </c>
      <c r="M914" s="14" t="str">
        <f>IF(AND(ISNUMBER(Base_IFData!L915),ISNUMBER(Base_IFData!W915)),IF(Base_IFData!L915&gt;$B$4,Base_IFData!W915,""),"")</f>
        <v/>
      </c>
      <c r="N914" s="51">
        <f>IF(AND(ISNUMBER(Base_IFData!O915),ISNUMBER(Base_IFData!Q915)),IF(Base_IFData!Q915&gt;0,Base_IFData!O915/Base_IFData!Q915,"PL ≤ 0"),"NI")</f>
        <v>0.11832379871716073</v>
      </c>
      <c r="O914" s="110">
        <f>IF(AND(ISNUMBER(Base_IFData!M915),ISNUMBER(Base_IFData!Q915)),IF(Base_IFData!Q915&gt;0,Base_IFData!M915/Base_IFData!Q915,"PL ≤ 0"),"NI")</f>
        <v>0.80383118213480842</v>
      </c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spans="1:30" ht="1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15" t="str">
        <f>Base_IFData!A916</f>
        <v>COOPERATIVA DE CRÉDITO MÚTUO DOS PROFISSIONAIS DA SAÚDE E LIVRE ADMISSÃO DE TEÓFILO OTONI LTDA. - UNICRED TRÊS VALES</v>
      </c>
      <c r="L915" s="15" t="str">
        <f>Base_IFData!F916</f>
        <v>b3S</v>
      </c>
      <c r="M915" s="17" t="str">
        <f>IF(AND(ISNUMBER(Base_IFData!L916),ISNUMBER(Base_IFData!W916)),IF(Base_IFData!L916&gt;$B$4,Base_IFData!W916,""),"")</f>
        <v/>
      </c>
      <c r="N915" s="50">
        <f>IF(AND(ISNUMBER(Base_IFData!O916),ISNUMBER(Base_IFData!Q916)),IF(Base_IFData!Q916&gt;0,Base_IFData!O916/Base_IFData!Q916,"PL ≤ 0"),"NI")</f>
        <v>6.9631755412854464</v>
      </c>
      <c r="O915" s="107">
        <f>IF(AND(ISNUMBER(Base_IFData!M916),ISNUMBER(Base_IFData!Q916)),IF(Base_IFData!Q916&gt;0,Base_IFData!M916/Base_IFData!Q916,"PL ≤ 0"),"NI")</f>
        <v>4.3051656532363474</v>
      </c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spans="1:30" ht="1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12" t="str">
        <f>Base_IFData!A917</f>
        <v>HAITONG SECURITIES DO BRASIL CORRETORA DE CÂMBIO E VALORES MOBILIÁRIOS S.A.</v>
      </c>
      <c r="L916" s="12" t="str">
        <f>Base_IFData!F917</f>
        <v>n2</v>
      </c>
      <c r="M916" s="14" t="str">
        <f>IF(AND(ISNUMBER(Base_IFData!L917),ISNUMBER(Base_IFData!W917)),IF(Base_IFData!L917&gt;$B$4,Base_IFData!W917,""),"")</f>
        <v/>
      </c>
      <c r="N916" s="51">
        <f>IF(AND(ISNUMBER(Base_IFData!O917),ISNUMBER(Base_IFData!Q917)),IF(Base_IFData!Q917&gt;0,Base_IFData!O917/Base_IFData!Q917,"PL ≤ 0"),"NI")</f>
        <v>0.24433451077043536</v>
      </c>
      <c r="O916" s="110">
        <f>IF(AND(ISNUMBER(Base_IFData!M917),ISNUMBER(Base_IFData!Q917)),IF(Base_IFData!Q917&gt;0,Base_IFData!M917/Base_IFData!Q917,"PL ≤ 0"),"NI")</f>
        <v>0</v>
      </c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spans="1:30" ht="1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15" t="str">
        <f>Base_IFData!A918</f>
        <v>COOPERATIVA DE CRÉDITO MÚTUO DOS DESPACHANTES DE TRÂNSITO DE SANTA CATARINA E RIO GRANDE DO SUL - SICOOB CREDITRAN</v>
      </c>
      <c r="L917" s="15" t="str">
        <f>Base_IFData!F918</f>
        <v>b3S</v>
      </c>
      <c r="M917" s="17" t="str">
        <f>IF(AND(ISNUMBER(Base_IFData!L918),ISNUMBER(Base_IFData!W918)),IF(Base_IFData!L918&gt;$B$4,Base_IFData!W918,""),"")</f>
        <v/>
      </c>
      <c r="N917" s="50">
        <f>IF(AND(ISNUMBER(Base_IFData!O918),ISNUMBER(Base_IFData!Q918)),IF(Base_IFData!Q918&gt;0,Base_IFData!O918/Base_IFData!Q918,"PL ≤ 0"),"NI")</f>
        <v>2.7544109353599913</v>
      </c>
      <c r="O917" s="107">
        <f>IF(AND(ISNUMBER(Base_IFData!M918),ISNUMBER(Base_IFData!Q918)),IF(Base_IFData!Q918&gt;0,Base_IFData!M918/Base_IFData!Q918,"PL ≤ 0"),"NI")</f>
        <v>1.1583371377930554</v>
      </c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spans="1:30" ht="1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12" t="str">
        <f>Base_IFData!A919</f>
        <v>COOPERATIVA DE CRÉDITO DOS EMPREGADOS DO GRUPO VALLOUREC NO BRASIL - COOVALL LTDA.</v>
      </c>
      <c r="L918" s="12" t="str">
        <f>Base_IFData!F919</f>
        <v>b3S</v>
      </c>
      <c r="M918" s="14" t="str">
        <f>IF(AND(ISNUMBER(Base_IFData!L919),ISNUMBER(Base_IFData!W919)),IF(Base_IFData!L919&gt;$B$4,Base_IFData!W919,""),"")</f>
        <v/>
      </c>
      <c r="N918" s="51">
        <f>IF(AND(ISNUMBER(Base_IFData!O919),ISNUMBER(Base_IFData!Q919)),IF(Base_IFData!Q919&gt;0,Base_IFData!O919/Base_IFData!Q919,"PL ≤ 0"),"NI")</f>
        <v>8.3288066673909339E-2</v>
      </c>
      <c r="O918" s="110">
        <f>IF(AND(ISNUMBER(Base_IFData!M919),ISNUMBER(Base_IFData!Q919)),IF(Base_IFData!Q919&gt;0,Base_IFData!M919/Base_IFData!Q919,"PL ≤ 0"),"NI")</f>
        <v>0.79543091273105393</v>
      </c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spans="1:30" ht="1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15" t="str">
        <f>Base_IFData!A920</f>
        <v>COOPERATIVA DE ECONOMIA E CRÉDITO MÚTUO - COOPERSERV</v>
      </c>
      <c r="L919" s="15" t="str">
        <f>Base_IFData!F920</f>
        <v>b3S</v>
      </c>
      <c r="M919" s="17" t="str">
        <f>IF(AND(ISNUMBER(Base_IFData!L920),ISNUMBER(Base_IFData!W920)),IF(Base_IFData!L920&gt;$B$4,Base_IFData!W920,""),"")</f>
        <v/>
      </c>
      <c r="N919" s="50">
        <f>IF(AND(ISNUMBER(Base_IFData!O920),ISNUMBER(Base_IFData!Q920)),IF(Base_IFData!Q920&gt;0,Base_IFData!O920/Base_IFData!Q920,"PL ≤ 0"),"NI")</f>
        <v>2.5669085255247475</v>
      </c>
      <c r="O919" s="107">
        <f>IF(AND(ISNUMBER(Base_IFData!M920),ISNUMBER(Base_IFData!Q920)),IF(Base_IFData!Q920&gt;0,Base_IFData!M920/Base_IFData!Q920,"PL ≤ 0"),"NI")</f>
        <v>1.461440787768852</v>
      </c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spans="1:30" ht="1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12" t="str">
        <f>Base_IFData!A921</f>
        <v>GOOGLE PAY BRASIL INSTITUICAO DE PAGAMENTO LTDA.</v>
      </c>
      <c r="L920" s="12" t="str">
        <f>Base_IFData!F921</f>
        <v>n4</v>
      </c>
      <c r="M920" s="14" t="str">
        <f>IF(AND(ISNUMBER(Base_IFData!L921),ISNUMBER(Base_IFData!W921)),IF(Base_IFData!L921&gt;$B$4,Base_IFData!W921,""),"")</f>
        <v/>
      </c>
      <c r="N920" s="51">
        <f>IF(AND(ISNUMBER(Base_IFData!O921),ISNUMBER(Base_IFData!Q921)),IF(Base_IFData!Q921&gt;0,Base_IFData!O921/Base_IFData!Q921,"PL ≤ 0"),"NI")</f>
        <v>5.8262067691455054E-2</v>
      </c>
      <c r="O920" s="110">
        <f>IF(AND(ISNUMBER(Base_IFData!M921),ISNUMBER(Base_IFData!Q921)),IF(Base_IFData!Q921&gt;0,Base_IFData!M921/Base_IFData!Q921,"PL ≤ 0"),"NI")</f>
        <v>0</v>
      </c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spans="1:30" ht="1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15" t="str">
        <f>Base_IFData!A922</f>
        <v>COOPERATIVA DE CRÉDITO DE LIVRE ADMISSÃO - SICOOB COPESITA</v>
      </c>
      <c r="L921" s="15" t="str">
        <f>Base_IFData!F922</f>
        <v>b3S</v>
      </c>
      <c r="M921" s="17" t="str">
        <f>IF(AND(ISNUMBER(Base_IFData!L922),ISNUMBER(Base_IFData!W922)),IF(Base_IFData!L922&gt;$B$4,Base_IFData!W922,""),"")</f>
        <v/>
      </c>
      <c r="N921" s="50">
        <f>IF(AND(ISNUMBER(Base_IFData!O922),ISNUMBER(Base_IFData!Q922)),IF(Base_IFData!Q922&gt;0,Base_IFData!O922/Base_IFData!Q922,"PL ≤ 0"),"NI")</f>
        <v>2.9360993945654359</v>
      </c>
      <c r="O921" s="107">
        <f>IF(AND(ISNUMBER(Base_IFData!M922),ISNUMBER(Base_IFData!Q922)),IF(Base_IFData!Q922&gt;0,Base_IFData!M922/Base_IFData!Q922,"PL ≤ 0"),"NI")</f>
        <v>1.4040917046856618</v>
      </c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spans="1:30" ht="1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12" t="str">
        <f>Base_IFData!A923</f>
        <v>COOPERATIVA DE ECONOMIA E CRÉDITO DE LIVRE ADMISSÃO DOS EMPREGADOS DOS CORREIOS LTDA. - SICOOB COOPERCORREIOS</v>
      </c>
      <c r="L922" s="12" t="str">
        <f>Base_IFData!F923</f>
        <v>b3S</v>
      </c>
      <c r="M922" s="14" t="str">
        <f>IF(AND(ISNUMBER(Base_IFData!L923),ISNUMBER(Base_IFData!W923)),IF(Base_IFData!L923&gt;$B$4,Base_IFData!W923,""),"")</f>
        <v/>
      </c>
      <c r="N922" s="51">
        <f>IF(AND(ISNUMBER(Base_IFData!O923),ISNUMBER(Base_IFData!Q923)),IF(Base_IFData!Q923&gt;0,Base_IFData!O923/Base_IFData!Q923,"PL ≤ 0"),"NI")</f>
        <v>2.2804384199422878</v>
      </c>
      <c r="O922" s="110">
        <f>IF(AND(ISNUMBER(Base_IFData!M923),ISNUMBER(Base_IFData!Q923)),IF(Base_IFData!Q923&gt;0,Base_IFData!M923/Base_IFData!Q923,"PL ≤ 0"),"NI")</f>
        <v>1.5211329081694513</v>
      </c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spans="1:30" ht="1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15" t="str">
        <f>Base_IFData!A924</f>
        <v>SOMAPAY SOCIEDADE DE CRÉDITO DIRETO S.A.</v>
      </c>
      <c r="L923" s="15" t="str">
        <f>Base_IFData!F924</f>
        <v>n1</v>
      </c>
      <c r="M923" s="17" t="str">
        <f>IF(AND(ISNUMBER(Base_IFData!L924),ISNUMBER(Base_IFData!W924)),IF(Base_IFData!L924&gt;$B$4,Base_IFData!W924,""),"")</f>
        <v/>
      </c>
      <c r="N923" s="50">
        <f>IF(AND(ISNUMBER(Base_IFData!O924),ISNUMBER(Base_IFData!Q924)),IF(Base_IFData!Q924&gt;0,Base_IFData!O924/Base_IFData!Q924,"PL ≤ 0"),"NI")</f>
        <v>7.5227287056301622</v>
      </c>
      <c r="O923" s="107">
        <f>IF(AND(ISNUMBER(Base_IFData!M924),ISNUMBER(Base_IFData!Q924)),IF(Base_IFData!Q924&gt;0,Base_IFData!M924/Base_IFData!Q924,"PL ≤ 0"),"NI")</f>
        <v>0.79717546182460119</v>
      </c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spans="1:30" ht="1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12" t="str">
        <f>Base_IFData!A925</f>
        <v>COOPERATIVA DE ECONOMIA E CRÉDITO MÚTUO DOS SERVIDORES DA JUSTIÇA DO ESTADO DE MINAS GERAIS LTDA. - SICOOB CREDJUS</v>
      </c>
      <c r="L924" s="12" t="str">
        <f>Base_IFData!F925</f>
        <v>b3S</v>
      </c>
      <c r="M924" s="14" t="str">
        <f>IF(AND(ISNUMBER(Base_IFData!L925),ISNUMBER(Base_IFData!W925)),IF(Base_IFData!L925&gt;$B$4,Base_IFData!W925,""),"")</f>
        <v/>
      </c>
      <c r="N924" s="51">
        <f>IF(AND(ISNUMBER(Base_IFData!O925),ISNUMBER(Base_IFData!Q925)),IF(Base_IFData!Q925&gt;0,Base_IFData!O925/Base_IFData!Q925,"PL ≤ 0"),"NI")</f>
        <v>1.3136410432395333</v>
      </c>
      <c r="O924" s="110">
        <f>IF(AND(ISNUMBER(Base_IFData!M925),ISNUMBER(Base_IFData!Q925)),IF(Base_IFData!Q925&gt;0,Base_IFData!M925/Base_IFData!Q925,"PL ≤ 0"),"NI")</f>
        <v>0.89993136582017841</v>
      </c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spans="1:30" ht="1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15" t="str">
        <f>Base_IFData!A926</f>
        <v>TRIO INSTITUICAO DE PAGAMENTO LTDA.</v>
      </c>
      <c r="L925" s="15" t="str">
        <f>Base_IFData!F926</f>
        <v>n4</v>
      </c>
      <c r="M925" s="17" t="str">
        <f>IF(AND(ISNUMBER(Base_IFData!L926),ISNUMBER(Base_IFData!W926)),IF(Base_IFData!L926&gt;$B$4,Base_IFData!W926,""),"")</f>
        <v/>
      </c>
      <c r="N925" s="50">
        <f>IF(AND(ISNUMBER(Base_IFData!O926),ISNUMBER(Base_IFData!Q926)),IF(Base_IFData!Q926&gt;0,Base_IFData!O926/Base_IFData!Q926,"PL ≤ 0"),"NI")</f>
        <v>11.145035396623706</v>
      </c>
      <c r="O925" s="107">
        <f>IF(AND(ISNUMBER(Base_IFData!M926),ISNUMBER(Base_IFData!Q926)),IF(Base_IFData!Q926&gt;0,Base_IFData!M926/Base_IFData!Q926,"PL ≤ 0"),"NI")</f>
        <v>0</v>
      </c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spans="1:30" ht="1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12" t="str">
        <f>Base_IFData!A927</f>
        <v>EAGLE INSTITUICAO DE PAGAMENTO LTDA.</v>
      </c>
      <c r="L926" s="12" t="str">
        <f>Base_IFData!F927</f>
        <v>n4</v>
      </c>
      <c r="M926" s="14" t="str">
        <f>IF(AND(ISNUMBER(Base_IFData!L927),ISNUMBER(Base_IFData!W927)),IF(Base_IFData!L927&gt;$B$4,Base_IFData!W927,""),"")</f>
        <v/>
      </c>
      <c r="N926" s="51">
        <f>IF(AND(ISNUMBER(Base_IFData!O927),ISNUMBER(Base_IFData!Q927)),IF(Base_IFData!Q927&gt;0,Base_IFData!O927/Base_IFData!Q927,"PL ≤ 0"),"NI")</f>
        <v>4.7713311652605617E-2</v>
      </c>
      <c r="O926" s="110">
        <f>IF(AND(ISNUMBER(Base_IFData!M927),ISNUMBER(Base_IFData!Q927)),IF(Base_IFData!Q927&gt;0,Base_IFData!M927/Base_IFData!Q927,"PL ≤ 0"),"NI")</f>
        <v>0</v>
      </c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spans="1:30" ht="1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15" t="str">
        <f>Base_IFData!A928</f>
        <v>COOPERATIVA DE CRÉDITO, POUPANÇA E INVESTIMENTO DOS ESCRIVÃES, NOTÁRIOS E REGISTRADORES NO ESTADO DO PARANÁ - SICREDI CREDENOREG PR</v>
      </c>
      <c r="L927" s="15" t="str">
        <f>Base_IFData!F928</f>
        <v>b3S</v>
      </c>
      <c r="M927" s="17" t="str">
        <f>IF(AND(ISNUMBER(Base_IFData!L928),ISNUMBER(Base_IFData!W928)),IF(Base_IFData!L928&gt;$B$4,Base_IFData!W928,""),"")</f>
        <v/>
      </c>
      <c r="N927" s="50">
        <f>IF(AND(ISNUMBER(Base_IFData!O928),ISNUMBER(Base_IFData!Q928)),IF(Base_IFData!Q928&gt;0,Base_IFData!O928/Base_IFData!Q928,"PL ≤ 0"),"NI")</f>
        <v>3.3416167274622199</v>
      </c>
      <c r="O927" s="107">
        <f>IF(AND(ISNUMBER(Base_IFData!M928),ISNUMBER(Base_IFData!Q928)),IF(Base_IFData!Q928&gt;0,Base_IFData!M928/Base_IFData!Q928,"PL ≤ 0"),"NI")</f>
        <v>1.140177175612298</v>
      </c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spans="1:30" ht="1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12" t="str">
        <f>Base_IFData!A929</f>
        <v>ACCREDITO - SOCIEDADE DE CRÉDITO DIRETO S.A.</v>
      </c>
      <c r="L928" s="12" t="str">
        <f>Base_IFData!F929</f>
        <v>n1</v>
      </c>
      <c r="M928" s="14" t="str">
        <f>IF(AND(ISNUMBER(Base_IFData!L929),ISNUMBER(Base_IFData!W929)),IF(Base_IFData!L929&gt;$B$4,Base_IFData!W929,""),"")</f>
        <v/>
      </c>
      <c r="N928" s="51">
        <f>IF(AND(ISNUMBER(Base_IFData!O929),ISNUMBER(Base_IFData!Q929)),IF(Base_IFData!Q929&gt;0,Base_IFData!O929/Base_IFData!Q929,"PL ≤ 0"),"NI")</f>
        <v>0.78706573592431883</v>
      </c>
      <c r="O928" s="110">
        <f>IF(AND(ISNUMBER(Base_IFData!M929),ISNUMBER(Base_IFData!Q929)),IF(Base_IFData!Q929&gt;0,Base_IFData!M929/Base_IFData!Q929,"PL ≤ 0"),"NI")</f>
        <v>5.7070856804032018E-2</v>
      </c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spans="1:30" ht="1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15" t="str">
        <f>Base_IFData!A930</f>
        <v>PAGME INSTITUIÇÃO DE PAGAMENTO LTDA.</v>
      </c>
      <c r="L929" s="15" t="str">
        <f>Base_IFData!F930</f>
        <v>n4</v>
      </c>
      <c r="M929" s="17" t="str">
        <f>IF(AND(ISNUMBER(Base_IFData!L930),ISNUMBER(Base_IFData!W930)),IF(Base_IFData!L930&gt;$B$4,Base_IFData!W930,""),"")</f>
        <v/>
      </c>
      <c r="N929" s="50">
        <f>IF(AND(ISNUMBER(Base_IFData!O930),ISNUMBER(Base_IFData!Q930)),IF(Base_IFData!Q930&gt;0,Base_IFData!O930/Base_IFData!Q930,"PL ≤ 0"),"NI")</f>
        <v>15.190289357528201</v>
      </c>
      <c r="O929" s="107">
        <f>IF(AND(ISNUMBER(Base_IFData!M930),ISNUMBER(Base_IFData!Q930)),IF(Base_IFData!Q930&gt;0,Base_IFData!M930/Base_IFData!Q930,"PL ≤ 0"),"NI")</f>
        <v>0</v>
      </c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spans="1:30" ht="1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12" t="str">
        <f>Base_IFData!A931</f>
        <v>MICROINVEST S.A. SOCIEDADE DE CRÉDITO A MICROEMPREENDEDOR</v>
      </c>
      <c r="L930" s="12" t="str">
        <f>Base_IFData!F931</f>
        <v>n1</v>
      </c>
      <c r="M930" s="14" t="str">
        <f>IF(AND(ISNUMBER(Base_IFData!L931),ISNUMBER(Base_IFData!W931)),IF(Base_IFData!L931&gt;$B$4,Base_IFData!W931,""),"")</f>
        <v/>
      </c>
      <c r="N930" s="51">
        <f>IF(AND(ISNUMBER(Base_IFData!O931),ISNUMBER(Base_IFData!Q931)),IF(Base_IFData!Q931&gt;0,Base_IFData!O931/Base_IFData!Q931,"PL ≤ 0"),"NI")</f>
        <v>2.3894741756275189E-2</v>
      </c>
      <c r="O930" s="110">
        <f>IF(AND(ISNUMBER(Base_IFData!M931),ISNUMBER(Base_IFData!Q931)),IF(Base_IFData!Q931&gt;0,Base_IFData!M931/Base_IFData!Q931,"PL ≤ 0"),"NI")</f>
        <v>0</v>
      </c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spans="1:30" ht="1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15" t="str">
        <f>Base_IFData!A932</f>
        <v>NVIO BRASIL BITSO INSTITUIÇÃO DE PAGAMENTO LTDA</v>
      </c>
      <c r="L931" s="15" t="str">
        <f>Base_IFData!F932</f>
        <v>n4</v>
      </c>
      <c r="M931" s="17" t="str">
        <f>IF(AND(ISNUMBER(Base_IFData!L932),ISNUMBER(Base_IFData!W932)),IF(Base_IFData!L932&gt;$B$4,Base_IFData!W932,""),"")</f>
        <v/>
      </c>
      <c r="N931" s="50">
        <f>IF(AND(ISNUMBER(Base_IFData!O932),ISNUMBER(Base_IFData!Q932)),IF(Base_IFData!Q932&gt;0,Base_IFData!O932/Base_IFData!Q932,"PL ≤ 0"),"NI")</f>
        <v>1.4716895837257487</v>
      </c>
      <c r="O931" s="107">
        <f>IF(AND(ISNUMBER(Base_IFData!M932),ISNUMBER(Base_IFData!Q932)),IF(Base_IFData!Q932&gt;0,Base_IFData!M932/Base_IFData!Q932,"PL ≤ 0"),"NI")</f>
        <v>0</v>
      </c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spans="1:30" ht="1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12" t="str">
        <f>Base_IFData!A933</f>
        <v>SOLVER INSTITUICAO DE PAGAMENTO LTDA</v>
      </c>
      <c r="L932" s="12" t="str">
        <f>Base_IFData!F933</f>
        <v>n4</v>
      </c>
      <c r="M932" s="14" t="str">
        <f>IF(AND(ISNUMBER(Base_IFData!L933),ISNUMBER(Base_IFData!W933)),IF(Base_IFData!L933&gt;$B$4,Base_IFData!W933,""),"")</f>
        <v/>
      </c>
      <c r="N932" s="51">
        <f>IF(AND(ISNUMBER(Base_IFData!O933),ISNUMBER(Base_IFData!Q933)),IF(Base_IFData!Q933&gt;0,Base_IFData!O933/Base_IFData!Q933,"PL ≤ 0"),"NI")</f>
        <v>7.0474832630795934</v>
      </c>
      <c r="O932" s="110">
        <f>IF(AND(ISNUMBER(Base_IFData!M933),ISNUMBER(Base_IFData!Q933)),IF(Base_IFData!Q933&gt;0,Base_IFData!M933/Base_IFData!Q933,"PL ≤ 0"),"NI")</f>
        <v>0</v>
      </c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spans="1:30" ht="1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15" t="str">
        <f>Base_IFData!A934</f>
        <v>COOPERATIVA DE CRÉDITO E ECONOMIA COM INTERAÇÃO SOLIDÁRIA - CRESOL COOPERACRED</v>
      </c>
      <c r="L933" s="15" t="str">
        <f>Base_IFData!F934</f>
        <v>b3S</v>
      </c>
      <c r="M933" s="17" t="str">
        <f>IF(AND(ISNUMBER(Base_IFData!L934),ISNUMBER(Base_IFData!W934)),IF(Base_IFData!L934&gt;$B$4,Base_IFData!W934,""),"")</f>
        <v/>
      </c>
      <c r="N933" s="50">
        <f>IF(AND(ISNUMBER(Base_IFData!O934),ISNUMBER(Base_IFData!Q934)),IF(Base_IFData!Q934&gt;0,Base_IFData!O934/Base_IFData!Q934,"PL ≤ 0"),"NI")</f>
        <v>6.4428496104048278</v>
      </c>
      <c r="O933" s="107">
        <f>IF(AND(ISNUMBER(Base_IFData!M934),ISNUMBER(Base_IFData!Q934)),IF(Base_IFData!Q934&gt;0,Base_IFData!M934/Base_IFData!Q934,"PL ≤ 0"),"NI")</f>
        <v>5.1858925537524163</v>
      </c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spans="1:30" ht="1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12" t="str">
        <f>Base_IFData!A935</f>
        <v>COOPERATIVA DE CRÉDITO MÚTUO DOS EMPREGADOS DA MAXION - CREDMAXION</v>
      </c>
      <c r="L934" s="12" t="str">
        <f>Base_IFData!F935</f>
        <v>b3S</v>
      </c>
      <c r="M934" s="14" t="str">
        <f>IF(AND(ISNUMBER(Base_IFData!L935),ISNUMBER(Base_IFData!W935)),IF(Base_IFData!L935&gt;$B$4,Base_IFData!W935,""),"")</f>
        <v/>
      </c>
      <c r="N934" s="51">
        <f>IF(AND(ISNUMBER(Base_IFData!O935),ISNUMBER(Base_IFData!Q935)),IF(Base_IFData!Q935&gt;0,Base_IFData!O935/Base_IFData!Q935,"PL ≤ 0"),"NI")</f>
        <v>2.6420539760520789E-2</v>
      </c>
      <c r="O934" s="110">
        <f>IF(AND(ISNUMBER(Base_IFData!M935),ISNUMBER(Base_IFData!Q935)),IF(Base_IFData!Q935&gt;0,Base_IFData!M935/Base_IFData!Q935,"PL ≤ 0"),"NI")</f>
        <v>0.70348841922643512</v>
      </c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spans="1:30" ht="1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15" t="str">
        <f>Base_IFData!A936</f>
        <v>FAIR SOCIEDADE CORRETORA DE CÂMBIO S.A.</v>
      </c>
      <c r="L935" s="15" t="str">
        <f>Base_IFData!F936</f>
        <v>n2</v>
      </c>
      <c r="M935" s="17" t="str">
        <f>IF(AND(ISNUMBER(Base_IFData!L936),ISNUMBER(Base_IFData!W936)),IF(Base_IFData!L936&gt;$B$4,Base_IFData!W936,""),"")</f>
        <v/>
      </c>
      <c r="N935" s="50">
        <f>IF(AND(ISNUMBER(Base_IFData!O936),ISNUMBER(Base_IFData!Q936)),IF(Base_IFData!Q936&gt;0,Base_IFData!O936/Base_IFData!Q936,"PL ≤ 0"),"NI")</f>
        <v>2.1520685520135907</v>
      </c>
      <c r="O935" s="107">
        <f>IF(AND(ISNUMBER(Base_IFData!M936),ISNUMBER(Base_IFData!Q936)),IF(Base_IFData!Q936&gt;0,Base_IFData!M936/Base_IFData!Q936,"PL ≤ 0"),"NI")</f>
        <v>0</v>
      </c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spans="1:30" ht="1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12" t="str">
        <f>Base_IFData!A937</f>
        <v>CAPITAL CONSIG SOCIEDADE DE CRÉDITO DIRETO S.A.</v>
      </c>
      <c r="L936" s="12" t="str">
        <f>Base_IFData!F937</f>
        <v>n1</v>
      </c>
      <c r="M936" s="14" t="str">
        <f>IF(AND(ISNUMBER(Base_IFData!L937),ISNUMBER(Base_IFData!W937)),IF(Base_IFData!L937&gt;$B$4,Base_IFData!W937,""),"")</f>
        <v/>
      </c>
      <c r="N936" s="51">
        <f>IF(AND(ISNUMBER(Base_IFData!O937),ISNUMBER(Base_IFData!Q937)),IF(Base_IFData!Q937&gt;0,Base_IFData!O937/Base_IFData!Q937,"PL ≤ 0"),"NI")</f>
        <v>0.49478236907999568</v>
      </c>
      <c r="O936" s="110">
        <f>IF(AND(ISNUMBER(Base_IFData!M937),ISNUMBER(Base_IFData!Q937)),IF(Base_IFData!Q937&gt;0,Base_IFData!M937/Base_IFData!Q937,"PL ≤ 0"),"NI")</f>
        <v>0.20358944253417519</v>
      </c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spans="1:30" ht="1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15" t="str">
        <f>Base_IFData!A938</f>
        <v>COOPERATIVA DE CRÉDITO, POUPANÇA E INVESTIMENTO DO SISTEMA DE JUSTIÇA NO ESTADO DO CEARÁ - SICREDI COOPERJURIS</v>
      </c>
      <c r="L937" s="15" t="str">
        <f>Base_IFData!F938</f>
        <v>b3S</v>
      </c>
      <c r="M937" s="17" t="str">
        <f>IF(AND(ISNUMBER(Base_IFData!L938),ISNUMBER(Base_IFData!W938)),IF(Base_IFData!L938&gt;$B$4,Base_IFData!W938,""),"")</f>
        <v/>
      </c>
      <c r="N937" s="50">
        <f>IF(AND(ISNUMBER(Base_IFData!O938),ISNUMBER(Base_IFData!Q938)),IF(Base_IFData!Q938&gt;0,Base_IFData!O938/Base_IFData!Q938,"PL ≤ 0"),"NI")</f>
        <v>7.3502098280763501</v>
      </c>
      <c r="O937" s="107">
        <f>IF(AND(ISNUMBER(Base_IFData!M938),ISNUMBER(Base_IFData!Q938)),IF(Base_IFData!Q938&gt;0,Base_IFData!M938/Base_IFData!Q938,"PL ≤ 0"),"NI")</f>
        <v>3.8805333694327873</v>
      </c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spans="1:30" ht="1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12" t="str">
        <f>Base_IFData!A939</f>
        <v>COOPERATIVA DE CRÉDITO MÚTUO DE LIVRE ADMISSÃO DA REGIÃO ADMINISTRATIVA DE SOROCABA - SICOOB COOPERASO</v>
      </c>
      <c r="L938" s="12" t="str">
        <f>Base_IFData!F939</f>
        <v>b3S</v>
      </c>
      <c r="M938" s="14" t="str">
        <f>IF(AND(ISNUMBER(Base_IFData!L939),ISNUMBER(Base_IFData!W939)),IF(Base_IFData!L939&gt;$B$4,Base_IFData!W939,""),"")</f>
        <v/>
      </c>
      <c r="N938" s="51">
        <f>IF(AND(ISNUMBER(Base_IFData!O939),ISNUMBER(Base_IFData!Q939)),IF(Base_IFData!Q939&gt;0,Base_IFData!O939/Base_IFData!Q939,"PL ≤ 0"),"NI")</f>
        <v>5.5672729235252847</v>
      </c>
      <c r="O938" s="110">
        <f>IF(AND(ISNUMBER(Base_IFData!M939),ISNUMBER(Base_IFData!Q939)),IF(Base_IFData!Q939&gt;0,Base_IFData!M939/Base_IFData!Q939,"PL ≤ 0"),"NI")</f>
        <v>2.4198823465918289</v>
      </c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spans="1:30" ht="1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15" t="str">
        <f>Base_IFData!A940</f>
        <v>COOPERATIVA DE ECONOMIA E CRÉDITO MÚTUO DOS SERVIDORES PÚBLICOS - SICOOB COOPERPLAN CREDSEF</v>
      </c>
      <c r="L939" s="15" t="str">
        <f>Base_IFData!F940</f>
        <v>b3S</v>
      </c>
      <c r="M939" s="17" t="str">
        <f>IF(AND(ISNUMBER(Base_IFData!L940),ISNUMBER(Base_IFData!W940)),IF(Base_IFData!L940&gt;$B$4,Base_IFData!W940,""),"")</f>
        <v/>
      </c>
      <c r="N939" s="50">
        <f>IF(AND(ISNUMBER(Base_IFData!O940),ISNUMBER(Base_IFData!Q940)),IF(Base_IFData!Q940&gt;0,Base_IFData!O940/Base_IFData!Q940,"PL ≤ 0"),"NI")</f>
        <v>2.539792488674558</v>
      </c>
      <c r="O939" s="107">
        <f>IF(AND(ISNUMBER(Base_IFData!M940),ISNUMBER(Base_IFData!Q940)),IF(Base_IFData!Q940&gt;0,Base_IFData!M940/Base_IFData!Q940,"PL ≤ 0"),"NI")</f>
        <v>2.5255881923133128</v>
      </c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spans="1:30" ht="1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12" t="str">
        <f>Base_IFData!A941</f>
        <v>REPASSES FINANCEIROS E SOLUCOES TECNOLOGICAS INSTITUICAO DE PAGAMENTO S.A.</v>
      </c>
      <c r="L940" s="12" t="str">
        <f>Base_IFData!F941</f>
        <v>n4</v>
      </c>
      <c r="M940" s="14" t="str">
        <f>IF(AND(ISNUMBER(Base_IFData!L941),ISNUMBER(Base_IFData!W941)),IF(Base_IFData!L941&gt;$B$4,Base_IFData!W941,""),"")</f>
        <v/>
      </c>
      <c r="N940" s="51">
        <f>IF(AND(ISNUMBER(Base_IFData!O941),ISNUMBER(Base_IFData!Q941)),IF(Base_IFData!Q941&gt;0,Base_IFData!O941/Base_IFData!Q941,"PL ≤ 0"),"NI")</f>
        <v>3.3825130581917162</v>
      </c>
      <c r="O940" s="110">
        <f>IF(AND(ISNUMBER(Base_IFData!M941),ISNUMBER(Base_IFData!Q941)),IF(Base_IFData!Q941&gt;0,Base_IFData!M941/Base_IFData!Q941,"PL ≤ 0"),"NI")</f>
        <v>0</v>
      </c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spans="1:30" ht="1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15" t="str">
        <f>Base_IFData!A942</f>
        <v>MERCADO BITCOIN INSTITUICAO DE PAGAMENTO LTDA</v>
      </c>
      <c r="L941" s="15" t="str">
        <f>Base_IFData!F942</f>
        <v>n4</v>
      </c>
      <c r="M941" s="17" t="str">
        <f>IF(AND(ISNUMBER(Base_IFData!L942),ISNUMBER(Base_IFData!W942)),IF(Base_IFData!L942&gt;$B$4,Base_IFData!W942,""),"")</f>
        <v/>
      </c>
      <c r="N941" s="50">
        <f>IF(AND(ISNUMBER(Base_IFData!O942),ISNUMBER(Base_IFData!Q942)),IF(Base_IFData!Q942&gt;0,Base_IFData!O942/Base_IFData!Q942,"PL ≤ 0"),"NI")</f>
        <v>9.7056651355489514</v>
      </c>
      <c r="O941" s="107">
        <f>IF(AND(ISNUMBER(Base_IFData!M942),ISNUMBER(Base_IFData!Q942)),IF(Base_IFData!Q942&gt;0,Base_IFData!M942/Base_IFData!Q942,"PL ≤ 0"),"NI")</f>
        <v>0</v>
      </c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spans="1:30" ht="1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12" t="str">
        <f>Base_IFData!A943</f>
        <v>COOPERATIVA DE CRÉDITO DE LIVRE ADMISSÃO SUL MARANHENSE - SICOOB SUL MARANHENSE</v>
      </c>
      <c r="L942" s="12" t="str">
        <f>Base_IFData!F943</f>
        <v>b3S</v>
      </c>
      <c r="M942" s="14" t="str">
        <f>IF(AND(ISNUMBER(Base_IFData!L943),ISNUMBER(Base_IFData!W943)),IF(Base_IFData!L943&gt;$B$4,Base_IFData!W943,""),"")</f>
        <v/>
      </c>
      <c r="N942" s="51">
        <f>IF(AND(ISNUMBER(Base_IFData!O943),ISNUMBER(Base_IFData!Q943)),IF(Base_IFData!Q943&gt;0,Base_IFData!O943/Base_IFData!Q943,"PL ≤ 0"),"NI")</f>
        <v>3.529106782051771</v>
      </c>
      <c r="O942" s="110">
        <f>IF(AND(ISNUMBER(Base_IFData!M943),ISNUMBER(Base_IFData!Q943)),IF(Base_IFData!Q943&gt;0,Base_IFData!M943/Base_IFData!Q943,"PL ≤ 0"),"NI")</f>
        <v>2.684495444321604</v>
      </c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spans="1:30" ht="1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15" t="str">
        <f>Base_IFData!A944</f>
        <v>CONFIDENCE SOCIEDADE CORRETORA DE CAMBIO S.A.</v>
      </c>
      <c r="L943" s="15" t="str">
        <f>Base_IFData!F944</f>
        <v>n2</v>
      </c>
      <c r="M943" s="17" t="str">
        <f>IF(AND(ISNUMBER(Base_IFData!L944),ISNUMBER(Base_IFData!W944)),IF(Base_IFData!L944&gt;$B$4,Base_IFData!W944,""),"")</f>
        <v/>
      </c>
      <c r="N943" s="50">
        <f>IF(AND(ISNUMBER(Base_IFData!O944),ISNUMBER(Base_IFData!Q944)),IF(Base_IFData!Q944&gt;0,Base_IFData!O944/Base_IFData!Q944,"PL ≤ 0"),"NI")</f>
        <v>0.41645222678364113</v>
      </c>
      <c r="O943" s="107">
        <f>IF(AND(ISNUMBER(Base_IFData!M944),ISNUMBER(Base_IFData!Q944)),IF(Base_IFData!Q944&gt;0,Base_IFData!M944/Base_IFData!Q944,"PL ≤ 0"),"NI")</f>
        <v>0</v>
      </c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spans="1:30" ht="1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12" t="str">
        <f>Base_IFData!A945</f>
        <v>CREDISIS OESTE - COOPERATIVA DE CRÉDITO E INVESTIMENTO DO OESTE</v>
      </c>
      <c r="L944" s="12" t="str">
        <f>Base_IFData!F945</f>
        <v>b3S</v>
      </c>
      <c r="M944" s="14" t="str">
        <f>IF(AND(ISNUMBER(Base_IFData!L945),ISNUMBER(Base_IFData!W945)),IF(Base_IFData!L945&gt;$B$4,Base_IFData!W945,""),"")</f>
        <v/>
      </c>
      <c r="N944" s="51">
        <f>IF(AND(ISNUMBER(Base_IFData!O945),ISNUMBER(Base_IFData!Q945)),IF(Base_IFData!Q945&gt;0,Base_IFData!O945/Base_IFData!Q945,"PL ≤ 0"),"NI")</f>
        <v>3.5340493513492706</v>
      </c>
      <c r="O944" s="110">
        <f>IF(AND(ISNUMBER(Base_IFData!M945),ISNUMBER(Base_IFData!Q945)),IF(Base_IFData!Q945&gt;0,Base_IFData!M945/Base_IFData!Q945,"PL ≤ 0"),"NI")</f>
        <v>2.3801439735150325</v>
      </c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spans="1:30" ht="1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15" t="str">
        <f>Base_IFData!A946</f>
        <v>AGI FINANCEIRA S.A. - SOCIEDADE DE CRÉDITO, FINANCIAMENTO E INVESTIMENTO</v>
      </c>
      <c r="L945" s="15" t="str">
        <f>Base_IFData!F946</f>
        <v>n1</v>
      </c>
      <c r="M945" s="17" t="str">
        <f>IF(AND(ISNUMBER(Base_IFData!L946),ISNUMBER(Base_IFData!W946)),IF(Base_IFData!L946&gt;$B$4,Base_IFData!W946,""),"")</f>
        <v/>
      </c>
      <c r="N945" s="50">
        <f>IF(AND(ISNUMBER(Base_IFData!O946),ISNUMBER(Base_IFData!Q946)),IF(Base_IFData!Q946&gt;0,Base_IFData!O946/Base_IFData!Q946,"PL ≤ 0"),"NI")</f>
        <v>1.4879464474854891</v>
      </c>
      <c r="O945" s="107">
        <f>IF(AND(ISNUMBER(Base_IFData!M946),ISNUMBER(Base_IFData!Q946)),IF(Base_IFData!Q946&gt;0,Base_IFData!M946/Base_IFData!Q946,"PL ≤ 0"),"NI")</f>
        <v>0</v>
      </c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spans="1:30" ht="1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12" t="str">
        <f>Base_IFData!A947</f>
        <v>INOVANTI INSTITUIÇÃO DE PAGAMENTO S.A.</v>
      </c>
      <c r="L946" s="12" t="str">
        <f>Base_IFData!F947</f>
        <v>n4</v>
      </c>
      <c r="M946" s="14" t="str">
        <f>IF(AND(ISNUMBER(Base_IFData!L947),ISNUMBER(Base_IFData!W947)),IF(Base_IFData!L947&gt;$B$4,Base_IFData!W947,""),"")</f>
        <v/>
      </c>
      <c r="N946" s="51">
        <f>IF(AND(ISNUMBER(Base_IFData!O947),ISNUMBER(Base_IFData!Q947)),IF(Base_IFData!Q947&gt;0,Base_IFData!O947/Base_IFData!Q947,"PL ≤ 0"),"NI")</f>
        <v>8.3249442497610708</v>
      </c>
      <c r="O946" s="110">
        <f>IF(AND(ISNUMBER(Base_IFData!M947),ISNUMBER(Base_IFData!Q947)),IF(Base_IFData!Q947&gt;0,Base_IFData!M947/Base_IFData!Q947,"PL ≤ 0"),"NI")</f>
        <v>0</v>
      </c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spans="1:30" ht="1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15" t="str">
        <f>Base_IFData!A948</f>
        <v>MT INSTITUICAO DE PAGAMENTO SA</v>
      </c>
      <c r="L947" s="15" t="str">
        <f>Base_IFData!F948</f>
        <v>n4</v>
      </c>
      <c r="M947" s="17" t="str">
        <f>IF(AND(ISNUMBER(Base_IFData!L948),ISNUMBER(Base_IFData!W948)),IF(Base_IFData!L948&gt;$B$4,Base_IFData!W948,""),"")</f>
        <v/>
      </c>
      <c r="N947" s="50">
        <f>IF(AND(ISNUMBER(Base_IFData!O948),ISNUMBER(Base_IFData!Q948)),IF(Base_IFData!Q948&gt;0,Base_IFData!O948/Base_IFData!Q948,"PL ≤ 0"),"NI")</f>
        <v>7.2978451942160474</v>
      </c>
      <c r="O947" s="107">
        <f>IF(AND(ISNUMBER(Base_IFData!M948),ISNUMBER(Base_IFData!Q948)),IF(Base_IFData!Q948&gt;0,Base_IFData!M948/Base_IFData!Q948,"PL ≤ 0"),"NI")</f>
        <v>0</v>
      </c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spans="1:30" ht="1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12" t="str">
        <f>Base_IFData!A949</f>
        <v>PLANNER SOCIEDADE DE CRÉDITO DIRETO S.A.</v>
      </c>
      <c r="L948" s="12" t="str">
        <f>Base_IFData!F949</f>
        <v>n1</v>
      </c>
      <c r="M948" s="14" t="str">
        <f>IF(AND(ISNUMBER(Base_IFData!L949),ISNUMBER(Base_IFData!W949)),IF(Base_IFData!L949&gt;$B$4,Base_IFData!W949,""),"")</f>
        <v/>
      </c>
      <c r="N948" s="51">
        <f>IF(AND(ISNUMBER(Base_IFData!O949),ISNUMBER(Base_IFData!Q949)),IF(Base_IFData!Q949&gt;0,Base_IFData!O949/Base_IFData!Q949,"PL ≤ 0"),"NI")</f>
        <v>6.8058992709517758</v>
      </c>
      <c r="O948" s="110">
        <f>IF(AND(ISNUMBER(Base_IFData!M949),ISNUMBER(Base_IFData!Q949)),IF(Base_IFData!Q949&gt;0,Base_IFData!M949/Base_IFData!Q949,"PL ≤ 0"),"NI")</f>
        <v>0</v>
      </c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spans="1:30" ht="1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15" t="str">
        <f>Base_IFData!A950</f>
        <v>COOPERATIVA DE CRÉDITO, POUPANÇA E INVESTIMENTO DOS PROFISSIONAIS MÉDICOS E DA SAÚDE DE CURITIBA E REGIÃO METROPOLITANA - SICREDI MEDICRED PR</v>
      </c>
      <c r="L949" s="15" t="str">
        <f>Base_IFData!F950</f>
        <v>b3S</v>
      </c>
      <c r="M949" s="17" t="str">
        <f>IF(AND(ISNUMBER(Base_IFData!L950),ISNUMBER(Base_IFData!W950)),IF(Base_IFData!L950&gt;$B$4,Base_IFData!W950,""),"")</f>
        <v/>
      </c>
      <c r="N949" s="50">
        <f>IF(AND(ISNUMBER(Base_IFData!O950),ISNUMBER(Base_IFData!Q950)),IF(Base_IFData!Q950&gt;0,Base_IFData!O950/Base_IFData!Q950,"PL ≤ 0"),"NI")</f>
        <v>6.6486078276858418</v>
      </c>
      <c r="O949" s="107">
        <f>IF(AND(ISNUMBER(Base_IFData!M950),ISNUMBER(Base_IFData!Q950)),IF(Base_IFData!Q950&gt;0,Base_IFData!M950/Base_IFData!Q950,"PL ≤ 0"),"NI")</f>
        <v>2.8958497504596794</v>
      </c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spans="1:30" ht="1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12" t="str">
        <f>Base_IFData!A951</f>
        <v>PAGCERTO INSTITUICAO DE PAGAMENTO LTDA.</v>
      </c>
      <c r="L950" s="12" t="str">
        <f>Base_IFData!F951</f>
        <v>n4</v>
      </c>
      <c r="M950" s="14" t="str">
        <f>IF(AND(ISNUMBER(Base_IFData!L951),ISNUMBER(Base_IFData!W951)),IF(Base_IFData!L951&gt;$B$4,Base_IFData!W951,""),"")</f>
        <v/>
      </c>
      <c r="N950" s="51">
        <f>IF(AND(ISNUMBER(Base_IFData!O951),ISNUMBER(Base_IFData!Q951)),IF(Base_IFData!Q951&gt;0,Base_IFData!O951/Base_IFData!Q951,"PL ≤ 0"),"NI")</f>
        <v>4.1484737593716527</v>
      </c>
      <c r="O950" s="110">
        <f>IF(AND(ISNUMBER(Base_IFData!M951),ISNUMBER(Base_IFData!Q951)),IF(Base_IFData!Q951&gt;0,Base_IFData!M951/Base_IFData!Q951,"PL ≤ 0"),"NI")</f>
        <v>0</v>
      </c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spans="1:30" ht="1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15" t="str">
        <f>Base_IFData!A952</f>
        <v>RENDIMENTO DISTRIBUIDORA DE TÍTULOS E VALORES MOBILIÁRIOS S/A</v>
      </c>
      <c r="L951" s="15" t="str">
        <f>Base_IFData!F952</f>
        <v>n2</v>
      </c>
      <c r="M951" s="17" t="str">
        <f>IF(AND(ISNUMBER(Base_IFData!L952),ISNUMBER(Base_IFData!W952)),IF(Base_IFData!L952&gt;$B$4,Base_IFData!W952,""),"")</f>
        <v/>
      </c>
      <c r="N951" s="50">
        <f>IF(AND(ISNUMBER(Base_IFData!O952),ISNUMBER(Base_IFData!Q952)),IF(Base_IFData!Q952&gt;0,Base_IFData!O952/Base_IFData!Q952,"PL ≤ 0"),"NI")</f>
        <v>3.9169806418084967</v>
      </c>
      <c r="O951" s="107">
        <f>IF(AND(ISNUMBER(Base_IFData!M952),ISNUMBER(Base_IFData!Q952)),IF(Base_IFData!Q952&gt;0,Base_IFData!M952/Base_IFData!Q952,"PL ≤ 0"),"NI")</f>
        <v>0</v>
      </c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spans="1:30" ht="1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12" t="str">
        <f>Base_IFData!A953</f>
        <v>CREDITÁ S/A CRÉDITO, FINANCIAMENTO E INVESTIMENTO</v>
      </c>
      <c r="L952" s="12" t="str">
        <f>Base_IFData!F953</f>
        <v>n1</v>
      </c>
      <c r="M952" s="14" t="str">
        <f>IF(AND(ISNUMBER(Base_IFData!L953),ISNUMBER(Base_IFData!W953)),IF(Base_IFData!L953&gt;$B$4,Base_IFData!W953,""),"")</f>
        <v/>
      </c>
      <c r="N952" s="51">
        <f>IF(AND(ISNUMBER(Base_IFData!O953),ISNUMBER(Base_IFData!Q953)),IF(Base_IFData!Q953&gt;0,Base_IFData!O953/Base_IFData!Q953,"PL ≤ 0"),"NI")</f>
        <v>0.89934431741761933</v>
      </c>
      <c r="O952" s="110">
        <f>IF(AND(ISNUMBER(Base_IFData!M953),ISNUMBER(Base_IFData!Q953)),IF(Base_IFData!Q953&gt;0,Base_IFData!M953/Base_IFData!Q953,"PL ≤ 0"),"NI")</f>
        <v>0.85558170813718892</v>
      </c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spans="1:30" ht="1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15" t="str">
        <f>Base_IFData!A954</f>
        <v>GOWD INSTITUIÇÃO DE PAGAMENTO LTDA.</v>
      </c>
      <c r="L953" s="15" t="str">
        <f>Base_IFData!F954</f>
        <v>n4</v>
      </c>
      <c r="M953" s="17" t="str">
        <f>IF(AND(ISNUMBER(Base_IFData!L954),ISNUMBER(Base_IFData!W954)),IF(Base_IFData!L954&gt;$B$4,Base_IFData!W954,""),"")</f>
        <v/>
      </c>
      <c r="N953" s="50" t="str">
        <f>IF(AND(ISNUMBER(Base_IFData!O954),ISNUMBER(Base_IFData!Q954)),IF(Base_IFData!Q954&gt;0,Base_IFData!O954/Base_IFData!Q954,"PL ≤ 0"),"NI")</f>
        <v>PL ≤ 0</v>
      </c>
      <c r="O953" s="107" t="str">
        <f>IF(AND(ISNUMBER(Base_IFData!M954),ISNUMBER(Base_IFData!Q954)),IF(Base_IFData!Q954&gt;0,Base_IFData!M954/Base_IFData!Q954,"PL ≤ 0"),"NI")</f>
        <v>PL ≤ 0</v>
      </c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spans="1:30" ht="1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12" t="str">
        <f>Base_IFData!A955</f>
        <v>PAY INSTITUICAO DE PAGAMENTO S.A.</v>
      </c>
      <c r="L954" s="12" t="str">
        <f>Base_IFData!F955</f>
        <v>n4</v>
      </c>
      <c r="M954" s="14" t="str">
        <f>IF(AND(ISNUMBER(Base_IFData!L955),ISNUMBER(Base_IFData!W955)),IF(Base_IFData!L955&gt;$B$4,Base_IFData!W955,""),"")</f>
        <v/>
      </c>
      <c r="N954" s="51">
        <f>IF(AND(ISNUMBER(Base_IFData!O955),ISNUMBER(Base_IFData!Q955)),IF(Base_IFData!Q955&gt;0,Base_IFData!O955/Base_IFData!Q955,"PL ≤ 0"),"NI")</f>
        <v>15.138448349764252</v>
      </c>
      <c r="O954" s="110">
        <f>IF(AND(ISNUMBER(Base_IFData!M955),ISNUMBER(Base_IFData!Q955)),IF(Base_IFData!Q955&gt;0,Base_IFData!M955/Base_IFData!Q955,"PL ≤ 0"),"NI")</f>
        <v>0</v>
      </c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spans="1:30" ht="1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15" t="str">
        <f>Base_IFData!A956</f>
        <v>DELFINANCE SOCIEDADE DE CREDITO DIRETO S.A.</v>
      </c>
      <c r="L955" s="15" t="str">
        <f>Base_IFData!F956</f>
        <v>n1</v>
      </c>
      <c r="M955" s="17" t="str">
        <f>IF(AND(ISNUMBER(Base_IFData!L956),ISNUMBER(Base_IFData!W956)),IF(Base_IFData!L956&gt;$B$4,Base_IFData!W956,""),"")</f>
        <v/>
      </c>
      <c r="N955" s="50">
        <f>IF(AND(ISNUMBER(Base_IFData!O956),ISNUMBER(Base_IFData!Q956)),IF(Base_IFData!Q956&gt;0,Base_IFData!O956/Base_IFData!Q956,"PL ≤ 0"),"NI")</f>
        <v>3.7140351609804987</v>
      </c>
      <c r="O955" s="107">
        <f>IF(AND(ISNUMBER(Base_IFData!M956),ISNUMBER(Base_IFData!Q956)),IF(Base_IFData!Q956&gt;0,Base_IFData!M956/Base_IFData!Q956,"PL ≤ 0"),"NI")</f>
        <v>0.4013446360713242</v>
      </c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spans="1:30" ht="1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12" t="str">
        <f>Base_IFData!A957</f>
        <v>KANASTRA FINANCEIRA S.A, CREDITO, FINANCIAMENTO E INVESTIMENTO</v>
      </c>
      <c r="L956" s="12" t="str">
        <f>Base_IFData!F957</f>
        <v>n1</v>
      </c>
      <c r="M956" s="14" t="str">
        <f>IF(AND(ISNUMBER(Base_IFData!L957),ISNUMBER(Base_IFData!W957)),IF(Base_IFData!L957&gt;$B$4,Base_IFData!W957,""),"")</f>
        <v/>
      </c>
      <c r="N956" s="51">
        <f>IF(AND(ISNUMBER(Base_IFData!O957),ISNUMBER(Base_IFData!Q957)),IF(Base_IFData!Q957&gt;0,Base_IFData!O957/Base_IFData!Q957,"PL ≤ 0"),"NI")</f>
        <v>0.40464454621460749</v>
      </c>
      <c r="O956" s="110">
        <f>IF(AND(ISNUMBER(Base_IFData!M957),ISNUMBER(Base_IFData!Q957)),IF(Base_IFData!Q957&gt;0,Base_IFData!M957/Base_IFData!Q957,"PL ≤ 0"),"NI")</f>
        <v>5.3658110485793077E-4</v>
      </c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spans="1:30" ht="1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15" t="str">
        <f>Base_IFData!A958</f>
        <v>CELCOIN SOCIEDADE DE CRÉDITO DIRETO S.A.</v>
      </c>
      <c r="L957" s="15" t="str">
        <f>Base_IFData!F958</f>
        <v>n1</v>
      </c>
      <c r="M957" s="17" t="str">
        <f>IF(AND(ISNUMBER(Base_IFData!L958),ISNUMBER(Base_IFData!W958)),IF(Base_IFData!L958&gt;$B$4,Base_IFData!W958,""),"")</f>
        <v/>
      </c>
      <c r="N957" s="50">
        <f>IF(AND(ISNUMBER(Base_IFData!O958),ISNUMBER(Base_IFData!Q958)),IF(Base_IFData!Q958&gt;0,Base_IFData!O958/Base_IFData!Q958,"PL ≤ 0"),"NI")</f>
        <v>0.39674380887031374</v>
      </c>
      <c r="O957" s="107">
        <f>IF(AND(ISNUMBER(Base_IFData!M958),ISNUMBER(Base_IFData!Q958)),IF(Base_IFData!Q958&gt;0,Base_IFData!M958/Base_IFData!Q958,"PL ≤ 0"),"NI")</f>
        <v>0.31742249391803379</v>
      </c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spans="1:30" ht="1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12" t="str">
        <f>Base_IFData!A959</f>
        <v>COOPERATIVA DE CRÉDITO DE LIVRE ADMISSÃO CENTRO NORDESTE - SICOOB CENTRO NORDESTE</v>
      </c>
      <c r="L958" s="12" t="str">
        <f>Base_IFData!F959</f>
        <v>b3S</v>
      </c>
      <c r="M958" s="14" t="str">
        <f>IF(AND(ISNUMBER(Base_IFData!L959),ISNUMBER(Base_IFData!W959)),IF(Base_IFData!L959&gt;$B$4,Base_IFData!W959,""),"")</f>
        <v/>
      </c>
      <c r="N958" s="51">
        <f>IF(AND(ISNUMBER(Base_IFData!O959),ISNUMBER(Base_IFData!Q959)),IF(Base_IFData!Q959&gt;0,Base_IFData!O959/Base_IFData!Q959,"PL ≤ 0"),"NI")</f>
        <v>3.6707189706312402</v>
      </c>
      <c r="O958" s="110">
        <f>IF(AND(ISNUMBER(Base_IFData!M959),ISNUMBER(Base_IFData!Q959)),IF(Base_IFData!Q959&gt;0,Base_IFData!M959/Base_IFData!Q959,"PL ≤ 0"),"NI")</f>
        <v>2.6530893595688685</v>
      </c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spans="1:30" ht="1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15" t="str">
        <f>Base_IFData!A960</f>
        <v>COOPERATIVA DE ECONOMIA E CRÉDITO MÚTUO DOS MAGISTRADOS DE SÃO PAULO - MAGISCRED</v>
      </c>
      <c r="L959" s="15" t="str">
        <f>Base_IFData!F960</f>
        <v>b3S</v>
      </c>
      <c r="M959" s="17" t="str">
        <f>IF(AND(ISNUMBER(Base_IFData!L960),ISNUMBER(Base_IFData!W960)),IF(Base_IFData!L960&gt;$B$4,Base_IFData!W960,""),"")</f>
        <v/>
      </c>
      <c r="N959" s="50">
        <f>IF(AND(ISNUMBER(Base_IFData!O960),ISNUMBER(Base_IFData!Q960)),IF(Base_IFData!Q960&gt;0,Base_IFData!O960/Base_IFData!Q960,"PL ≤ 0"),"NI")</f>
        <v>4.3365919110599958</v>
      </c>
      <c r="O959" s="107">
        <f>IF(AND(ISNUMBER(Base_IFData!M960),ISNUMBER(Base_IFData!Q960)),IF(Base_IFData!Q960&gt;0,Base_IFData!M960/Base_IFData!Q960,"PL ≤ 0"),"NI")</f>
        <v>0.84622388345792598</v>
      </c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spans="1:30" ht="1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12" t="str">
        <f>Base_IFData!A961</f>
        <v>AVANCARD PROVER INSTITUIÇÃO DE PAGAMENTO LTDA</v>
      </c>
      <c r="L960" s="12" t="str">
        <f>Base_IFData!F961</f>
        <v>n4</v>
      </c>
      <c r="M960" s="14" t="str">
        <f>IF(AND(ISNUMBER(Base_IFData!L961),ISNUMBER(Base_IFData!W961)),IF(Base_IFData!L961&gt;$B$4,Base_IFData!W961,""),"")</f>
        <v/>
      </c>
      <c r="N960" s="51">
        <f>IF(AND(ISNUMBER(Base_IFData!O961),ISNUMBER(Base_IFData!Q961)),IF(Base_IFData!Q961&gt;0,Base_IFData!O961/Base_IFData!Q961,"PL ≤ 0"),"NI")</f>
        <v>3.5757113402061855</v>
      </c>
      <c r="O960" s="110">
        <f>IF(AND(ISNUMBER(Base_IFData!M961),ISNUMBER(Base_IFData!Q961)),IF(Base_IFData!Q961&gt;0,Base_IFData!M961/Base_IFData!Q961,"PL ≤ 0"),"NI")</f>
        <v>0</v>
      </c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spans="1:30" ht="1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15" t="str">
        <f>Base_IFData!A962</f>
        <v>COOPERATIVA DE CRÉDITO, POUPANÇA E INVESTIMENTO DA ADVOCACIA E SERVENTUÁRIOS DO PODER JUDICIÁRIO NO ESTADO DO RIO GRANDE DO SUL - SICREDI COOABCRED RS</v>
      </c>
      <c r="L961" s="15" t="str">
        <f>Base_IFData!F962</f>
        <v>b3S</v>
      </c>
      <c r="M961" s="17" t="str">
        <f>IF(AND(ISNUMBER(Base_IFData!L962),ISNUMBER(Base_IFData!W962)),IF(Base_IFData!L962&gt;$B$4,Base_IFData!W962,""),"")</f>
        <v/>
      </c>
      <c r="N961" s="50">
        <f>IF(AND(ISNUMBER(Base_IFData!O962),ISNUMBER(Base_IFData!Q962)),IF(Base_IFData!Q962&gt;0,Base_IFData!O962/Base_IFData!Q962,"PL ≤ 0"),"NI")</f>
        <v>8.6248151048464283</v>
      </c>
      <c r="O961" s="107">
        <f>IF(AND(ISNUMBER(Base_IFData!M962),ISNUMBER(Base_IFData!Q962)),IF(Base_IFData!Q962&gt;0,Base_IFData!M962/Base_IFData!Q962,"PL ≤ 0"),"NI")</f>
        <v>2.6384755938397286</v>
      </c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spans="1:30" ht="1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12" t="str">
        <f>Base_IFData!A963</f>
        <v>NG CASH INSTITUIÇÃO DE PAGAMENTO LTDA.</v>
      </c>
      <c r="L962" s="12" t="str">
        <f>Base_IFData!F963</f>
        <v>n4</v>
      </c>
      <c r="M962" s="14" t="str">
        <f>IF(AND(ISNUMBER(Base_IFData!L963),ISNUMBER(Base_IFData!W963)),IF(Base_IFData!L963&gt;$B$4,Base_IFData!W963,""),"")</f>
        <v/>
      </c>
      <c r="N962" s="51">
        <f>IF(AND(ISNUMBER(Base_IFData!O963),ISNUMBER(Base_IFData!Q963)),IF(Base_IFData!Q963&gt;0,Base_IFData!O963/Base_IFData!Q963,"PL ≤ 0"),"NI")</f>
        <v>0.68916891229789323</v>
      </c>
      <c r="O962" s="110">
        <f>IF(AND(ISNUMBER(Base_IFData!M963),ISNUMBER(Base_IFData!Q963)),IF(Base_IFData!Q963&gt;0,Base_IFData!M963/Base_IFData!Q963,"PL ≤ 0"),"NI")</f>
        <v>0</v>
      </c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spans="1:30" ht="1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15" t="str">
        <f>Base_IFData!A964</f>
        <v>JBCRED S.A. SOCIEDADE DE CREDITO, FINANCIAMENTO E INVESTIMENTO</v>
      </c>
      <c r="L963" s="15" t="str">
        <f>Base_IFData!F964</f>
        <v>n1</v>
      </c>
      <c r="M963" s="17" t="str">
        <f>IF(AND(ISNUMBER(Base_IFData!L964),ISNUMBER(Base_IFData!W964)),IF(Base_IFData!L964&gt;$B$4,Base_IFData!W964,""),"")</f>
        <v/>
      </c>
      <c r="N963" s="50">
        <f>IF(AND(ISNUMBER(Base_IFData!O964),ISNUMBER(Base_IFData!Q964)),IF(Base_IFData!Q964&gt;0,Base_IFData!O964/Base_IFData!Q964,"PL ≤ 0"),"NI")</f>
        <v>0.24071349344681622</v>
      </c>
      <c r="O963" s="107">
        <f>IF(AND(ISNUMBER(Base_IFData!M964),ISNUMBER(Base_IFData!Q964)),IF(Base_IFData!Q964&gt;0,Base_IFData!M964/Base_IFData!Q964,"PL ≤ 0"),"NI")</f>
        <v>0.56704846413291987</v>
      </c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spans="1:30" ht="1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12" t="str">
        <f>Base_IFData!A965</f>
        <v>CM CAPITAL MARKETS CORRETORA DE CÂMBIO, TÍTULOS E VALORES MOBILIÁRIOS LTDA</v>
      </c>
      <c r="L964" s="12" t="str">
        <f>Base_IFData!F965</f>
        <v>n2</v>
      </c>
      <c r="M964" s="14" t="str">
        <f>IF(AND(ISNUMBER(Base_IFData!L965),ISNUMBER(Base_IFData!W965)),IF(Base_IFData!L965&gt;$B$4,Base_IFData!W965,""),"")</f>
        <v/>
      </c>
      <c r="N964" s="51">
        <f>IF(AND(ISNUMBER(Base_IFData!O965),ISNUMBER(Base_IFData!Q965)),IF(Base_IFData!Q965&gt;0,Base_IFData!O965/Base_IFData!Q965,"PL ≤ 0"),"NI")</f>
        <v>1.8511669097728694</v>
      </c>
      <c r="O964" s="110">
        <f>IF(AND(ISNUMBER(Base_IFData!M965),ISNUMBER(Base_IFData!Q965)),IF(Base_IFData!Q965&gt;0,Base_IFData!M965/Base_IFData!Q965,"PL ≤ 0"),"NI")</f>
        <v>0</v>
      </c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spans="1:30" ht="1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15" t="str">
        <f>Base_IFData!A966</f>
        <v>BANCO ITAÚ VEÍCULOS S.A.</v>
      </c>
      <c r="L965" s="15" t="str">
        <f>Base_IFData!F966</f>
        <v>b2</v>
      </c>
      <c r="M965" s="17" t="str">
        <f>IF(AND(ISNUMBER(Base_IFData!L966),ISNUMBER(Base_IFData!W966)),IF(Base_IFData!L966&gt;$B$4,Base_IFData!W966,""),"")</f>
        <v/>
      </c>
      <c r="N965" s="50">
        <f>IF(AND(ISNUMBER(Base_IFData!O966),ISNUMBER(Base_IFData!Q966)),IF(Base_IFData!Q966&gt;0,Base_IFData!O966/Base_IFData!Q966,"PL ≤ 0"),"NI")</f>
        <v>2.2191297200870468E-2</v>
      </c>
      <c r="O965" s="107">
        <f>IF(AND(ISNUMBER(Base_IFData!M966),ISNUMBER(Base_IFData!Q966)),IF(Base_IFData!Q966&gt;0,Base_IFData!M966/Base_IFData!Q966,"PL ≤ 0"),"NI")</f>
        <v>0</v>
      </c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spans="1:30" ht="1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12" t="str">
        <f>Base_IFData!A967</f>
        <v>COOPERATIVA DE CRÉDITO DE SÃO FRANCISCO DE SALES LTDA. - SICOOB CREDISALES</v>
      </c>
      <c r="L966" s="12" t="str">
        <f>Base_IFData!F967</f>
        <v>b3S</v>
      </c>
      <c r="M966" s="14" t="str">
        <f>IF(AND(ISNUMBER(Base_IFData!L967),ISNUMBER(Base_IFData!W967)),IF(Base_IFData!L967&gt;$B$4,Base_IFData!W967,""),"")</f>
        <v/>
      </c>
      <c r="N966" s="51">
        <f>IF(AND(ISNUMBER(Base_IFData!O967),ISNUMBER(Base_IFData!Q967)),IF(Base_IFData!Q967&gt;0,Base_IFData!O967/Base_IFData!Q967,"PL ≤ 0"),"NI")</f>
        <v>3.7501865589745842</v>
      </c>
      <c r="O966" s="110">
        <f>IF(AND(ISNUMBER(Base_IFData!M967),ISNUMBER(Base_IFData!Q967)),IF(Base_IFData!Q967&gt;0,Base_IFData!M967/Base_IFData!Q967,"PL ≤ 0"),"NI")</f>
        <v>3.4543259733988849</v>
      </c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spans="1:30" ht="1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15" t="str">
        <f>Base_IFData!A968</f>
        <v>COOPERATIVA DE CRÉDITO COGEM</v>
      </c>
      <c r="L967" s="15" t="str">
        <f>Base_IFData!F968</f>
        <v>b3S</v>
      </c>
      <c r="M967" s="17" t="str">
        <f>IF(AND(ISNUMBER(Base_IFData!L968),ISNUMBER(Base_IFData!W968)),IF(Base_IFData!L968&gt;$B$4,Base_IFData!W968,""),"")</f>
        <v/>
      </c>
      <c r="N967" s="50">
        <f>IF(AND(ISNUMBER(Base_IFData!O968),ISNUMBER(Base_IFData!Q968)),IF(Base_IFData!Q968&gt;0,Base_IFData!O968/Base_IFData!Q968,"PL ≤ 0"),"NI")</f>
        <v>0.21622992964098864</v>
      </c>
      <c r="O967" s="107">
        <f>IF(AND(ISNUMBER(Base_IFData!M968),ISNUMBER(Base_IFData!Q968)),IF(Base_IFData!Q968&gt;0,Base_IFData!M968/Base_IFData!Q968,"PL ≤ 0"),"NI")</f>
        <v>0.85147934331589392</v>
      </c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spans="1:30" ht="1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12" t="str">
        <f>Base_IFData!A969</f>
        <v>MULTIPLIKE FINANCEIRA S.A. SOCIEDADE DE CRÉDITO, FINANCIAMENTO E INVESTIMENTO</v>
      </c>
      <c r="L968" s="12" t="str">
        <f>Base_IFData!F969</f>
        <v>n1</v>
      </c>
      <c r="M968" s="14" t="str">
        <f>IF(AND(ISNUMBER(Base_IFData!L969),ISNUMBER(Base_IFData!W969)),IF(Base_IFData!L969&gt;$B$4,Base_IFData!W969,""),"")</f>
        <v/>
      </c>
      <c r="N968" s="51">
        <f>IF(AND(ISNUMBER(Base_IFData!O969),ISNUMBER(Base_IFData!Q969)),IF(Base_IFData!Q969&gt;0,Base_IFData!O969/Base_IFData!Q969,"PL ≤ 0"),"NI")</f>
        <v>0.72528533942916018</v>
      </c>
      <c r="O968" s="110">
        <f>IF(AND(ISNUMBER(Base_IFData!M969),ISNUMBER(Base_IFData!Q969)),IF(Base_IFData!Q969&gt;0,Base_IFData!M969/Base_IFData!Q969,"PL ≤ 0"),"NI")</f>
        <v>1.2575540494856645</v>
      </c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spans="1:30" ht="1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15" t="str">
        <f>Base_IFData!A970</f>
        <v>MAREE SOCIEDADE DE CRÉDITO DIRETO S.A.</v>
      </c>
      <c r="L969" s="15" t="str">
        <f>Base_IFData!F970</f>
        <v>n1</v>
      </c>
      <c r="M969" s="17" t="str">
        <f>IF(AND(ISNUMBER(Base_IFData!L970),ISNUMBER(Base_IFData!W970)),IF(Base_IFData!L970&gt;$B$4,Base_IFData!W970,""),"")</f>
        <v/>
      </c>
      <c r="N969" s="50">
        <f>IF(AND(ISNUMBER(Base_IFData!O970),ISNUMBER(Base_IFData!Q970)),IF(Base_IFData!Q970&gt;0,Base_IFData!O970/Base_IFData!Q970,"PL ≤ 0"),"NI")</f>
        <v>0.13596646783814284</v>
      </c>
      <c r="O969" s="107">
        <f>IF(AND(ISNUMBER(Base_IFData!M970),ISNUMBER(Base_IFData!Q970)),IF(Base_IFData!Q970&gt;0,Base_IFData!M970/Base_IFData!Q970,"PL ≤ 0"),"NI")</f>
        <v>0.21521844268902143</v>
      </c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spans="1:30" ht="1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12" t="str">
        <f>Base_IFData!A971</f>
        <v>COOPERATIVA DE CRÉDITO, POUPANÇA E INVESTIMENTO DOS POLICIAIS FEDERAIS DO RIO GRANDE DO SUL E SANTA CATARINA - SICREDI POL RS/SC</v>
      </c>
      <c r="L970" s="12" t="str">
        <f>Base_IFData!F971</f>
        <v>b3S</v>
      </c>
      <c r="M970" s="14" t="str">
        <f>IF(AND(ISNUMBER(Base_IFData!L971),ISNUMBER(Base_IFData!W971)),IF(Base_IFData!L971&gt;$B$4,Base_IFData!W971,""),"")</f>
        <v/>
      </c>
      <c r="N970" s="51">
        <f>IF(AND(ISNUMBER(Base_IFData!O971),ISNUMBER(Base_IFData!Q971)),IF(Base_IFData!Q971&gt;0,Base_IFData!O971/Base_IFData!Q971,"PL ≤ 0"),"NI")</f>
        <v>8.4893233624650861</v>
      </c>
      <c r="O970" s="110">
        <f>IF(AND(ISNUMBER(Base_IFData!M971),ISNUMBER(Base_IFData!Q971)),IF(Base_IFData!Q971&gt;0,Base_IFData!M971/Base_IFData!Q971,"PL ≤ 0"),"NI")</f>
        <v>5.8835030182899359</v>
      </c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spans="1:30" ht="1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15" t="str">
        <f>Base_IFData!A972</f>
        <v>AGENCIA DE FOMENTO DO RIO GRANDE DO NORTE S.A.</v>
      </c>
      <c r="L971" s="15" t="str">
        <f>Base_IFData!F972</f>
        <v>n1</v>
      </c>
      <c r="M971" s="17" t="str">
        <f>IF(AND(ISNUMBER(Base_IFData!L972),ISNUMBER(Base_IFData!W972)),IF(Base_IFData!L972&gt;$B$4,Base_IFData!W972,""),"")</f>
        <v/>
      </c>
      <c r="N971" s="50">
        <f>IF(AND(ISNUMBER(Base_IFData!O972),ISNUMBER(Base_IFData!Q972)),IF(Base_IFData!Q972&gt;0,Base_IFData!O972/Base_IFData!Q972,"PL ≤ 0"),"NI")</f>
        <v>0.45743093421841663</v>
      </c>
      <c r="O971" s="107">
        <f>IF(AND(ISNUMBER(Base_IFData!M972),ISNUMBER(Base_IFData!Q972)),IF(Base_IFData!Q972&gt;0,Base_IFData!M972/Base_IFData!Q972,"PL ≤ 0"),"NI")</f>
        <v>0.85914903705356516</v>
      </c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spans="1:30" ht="1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12" t="str">
        <f>Base_IFData!A973</f>
        <v>GETNET SOCIEDADE DE CREDITO DIRETO S.A.</v>
      </c>
      <c r="L972" s="12" t="str">
        <f>Base_IFData!F973</f>
        <v>n1</v>
      </c>
      <c r="M972" s="14" t="str">
        <f>IF(AND(ISNUMBER(Base_IFData!L973),ISNUMBER(Base_IFData!W973)),IF(Base_IFData!L973&gt;$B$4,Base_IFData!W973,""),"")</f>
        <v/>
      </c>
      <c r="N972" s="51">
        <f>IF(AND(ISNUMBER(Base_IFData!O973),ISNUMBER(Base_IFData!Q973)),IF(Base_IFData!Q973&gt;0,Base_IFData!O973/Base_IFData!Q973,"PL ≤ 0"),"NI")</f>
        <v>6.2775150823414311E-2</v>
      </c>
      <c r="O972" s="110">
        <f>IF(AND(ISNUMBER(Base_IFData!M973),ISNUMBER(Base_IFData!Q973)),IF(Base_IFData!Q973&gt;0,Base_IFData!M973/Base_IFData!Q973,"PL ≤ 0"),"NI")</f>
        <v>2.2317789010272296E-3</v>
      </c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spans="1:30" ht="1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15" t="str">
        <f>Base_IFData!A974</f>
        <v>LECCA CRÉDITO, FINANCIAMENTO E INVESTIMENTO S/A</v>
      </c>
      <c r="L973" s="15" t="str">
        <f>Base_IFData!F974</f>
        <v>n1</v>
      </c>
      <c r="M973" s="17" t="str">
        <f>IF(AND(ISNUMBER(Base_IFData!L974),ISNUMBER(Base_IFData!W974)),IF(Base_IFData!L974&gt;$B$4,Base_IFData!W974,""),"")</f>
        <v/>
      </c>
      <c r="N973" s="50">
        <f>IF(AND(ISNUMBER(Base_IFData!O974),ISNUMBER(Base_IFData!Q974)),IF(Base_IFData!Q974&gt;0,Base_IFData!O974/Base_IFData!Q974,"PL ≤ 0"),"NI")</f>
        <v>3.8166720786751402</v>
      </c>
      <c r="O973" s="107">
        <f>IF(AND(ISNUMBER(Base_IFData!M974),ISNUMBER(Base_IFData!Q974)),IF(Base_IFData!Q974&gt;0,Base_IFData!M974/Base_IFData!Q974,"PL ≤ 0"),"NI")</f>
        <v>3.3643827990907824</v>
      </c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spans="1:30" ht="1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12" t="str">
        <f>Base_IFData!A975</f>
        <v>COOPERATIVA DE ECONOMIA E CRÉDITO MÚTUO DOS FUNCIONÁRIOS DA  NESTLÉ - NESCRED</v>
      </c>
      <c r="L974" s="12" t="str">
        <f>Base_IFData!F975</f>
        <v>b3S</v>
      </c>
      <c r="M974" s="14" t="str">
        <f>IF(AND(ISNUMBER(Base_IFData!L975),ISNUMBER(Base_IFData!W975)),IF(Base_IFData!L975&gt;$B$4,Base_IFData!W975,""),"")</f>
        <v/>
      </c>
      <c r="N974" s="51">
        <f>IF(AND(ISNUMBER(Base_IFData!O975),ISNUMBER(Base_IFData!Q975)),IF(Base_IFData!Q975&gt;0,Base_IFData!O975/Base_IFData!Q975,"PL ≤ 0"),"NI")</f>
        <v>2.5802491138438386E-2</v>
      </c>
      <c r="O974" s="110">
        <f>IF(AND(ISNUMBER(Base_IFData!M975),ISNUMBER(Base_IFData!Q975)),IF(Base_IFData!Q975&gt;0,Base_IFData!M975/Base_IFData!Q975,"PL ≤ 0"),"NI")</f>
        <v>0.4626428246103883</v>
      </c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spans="1:30" ht="1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15" t="str">
        <f>Base_IFData!A976</f>
        <v>CENTROCRED S.A. CRÉDITO, FINANCIAMENTO E INVESTIMENTOS</v>
      </c>
      <c r="L975" s="15" t="str">
        <f>Base_IFData!F976</f>
        <v>n1</v>
      </c>
      <c r="M975" s="17" t="str">
        <f>IF(AND(ISNUMBER(Base_IFData!L976),ISNUMBER(Base_IFData!W976)),IF(Base_IFData!L976&gt;$B$4,Base_IFData!W976,""),"")</f>
        <v/>
      </c>
      <c r="N975" s="50">
        <f>IF(AND(ISNUMBER(Base_IFData!O976),ISNUMBER(Base_IFData!Q976)),IF(Base_IFData!Q976&gt;0,Base_IFData!O976/Base_IFData!Q976,"PL ≤ 0"),"NI")</f>
        <v>1.4683178485275503</v>
      </c>
      <c r="O975" s="107">
        <f>IF(AND(ISNUMBER(Base_IFData!M976),ISNUMBER(Base_IFData!Q976)),IF(Base_IFData!Q976&gt;0,Base_IFData!M976/Base_IFData!Q976,"PL ≤ 0"),"NI")</f>
        <v>2.152594998686379</v>
      </c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spans="1:30" ht="1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12" t="str">
        <f>Base_IFData!A977</f>
        <v>COOPERATIVA DE CRÉDITO, POUPANÇA E INVESTIMENTO DAS CARREIRAS DO MINISTÉRIO PÚBLICO, TRIBUNAL DE CONTAS E SECRETARIA DA FAZENDA DO RIO GRANDE DO SUL - SICREDI MP RS</v>
      </c>
      <c r="L976" s="12" t="str">
        <f>Base_IFData!F977</f>
        <v>b3S</v>
      </c>
      <c r="M976" s="14" t="str">
        <f>IF(AND(ISNUMBER(Base_IFData!L977),ISNUMBER(Base_IFData!W977)),IF(Base_IFData!L977&gt;$B$4,Base_IFData!W977,""),"")</f>
        <v/>
      </c>
      <c r="N976" s="51">
        <f>IF(AND(ISNUMBER(Base_IFData!O977),ISNUMBER(Base_IFData!Q977)),IF(Base_IFData!Q977&gt;0,Base_IFData!O977/Base_IFData!Q977,"PL ≤ 0"),"NI")</f>
        <v>9.4252000405145342</v>
      </c>
      <c r="O976" s="110">
        <f>IF(AND(ISNUMBER(Base_IFData!M977),ISNUMBER(Base_IFData!Q977)),IF(Base_IFData!Q977&gt;0,Base_IFData!M977/Base_IFData!Q977,"PL ≤ 0"),"NI")</f>
        <v>3.2374151726932037</v>
      </c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spans="1:30" ht="1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15" t="str">
        <f>Base_IFData!A978</f>
        <v>SICOOB CRED COPERCANA COOPERATIVA DE CRÉDITO</v>
      </c>
      <c r="L977" s="15" t="str">
        <f>Base_IFData!F978</f>
        <v>b3S</v>
      </c>
      <c r="M977" s="17" t="str">
        <f>IF(AND(ISNUMBER(Base_IFData!L978),ISNUMBER(Base_IFData!W978)),IF(Base_IFData!L978&gt;$B$4,Base_IFData!W978,""),"")</f>
        <v/>
      </c>
      <c r="N977" s="50">
        <f>IF(AND(ISNUMBER(Base_IFData!O978),ISNUMBER(Base_IFData!Q978)),IF(Base_IFData!Q978&gt;0,Base_IFData!O978/Base_IFData!Q978,"PL ≤ 0"),"NI")</f>
        <v>1.4817130807823748</v>
      </c>
      <c r="O977" s="107">
        <f>IF(AND(ISNUMBER(Base_IFData!M978),ISNUMBER(Base_IFData!Q978)),IF(Base_IFData!Q978&gt;0,Base_IFData!M978/Base_IFData!Q978,"PL ≤ 0"),"NI")</f>
        <v>1.1874015366344313</v>
      </c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spans="1:30" ht="1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12" t="str">
        <f>Base_IFData!A979</f>
        <v>BANCO SANY BRASIL S.A.</v>
      </c>
      <c r="L978" s="12" t="str">
        <f>Base_IFData!F979</f>
        <v>b2</v>
      </c>
      <c r="M978" s="14" t="str">
        <f>IF(AND(ISNUMBER(Base_IFData!L979),ISNUMBER(Base_IFData!W979)),IF(Base_IFData!L979&gt;$B$4,Base_IFData!W979,""),"")</f>
        <v/>
      </c>
      <c r="N978" s="51">
        <f>IF(AND(ISNUMBER(Base_IFData!O979),ISNUMBER(Base_IFData!Q979)),IF(Base_IFData!Q979&gt;0,Base_IFData!O979/Base_IFData!Q979,"PL ≤ 0"),"NI")</f>
        <v>1.8068791543204933E-2</v>
      </c>
      <c r="O978" s="110">
        <f>IF(AND(ISNUMBER(Base_IFData!M979),ISNUMBER(Base_IFData!Q979)),IF(Base_IFData!Q979&gt;0,Base_IFData!M979/Base_IFData!Q979,"PL ≤ 0"),"NI")</f>
        <v>0.46460318731480738</v>
      </c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spans="1:30" ht="1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15" t="str">
        <f>Base_IFData!A980</f>
        <v>PROTEGE CASH INSTITUIÇÃO DE PAGAMENTO S.A.</v>
      </c>
      <c r="L979" s="15" t="str">
        <f>Base_IFData!F980</f>
        <v>n4</v>
      </c>
      <c r="M979" s="17" t="str">
        <f>IF(AND(ISNUMBER(Base_IFData!L980),ISNUMBER(Base_IFData!W980)),IF(Base_IFData!L980&gt;$B$4,Base_IFData!W980,""),"")</f>
        <v/>
      </c>
      <c r="N979" s="50">
        <f>IF(AND(ISNUMBER(Base_IFData!O980),ISNUMBER(Base_IFData!Q980)),IF(Base_IFData!Q980&gt;0,Base_IFData!O980/Base_IFData!Q980,"PL ≤ 0"),"NI")</f>
        <v>6.92096355191687</v>
      </c>
      <c r="O979" s="107">
        <f>IF(AND(ISNUMBER(Base_IFData!M980),ISNUMBER(Base_IFData!Q980)),IF(Base_IFData!Q980&gt;0,Base_IFData!M980/Base_IFData!Q980,"PL ≤ 0"),"NI")</f>
        <v>0</v>
      </c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spans="1:30" ht="1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12" t="str">
        <f>Base_IFData!A981</f>
        <v>COOPERATIVA DE CRÉDITO MÚTUO - SICOOB CREDIACISC</v>
      </c>
      <c r="L980" s="12" t="str">
        <f>Base_IFData!F981</f>
        <v>b3S</v>
      </c>
      <c r="M980" s="14" t="str">
        <f>IF(AND(ISNUMBER(Base_IFData!L981),ISNUMBER(Base_IFData!W981)),IF(Base_IFData!L981&gt;$B$4,Base_IFData!W981,""),"")</f>
        <v/>
      </c>
      <c r="N980" s="51">
        <f>IF(AND(ISNUMBER(Base_IFData!O981),ISNUMBER(Base_IFData!Q981)),IF(Base_IFData!Q981&gt;0,Base_IFData!O981/Base_IFData!Q981,"PL ≤ 0"),"NI")</f>
        <v>6.393959435626102</v>
      </c>
      <c r="O980" s="110">
        <f>IF(AND(ISNUMBER(Base_IFData!M981),ISNUMBER(Base_IFData!Q981)),IF(Base_IFData!Q981&gt;0,Base_IFData!M981/Base_IFData!Q981,"PL ≤ 0"),"NI")</f>
        <v>1.9404027042915932</v>
      </c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spans="1:30" ht="1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15" t="str">
        <f>Base_IFData!A982</f>
        <v>SITA SOCIEDADE CORRETORA DE CAMBIO E VALORES MOBILIARIOS S.A</v>
      </c>
      <c r="L981" s="15" t="str">
        <f>Base_IFData!F982</f>
        <v>n2</v>
      </c>
      <c r="M981" s="17" t="str">
        <f>IF(AND(ISNUMBER(Base_IFData!L982),ISNUMBER(Base_IFData!W982)),IF(Base_IFData!L982&gt;$B$4,Base_IFData!W982,""),"")</f>
        <v/>
      </c>
      <c r="N981" s="50">
        <f>IF(AND(ISNUMBER(Base_IFData!O982),ISNUMBER(Base_IFData!Q982)),IF(Base_IFData!Q982&gt;0,Base_IFData!O982/Base_IFData!Q982,"PL ≤ 0"),"NI")</f>
        <v>0.94062487840940046</v>
      </c>
      <c r="O981" s="107">
        <f>IF(AND(ISNUMBER(Base_IFData!M982),ISNUMBER(Base_IFData!Q982)),IF(Base_IFData!Q982&gt;0,Base_IFData!M982/Base_IFData!Q982,"PL ≤ 0"),"NI")</f>
        <v>0</v>
      </c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spans="1:30" ht="1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12" t="str">
        <f>Base_IFData!A983</f>
        <v>MAF DISTRIBUIDORA DE TÍTULOS E VALORES MOBILIÁRIOS S.A.</v>
      </c>
      <c r="L982" s="12" t="str">
        <f>Base_IFData!F983</f>
        <v>n2</v>
      </c>
      <c r="M982" s="14" t="str">
        <f>IF(AND(ISNUMBER(Base_IFData!L983),ISNUMBER(Base_IFData!W983)),IF(Base_IFData!L983&gt;$B$4,Base_IFData!W983,""),"")</f>
        <v/>
      </c>
      <c r="N982" s="51">
        <f>IF(AND(ISNUMBER(Base_IFData!O983),ISNUMBER(Base_IFData!Q983)),IF(Base_IFData!Q983&gt;0,Base_IFData!O983/Base_IFData!Q983,"PL ≤ 0"),"NI")</f>
        <v>0.3513391637059306</v>
      </c>
      <c r="O982" s="110">
        <f>IF(AND(ISNUMBER(Base_IFData!M983),ISNUMBER(Base_IFData!Q983)),IF(Base_IFData!Q983&gt;0,Base_IFData!M983/Base_IFData!Q983,"PL ≤ 0"),"NI")</f>
        <v>0</v>
      </c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spans="1:30" ht="1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15" t="str">
        <f>Base_IFData!A984</f>
        <v>SICOOB CREDIMED - COOPERATIVA DE CRÉDITO DE LIVRE ADMISSÃO DA CIDADE DE UBERABA LTDA.</v>
      </c>
      <c r="L983" s="15" t="str">
        <f>Base_IFData!F984</f>
        <v>b3S</v>
      </c>
      <c r="M983" s="17" t="str">
        <f>IF(AND(ISNUMBER(Base_IFData!L984),ISNUMBER(Base_IFData!W984)),IF(Base_IFData!L984&gt;$B$4,Base_IFData!W984,""),"")</f>
        <v/>
      </c>
      <c r="N983" s="50">
        <f>IF(AND(ISNUMBER(Base_IFData!O984),ISNUMBER(Base_IFData!Q984)),IF(Base_IFData!Q984&gt;0,Base_IFData!O984/Base_IFData!Q984,"PL ≤ 0"),"NI")</f>
        <v>5.3806892067620282</v>
      </c>
      <c r="O983" s="107">
        <f>IF(AND(ISNUMBER(Base_IFData!M984),ISNUMBER(Base_IFData!Q984)),IF(Base_IFData!Q984&gt;0,Base_IFData!M984/Base_IFData!Q984,"PL ≤ 0"),"NI")</f>
        <v>3.2450585175552664</v>
      </c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spans="1:30" ht="1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12" t="str">
        <f>Base_IFData!A985</f>
        <v>COOPERATIVA DE CRÉDITO - SICREDI LENÇÓIS</v>
      </c>
      <c r="L984" s="12" t="str">
        <f>Base_IFData!F985</f>
        <v>b3S</v>
      </c>
      <c r="M984" s="14" t="str">
        <f>IF(AND(ISNUMBER(Base_IFData!L985),ISNUMBER(Base_IFData!W985)),IF(Base_IFData!L985&gt;$B$4,Base_IFData!W985,""),"")</f>
        <v/>
      </c>
      <c r="N984" s="51">
        <f>IF(AND(ISNUMBER(Base_IFData!O985),ISNUMBER(Base_IFData!Q985)),IF(Base_IFData!Q985&gt;0,Base_IFData!O985/Base_IFData!Q985,"PL ≤ 0"),"NI")</f>
        <v>3.9554981773997571</v>
      </c>
      <c r="O984" s="110">
        <f>IF(AND(ISNUMBER(Base_IFData!M985),ISNUMBER(Base_IFData!Q985)),IF(Base_IFData!Q985&gt;0,Base_IFData!M985/Base_IFData!Q985,"PL ≤ 0"),"NI")</f>
        <v>2.306703118671527</v>
      </c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spans="1:30" ht="1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15" t="str">
        <f>Base_IFData!A986</f>
        <v>ID CORRETORA DE TÍTULOS E VALORES MOBILIÁRIOS S.A.</v>
      </c>
      <c r="L985" s="15" t="str">
        <f>Base_IFData!F986</f>
        <v>n2</v>
      </c>
      <c r="M985" s="17" t="str">
        <f>IF(AND(ISNUMBER(Base_IFData!L986),ISNUMBER(Base_IFData!W986)),IF(Base_IFData!L986&gt;$B$4,Base_IFData!W986,""),"")</f>
        <v/>
      </c>
      <c r="N985" s="50">
        <f>IF(AND(ISNUMBER(Base_IFData!O986),ISNUMBER(Base_IFData!Q986)),IF(Base_IFData!Q986&gt;0,Base_IFData!O986/Base_IFData!Q986,"PL ≤ 0"),"NI")</f>
        <v>7.1112127005236472</v>
      </c>
      <c r="O985" s="107">
        <f>IF(AND(ISNUMBER(Base_IFData!M986),ISNUMBER(Base_IFData!Q986)),IF(Base_IFData!Q986&gt;0,Base_IFData!M986/Base_IFData!Q986,"PL ≤ 0"),"NI")</f>
        <v>0</v>
      </c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spans="1:30" ht="1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12" t="str">
        <f>Base_IFData!A987</f>
        <v>GALAX PAY INSTITUIÇÃO DE PAGAMENTO S.A.</v>
      </c>
      <c r="L986" s="12" t="str">
        <f>Base_IFData!F987</f>
        <v>n4</v>
      </c>
      <c r="M986" s="14" t="str">
        <f>IF(AND(ISNUMBER(Base_IFData!L987),ISNUMBER(Base_IFData!W987)),IF(Base_IFData!L987&gt;$B$4,Base_IFData!W987,""),"")</f>
        <v/>
      </c>
      <c r="N986" s="51">
        <f>IF(AND(ISNUMBER(Base_IFData!O987),ISNUMBER(Base_IFData!Q987)),IF(Base_IFData!Q987&gt;0,Base_IFData!O987/Base_IFData!Q987,"PL ≤ 0"),"NI")</f>
        <v>2.587587476979742</v>
      </c>
      <c r="O986" s="110">
        <f>IF(AND(ISNUMBER(Base_IFData!M987),ISNUMBER(Base_IFData!Q987)),IF(Base_IFData!Q987&gt;0,Base_IFData!M987/Base_IFData!Q987,"PL ≤ 0"),"NI")</f>
        <v>0</v>
      </c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spans="1:30" ht="1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15" t="str">
        <f>Base_IFData!A988</f>
        <v>WOOVI INSTITUICAO DE PAGAMENTO LTDA</v>
      </c>
      <c r="L987" s="15" t="str">
        <f>Base_IFData!F988</f>
        <v>n4</v>
      </c>
      <c r="M987" s="17" t="str">
        <f>IF(AND(ISNUMBER(Base_IFData!L988),ISNUMBER(Base_IFData!W988)),IF(Base_IFData!L988&gt;$B$4,Base_IFData!W988,""),"")</f>
        <v/>
      </c>
      <c r="N987" s="50" t="str">
        <f>IF(AND(ISNUMBER(Base_IFData!O988),ISNUMBER(Base_IFData!Q988)),IF(Base_IFData!Q988&gt;0,Base_IFData!O988/Base_IFData!Q988,"PL ≤ 0"),"NI")</f>
        <v>PL ≤ 0</v>
      </c>
      <c r="O987" s="107" t="str">
        <f>IF(AND(ISNUMBER(Base_IFData!M988),ISNUMBER(Base_IFData!Q988)),IF(Base_IFData!Q988&gt;0,Base_IFData!M988/Base_IFData!Q988,"PL ≤ 0"),"NI")</f>
        <v>PL ≤ 0</v>
      </c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spans="1:30" ht="1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12" t="str">
        <f>Base_IFData!A989</f>
        <v>BANCO DE LA NACION ARGENTINA</v>
      </c>
      <c r="L988" s="12" t="str">
        <f>Base_IFData!F989</f>
        <v>b1</v>
      </c>
      <c r="M988" s="14" t="str">
        <f>IF(AND(ISNUMBER(Base_IFData!L989),ISNUMBER(Base_IFData!W989)),IF(Base_IFData!L989&gt;$B$4,Base_IFData!W989,""),"")</f>
        <v/>
      </c>
      <c r="N988" s="51">
        <f>IF(AND(ISNUMBER(Base_IFData!O989),ISNUMBER(Base_IFData!Q989)),IF(Base_IFData!Q989&gt;0,Base_IFData!O989/Base_IFData!Q989,"PL ≤ 0"),"NI")</f>
        <v>2.0720106965490896</v>
      </c>
      <c r="O988" s="110">
        <f>IF(AND(ISNUMBER(Base_IFData!M989),ISNUMBER(Base_IFData!Q989)),IF(Base_IFData!Q989&gt;0,Base_IFData!M989/Base_IFData!Q989,"PL ≤ 0"),"NI")</f>
        <v>1.0619508468101362</v>
      </c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spans="1:30" ht="1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15" t="str">
        <f>Base_IFData!A990</f>
        <v>GRAZZIOTIN FINANCEIRA S/A - CRÉDITO, FINANCIAMENTO E INVESTIMENTOS</v>
      </c>
      <c r="L989" s="15" t="str">
        <f>Base_IFData!F990</f>
        <v>n1</v>
      </c>
      <c r="M989" s="17" t="str">
        <f>IF(AND(ISNUMBER(Base_IFData!L990),ISNUMBER(Base_IFData!W990)),IF(Base_IFData!L990&gt;$B$4,Base_IFData!W990,""),"")</f>
        <v/>
      </c>
      <c r="N989" s="50">
        <f>IF(AND(ISNUMBER(Base_IFData!O990),ISNUMBER(Base_IFData!Q990)),IF(Base_IFData!Q990&gt;0,Base_IFData!O990/Base_IFData!Q990,"PL ≤ 0"),"NI")</f>
        <v>2.1246419270833332</v>
      </c>
      <c r="O989" s="107">
        <f>IF(AND(ISNUMBER(Base_IFData!M990),ISNUMBER(Base_IFData!Q990)),IF(Base_IFData!Q990&gt;0,Base_IFData!M990/Base_IFData!Q990,"PL ≤ 0"),"NI")</f>
        <v>2.8604817708333332</v>
      </c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spans="1:30" ht="1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12" t="str">
        <f>Base_IFData!A991</f>
        <v>NOVA FUTURA CORRETORA DE TÍTULOS E VALORES MOBILIÁRIOS LTDA.</v>
      </c>
      <c r="L990" s="12" t="str">
        <f>Base_IFData!F991</f>
        <v>n2</v>
      </c>
      <c r="M990" s="14" t="str">
        <f>IF(AND(ISNUMBER(Base_IFData!L991),ISNUMBER(Base_IFData!W991)),IF(Base_IFData!L991&gt;$B$4,Base_IFData!W991,""),"")</f>
        <v/>
      </c>
      <c r="N990" s="51">
        <f>IF(AND(ISNUMBER(Base_IFData!O991),ISNUMBER(Base_IFData!Q991)),IF(Base_IFData!Q991&gt;0,Base_IFData!O991/Base_IFData!Q991,"PL ≤ 0"),"NI")</f>
        <v>2.0580643105261482</v>
      </c>
      <c r="O990" s="110">
        <f>IF(AND(ISNUMBER(Base_IFData!M991),ISNUMBER(Base_IFData!Q991)),IF(Base_IFData!Q991&gt;0,Base_IFData!M991/Base_IFData!Q991,"PL ≤ 0"),"NI")</f>
        <v>0</v>
      </c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spans="1:30" ht="1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15" t="str">
        <f>Base_IFData!A992</f>
        <v>VERT DISTRIBUIDORA DE TÍTULOS E VALORES MOBILIÁRIOS LTDA</v>
      </c>
      <c r="L991" s="15" t="str">
        <f>Base_IFData!F992</f>
        <v>n2</v>
      </c>
      <c r="M991" s="17" t="str">
        <f>IF(AND(ISNUMBER(Base_IFData!L992),ISNUMBER(Base_IFData!W992)),IF(Base_IFData!L992&gt;$B$4,Base_IFData!W992,""),"")</f>
        <v/>
      </c>
      <c r="N991" s="50">
        <f>IF(AND(ISNUMBER(Base_IFData!O992),ISNUMBER(Base_IFData!Q992)),IF(Base_IFData!Q992&gt;0,Base_IFData!O992/Base_IFData!Q992,"PL ≤ 0"),"NI")</f>
        <v>14.026886100700668</v>
      </c>
      <c r="O991" s="107">
        <f>IF(AND(ISNUMBER(Base_IFData!M992),ISNUMBER(Base_IFData!Q992)),IF(Base_IFData!Q992&gt;0,Base_IFData!M992/Base_IFData!Q992,"PL ≤ 0"),"NI")</f>
        <v>0</v>
      </c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spans="1:30" ht="1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12" t="str">
        <f>Base_IFData!A993</f>
        <v>COOPERATIVA DE CRÉDITO CREDIPIMENTA LTDA. - SICOOB CREDIPIMENTA</v>
      </c>
      <c r="L992" s="12" t="str">
        <f>Base_IFData!F993</f>
        <v>b3S</v>
      </c>
      <c r="M992" s="14" t="str">
        <f>IF(AND(ISNUMBER(Base_IFData!L993),ISNUMBER(Base_IFData!W993)),IF(Base_IFData!L993&gt;$B$4,Base_IFData!W993,""),"")</f>
        <v/>
      </c>
      <c r="N992" s="51">
        <f>IF(AND(ISNUMBER(Base_IFData!O993),ISNUMBER(Base_IFData!Q993)),IF(Base_IFData!Q993&gt;0,Base_IFData!O993/Base_IFData!Q993,"PL ≤ 0"),"NI")</f>
        <v>5.8040145174431528</v>
      </c>
      <c r="O992" s="110">
        <f>IF(AND(ISNUMBER(Base_IFData!M993),ISNUMBER(Base_IFData!Q993)),IF(Base_IFData!Q993&gt;0,Base_IFData!M993/Base_IFData!Q993,"PL ≤ 0"),"NI")</f>
        <v>1.809273387156507</v>
      </c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spans="1:30" ht="15" customHeight="1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15" t="str">
        <f>Base_IFData!A994</f>
        <v>COOPERATIVA DE CRÉDITO MÚTUO DOS SERVIDORES MUNICIPAIS DE SÃO JOÃO DA BOA VISTA - CREDIVISTA</v>
      </c>
      <c r="L993" s="15" t="str">
        <f>Base_IFData!F994</f>
        <v>b3S</v>
      </c>
      <c r="M993" s="17" t="str">
        <f>IF(AND(ISNUMBER(Base_IFData!L994),ISNUMBER(Base_IFData!W994)),IF(Base_IFData!L994&gt;$B$4,Base_IFData!W994,""),"")</f>
        <v/>
      </c>
      <c r="N993" s="50">
        <f>IF(AND(ISNUMBER(Base_IFData!O994),ISNUMBER(Base_IFData!Q994)),IF(Base_IFData!Q994&gt;0,Base_IFData!O994/Base_IFData!Q994,"PL ≤ 0"),"NI")</f>
        <v>2.4189440762528855</v>
      </c>
      <c r="O993" s="107">
        <f>IF(AND(ISNUMBER(Base_IFData!M994),ISNUMBER(Base_IFData!Q994)),IF(Base_IFData!Q994&gt;0,Base_IFData!M994/Base_IFData!Q994,"PL ≤ 0"),"NI")</f>
        <v>2.4890907736987118</v>
      </c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spans="1:30" ht="15" customHeight="1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12" t="str">
        <f>Base_IFData!A995</f>
        <v>COOPERATIVA DE CRÉDITO DOS CONTADORES, ADMINISTRADORES DE EMPRESAS, ECONOMISTAS E CORRETORES DE SEGUROS LTDA. - SICOOB CREDITABIL</v>
      </c>
      <c r="L994" s="12" t="str">
        <f>Base_IFData!F995</f>
        <v>b3S</v>
      </c>
      <c r="M994" s="14" t="str">
        <f>IF(AND(ISNUMBER(Base_IFData!L995),ISNUMBER(Base_IFData!W995)),IF(Base_IFData!L995&gt;$B$4,Base_IFData!W995,""),"")</f>
        <v/>
      </c>
      <c r="N994" s="51">
        <f>IF(AND(ISNUMBER(Base_IFData!O995),ISNUMBER(Base_IFData!Q995)),IF(Base_IFData!Q995&gt;0,Base_IFData!O995/Base_IFData!Q995,"PL ≤ 0"),"NI")</f>
        <v>5.4420029579547853</v>
      </c>
      <c r="O994" s="110">
        <f>IF(AND(ISNUMBER(Base_IFData!M995),ISNUMBER(Base_IFData!Q995)),IF(Base_IFData!Q995&gt;0,Base_IFData!M995/Base_IFData!Q995,"PL ≤ 0"),"NI")</f>
        <v>0.40467638566096203</v>
      </c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spans="1:30" ht="15" customHeight="1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15" t="str">
        <f>Base_IFData!A996</f>
        <v>MOVA SOCIEDADE DE EMPRÉSTIMO ENTRE PESSOAS S.A.</v>
      </c>
      <c r="L995" s="15" t="str">
        <f>Base_IFData!F996</f>
        <v>n1</v>
      </c>
      <c r="M995" s="17" t="str">
        <f>IF(AND(ISNUMBER(Base_IFData!L996),ISNUMBER(Base_IFData!W996)),IF(Base_IFData!L996&gt;$B$4,Base_IFData!W996,""),"")</f>
        <v/>
      </c>
      <c r="N995" s="50">
        <f>IF(AND(ISNUMBER(Base_IFData!O996),ISNUMBER(Base_IFData!Q996)),IF(Base_IFData!Q996&gt;0,Base_IFData!O996/Base_IFData!Q996,"PL ≤ 0"),"NI")</f>
        <v>0.87389444238759306</v>
      </c>
      <c r="O995" s="107">
        <f>IF(AND(ISNUMBER(Base_IFData!M996),ISNUMBER(Base_IFData!Q996)),IF(Base_IFData!Q996&gt;0,Base_IFData!M996/Base_IFData!Q996,"PL ≤ 0"),"NI")</f>
        <v>0</v>
      </c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spans="1:30" ht="15" customHeight="1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12" t="str">
        <f>Base_IFData!A997</f>
        <v>COOPERATIVA DE ECONOMIA E CRÉDITO MÚTUO DOS EMPRESÁRIOS DE AMERICANA, LIMEIRA E REGIÃO - SICOOB ACICRED</v>
      </c>
      <c r="L996" s="12" t="str">
        <f>Base_IFData!F997</f>
        <v>b3S</v>
      </c>
      <c r="M996" s="14" t="str">
        <f>IF(AND(ISNUMBER(Base_IFData!L997),ISNUMBER(Base_IFData!W997)),IF(Base_IFData!L997&gt;$B$4,Base_IFData!W997,""),"")</f>
        <v/>
      </c>
      <c r="N996" s="51">
        <f>IF(AND(ISNUMBER(Base_IFData!O997),ISNUMBER(Base_IFData!Q997)),IF(Base_IFData!Q997&gt;0,Base_IFData!O997/Base_IFData!Q997,"PL ≤ 0"),"NI")</f>
        <v>8.8261292414091201</v>
      </c>
      <c r="O996" s="110">
        <f>IF(AND(ISNUMBER(Base_IFData!M997),ISNUMBER(Base_IFData!Q997)),IF(Base_IFData!Q997&gt;0,Base_IFData!M997/Base_IFData!Q997,"PL ≤ 0"),"NI")</f>
        <v>4.2838772422736113</v>
      </c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spans="1:30" ht="15" customHeight="1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15" t="str">
        <f>Base_IFData!A998</f>
        <v>99PAY SOCIEDADE DE CRÉDITO DIRETO S.A.</v>
      </c>
      <c r="L997" s="15" t="str">
        <f>Base_IFData!F998</f>
        <v>n1</v>
      </c>
      <c r="M997" s="17" t="str">
        <f>IF(AND(ISNUMBER(Base_IFData!L998),ISNUMBER(Base_IFData!W998)),IF(Base_IFData!L998&gt;$B$4,Base_IFData!W998,""),"")</f>
        <v/>
      </c>
      <c r="N997" s="50">
        <f>IF(AND(ISNUMBER(Base_IFData!O998),ISNUMBER(Base_IFData!Q998)),IF(Base_IFData!Q998&gt;0,Base_IFData!O998/Base_IFData!Q998,"PL ≤ 0"),"NI")</f>
        <v>0.14184975963071117</v>
      </c>
      <c r="O997" s="107">
        <f>IF(AND(ISNUMBER(Base_IFData!M998),ISNUMBER(Base_IFData!Q998)),IF(Base_IFData!Q998&gt;0,Base_IFData!M998/Base_IFData!Q998,"PL ≤ 0"),"NI")</f>
        <v>0.14182425625789011</v>
      </c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spans="1:30" ht="15" customHeight="1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12" t="str">
        <f>Base_IFData!A999</f>
        <v>CREFAZ SOCIEDADE DE CRÉDITO AO MICROEMPREENDEDOR E A EMPRESA DE PEQUENO PORTE S.A.</v>
      </c>
      <c r="L998" s="12" t="str">
        <f>Base_IFData!F999</f>
        <v>n1</v>
      </c>
      <c r="M998" s="14" t="str">
        <f>IF(AND(ISNUMBER(Base_IFData!L999),ISNUMBER(Base_IFData!W999)),IF(Base_IFData!L999&gt;$B$4,Base_IFData!W999,""),"")</f>
        <v/>
      </c>
      <c r="N998" s="51">
        <f>IF(AND(ISNUMBER(Base_IFData!O999),ISNUMBER(Base_IFData!Q999)),IF(Base_IFData!Q999&gt;0,Base_IFData!O999/Base_IFData!Q999,"PL ≤ 0"),"NI")</f>
        <v>0.43331715995471454</v>
      </c>
      <c r="O998" s="110">
        <f>IF(AND(ISNUMBER(Base_IFData!M999),ISNUMBER(Base_IFData!Q999)),IF(Base_IFData!Q999&gt;0,Base_IFData!M999/Base_IFData!Q999,"PL ≤ 0"),"NI")</f>
        <v>5.6655345301633513E-2</v>
      </c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spans="1:30" ht="15" customHeight="1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15" t="str">
        <f>Base_IFData!A1000</f>
        <v>CARTOS SOCIEDADE DE CRÉDITO DIRETO S.A.</v>
      </c>
      <c r="L999" s="15" t="str">
        <f>Base_IFData!F1000</f>
        <v>n1</v>
      </c>
      <c r="M999" s="17" t="str">
        <f>IF(AND(ISNUMBER(Base_IFData!L1000),ISNUMBER(Base_IFData!W1000)),IF(Base_IFData!L1000&gt;$B$4,Base_IFData!W1000,""),"")</f>
        <v/>
      </c>
      <c r="N999" s="50">
        <f>IF(AND(ISNUMBER(Base_IFData!O1000),ISNUMBER(Base_IFData!Q1000)),IF(Base_IFData!Q1000&gt;0,Base_IFData!O1000/Base_IFData!Q1000,"PL ≤ 0"),"NI")</f>
        <v>7.6946208813021038</v>
      </c>
      <c r="O999" s="107">
        <f>IF(AND(ISNUMBER(Base_IFData!M1000),ISNUMBER(Base_IFData!Q1000)),IF(Base_IFData!Q1000&gt;0,Base_IFData!M1000/Base_IFData!Q1000,"PL ≤ 0"),"NI")</f>
        <v>0.61016276300119099</v>
      </c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spans="1:30" ht="15" customHeight="1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12" t="str">
        <f>Base_IFData!A1001</f>
        <v>TIVIO CAPITAL DISTRIBUIDORA DE TÍTULOS E VALORES MOBILIÁRIOS S.A.</v>
      </c>
      <c r="L1000" s="12" t="str">
        <f>Base_IFData!F1001</f>
        <v>n2</v>
      </c>
      <c r="M1000" s="14" t="str">
        <f>IF(AND(ISNUMBER(Base_IFData!L1001),ISNUMBER(Base_IFData!W1001)),IF(Base_IFData!L1001&gt;$B$4,Base_IFData!W1001,""),"")</f>
        <v/>
      </c>
      <c r="N1000" s="51">
        <f>IF(AND(ISNUMBER(Base_IFData!O1001),ISNUMBER(Base_IFData!Q1001)),IF(Base_IFData!Q1001&gt;0,Base_IFData!O1001/Base_IFData!Q1001,"PL ≤ 0"),"NI")</f>
        <v>2.998436709733781</v>
      </c>
      <c r="O1000" s="110">
        <f>IF(AND(ISNUMBER(Base_IFData!M1001),ISNUMBER(Base_IFData!Q1001)),IF(Base_IFData!Q1001&gt;0,Base_IFData!M1001/Base_IFData!Q1001,"PL ≤ 0"),"NI")</f>
        <v>0</v>
      </c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spans="1:30" ht="15" customHeight="1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15" t="str">
        <f>Base_IFData!A1002</f>
        <v>COOPERATIVA DE CRÉDITO MÚTUO DOS EMPREGADOS DO MAGAZINE LUIZA, EMPRESAS CONTROLADAS E COLIGADAS - COOPLUIZA</v>
      </c>
      <c r="L1001" s="15" t="str">
        <f>Base_IFData!F1002</f>
        <v>b3S</v>
      </c>
      <c r="M1001" s="17" t="str">
        <f>IF(AND(ISNUMBER(Base_IFData!L1002),ISNUMBER(Base_IFData!W1002)),IF(Base_IFData!L1002&gt;$B$4,Base_IFData!W1002,""),"")</f>
        <v/>
      </c>
      <c r="N1001" s="50">
        <f>IF(AND(ISNUMBER(Base_IFData!O1002),ISNUMBER(Base_IFData!Q1002)),IF(Base_IFData!Q1002&gt;0,Base_IFData!O1002/Base_IFData!Q1002,"PL ≤ 0"),"NI")</f>
        <v>8.9386881530907722E-2</v>
      </c>
      <c r="O1001" s="107">
        <f>IF(AND(ISNUMBER(Base_IFData!M1002),ISNUMBER(Base_IFData!Q1002)),IF(Base_IFData!Q1002&gt;0,Base_IFData!M1002/Base_IFData!Q1002,"PL ≤ 0"),"NI")</f>
        <v>0.34693440765453859</v>
      </c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 spans="1:30" ht="15" customHeight="1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12" t="str">
        <f>Base_IFData!A1003</f>
        <v>COOPERÁGUIA - COOPERATIVA DE ECONOMIA E CRÉDITO MÚTUO DOS EMPREGADOS DO GRUPO ÁGUIA BRANCA</v>
      </c>
      <c r="L1002" s="12" t="str">
        <f>Base_IFData!F1003</f>
        <v>b3S</v>
      </c>
      <c r="M1002" s="14" t="str">
        <f>IF(AND(ISNUMBER(Base_IFData!L1003),ISNUMBER(Base_IFData!W1003)),IF(Base_IFData!L1003&gt;$B$4,Base_IFData!W1003,""),"")</f>
        <v/>
      </c>
      <c r="N1002" s="51">
        <f>IF(AND(ISNUMBER(Base_IFData!O1003),ISNUMBER(Base_IFData!Q1003)),IF(Base_IFData!Q1003&gt;0,Base_IFData!O1003/Base_IFData!Q1003,"PL ≤ 0"),"NI")</f>
        <v>0.19681938975693236</v>
      </c>
      <c r="O1002" s="110">
        <f>IF(AND(ISNUMBER(Base_IFData!M1003),ISNUMBER(Base_IFData!Q1003)),IF(Base_IFData!Q1003&gt;0,Base_IFData!M1003/Base_IFData!Q1003,"PL ≤ 0"),"NI")</f>
        <v>0.49239631015819568</v>
      </c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 spans="1:30" ht="15" customHeight="1" x14ac:dyDescent="0.2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15" t="str">
        <f>Base_IFData!A1004</f>
        <v>SOCIEDADE DE CRÉDITO, FINANCIAMENTO E INVESTIMENTO EFÍ S.A.</v>
      </c>
      <c r="L1003" s="15" t="str">
        <f>Base_IFData!F1004</f>
        <v>n1</v>
      </c>
      <c r="M1003" s="17" t="str">
        <f>IF(AND(ISNUMBER(Base_IFData!L1004),ISNUMBER(Base_IFData!W1004)),IF(Base_IFData!L1004&gt;$B$4,Base_IFData!W1004,""),"")</f>
        <v/>
      </c>
      <c r="N1003" s="50">
        <f>IF(AND(ISNUMBER(Base_IFData!O1004),ISNUMBER(Base_IFData!Q1004)),IF(Base_IFData!Q1004&gt;0,Base_IFData!O1004/Base_IFData!Q1004,"PL ≤ 0"),"NI")</f>
        <v>8.4361059224261066</v>
      </c>
      <c r="O1003" s="107">
        <f>IF(AND(ISNUMBER(Base_IFData!M1004),ISNUMBER(Base_IFData!Q1004)),IF(Base_IFData!Q1004&gt;0,Base_IFData!M1004/Base_IFData!Q1004,"PL ≤ 0"),"NI")</f>
        <v>6.7228875947698059</v>
      </c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 spans="1:30" ht="15" customHeight="1" x14ac:dyDescent="0.2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12" t="str">
        <f>Base_IFData!A1005</f>
        <v>SIMPAUL CORRETORA DE CAMBIO E VALORES MOBILIARIOS  S.A.</v>
      </c>
      <c r="L1004" s="12" t="str">
        <f>Base_IFData!F1005</f>
        <v>n2</v>
      </c>
      <c r="M1004" s="14" t="str">
        <f>IF(AND(ISNUMBER(Base_IFData!L1005),ISNUMBER(Base_IFData!W1005)),IF(Base_IFData!L1005&gt;$B$4,Base_IFData!W1005,""),"")</f>
        <v/>
      </c>
      <c r="N1004" s="51">
        <f>IF(AND(ISNUMBER(Base_IFData!O1005),ISNUMBER(Base_IFData!Q1005)),IF(Base_IFData!Q1005&gt;0,Base_IFData!O1005/Base_IFData!Q1005,"PL ≤ 0"),"NI")</f>
        <v>0.13863560732113145</v>
      </c>
      <c r="O1004" s="110">
        <f>IF(AND(ISNUMBER(Base_IFData!M1005),ISNUMBER(Base_IFData!Q1005)),IF(Base_IFData!Q1005&gt;0,Base_IFData!M1005/Base_IFData!Q1005,"PL ≤ 0"),"NI")</f>
        <v>0</v>
      </c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  <row r="1005" spans="1:30" ht="15" customHeight="1" x14ac:dyDescent="0.2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15" t="str">
        <f>Base_IFData!A1006</f>
        <v>DIREÇÃO S.A. - SOCIEDADE DE CRÉDITO, FINANCIAMENTO E INVESTIMENTO</v>
      </c>
      <c r="L1005" s="15" t="str">
        <f>Base_IFData!F1006</f>
        <v>n1</v>
      </c>
      <c r="M1005" s="17" t="str">
        <f>IF(AND(ISNUMBER(Base_IFData!L1006),ISNUMBER(Base_IFData!W1006)),IF(Base_IFData!L1006&gt;$B$4,Base_IFData!W1006,""),"")</f>
        <v/>
      </c>
      <c r="N1005" s="50">
        <f>IF(AND(ISNUMBER(Base_IFData!O1006),ISNUMBER(Base_IFData!Q1006)),IF(Base_IFData!Q1006&gt;0,Base_IFData!O1006/Base_IFData!Q1006,"PL ≤ 0"),"NI")</f>
        <v>9.6804839039407384E-3</v>
      </c>
      <c r="O1005" s="107">
        <f>IF(AND(ISNUMBER(Base_IFData!M1006),ISNUMBER(Base_IFData!Q1006)),IF(Base_IFData!Q1006&gt;0,Base_IFData!M1006/Base_IFData!Q1006,"PL ≤ 0"),"NI")</f>
        <v>8.093125052611326E-2</v>
      </c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</row>
    <row r="1006" spans="1:30" ht="15" customHeight="1" x14ac:dyDescent="0.2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12" t="str">
        <f>Base_IFData!A1007</f>
        <v>BK INSTITUIÇÃO DE PAGAMENTO S.A.</v>
      </c>
      <c r="L1006" s="12" t="str">
        <f>Base_IFData!F1007</f>
        <v>n4</v>
      </c>
      <c r="M1006" s="14" t="str">
        <f>IF(AND(ISNUMBER(Base_IFData!L1007),ISNUMBER(Base_IFData!W1007)),IF(Base_IFData!L1007&gt;$B$4,Base_IFData!W1007,""),"")</f>
        <v/>
      </c>
      <c r="N1006" s="51">
        <f>IF(AND(ISNUMBER(Base_IFData!O1007),ISNUMBER(Base_IFData!Q1007)),IF(Base_IFData!Q1007&gt;0,Base_IFData!O1007/Base_IFData!Q1007,"PL ≤ 0"),"NI")</f>
        <v>2.9788943750605092</v>
      </c>
      <c r="O1006" s="110">
        <f>IF(AND(ISNUMBER(Base_IFData!M1007),ISNUMBER(Base_IFData!Q1007)),IF(Base_IFData!Q1007&gt;0,Base_IFData!M1007/Base_IFData!Q1007,"PL ≤ 0"),"NI")</f>
        <v>0</v>
      </c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</row>
    <row r="1007" spans="1:30" ht="15" customHeight="1" x14ac:dyDescent="0.2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15" t="str">
        <f>Base_IFData!A1008</f>
        <v>CREDISIS/CREDISUL COOPERATIVA DE CRÉDITO</v>
      </c>
      <c r="L1007" s="15" t="str">
        <f>Base_IFData!F1008</f>
        <v>b3S</v>
      </c>
      <c r="M1007" s="17" t="str">
        <f>IF(AND(ISNUMBER(Base_IFData!L1008),ISNUMBER(Base_IFData!W1008)),IF(Base_IFData!L1008&gt;$B$4,Base_IFData!W1008,""),"")</f>
        <v/>
      </c>
      <c r="N1007" s="50">
        <f>IF(AND(ISNUMBER(Base_IFData!O1008),ISNUMBER(Base_IFData!Q1008)),IF(Base_IFData!Q1008&gt;0,Base_IFData!O1008/Base_IFData!Q1008,"PL ≤ 0"),"NI")</f>
        <v>5.1436373157776618</v>
      </c>
      <c r="O1007" s="107">
        <f>IF(AND(ISNUMBER(Base_IFData!M1008),ISNUMBER(Base_IFData!Q1008)),IF(Base_IFData!Q1008&gt;0,Base_IFData!M1008/Base_IFData!Q1008,"PL ≤ 0"),"NI")</f>
        <v>3.745343008902521</v>
      </c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</row>
    <row r="1008" spans="1:30" ht="15" customHeight="1" x14ac:dyDescent="0.2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12" t="str">
        <f>Base_IFData!A1009</f>
        <v>LIONS TRUST DISTRIBUIDORA DE TÍTULOS E VALORES MOBILIÁRIOS LTDA.</v>
      </c>
      <c r="L1008" s="12" t="str">
        <f>Base_IFData!F1009</f>
        <v>n2</v>
      </c>
      <c r="M1008" s="14" t="str">
        <f>IF(AND(ISNUMBER(Base_IFData!L1009),ISNUMBER(Base_IFData!W1009)),IF(Base_IFData!L1009&gt;$B$4,Base_IFData!W1009,""),"")</f>
        <v/>
      </c>
      <c r="N1008" s="51">
        <f>IF(AND(ISNUMBER(Base_IFData!O1009),ISNUMBER(Base_IFData!Q1009)),IF(Base_IFData!Q1009&gt;0,Base_IFData!O1009/Base_IFData!Q1009,"PL ≤ 0"),"NI")</f>
        <v>18.757700703371331</v>
      </c>
      <c r="O1008" s="110">
        <f>IF(AND(ISNUMBER(Base_IFData!M1009),ISNUMBER(Base_IFData!Q1009)),IF(Base_IFData!Q1009&gt;0,Base_IFData!M1009/Base_IFData!Q1009,"PL ≤ 0"),"NI")</f>
        <v>0</v>
      </c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</row>
    <row r="1009" spans="1:30" ht="15" customHeight="1" x14ac:dyDescent="0.2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15" t="str">
        <f>Base_IFData!A1010</f>
        <v>AGÊNCIA DE FOMENTO DO ESTADO DO TOCANTINS S.A.</v>
      </c>
      <c r="L1009" s="15" t="str">
        <f>Base_IFData!F1010</f>
        <v>n1</v>
      </c>
      <c r="M1009" s="17" t="str">
        <f>IF(AND(ISNUMBER(Base_IFData!L1010),ISNUMBER(Base_IFData!W1010)),IF(Base_IFData!L1010&gt;$B$4,Base_IFData!W1010,""),"")</f>
        <v/>
      </c>
      <c r="N1009" s="50">
        <f>IF(AND(ISNUMBER(Base_IFData!O1010),ISNUMBER(Base_IFData!Q1010)),IF(Base_IFData!Q1010&gt;0,Base_IFData!O1010/Base_IFData!Q1010,"PL ≤ 0"),"NI")</f>
        <v>0.78085278610339326</v>
      </c>
      <c r="O1009" s="107">
        <f>IF(AND(ISNUMBER(Base_IFData!M1010),ISNUMBER(Base_IFData!Q1010)),IF(Base_IFData!Q1010&gt;0,Base_IFData!M1010/Base_IFData!Q1010,"PL ≤ 0"),"NI")</f>
        <v>0.96897766304228927</v>
      </c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</row>
    <row r="1010" spans="1:30" ht="15" customHeight="1" x14ac:dyDescent="0.2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12" t="str">
        <f>Base_IFData!A1011</f>
        <v>COOPERATIVA DE ECONOMIA E CREDITO MUTUO DOS EMPREGADOS DAS EMPRESAS RANDON</v>
      </c>
      <c r="L1010" s="12" t="str">
        <f>Base_IFData!F1011</f>
        <v>b3S</v>
      </c>
      <c r="M1010" s="14" t="str">
        <f>IF(AND(ISNUMBER(Base_IFData!L1011),ISNUMBER(Base_IFData!W1011)),IF(Base_IFData!L1011&gt;$B$4,Base_IFData!W1011,""),"")</f>
        <v/>
      </c>
      <c r="N1010" s="51">
        <f>IF(AND(ISNUMBER(Base_IFData!O1011),ISNUMBER(Base_IFData!Q1011)),IF(Base_IFData!Q1011&gt;0,Base_IFData!O1011/Base_IFData!Q1011,"PL ≤ 0"),"NI")</f>
        <v>0.20529850414362594</v>
      </c>
      <c r="O1010" s="110">
        <f>IF(AND(ISNUMBER(Base_IFData!M1011),ISNUMBER(Base_IFData!Q1011)),IF(Base_IFData!Q1011&gt;0,Base_IFData!M1011/Base_IFData!Q1011,"PL ≤ 0"),"NI")</f>
        <v>0.47093531792507376</v>
      </c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</row>
    <row r="1011" spans="1:30" ht="15" customHeight="1" x14ac:dyDescent="0.2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15" t="str">
        <f>Base_IFData!A1012</f>
        <v>SICOOB CREDICONSUMO - COOPERATIVA DE CRÉDITO</v>
      </c>
      <c r="L1011" s="15" t="str">
        <f>Base_IFData!F1012</f>
        <v>b3S</v>
      </c>
      <c r="M1011" s="17" t="str">
        <f>IF(AND(ISNUMBER(Base_IFData!L1012),ISNUMBER(Base_IFData!W1012)),IF(Base_IFData!L1012&gt;$B$4,Base_IFData!W1012,""),"")</f>
        <v/>
      </c>
      <c r="N1011" s="50">
        <f>IF(AND(ISNUMBER(Base_IFData!O1012),ISNUMBER(Base_IFData!Q1012)),IF(Base_IFData!Q1012&gt;0,Base_IFData!O1012/Base_IFData!Q1012,"PL ≤ 0"),"NI")</f>
        <v>1.2837655397423637</v>
      </c>
      <c r="O1011" s="107">
        <f>IF(AND(ISNUMBER(Base_IFData!M1012),ISNUMBER(Base_IFData!Q1012)),IF(Base_IFData!Q1012&gt;0,Base_IFData!M1012/Base_IFData!Q1012,"PL ≤ 0"),"NI")</f>
        <v>1.4890026438656692</v>
      </c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</row>
    <row r="1012" spans="1:30" ht="15" customHeight="1" x14ac:dyDescent="0.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12" t="str">
        <f>Base_IFData!A1013</f>
        <v>BANCO INDUSCRED DE INVESTIMENTO S.A.</v>
      </c>
      <c r="L1012" s="12" t="str">
        <f>Base_IFData!F1013</f>
        <v>b2</v>
      </c>
      <c r="M1012" s="14" t="str">
        <f>IF(AND(ISNUMBER(Base_IFData!L1013),ISNUMBER(Base_IFData!W1013)),IF(Base_IFData!L1013&gt;$B$4,Base_IFData!W1013,""),"")</f>
        <v/>
      </c>
      <c r="N1012" s="51">
        <f>IF(AND(ISNUMBER(Base_IFData!O1013),ISNUMBER(Base_IFData!Q1013)),IF(Base_IFData!Q1013&gt;0,Base_IFData!O1013/Base_IFData!Q1013,"PL ≤ 0"),"NI")</f>
        <v>3.4474830435948858E-2</v>
      </c>
      <c r="O1012" s="110">
        <f>IF(AND(ISNUMBER(Base_IFData!M1013),ISNUMBER(Base_IFData!Q1013)),IF(Base_IFData!Q1013&gt;0,Base_IFData!M1013/Base_IFData!Q1013,"PL ≤ 0"),"NI")</f>
        <v>0.10663056112608413</v>
      </c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</row>
    <row r="1013" spans="1:30" ht="15" customHeight="1" x14ac:dyDescent="0.2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15" t="str">
        <f>Base_IFData!A1014</f>
        <v>GALAPAGOS CAPITAL DISTRIBUIDORA DE TÍTULOS E VALORES MOBILIÁRIOS S.A.</v>
      </c>
      <c r="L1013" s="15" t="str">
        <f>Base_IFData!F1014</f>
        <v>n2</v>
      </c>
      <c r="M1013" s="17" t="str">
        <f>IF(AND(ISNUMBER(Base_IFData!L1014),ISNUMBER(Base_IFData!W1014)),IF(Base_IFData!L1014&gt;$B$4,Base_IFData!W1014,""),"")</f>
        <v/>
      </c>
      <c r="N1013" s="50">
        <f>IF(AND(ISNUMBER(Base_IFData!O1014),ISNUMBER(Base_IFData!Q1014)),IF(Base_IFData!Q1014&gt;0,Base_IFData!O1014/Base_IFData!Q1014,"PL ≤ 0"),"NI")</f>
        <v>1.9814116777531412</v>
      </c>
      <c r="O1013" s="107">
        <f>IF(AND(ISNUMBER(Base_IFData!M1014),ISNUMBER(Base_IFData!Q1014)),IF(Base_IFData!Q1014&gt;0,Base_IFData!M1014/Base_IFData!Q1014,"PL ≤ 0"),"NI")</f>
        <v>0</v>
      </c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</row>
    <row r="1014" spans="1:30" ht="15" customHeight="1" x14ac:dyDescent="0.2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12" t="str">
        <f>Base_IFData!A1015</f>
        <v>COOPERATIVA DE ECONOMIA E CRÉDITO MÚTUO DOS EMPREGADOS DO BANRISUL</v>
      </c>
      <c r="L1014" s="12" t="str">
        <f>Base_IFData!F1015</f>
        <v>b3S</v>
      </c>
      <c r="M1014" s="14" t="str">
        <f>IF(AND(ISNUMBER(Base_IFData!L1015),ISNUMBER(Base_IFData!W1015)),IF(Base_IFData!L1015&gt;$B$4,Base_IFData!W1015,""),"")</f>
        <v/>
      </c>
      <c r="N1014" s="51">
        <f>IF(AND(ISNUMBER(Base_IFData!O1015),ISNUMBER(Base_IFData!Q1015)),IF(Base_IFData!Q1015&gt;0,Base_IFData!O1015/Base_IFData!Q1015,"PL ≤ 0"),"NI")</f>
        <v>0.8874036835181357</v>
      </c>
      <c r="O1014" s="110">
        <f>IF(AND(ISNUMBER(Base_IFData!M1015),ISNUMBER(Base_IFData!Q1015)),IF(Base_IFData!Q1015&gt;0,Base_IFData!M1015/Base_IFData!Q1015,"PL ≤ 0"),"NI")</f>
        <v>1.7104867506107875</v>
      </c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</row>
    <row r="1015" spans="1:30" ht="15" customHeight="1" x14ac:dyDescent="0.2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15" t="str">
        <f>Base_IFData!A1016</f>
        <v>COOPERATIVA DE ECONOMIA E CRÉDITO MÚTUO DOS SERVIDORES DA FUNDAÇÃO HOSPITALAR E EMPREGADOS DOS ESTABELECIMENTOS HOSPITALARES DE BELO HORIZONTE, REGIÃO METROPOLITANA E ZONA DA MATA LTDA.- SICOOB CECREF</v>
      </c>
      <c r="L1015" s="15" t="str">
        <f>Base_IFData!F1016</f>
        <v>b3S</v>
      </c>
      <c r="M1015" s="17" t="str">
        <f>IF(AND(ISNUMBER(Base_IFData!L1016),ISNUMBER(Base_IFData!W1016)),IF(Base_IFData!L1016&gt;$B$4,Base_IFData!W1016,""),"")</f>
        <v/>
      </c>
      <c r="N1015" s="50">
        <f>IF(AND(ISNUMBER(Base_IFData!O1016),ISNUMBER(Base_IFData!Q1016)),IF(Base_IFData!Q1016&gt;0,Base_IFData!O1016/Base_IFData!Q1016,"PL ≤ 0"),"NI")</f>
        <v>1.3560527176985095</v>
      </c>
      <c r="O1015" s="107">
        <f>IF(AND(ISNUMBER(Base_IFData!M1016),ISNUMBER(Base_IFData!Q1016)),IF(Base_IFData!Q1016&gt;0,Base_IFData!M1016/Base_IFData!Q1016,"PL ≤ 0"),"NI")</f>
        <v>1.0737214768095678</v>
      </c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</row>
    <row r="1016" spans="1:30" ht="15" customHeight="1" x14ac:dyDescent="0.2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12" t="str">
        <f>Base_IFData!A1017</f>
        <v>HEMERA DISTRIBUIDORA DE TÍTULOS E VALORES MOBILIÁRIOS LTDA.</v>
      </c>
      <c r="L1016" s="12" t="str">
        <f>Base_IFData!F1017</f>
        <v>n2</v>
      </c>
      <c r="M1016" s="14" t="str">
        <f>IF(AND(ISNUMBER(Base_IFData!L1017),ISNUMBER(Base_IFData!W1017)),IF(Base_IFData!L1017&gt;$B$4,Base_IFData!W1017,""),"")</f>
        <v/>
      </c>
      <c r="N1016" s="51">
        <f>IF(AND(ISNUMBER(Base_IFData!O1017),ISNUMBER(Base_IFData!Q1017)),IF(Base_IFData!Q1017&gt;0,Base_IFData!O1017/Base_IFData!Q1017,"PL ≤ 0"),"NI")</f>
        <v>2.7638419170934392</v>
      </c>
      <c r="O1016" s="110">
        <f>IF(AND(ISNUMBER(Base_IFData!M1017),ISNUMBER(Base_IFData!Q1017)),IF(Base_IFData!Q1017&gt;0,Base_IFData!M1017/Base_IFData!Q1017,"PL ≤ 0"),"NI")</f>
        <v>0</v>
      </c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</row>
    <row r="1017" spans="1:30" ht="15" customHeight="1" x14ac:dyDescent="0.2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15" t="str">
        <f>Base_IFData!A1018</f>
        <v>AGÊNCIA DE FOMENTO DO ESTADO DE PERNAMBUCO S.A.</v>
      </c>
      <c r="L1017" s="15" t="str">
        <f>Base_IFData!F1018</f>
        <v>n1</v>
      </c>
      <c r="M1017" s="17" t="str">
        <f>IF(AND(ISNUMBER(Base_IFData!L1018),ISNUMBER(Base_IFData!W1018)),IF(Base_IFData!L1018&gt;$B$4,Base_IFData!W1018,""),"")</f>
        <v/>
      </c>
      <c r="N1017" s="50">
        <f>IF(AND(ISNUMBER(Base_IFData!O1018),ISNUMBER(Base_IFData!Q1018)),IF(Base_IFData!Q1018&gt;0,Base_IFData!O1018/Base_IFData!Q1018,"PL ≤ 0"),"NI")</f>
        <v>0.24540898829632238</v>
      </c>
      <c r="O1017" s="107">
        <f>IF(AND(ISNUMBER(Base_IFData!M1018),ISNUMBER(Base_IFData!Q1018)),IF(Base_IFData!Q1018&gt;0,Base_IFData!M1018/Base_IFData!Q1018,"PL ≤ 0"),"NI")</f>
        <v>0.33633263420804049</v>
      </c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</row>
    <row r="1018" spans="1:30" ht="15" customHeight="1" x14ac:dyDescent="0.2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12" t="str">
        <f>Base_IFData!A1019</f>
        <v>COOPERATIVA DE ECONOMIA E CRÉDITO MÚTUO DOS SERVIDORES PÚBLICOS DO ESTADO DE SÃO PAULO - CREDIPAULISTA</v>
      </c>
      <c r="L1018" s="12" t="str">
        <f>Base_IFData!F1019</f>
        <v>b3S</v>
      </c>
      <c r="M1018" s="14" t="str">
        <f>IF(AND(ISNUMBER(Base_IFData!L1019),ISNUMBER(Base_IFData!W1019)),IF(Base_IFData!L1019&gt;$B$4,Base_IFData!W1019,""),"")</f>
        <v/>
      </c>
      <c r="N1018" s="51">
        <f>IF(AND(ISNUMBER(Base_IFData!O1019),ISNUMBER(Base_IFData!Q1019)),IF(Base_IFData!Q1019&gt;0,Base_IFData!O1019/Base_IFData!Q1019,"PL ≤ 0"),"NI")</f>
        <v>9.2950080789182751E-2</v>
      </c>
      <c r="O1018" s="110">
        <f>IF(AND(ISNUMBER(Base_IFData!M1019),ISNUMBER(Base_IFData!Q1019)),IF(Base_IFData!Q1019&gt;0,Base_IFData!M1019/Base_IFData!Q1019,"PL ≤ 0"),"NI")</f>
        <v>4.541202483204354E-2</v>
      </c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</row>
    <row r="1019" spans="1:30" ht="15" customHeight="1" x14ac:dyDescent="0.2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15" t="str">
        <f>Base_IFData!A1020</f>
        <v>COOPERATIVA DE CRÉDITO DE LIVRE ADMISSÃO DA REGIÃO SUL DO MARANHÃO - SICREDI SUL DO MARANHÃO</v>
      </c>
      <c r="L1019" s="15" t="str">
        <f>Base_IFData!F1020</f>
        <v>b3S</v>
      </c>
      <c r="M1019" s="17" t="str">
        <f>IF(AND(ISNUMBER(Base_IFData!L1020),ISNUMBER(Base_IFData!W1020)),IF(Base_IFData!L1020&gt;$B$4,Base_IFData!W1020,""),"")</f>
        <v/>
      </c>
      <c r="N1019" s="50">
        <f>IF(AND(ISNUMBER(Base_IFData!O1020),ISNUMBER(Base_IFData!Q1020)),IF(Base_IFData!Q1020&gt;0,Base_IFData!O1020/Base_IFData!Q1020,"PL ≤ 0"),"NI")</f>
        <v>7.2169125507804148</v>
      </c>
      <c r="O1019" s="107">
        <f>IF(AND(ISNUMBER(Base_IFData!M1020),ISNUMBER(Base_IFData!Q1020)),IF(Base_IFData!Q1020&gt;0,Base_IFData!M1020/Base_IFData!Q1020,"PL ≤ 0"),"NI")</f>
        <v>1.2986957451357708</v>
      </c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</row>
    <row r="1020" spans="1:30" ht="15" customHeight="1" x14ac:dyDescent="0.2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12" t="str">
        <f>Base_IFData!A1021</f>
        <v>BRB - DISTRIBUIDORA DE TITULOS E VALORES MOBILIARIOS SA</v>
      </c>
      <c r="L1020" s="12" t="str">
        <f>Base_IFData!F1021</f>
        <v>n2</v>
      </c>
      <c r="M1020" s="14" t="str">
        <f>IF(AND(ISNUMBER(Base_IFData!L1021),ISNUMBER(Base_IFData!W1021)),IF(Base_IFData!L1021&gt;$B$4,Base_IFData!W1021,""),"")</f>
        <v/>
      </c>
      <c r="N1020" s="51">
        <f>IF(AND(ISNUMBER(Base_IFData!O1021),ISNUMBER(Base_IFData!Q1021)),IF(Base_IFData!Q1021&gt;0,Base_IFData!O1021/Base_IFData!Q1021,"PL ≤ 0"),"NI")</f>
        <v>0.15307640913508261</v>
      </c>
      <c r="O1020" s="110">
        <f>IF(AND(ISNUMBER(Base_IFData!M1021),ISNUMBER(Base_IFData!Q1021)),IF(Base_IFData!Q1021&gt;0,Base_IFData!M1021/Base_IFData!Q1021,"PL ≤ 0"),"NI")</f>
        <v>0</v>
      </c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</row>
    <row r="1021" spans="1:30" ht="15" customHeight="1" x14ac:dyDescent="0.2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15" t="str">
        <f>Base_IFData!A1022</f>
        <v>BANCO RNX S.A.</v>
      </c>
      <c r="L1021" s="15" t="str">
        <f>Base_IFData!F1022</f>
        <v>b2</v>
      </c>
      <c r="M1021" s="17" t="str">
        <f>IF(AND(ISNUMBER(Base_IFData!L1022),ISNUMBER(Base_IFData!W1022)),IF(Base_IFData!L1022&gt;$B$4,Base_IFData!W1022,""),"")</f>
        <v/>
      </c>
      <c r="N1021" s="50">
        <f>IF(AND(ISNUMBER(Base_IFData!O1022),ISNUMBER(Base_IFData!Q1022)),IF(Base_IFData!Q1022&gt;0,Base_IFData!O1022/Base_IFData!Q1022,"PL ≤ 0"),"NI")</f>
        <v>2.5968062926459439</v>
      </c>
      <c r="O1021" s="107">
        <f>IF(AND(ISNUMBER(Base_IFData!M1022),ISNUMBER(Base_IFData!Q1022)),IF(Base_IFData!Q1022&gt;0,Base_IFData!M1022/Base_IFData!Q1022,"PL ≤ 0"),"NI")</f>
        <v>2.3818707354056103</v>
      </c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</row>
    <row r="1022" spans="1:30" ht="15" customHeight="1" x14ac:dyDescent="0.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12" t="str">
        <f>Base_IFData!A1023</f>
        <v>BEC DISTRIBUIDORA DE TITULOS E VALORES MOBILIARIOS LTDA.</v>
      </c>
      <c r="L1022" s="12" t="str">
        <f>Base_IFData!F1023</f>
        <v>n2</v>
      </c>
      <c r="M1022" s="14" t="str">
        <f>IF(AND(ISNUMBER(Base_IFData!L1023),ISNUMBER(Base_IFData!W1023)),IF(Base_IFData!L1023&gt;$B$4,Base_IFData!W1023,""),"")</f>
        <v/>
      </c>
      <c r="N1022" s="51">
        <f>IF(AND(ISNUMBER(Base_IFData!O1023),ISNUMBER(Base_IFData!Q1023)),IF(Base_IFData!Q1023&gt;0,Base_IFData!O1023/Base_IFData!Q1023,"PL ≤ 0"),"NI")</f>
        <v>2.2458548977744144E-2</v>
      </c>
      <c r="O1022" s="110">
        <f>IF(AND(ISNUMBER(Base_IFData!M1023),ISNUMBER(Base_IFData!Q1023)),IF(Base_IFData!Q1023&gt;0,Base_IFData!M1023/Base_IFData!Q1023,"PL ≤ 0"),"NI")</f>
        <v>0</v>
      </c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</row>
    <row r="1023" spans="1:30" ht="15" customHeight="1" x14ac:dyDescent="0.2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15" t="str">
        <f>Base_IFData!A1024</f>
        <v>CREDITAS SOCIEDADE DE CRÉDITO DIRETO S.A.</v>
      </c>
      <c r="L1023" s="15" t="str">
        <f>Base_IFData!F1024</f>
        <v>n1</v>
      </c>
      <c r="M1023" s="17" t="str">
        <f>IF(AND(ISNUMBER(Base_IFData!L1024),ISNUMBER(Base_IFData!W1024)),IF(Base_IFData!L1024&gt;$B$4,Base_IFData!W1024,""),"")</f>
        <v/>
      </c>
      <c r="N1023" s="50">
        <f>IF(AND(ISNUMBER(Base_IFData!O1024),ISNUMBER(Base_IFData!Q1024)),IF(Base_IFData!Q1024&gt;0,Base_IFData!O1024/Base_IFData!Q1024,"PL ≤ 0"),"NI")</f>
        <v>1.9350725088449128</v>
      </c>
      <c r="O1023" s="107">
        <f>IF(AND(ISNUMBER(Base_IFData!M1024),ISNUMBER(Base_IFData!Q1024)),IF(Base_IFData!Q1024&gt;0,Base_IFData!M1024/Base_IFData!Q1024,"PL ≤ 0"),"NI")</f>
        <v>0.83087749309902414</v>
      </c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</row>
    <row r="1024" spans="1:30" ht="15" customHeight="1" x14ac:dyDescent="0.2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12" t="str">
        <f>Base_IFData!A1025</f>
        <v>ATTRUS INSTITUIÇÃO DE PAGAMENTO S/A</v>
      </c>
      <c r="L1024" s="12" t="str">
        <f>Base_IFData!F1025</f>
        <v>n4</v>
      </c>
      <c r="M1024" s="14" t="str">
        <f>IF(AND(ISNUMBER(Base_IFData!L1025),ISNUMBER(Base_IFData!W1025)),IF(Base_IFData!L1025&gt;$B$4,Base_IFData!W1025,""),"")</f>
        <v/>
      </c>
      <c r="N1024" s="51">
        <f>IF(AND(ISNUMBER(Base_IFData!O1025),ISNUMBER(Base_IFData!Q1025)),IF(Base_IFData!Q1025&gt;0,Base_IFData!O1025/Base_IFData!Q1025,"PL ≤ 0"),"NI")</f>
        <v>5.571479437422111</v>
      </c>
      <c r="O1024" s="110">
        <f>IF(AND(ISNUMBER(Base_IFData!M1025),ISNUMBER(Base_IFData!Q1025)),IF(Base_IFData!Q1025&gt;0,Base_IFData!M1025/Base_IFData!Q1025,"PL ≤ 0"),"NI")</f>
        <v>0</v>
      </c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</row>
    <row r="1025" spans="1:30" ht="15" customHeight="1" x14ac:dyDescent="0.2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15" t="str">
        <f>Base_IFData!A1026</f>
        <v>NUPAY FOR BUSINESS INSTITUICAO DE PAGAMENTO LTDA.</v>
      </c>
      <c r="L1025" s="15" t="str">
        <f>Base_IFData!F1026</f>
        <v>n4</v>
      </c>
      <c r="M1025" s="17" t="str">
        <f>IF(AND(ISNUMBER(Base_IFData!L1026),ISNUMBER(Base_IFData!W1026)),IF(Base_IFData!L1026&gt;$B$4,Base_IFData!W1026,""),"")</f>
        <v/>
      </c>
      <c r="N1025" s="50">
        <f>IF(AND(ISNUMBER(Base_IFData!O1026),ISNUMBER(Base_IFData!Q1026)),IF(Base_IFData!Q1026&gt;0,Base_IFData!O1026/Base_IFData!Q1026,"PL ≤ 0"),"NI")</f>
        <v>2.8452883263009845E-2</v>
      </c>
      <c r="O1025" s="107">
        <f>IF(AND(ISNUMBER(Base_IFData!M1026),ISNUMBER(Base_IFData!Q1026)),IF(Base_IFData!Q1026&gt;0,Base_IFData!M1026/Base_IFData!Q1026,"PL ≤ 0"),"NI")</f>
        <v>0</v>
      </c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</row>
    <row r="1026" spans="1:30" ht="15" customHeight="1" x14ac:dyDescent="0.2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12" t="str">
        <f>Base_IFData!A1027</f>
        <v>BANCO WESTERN UNION DO BRASIL S.A.</v>
      </c>
      <c r="L1026" s="12" t="str">
        <f>Base_IFData!F1027</f>
        <v>b1</v>
      </c>
      <c r="M1026" s="14" t="str">
        <f>IF(AND(ISNUMBER(Base_IFData!L1027),ISNUMBER(Base_IFData!W1027)),IF(Base_IFData!L1027&gt;$B$4,Base_IFData!W1027,""),"")</f>
        <v/>
      </c>
      <c r="N1026" s="51">
        <f>IF(AND(ISNUMBER(Base_IFData!O1027),ISNUMBER(Base_IFData!Q1027)),IF(Base_IFData!Q1027&gt;0,Base_IFData!O1027/Base_IFData!Q1027,"PL ≤ 0"),"NI")</f>
        <v>0.42426551023597436</v>
      </c>
      <c r="O1026" s="110">
        <f>IF(AND(ISNUMBER(Base_IFData!M1027),ISNUMBER(Base_IFData!Q1027)),IF(Base_IFData!Q1027&gt;0,Base_IFData!M1027/Base_IFData!Q1027,"PL ≤ 0"),"NI")</f>
        <v>0</v>
      </c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</row>
    <row r="1027" spans="1:30" ht="15" customHeight="1" x14ac:dyDescent="0.2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15" t="str">
        <f>Base_IFData!A1028</f>
        <v>COOPERATIVA DE CRÉDITO CLÁSSICA DOS EMPREGADOS DA VALE S/A E ENTIDADES VINCULADAS LTDA. - SICOOB COOPVALE</v>
      </c>
      <c r="L1027" s="15" t="str">
        <f>Base_IFData!F1028</f>
        <v>b3S</v>
      </c>
      <c r="M1027" s="17" t="str">
        <f>IF(AND(ISNUMBER(Base_IFData!L1028),ISNUMBER(Base_IFData!W1028)),IF(Base_IFData!L1028&gt;$B$4,Base_IFData!W1028,""),"")</f>
        <v/>
      </c>
      <c r="N1027" s="50">
        <f>IF(AND(ISNUMBER(Base_IFData!O1028),ISNUMBER(Base_IFData!Q1028)),IF(Base_IFData!Q1028&gt;0,Base_IFData!O1028/Base_IFData!Q1028,"PL ≤ 0"),"NI")</f>
        <v>8.6262096774193555</v>
      </c>
      <c r="O1027" s="107">
        <f>IF(AND(ISNUMBER(Base_IFData!M1028),ISNUMBER(Base_IFData!Q1028)),IF(Base_IFData!Q1028&gt;0,Base_IFData!M1028/Base_IFData!Q1028,"PL ≤ 0"),"NI")</f>
        <v>3.7360215053763439</v>
      </c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</row>
    <row r="1028" spans="1:30" ht="15" customHeight="1" x14ac:dyDescent="0.2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12" t="str">
        <f>Base_IFData!A1029</f>
        <v>BMW LEASING DO BRASIL S.A. - ARRENDAMENTO MERCANTIL</v>
      </c>
      <c r="L1028" s="12" t="str">
        <f>Base_IFData!F1029</f>
        <v>n1</v>
      </c>
      <c r="M1028" s="14" t="str">
        <f>IF(AND(ISNUMBER(Base_IFData!L1029),ISNUMBER(Base_IFData!W1029)),IF(Base_IFData!L1029&gt;$B$4,Base_IFData!W1029,""),"")</f>
        <v/>
      </c>
      <c r="N1028" s="51">
        <f>IF(AND(ISNUMBER(Base_IFData!O1029),ISNUMBER(Base_IFData!Q1029)),IF(Base_IFData!Q1029&gt;0,Base_IFData!O1029/Base_IFData!Q1029,"PL ≤ 0"),"NI")</f>
        <v>2.543526545819302E-2</v>
      </c>
      <c r="O1028" s="110">
        <f>IF(AND(ISNUMBER(Base_IFData!M1029),ISNUMBER(Base_IFData!Q1029)),IF(Base_IFData!Q1029&gt;0,Base_IFData!M1029/Base_IFData!Q1029,"PL ≤ 0"),"NI")</f>
        <v>0</v>
      </c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</row>
    <row r="1029" spans="1:30" ht="15" customHeight="1" x14ac:dyDescent="0.2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15" t="str">
        <f>Base_IFData!A1030</f>
        <v>COOPERATIVA DE CREDITO SICOOB COOPEC LTDA.</v>
      </c>
      <c r="L1029" s="15" t="str">
        <f>Base_IFData!F1030</f>
        <v>b3S</v>
      </c>
      <c r="M1029" s="17" t="str">
        <f>IF(AND(ISNUMBER(Base_IFData!L1030),ISNUMBER(Base_IFData!W1030)),IF(Base_IFData!L1030&gt;$B$4,Base_IFData!W1030,""),"")</f>
        <v/>
      </c>
      <c r="N1029" s="50">
        <f>IF(AND(ISNUMBER(Base_IFData!O1030),ISNUMBER(Base_IFData!Q1030)),IF(Base_IFData!Q1030&gt;0,Base_IFData!O1030/Base_IFData!Q1030,"PL ≤ 0"),"NI")</f>
        <v>1.0709296865829323</v>
      </c>
      <c r="O1029" s="107">
        <f>IF(AND(ISNUMBER(Base_IFData!M1030),ISNUMBER(Base_IFData!Q1030)),IF(Base_IFData!Q1030&gt;0,Base_IFData!M1030/Base_IFData!Q1030,"PL ≤ 0"),"NI")</f>
        <v>1.1818875454865594</v>
      </c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</row>
    <row r="1030" spans="1:30" ht="15" customHeight="1" x14ac:dyDescent="0.2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12" t="str">
        <f>Base_IFData!A1031</f>
        <v>BANCO CEDULA S.A.</v>
      </c>
      <c r="L1030" s="12" t="str">
        <f>Base_IFData!F1031</f>
        <v>b1</v>
      </c>
      <c r="M1030" s="14" t="str">
        <f>IF(AND(ISNUMBER(Base_IFData!L1031),ISNUMBER(Base_IFData!W1031)),IF(Base_IFData!L1031&gt;$B$4,Base_IFData!W1031,""),"")</f>
        <v/>
      </c>
      <c r="N1030" s="51">
        <f>IF(AND(ISNUMBER(Base_IFData!O1031),ISNUMBER(Base_IFData!Q1031)),IF(Base_IFData!Q1031&gt;0,Base_IFData!O1031/Base_IFData!Q1031,"PL ≤ 0"),"NI")</f>
        <v>0.20492028115892336</v>
      </c>
      <c r="O1030" s="110">
        <f>IF(AND(ISNUMBER(Base_IFData!M1031),ISNUMBER(Base_IFData!Q1031)),IF(Base_IFData!Q1031&gt;0,Base_IFData!M1031/Base_IFData!Q1031,"PL ≤ 0"),"NI")</f>
        <v>0</v>
      </c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</row>
    <row r="1031" spans="1:30" ht="15" customHeight="1" x14ac:dyDescent="0.2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15" t="str">
        <f>Base_IFData!A1032</f>
        <v>HINOVA PAY INSTITUICAO DE PAGAMENTO S.A.</v>
      </c>
      <c r="L1031" s="15" t="str">
        <f>Base_IFData!F1032</f>
        <v>n4</v>
      </c>
      <c r="M1031" s="17" t="str">
        <f>IF(AND(ISNUMBER(Base_IFData!L1032),ISNUMBER(Base_IFData!W1032)),IF(Base_IFData!L1032&gt;$B$4,Base_IFData!W1032,""),"")</f>
        <v/>
      </c>
      <c r="N1031" s="50">
        <f>IF(AND(ISNUMBER(Base_IFData!O1032),ISNUMBER(Base_IFData!Q1032)),IF(Base_IFData!Q1032&gt;0,Base_IFData!O1032/Base_IFData!Q1032,"PL ≤ 0"),"NI")</f>
        <v>2.552198775365619</v>
      </c>
      <c r="O1031" s="107">
        <f>IF(AND(ISNUMBER(Base_IFData!M1032),ISNUMBER(Base_IFData!Q1032)),IF(Base_IFData!Q1032&gt;0,Base_IFData!M1032/Base_IFData!Q1032,"PL ≤ 0"),"NI")</f>
        <v>0</v>
      </c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</row>
    <row r="1032" spans="1:30" ht="15" customHeight="1" x14ac:dyDescent="0.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12" t="str">
        <f>Base_IFData!A1033</f>
        <v>FLAGSHIP INSTITUICAO DE PAGAMENTO LTDA</v>
      </c>
      <c r="L1032" s="12" t="str">
        <f>Base_IFData!F1033</f>
        <v>n4</v>
      </c>
      <c r="M1032" s="14" t="str">
        <f>IF(AND(ISNUMBER(Base_IFData!L1033),ISNUMBER(Base_IFData!W1033)),IF(Base_IFData!L1033&gt;$B$4,Base_IFData!W1033,""),"")</f>
        <v/>
      </c>
      <c r="N1032" s="51">
        <f>IF(AND(ISNUMBER(Base_IFData!O1033),ISNUMBER(Base_IFData!Q1033)),IF(Base_IFData!Q1033&gt;0,Base_IFData!O1033/Base_IFData!Q1033,"PL ≤ 0"),"NI")</f>
        <v>3.3033376359948368</v>
      </c>
      <c r="O1032" s="110">
        <f>IF(AND(ISNUMBER(Base_IFData!M1033),ISNUMBER(Base_IFData!Q1033)),IF(Base_IFData!Q1033&gt;0,Base_IFData!M1033/Base_IFData!Q1033,"PL ≤ 0"),"NI")</f>
        <v>0</v>
      </c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</row>
    <row r="1033" spans="1:30" ht="15" customHeight="1" x14ac:dyDescent="0.2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15" t="str">
        <f>Base_IFData!A1034</f>
        <v>PINPAG INSTITUIÇÃO DE PAGAMENTO S.A.</v>
      </c>
      <c r="L1033" s="15" t="str">
        <f>Base_IFData!F1034</f>
        <v>n4</v>
      </c>
      <c r="M1033" s="17" t="str">
        <f>IF(AND(ISNUMBER(Base_IFData!L1034),ISNUMBER(Base_IFData!W1034)),IF(Base_IFData!L1034&gt;$B$4,Base_IFData!W1034,""),"")</f>
        <v/>
      </c>
      <c r="N1033" s="50">
        <f>IF(AND(ISNUMBER(Base_IFData!O1034),ISNUMBER(Base_IFData!Q1034)),IF(Base_IFData!Q1034&gt;0,Base_IFData!O1034/Base_IFData!Q1034,"PL ≤ 0"),"NI")</f>
        <v>1.965560291015541</v>
      </c>
      <c r="O1033" s="107">
        <f>IF(AND(ISNUMBER(Base_IFData!M1034),ISNUMBER(Base_IFData!Q1034)),IF(Base_IFData!Q1034&gt;0,Base_IFData!M1034/Base_IFData!Q1034,"PL ≤ 0"),"NI")</f>
        <v>0</v>
      </c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</row>
    <row r="1034" spans="1:30" ht="15" customHeight="1" x14ac:dyDescent="0.2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12" t="str">
        <f>Base_IFData!A1035</f>
        <v>IFOOD PAGO SOCIEDADE DE CRÉDITO DIRETO S.A.</v>
      </c>
      <c r="L1034" s="12" t="str">
        <f>Base_IFData!F1035</f>
        <v>n1</v>
      </c>
      <c r="M1034" s="14" t="str">
        <f>IF(AND(ISNUMBER(Base_IFData!L1035),ISNUMBER(Base_IFData!W1035)),IF(Base_IFData!L1035&gt;$B$4,Base_IFData!W1035,""),"")</f>
        <v/>
      </c>
      <c r="N1034" s="51">
        <f>IF(AND(ISNUMBER(Base_IFData!O1035),ISNUMBER(Base_IFData!Q1035)),IF(Base_IFData!Q1035&gt;0,Base_IFData!O1035/Base_IFData!Q1035,"PL ≤ 0"),"NI")</f>
        <v>0.471100740677313</v>
      </c>
      <c r="O1034" s="110">
        <f>IF(AND(ISNUMBER(Base_IFData!M1035),ISNUMBER(Base_IFData!Q1035)),IF(Base_IFData!Q1035&gt;0,Base_IFData!M1035/Base_IFData!Q1035,"PL ≤ 0"),"NI")</f>
        <v>0</v>
      </c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</row>
    <row r="1035" spans="1:30" ht="15" customHeight="1" x14ac:dyDescent="0.2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15" t="str">
        <f>Base_IFData!A1036</f>
        <v>ARTTA SOCIEDADE DE CRÉDITO DIRETO S.A</v>
      </c>
      <c r="L1035" s="15" t="str">
        <f>Base_IFData!F1036</f>
        <v>n1</v>
      </c>
      <c r="M1035" s="17" t="str">
        <f>IF(AND(ISNUMBER(Base_IFData!L1036),ISNUMBER(Base_IFData!W1036)),IF(Base_IFData!L1036&gt;$B$4,Base_IFData!W1036,""),"")</f>
        <v/>
      </c>
      <c r="N1035" s="50">
        <f>IF(AND(ISNUMBER(Base_IFData!O1036),ISNUMBER(Base_IFData!Q1036)),IF(Base_IFData!Q1036&gt;0,Base_IFData!O1036/Base_IFData!Q1036,"PL ≤ 0"),"NI")</f>
        <v>188.82271468144043</v>
      </c>
      <c r="O1035" s="107">
        <f>IF(AND(ISNUMBER(Base_IFData!M1036),ISNUMBER(Base_IFData!Q1036)),IF(Base_IFData!Q1036&gt;0,Base_IFData!M1036/Base_IFData!Q1036,"PL ≤ 0"),"NI")</f>
        <v>0</v>
      </c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</row>
    <row r="1036" spans="1:30" ht="15" customHeight="1" x14ac:dyDescent="0.2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12" t="str">
        <f>Base_IFData!A1037</f>
        <v>F &amp; F INSTITUICAO DE PAGAMENTO S. A.</v>
      </c>
      <c r="L1036" s="12" t="str">
        <f>Base_IFData!F1037</f>
        <v>n4</v>
      </c>
      <c r="M1036" s="14" t="str">
        <f>IF(AND(ISNUMBER(Base_IFData!L1037),ISNUMBER(Base_IFData!W1037)),IF(Base_IFData!L1037&gt;$B$4,Base_IFData!W1037,""),"")</f>
        <v/>
      </c>
      <c r="N1036" s="51">
        <f>IF(AND(ISNUMBER(Base_IFData!O1037),ISNUMBER(Base_IFData!Q1037)),IF(Base_IFData!Q1037&gt;0,Base_IFData!O1037/Base_IFData!Q1037,"PL ≤ 0"),"NI")</f>
        <v>7.5320536946430812</v>
      </c>
      <c r="O1036" s="110">
        <f>IF(AND(ISNUMBER(Base_IFData!M1037),ISNUMBER(Base_IFData!Q1037)),IF(Base_IFData!Q1037&gt;0,Base_IFData!M1037/Base_IFData!Q1037,"PL ≤ 0"),"NI")</f>
        <v>0</v>
      </c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</row>
    <row r="1037" spans="1:30" ht="15" customHeight="1" x14ac:dyDescent="0.2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15" t="str">
        <f>Base_IFData!A1038</f>
        <v>VALOR S/A SOCIEDADE DE CRÉDITO, FINANCIAMENTO E INVESTIMENTO</v>
      </c>
      <c r="L1037" s="15" t="str">
        <f>Base_IFData!F1038</f>
        <v>n1</v>
      </c>
      <c r="M1037" s="17" t="str">
        <f>IF(AND(ISNUMBER(Base_IFData!L1038),ISNUMBER(Base_IFData!W1038)),IF(Base_IFData!L1038&gt;$B$4,Base_IFData!W1038,""),"")</f>
        <v/>
      </c>
      <c r="N1037" s="50">
        <f>IF(AND(ISNUMBER(Base_IFData!O1038),ISNUMBER(Base_IFData!Q1038)),IF(Base_IFData!Q1038&gt;0,Base_IFData!O1038/Base_IFData!Q1038,"PL ≤ 0"),"NI")</f>
        <v>0.530494373266714</v>
      </c>
      <c r="O1037" s="107">
        <f>IF(AND(ISNUMBER(Base_IFData!M1038),ISNUMBER(Base_IFData!Q1038)),IF(Base_IFData!Q1038&gt;0,Base_IFData!M1038/Base_IFData!Q1038,"PL ≤ 0"),"NI")</f>
        <v>1.3802571566088331</v>
      </c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</row>
    <row r="1038" spans="1:30" ht="15" customHeight="1" x14ac:dyDescent="0.2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12" t="str">
        <f>Base_IFData!A1039</f>
        <v>FINVEST DISTRIBUIDORA DE TÍTULOS E VALORES MOBILIÁRIOS LTDA.</v>
      </c>
      <c r="L1038" s="12" t="str">
        <f>Base_IFData!F1039</f>
        <v>n2</v>
      </c>
      <c r="M1038" s="14" t="str">
        <f>IF(AND(ISNUMBER(Base_IFData!L1039),ISNUMBER(Base_IFData!W1039)),IF(Base_IFData!L1039&gt;$B$4,Base_IFData!W1039,""),"")</f>
        <v/>
      </c>
      <c r="N1038" s="51">
        <f>IF(AND(ISNUMBER(Base_IFData!O1039),ISNUMBER(Base_IFData!Q1039)),IF(Base_IFData!Q1039&gt;0,Base_IFData!O1039/Base_IFData!Q1039,"PL ≤ 0"),"NI")</f>
        <v>13.551807228915663</v>
      </c>
      <c r="O1038" s="110">
        <f>IF(AND(ISNUMBER(Base_IFData!M1039),ISNUMBER(Base_IFData!Q1039)),IF(Base_IFData!Q1039&gt;0,Base_IFData!M1039/Base_IFData!Q1039,"PL ≤ 0"),"NI")</f>
        <v>0</v>
      </c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</row>
    <row r="1039" spans="1:30" ht="15" customHeight="1" x14ac:dyDescent="0.2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15" t="str">
        <f>Base_IFData!A1040</f>
        <v>COOPERATIVA DE ECONOMIA E CRÉDITO MÚTUO DOS FUNCIONÁRIOS DA CARGILL</v>
      </c>
      <c r="L1039" s="15" t="str">
        <f>Base_IFData!F1040</f>
        <v>b3S</v>
      </c>
      <c r="M1039" s="17" t="str">
        <f>IF(AND(ISNUMBER(Base_IFData!L1040),ISNUMBER(Base_IFData!W1040)),IF(Base_IFData!L1040&gt;$B$4,Base_IFData!W1040,""),"")</f>
        <v/>
      </c>
      <c r="N1039" s="50">
        <f>IF(AND(ISNUMBER(Base_IFData!O1040),ISNUMBER(Base_IFData!Q1040)),IF(Base_IFData!Q1040&gt;0,Base_IFData!O1040/Base_IFData!Q1040,"PL ≤ 0"),"NI")</f>
        <v>0.257204750299795</v>
      </c>
      <c r="O1039" s="107">
        <f>IF(AND(ISNUMBER(Base_IFData!M1040),ISNUMBER(Base_IFData!Q1040)),IF(Base_IFData!Q1040&gt;0,Base_IFData!M1040/Base_IFData!Q1040,"PL ≤ 0"),"NI")</f>
        <v>0.67277861591427801</v>
      </c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</row>
    <row r="1040" spans="1:30" ht="15" customHeight="1" x14ac:dyDescent="0.2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12" t="str">
        <f>Base_IFData!A1041</f>
        <v>COOPERATIVA DE ECONOMIA E CRÉDITO MÚTUO DOS EMPREGADOS DA CENTRAIS ELÉTRICAS DE SANTA CATARINA - CREDELESC</v>
      </c>
      <c r="L1040" s="12" t="str">
        <f>Base_IFData!F1041</f>
        <v>b3S</v>
      </c>
      <c r="M1040" s="14" t="str">
        <f>IF(AND(ISNUMBER(Base_IFData!L1041),ISNUMBER(Base_IFData!W1041)),IF(Base_IFData!L1041&gt;$B$4,Base_IFData!W1041,""),"")</f>
        <v/>
      </c>
      <c r="N1040" s="51">
        <f>IF(AND(ISNUMBER(Base_IFData!O1041),ISNUMBER(Base_IFData!Q1041)),IF(Base_IFData!Q1041&gt;0,Base_IFData!O1041/Base_IFData!Q1041,"PL ≤ 0"),"NI")</f>
        <v>4.10494410329082</v>
      </c>
      <c r="O1040" s="110">
        <f>IF(AND(ISNUMBER(Base_IFData!M1041),ISNUMBER(Base_IFData!Q1041)),IF(Base_IFData!Q1041&gt;0,Base_IFData!M1041/Base_IFData!Q1041,"PL ≤ 0"),"NI")</f>
        <v>2.1835144071799717</v>
      </c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</row>
    <row r="1041" spans="1:30" ht="15" customHeight="1" x14ac:dyDescent="0.2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15" t="str">
        <f>Base_IFData!A1042</f>
        <v>H H PICCHIONI S/A CORRETORA DE CAMBIO E VALORES MOBILIARIOS</v>
      </c>
      <c r="L1041" s="15" t="str">
        <f>Base_IFData!F1042</f>
        <v>n2</v>
      </c>
      <c r="M1041" s="17" t="str">
        <f>IF(AND(ISNUMBER(Base_IFData!L1042),ISNUMBER(Base_IFData!W1042)),IF(Base_IFData!L1042&gt;$B$4,Base_IFData!W1042,""),"")</f>
        <v/>
      </c>
      <c r="N1041" s="50">
        <f>IF(AND(ISNUMBER(Base_IFData!O1042),ISNUMBER(Base_IFData!Q1042)),IF(Base_IFData!Q1042&gt;0,Base_IFData!O1042/Base_IFData!Q1042,"PL ≤ 0"),"NI")</f>
        <v>16.213826366559484</v>
      </c>
      <c r="O1041" s="107">
        <f>IF(AND(ISNUMBER(Base_IFData!M1042),ISNUMBER(Base_IFData!Q1042)),IF(Base_IFData!Q1042&gt;0,Base_IFData!M1042/Base_IFData!Q1042,"PL ≤ 0"),"NI")</f>
        <v>0</v>
      </c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</row>
    <row r="1042" spans="1:30" ht="15" customHeight="1" x14ac:dyDescent="0.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12" t="str">
        <f>Base_IFData!A1043</f>
        <v>SMART SOLUTIONS GROUP INSTITUICAO DE PAGAMENTO LTDA</v>
      </c>
      <c r="L1042" s="12" t="str">
        <f>Base_IFData!F1043</f>
        <v>n4</v>
      </c>
      <c r="M1042" s="14" t="str">
        <f>IF(AND(ISNUMBER(Base_IFData!L1043),ISNUMBER(Base_IFData!W1043)),IF(Base_IFData!L1043&gt;$B$4,Base_IFData!W1043,""),"")</f>
        <v/>
      </c>
      <c r="N1042" s="51">
        <f>IF(AND(ISNUMBER(Base_IFData!O1043),ISNUMBER(Base_IFData!Q1043)),IF(Base_IFData!Q1043&gt;0,Base_IFData!O1043/Base_IFData!Q1043,"PL ≤ 0"),"NI")</f>
        <v>0.21797968180946906</v>
      </c>
      <c r="O1042" s="110">
        <f>IF(AND(ISNUMBER(Base_IFData!M1043),ISNUMBER(Base_IFData!Q1043)),IF(Base_IFData!Q1043&gt;0,Base_IFData!M1043/Base_IFData!Q1043,"PL ≤ 0"),"NI")</f>
        <v>0</v>
      </c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</row>
    <row r="1043" spans="1:30" ht="15" customHeight="1" x14ac:dyDescent="0.2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15" t="str">
        <f>Base_IFData!A1044</f>
        <v>ISSUER INSTITUICAO DE PAGAMENTO LTDA.</v>
      </c>
      <c r="L1043" s="15" t="str">
        <f>Base_IFData!F1044</f>
        <v>n4</v>
      </c>
      <c r="M1043" s="17" t="str">
        <f>IF(AND(ISNUMBER(Base_IFData!L1044),ISNUMBER(Base_IFData!W1044)),IF(Base_IFData!L1044&gt;$B$4,Base_IFData!W1044,""),"")</f>
        <v/>
      </c>
      <c r="N1043" s="50">
        <f>IF(AND(ISNUMBER(Base_IFData!O1044),ISNUMBER(Base_IFData!Q1044)),IF(Base_IFData!Q1044&gt;0,Base_IFData!O1044/Base_IFData!Q1044,"PL ≤ 0"),"NI")</f>
        <v>2.025803054239073</v>
      </c>
      <c r="O1043" s="107">
        <f>IF(AND(ISNUMBER(Base_IFData!M1044),ISNUMBER(Base_IFData!Q1044)),IF(Base_IFData!Q1044&gt;0,Base_IFData!M1044/Base_IFData!Q1044,"PL ≤ 0"),"NI")</f>
        <v>4.3084877208099956E-4</v>
      </c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</row>
    <row r="1044" spans="1:30" ht="15" customHeight="1" x14ac:dyDescent="0.2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12" t="str">
        <f>Base_IFData!A1045</f>
        <v>COOPERATIVA DE ECONOMIA E CRÉDITO MÚTUO DO GRUPO BASF</v>
      </c>
      <c r="L1044" s="12" t="str">
        <f>Base_IFData!F1045</f>
        <v>b3S</v>
      </c>
      <c r="M1044" s="14" t="str">
        <f>IF(AND(ISNUMBER(Base_IFData!L1045),ISNUMBER(Base_IFData!W1045)),IF(Base_IFData!L1045&gt;$B$4,Base_IFData!W1045,""),"")</f>
        <v/>
      </c>
      <c r="N1044" s="51">
        <f>IF(AND(ISNUMBER(Base_IFData!O1045),ISNUMBER(Base_IFData!Q1045)),IF(Base_IFData!Q1045&gt;0,Base_IFData!O1045/Base_IFData!Q1045,"PL ≤ 0"),"NI")</f>
        <v>3.0799973576430176E-2</v>
      </c>
      <c r="O1044" s="110">
        <f>IF(AND(ISNUMBER(Base_IFData!M1045),ISNUMBER(Base_IFData!Q1045)),IF(Base_IFData!Q1045&gt;0,Base_IFData!M1045/Base_IFData!Q1045,"PL ≤ 0"),"NI")</f>
        <v>0.30833003038710532</v>
      </c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</row>
    <row r="1045" spans="1:30" ht="15" customHeight="1" x14ac:dyDescent="0.2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15" t="str">
        <f>Base_IFData!A1046</f>
        <v>INTEX BANK BANCO DE CÂMBIO S.A.</v>
      </c>
      <c r="L1045" s="15" t="str">
        <f>Base_IFData!F1046</f>
        <v>b2</v>
      </c>
      <c r="M1045" s="17" t="str">
        <f>IF(AND(ISNUMBER(Base_IFData!L1046),ISNUMBER(Base_IFData!W1046)),IF(Base_IFData!L1046&gt;$B$4,Base_IFData!W1046,""),"")</f>
        <v/>
      </c>
      <c r="N1045" s="50">
        <f>IF(AND(ISNUMBER(Base_IFData!O1046),ISNUMBER(Base_IFData!Q1046)),IF(Base_IFData!Q1046&gt;0,Base_IFData!O1046/Base_IFData!Q1046,"PL ≤ 0"),"NI")</f>
        <v>1.1310073541987344</v>
      </c>
      <c r="O1045" s="107">
        <f>IF(AND(ISNUMBER(Base_IFData!M1046),ISNUMBER(Base_IFData!Q1046)),IF(Base_IFData!Q1046&gt;0,Base_IFData!M1046/Base_IFData!Q1046,"PL ≤ 0"),"NI")</f>
        <v>0</v>
      </c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</row>
    <row r="1046" spans="1:30" ht="15" customHeight="1" x14ac:dyDescent="0.2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12" t="str">
        <f>Base_IFData!A1047</f>
        <v>COOPERATIVA DE CRÉDITO DE ITAPETININGA - SICOOB CRED-ACI</v>
      </c>
      <c r="L1046" s="12" t="str">
        <f>Base_IFData!F1047</f>
        <v>b3S</v>
      </c>
      <c r="M1046" s="14" t="str">
        <f>IF(AND(ISNUMBER(Base_IFData!L1047),ISNUMBER(Base_IFData!W1047)),IF(Base_IFData!L1047&gt;$B$4,Base_IFData!W1047,""),"")</f>
        <v/>
      </c>
      <c r="N1046" s="51">
        <f>IF(AND(ISNUMBER(Base_IFData!O1047),ISNUMBER(Base_IFData!Q1047)),IF(Base_IFData!Q1047&gt;0,Base_IFData!O1047/Base_IFData!Q1047,"PL ≤ 0"),"NI")</f>
        <v>5.6603874558492988</v>
      </c>
      <c r="O1046" s="110">
        <f>IF(AND(ISNUMBER(Base_IFData!M1047),ISNUMBER(Base_IFData!Q1047)),IF(Base_IFData!Q1047&gt;0,Base_IFData!M1047/Base_IFData!Q1047,"PL ≤ 0"),"NI")</f>
        <v>0.90238681365728357</v>
      </c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</row>
    <row r="1047" spans="1:30" ht="15" customHeight="1" x14ac:dyDescent="0.2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15" t="str">
        <f>Base_IFData!A1048</f>
        <v>COOPERATIVA DE CRÉDITO MÚTUO DOS SERVIDORES PÚBLICOS - CREDI-SP</v>
      </c>
      <c r="L1047" s="15" t="str">
        <f>Base_IFData!F1048</f>
        <v>b3S</v>
      </c>
      <c r="M1047" s="17" t="str">
        <f>IF(AND(ISNUMBER(Base_IFData!L1048),ISNUMBER(Base_IFData!W1048)),IF(Base_IFData!L1048&gt;$B$4,Base_IFData!W1048,""),"")</f>
        <v/>
      </c>
      <c r="N1047" s="50">
        <f>IF(AND(ISNUMBER(Base_IFData!O1048),ISNUMBER(Base_IFData!Q1048)),IF(Base_IFData!Q1048&gt;0,Base_IFData!O1048/Base_IFData!Q1048,"PL ≤ 0"),"NI")</f>
        <v>1.1201448433710246</v>
      </c>
      <c r="O1047" s="107">
        <f>IF(AND(ISNUMBER(Base_IFData!M1048),ISNUMBER(Base_IFData!Q1048)),IF(Base_IFData!Q1048&gt;0,Base_IFData!M1048/Base_IFData!Q1048,"PL ≤ 0"),"NI")</f>
        <v>1.5172001503091586</v>
      </c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</row>
    <row r="1048" spans="1:30" ht="15" customHeight="1" x14ac:dyDescent="0.2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12" t="str">
        <f>Base_IFData!A1049</f>
        <v>SBXPAY INSTITUIÇÃO DE PAGAMENTO LTDA</v>
      </c>
      <c r="L1048" s="12" t="str">
        <f>Base_IFData!F1049</f>
        <v>n4</v>
      </c>
      <c r="M1048" s="14" t="str">
        <f>IF(AND(ISNUMBER(Base_IFData!L1049),ISNUMBER(Base_IFData!W1049)),IF(Base_IFData!L1049&gt;$B$4,Base_IFData!W1049,""),"")</f>
        <v/>
      </c>
      <c r="N1048" s="51">
        <f>IF(AND(ISNUMBER(Base_IFData!O1049),ISNUMBER(Base_IFData!Q1049)),IF(Base_IFData!Q1049&gt;0,Base_IFData!O1049/Base_IFData!Q1049,"PL ≤ 0"),"NI")</f>
        <v>6.8243174924165828</v>
      </c>
      <c r="O1048" s="110">
        <f>IF(AND(ISNUMBER(Base_IFData!M1049),ISNUMBER(Base_IFData!Q1049)),IF(Base_IFData!Q1049&gt;0,Base_IFData!M1049/Base_IFData!Q1049,"PL ≤ 0"),"NI")</f>
        <v>0</v>
      </c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</row>
    <row r="1049" spans="1:30" ht="15" customHeight="1" x14ac:dyDescent="0.2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15" t="str">
        <f>Base_IFData!A1050</f>
        <v>COOPERATIVA DE CAPITAL E EMPRÉSTIMO COOPERMULTICRED - COOPERMC</v>
      </c>
      <c r="L1049" s="15" t="str">
        <f>Base_IFData!F1050</f>
        <v>b3S</v>
      </c>
      <c r="M1049" s="17" t="str">
        <f>IF(AND(ISNUMBER(Base_IFData!L1050),ISNUMBER(Base_IFData!W1050)),IF(Base_IFData!L1050&gt;$B$4,Base_IFData!W1050,""),"")</f>
        <v/>
      </c>
      <c r="N1049" s="50">
        <f>IF(AND(ISNUMBER(Base_IFData!O1050),ISNUMBER(Base_IFData!Q1050)),IF(Base_IFData!Q1050&gt;0,Base_IFData!O1050/Base_IFData!Q1050,"PL ≤ 0"),"NI")</f>
        <v>1.2322542125514131E-2</v>
      </c>
      <c r="O1049" s="107">
        <f>IF(AND(ISNUMBER(Base_IFData!M1050),ISNUMBER(Base_IFData!Q1050)),IF(Base_IFData!Q1050&gt;0,Base_IFData!M1050/Base_IFData!Q1050,"PL ≤ 0"),"NI")</f>
        <v>0.83410176462783603</v>
      </c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</row>
    <row r="1050" spans="1:30" ht="15" customHeight="1" x14ac:dyDescent="0.2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12" t="str">
        <f>Base_IFData!A1051</f>
        <v>FORIS GFS BR INSTITUICAO DE PAGAMENTO LTDA</v>
      </c>
      <c r="L1050" s="12" t="str">
        <f>Base_IFData!F1051</f>
        <v>n4</v>
      </c>
      <c r="M1050" s="14" t="str">
        <f>IF(AND(ISNUMBER(Base_IFData!L1051),ISNUMBER(Base_IFData!W1051)),IF(Base_IFData!L1051&gt;$B$4,Base_IFData!W1051,""),"")</f>
        <v/>
      </c>
      <c r="N1050" s="51">
        <f>IF(AND(ISNUMBER(Base_IFData!O1051),ISNUMBER(Base_IFData!Q1051)),IF(Base_IFData!Q1051&gt;0,Base_IFData!O1051/Base_IFData!Q1051,"PL ≤ 0"),"NI")</f>
        <v>1.3437124355345302</v>
      </c>
      <c r="O1050" s="110">
        <f>IF(AND(ISNUMBER(Base_IFData!M1051),ISNUMBER(Base_IFData!Q1051)),IF(Base_IFData!Q1051&gt;0,Base_IFData!M1051/Base_IFData!Q1051,"PL ≤ 0"),"NI")</f>
        <v>0</v>
      </c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</row>
    <row r="1051" spans="1:30" ht="15" customHeight="1" x14ac:dyDescent="0.2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15" t="str">
        <f>Base_IFData!A1052</f>
        <v>BANCO FINAXIS S.A.</v>
      </c>
      <c r="L1051" s="15" t="str">
        <f>Base_IFData!F1052</f>
        <v>b1</v>
      </c>
      <c r="M1051" s="17" t="str">
        <f>IF(AND(ISNUMBER(Base_IFData!L1052),ISNUMBER(Base_IFData!W1052)),IF(Base_IFData!L1052&gt;$B$4,Base_IFData!W1052,""),"")</f>
        <v/>
      </c>
      <c r="N1051" s="50">
        <f>IF(AND(ISNUMBER(Base_IFData!O1052),ISNUMBER(Base_IFData!Q1052)),IF(Base_IFData!Q1052&gt;0,Base_IFData!O1052/Base_IFData!Q1052,"PL ≤ 0"),"NI")</f>
        <v>2.1697091912545106</v>
      </c>
      <c r="O1051" s="107">
        <f>IF(AND(ISNUMBER(Base_IFData!M1052),ISNUMBER(Base_IFData!Q1052)),IF(Base_IFData!Q1052&gt;0,Base_IFData!M1052/Base_IFData!Q1052,"PL ≤ 0"),"NI")</f>
        <v>0</v>
      </c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</row>
    <row r="1052" spans="1:30" ht="15" customHeight="1" x14ac:dyDescent="0.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12" t="str">
        <f>Base_IFData!A1053</f>
        <v>FUTURO SOCIEDADE DE CRÉDITO DIRETO S.A.</v>
      </c>
      <c r="L1052" s="12" t="str">
        <f>Base_IFData!F1053</f>
        <v>n1</v>
      </c>
      <c r="M1052" s="14" t="str">
        <f>IF(AND(ISNUMBER(Base_IFData!L1053),ISNUMBER(Base_IFData!W1053)),IF(Base_IFData!L1053&gt;$B$4,Base_IFData!W1053,""),"")</f>
        <v/>
      </c>
      <c r="N1052" s="51">
        <f>IF(AND(ISNUMBER(Base_IFData!O1053),ISNUMBER(Base_IFData!Q1053)),IF(Base_IFData!Q1053&gt;0,Base_IFData!O1053/Base_IFData!Q1053,"PL ≤ 0"),"NI")</f>
        <v>5.1611869313482215</v>
      </c>
      <c r="O1052" s="110">
        <f>IF(AND(ISNUMBER(Base_IFData!M1053),ISNUMBER(Base_IFData!Q1053)),IF(Base_IFData!Q1053&gt;0,Base_IFData!M1053/Base_IFData!Q1053,"PL ≤ 0"),"NI")</f>
        <v>1.1268610421836229</v>
      </c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</row>
    <row r="1053" spans="1:30" ht="15" customHeight="1" x14ac:dyDescent="0.2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15" t="str">
        <f>Base_IFData!A1054</f>
        <v>KIWIFY INSTITUICAO DE PAGAMENTO LTDA</v>
      </c>
      <c r="L1053" s="15" t="str">
        <f>Base_IFData!F1054</f>
        <v>n4</v>
      </c>
      <c r="M1053" s="17" t="str">
        <f>IF(AND(ISNUMBER(Base_IFData!L1054),ISNUMBER(Base_IFData!W1054)),IF(Base_IFData!L1054&gt;$B$4,Base_IFData!W1054,""),"")</f>
        <v/>
      </c>
      <c r="N1053" s="50">
        <f>IF(AND(ISNUMBER(Base_IFData!O1054),ISNUMBER(Base_IFData!Q1054)),IF(Base_IFData!Q1054&gt;0,Base_IFData!O1054/Base_IFData!Q1054,"PL ≤ 0"),"NI")</f>
        <v>0.43756512467589115</v>
      </c>
      <c r="O1053" s="107">
        <f>IF(AND(ISNUMBER(Base_IFData!M1054),ISNUMBER(Base_IFData!Q1054)),IF(Base_IFData!Q1054&gt;0,Base_IFData!M1054/Base_IFData!Q1054,"PL ≤ 0"),"NI")</f>
        <v>0</v>
      </c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</row>
    <row r="1054" spans="1:30" ht="15" customHeight="1" x14ac:dyDescent="0.2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12" t="str">
        <f>Base_IFData!A1055</f>
        <v>ECONOMISA COMPANHIA HIPOTECÁRIA.</v>
      </c>
      <c r="L1054" s="12" t="str">
        <f>Base_IFData!F1055</f>
        <v>n1</v>
      </c>
      <c r="M1054" s="14" t="str">
        <f>IF(AND(ISNUMBER(Base_IFData!L1055),ISNUMBER(Base_IFData!W1055)),IF(Base_IFData!L1055&gt;$B$4,Base_IFData!W1055,""),"")</f>
        <v/>
      </c>
      <c r="N1054" s="51">
        <f>IF(AND(ISNUMBER(Base_IFData!O1055),ISNUMBER(Base_IFData!Q1055)),IF(Base_IFData!Q1055&gt;0,Base_IFData!O1055/Base_IFData!Q1055,"PL ≤ 0"),"NI")</f>
        <v>1.3377967373701465</v>
      </c>
      <c r="O1054" s="110">
        <f>IF(AND(ISNUMBER(Base_IFData!M1055),ISNUMBER(Base_IFData!Q1055)),IF(Base_IFData!Q1055&gt;0,Base_IFData!M1055/Base_IFData!Q1055,"PL ≤ 0"),"NI")</f>
        <v>0.18102460797092862</v>
      </c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</row>
    <row r="1055" spans="1:30" ht="15" customHeight="1" x14ac:dyDescent="0.2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15" t="str">
        <f>Base_IFData!A1056</f>
        <v>SOLFÁCIL SOCIEDADE DE CRÉDITO, FINANCIAMENTO E INVESTIMENTO S.A.</v>
      </c>
      <c r="L1055" s="15" t="str">
        <f>Base_IFData!F1056</f>
        <v>n1</v>
      </c>
      <c r="M1055" s="17" t="str">
        <f>IF(AND(ISNUMBER(Base_IFData!L1056),ISNUMBER(Base_IFData!W1056)),IF(Base_IFData!L1056&gt;$B$4,Base_IFData!W1056,""),"")</f>
        <v/>
      </c>
      <c r="N1055" s="50">
        <f>IF(AND(ISNUMBER(Base_IFData!O1056),ISNUMBER(Base_IFData!Q1056)),IF(Base_IFData!Q1056&gt;0,Base_IFData!O1056/Base_IFData!Q1056,"PL ≤ 0"),"NI")</f>
        <v>6.296701293967559E-2</v>
      </c>
      <c r="O1055" s="107">
        <f>IF(AND(ISNUMBER(Base_IFData!M1056),ISNUMBER(Base_IFData!Q1056)),IF(Base_IFData!Q1056&gt;0,Base_IFData!M1056/Base_IFData!Q1056,"PL ≤ 0"),"NI")</f>
        <v>1.1663932932385639E-2</v>
      </c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</row>
    <row r="1056" spans="1:30" ht="15" customHeight="1" x14ac:dyDescent="0.2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12" t="str">
        <f>Base_IFData!A1057</f>
        <v>CREDSYSTEM SOCIEDADE DE CRÉDITO DIRETO S.A.</v>
      </c>
      <c r="L1056" s="12" t="str">
        <f>Base_IFData!F1057</f>
        <v>n1</v>
      </c>
      <c r="M1056" s="14" t="str">
        <f>IF(AND(ISNUMBER(Base_IFData!L1057),ISNUMBER(Base_IFData!W1057)),IF(Base_IFData!L1057&gt;$B$4,Base_IFData!W1057,""),"")</f>
        <v/>
      </c>
      <c r="N1056" s="51">
        <f>IF(AND(ISNUMBER(Base_IFData!O1057),ISNUMBER(Base_IFData!Q1057)),IF(Base_IFData!Q1057&gt;0,Base_IFData!O1057/Base_IFData!Q1057,"PL ≤ 0"),"NI")</f>
        <v>0.30985375101561796</v>
      </c>
      <c r="O1056" s="110">
        <f>IF(AND(ISNUMBER(Base_IFData!M1057),ISNUMBER(Base_IFData!Q1057)),IF(Base_IFData!Q1057&gt;0,Base_IFData!M1057/Base_IFData!Q1057,"PL ≤ 0"),"NI")</f>
        <v>0</v>
      </c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</row>
    <row r="1057" spans="1:30" ht="15" customHeight="1" x14ac:dyDescent="0.2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15" t="str">
        <f>Base_IFData!A1058</f>
        <v>COOPERATIVA DE ECONOMIA E CREDITO MUTUO DOS MEDICOS E DEMAIS PROFISSIONAIS DA SAUDE DE JOACABA</v>
      </c>
      <c r="L1057" s="15" t="str">
        <f>Base_IFData!F1058</f>
        <v>b3S</v>
      </c>
      <c r="M1057" s="17" t="str">
        <f>IF(AND(ISNUMBER(Base_IFData!L1058),ISNUMBER(Base_IFData!W1058)),IF(Base_IFData!L1058&gt;$B$4,Base_IFData!W1058,""),"")</f>
        <v/>
      </c>
      <c r="N1057" s="50">
        <f>IF(AND(ISNUMBER(Base_IFData!O1058),ISNUMBER(Base_IFData!Q1058)),IF(Base_IFData!Q1058&gt;0,Base_IFData!O1058/Base_IFData!Q1058,"PL ≤ 0"),"NI")</f>
        <v>3.0450686288382625</v>
      </c>
      <c r="O1057" s="107">
        <f>IF(AND(ISNUMBER(Base_IFData!M1058),ISNUMBER(Base_IFData!Q1058)),IF(Base_IFData!Q1058&gt;0,Base_IFData!M1058/Base_IFData!Q1058,"PL ≤ 0"),"NI")</f>
        <v>0.39422668742040468</v>
      </c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</row>
    <row r="1058" spans="1:30" ht="15" customHeight="1" x14ac:dyDescent="0.2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12" t="str">
        <f>Base_IFData!A1059</f>
        <v>ALFA CORRETORA DE CAMBIO E VALORES MOBILIARIOS S.A.</v>
      </c>
      <c r="L1058" s="12" t="str">
        <f>Base_IFData!F1059</f>
        <v>n2</v>
      </c>
      <c r="M1058" s="14" t="str">
        <f>IF(AND(ISNUMBER(Base_IFData!L1059),ISNUMBER(Base_IFData!W1059)),IF(Base_IFData!L1059&gt;$B$4,Base_IFData!W1059,""),"")</f>
        <v/>
      </c>
      <c r="N1058" s="51">
        <f>IF(AND(ISNUMBER(Base_IFData!O1059),ISNUMBER(Base_IFData!Q1059)),IF(Base_IFData!Q1059&gt;0,Base_IFData!O1059/Base_IFData!Q1059,"PL ≤ 0"),"NI")</f>
        <v>0.50475187574042391</v>
      </c>
      <c r="O1058" s="110">
        <f>IF(AND(ISNUMBER(Base_IFData!M1059),ISNUMBER(Base_IFData!Q1059)),IF(Base_IFData!Q1059&gt;0,Base_IFData!M1059/Base_IFData!Q1059,"PL ≤ 0"),"NI")</f>
        <v>0</v>
      </c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</row>
    <row r="1059" spans="1:30" ht="15" customHeight="1" x14ac:dyDescent="0.2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15" t="str">
        <f>Base_IFData!A1060</f>
        <v>COOPERATIVA DE ECONOMIA E CRÉDITO MÚTUO DOS EMPREGADOS DA MONDELEZ BRASIL E PHILIP MORRIS BRASIL - SICOOB COOPMOND</v>
      </c>
      <c r="L1059" s="15" t="str">
        <f>Base_IFData!F1060</f>
        <v>b3S</v>
      </c>
      <c r="M1059" s="17" t="str">
        <f>IF(AND(ISNUMBER(Base_IFData!L1060),ISNUMBER(Base_IFData!W1060)),IF(Base_IFData!L1060&gt;$B$4,Base_IFData!W1060,""),"")</f>
        <v/>
      </c>
      <c r="N1059" s="50">
        <f>IF(AND(ISNUMBER(Base_IFData!O1060),ISNUMBER(Base_IFData!Q1060)),IF(Base_IFData!Q1060&gt;0,Base_IFData!O1060/Base_IFData!Q1060,"PL ≤ 0"),"NI")</f>
        <v>0.11604416255579046</v>
      </c>
      <c r="O1059" s="107">
        <f>IF(AND(ISNUMBER(Base_IFData!M1060),ISNUMBER(Base_IFData!Q1060)),IF(Base_IFData!Q1060&gt;0,Base_IFData!M1060/Base_IFData!Q1060,"PL ≤ 0"),"NI")</f>
        <v>0.24211103280870722</v>
      </c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</row>
    <row r="1060" spans="1:30" ht="15" customHeight="1" x14ac:dyDescent="0.2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12" t="str">
        <f>Base_IFData!A1061</f>
        <v>ICAP DO BRASIL CORRETORA DE TÍTULOS E VALORES MOBILIÁRIOS LTDA.</v>
      </c>
      <c r="L1060" s="12" t="str">
        <f>Base_IFData!F1061</f>
        <v>n2</v>
      </c>
      <c r="M1060" s="14" t="str">
        <f>IF(AND(ISNUMBER(Base_IFData!L1061),ISNUMBER(Base_IFData!W1061)),IF(Base_IFData!L1061&gt;$B$4,Base_IFData!W1061,""),"")</f>
        <v/>
      </c>
      <c r="N1060" s="51">
        <f>IF(AND(ISNUMBER(Base_IFData!O1061),ISNUMBER(Base_IFData!Q1061)),IF(Base_IFData!Q1061&gt;0,Base_IFData!O1061/Base_IFData!Q1061,"PL ≤ 0"),"NI")</f>
        <v>5.3625251946226818E-2</v>
      </c>
      <c r="O1060" s="110">
        <f>IF(AND(ISNUMBER(Base_IFData!M1061),ISNUMBER(Base_IFData!Q1061)),IF(Base_IFData!Q1061&gt;0,Base_IFData!M1061/Base_IFData!Q1061,"PL ≤ 0"),"NI")</f>
        <v>0</v>
      </c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</row>
    <row r="1061" spans="1:30" ht="15" customHeight="1" x14ac:dyDescent="0.2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15" t="str">
        <f>Base_IFData!A1062</f>
        <v>OM DISTRIBUIDORA DE TÍTULOS E VALORES MOBILIÁRIOS LTDA</v>
      </c>
      <c r="L1061" s="15" t="str">
        <f>Base_IFData!F1062</f>
        <v>n2</v>
      </c>
      <c r="M1061" s="17" t="str">
        <f>IF(AND(ISNUMBER(Base_IFData!L1062),ISNUMBER(Base_IFData!W1062)),IF(Base_IFData!L1062&gt;$B$4,Base_IFData!W1062,""),"")</f>
        <v/>
      </c>
      <c r="N1061" s="50">
        <f>IF(AND(ISNUMBER(Base_IFData!O1062),ISNUMBER(Base_IFData!Q1062)),IF(Base_IFData!Q1062&gt;0,Base_IFData!O1062/Base_IFData!Q1062,"PL ≤ 0"),"NI")</f>
        <v>0.25840448239060831</v>
      </c>
      <c r="O1061" s="107">
        <f>IF(AND(ISNUMBER(Base_IFData!M1062),ISNUMBER(Base_IFData!Q1062)),IF(Base_IFData!Q1062&gt;0,Base_IFData!M1062/Base_IFData!Q1062,"PL ≤ 0"),"NI")</f>
        <v>0</v>
      </c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</row>
    <row r="1062" spans="1:30" ht="15" customHeight="1" x14ac:dyDescent="0.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12" t="str">
        <f>Base_IFData!A1063</f>
        <v>LISTO INSTITUICAO DE PAGAMENTO LTDA</v>
      </c>
      <c r="L1062" s="12" t="str">
        <f>Base_IFData!F1063</f>
        <v>n4</v>
      </c>
      <c r="M1062" s="14" t="str">
        <f>IF(AND(ISNUMBER(Base_IFData!L1063),ISNUMBER(Base_IFData!W1063)),IF(Base_IFData!L1063&gt;$B$4,Base_IFData!W1063,""),"")</f>
        <v/>
      </c>
      <c r="N1062" s="51">
        <f>IF(AND(ISNUMBER(Base_IFData!O1063),ISNUMBER(Base_IFData!Q1063)),IF(Base_IFData!Q1063&gt;0,Base_IFData!O1063/Base_IFData!Q1063,"PL ≤ 0"),"NI")</f>
        <v>2.1355142777931801</v>
      </c>
      <c r="O1062" s="110">
        <f>IF(AND(ISNUMBER(Base_IFData!M1063),ISNUMBER(Base_IFData!Q1063)),IF(Base_IFData!Q1063&gt;0,Base_IFData!M1063/Base_IFData!Q1063,"PL ≤ 0"),"NI")</f>
        <v>0</v>
      </c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</row>
    <row r="1063" spans="1:30" ht="15" customHeight="1" x14ac:dyDescent="0.2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15" t="str">
        <f>Base_IFData!A1064</f>
        <v>BANCO ITAUCARD S.A.</v>
      </c>
      <c r="L1063" s="15" t="str">
        <f>Base_IFData!F1064</f>
        <v>b2</v>
      </c>
      <c r="M1063" s="17" t="str">
        <f>IF(AND(ISNUMBER(Base_IFData!L1064),ISNUMBER(Base_IFData!W1064)),IF(Base_IFData!L1064&gt;$B$4,Base_IFData!W1064,""),"")</f>
        <v/>
      </c>
      <c r="N1063" s="50">
        <f>IF(AND(ISNUMBER(Base_IFData!O1064),ISNUMBER(Base_IFData!Q1064)),IF(Base_IFData!Q1064&gt;0,Base_IFData!O1064/Base_IFData!Q1064,"PL ≤ 0"),"NI")</f>
        <v>3.8746134589898396E-2</v>
      </c>
      <c r="O1063" s="107">
        <f>IF(AND(ISNUMBER(Base_IFData!M1064),ISNUMBER(Base_IFData!Q1064)),IF(Base_IFData!Q1064&gt;0,Base_IFData!M1064/Base_IFData!Q1064,"PL ≤ 0"),"NI")</f>
        <v>0</v>
      </c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</row>
    <row r="1064" spans="1:30" ht="15" customHeight="1" x14ac:dyDescent="0.2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12" t="str">
        <f>Base_IFData!A1065</f>
        <v>REMITLY CORRETORA DE CÂMBIO LTDA.</v>
      </c>
      <c r="L1064" s="12" t="str">
        <f>Base_IFData!F1065</f>
        <v>n2</v>
      </c>
      <c r="M1064" s="14" t="str">
        <f>IF(AND(ISNUMBER(Base_IFData!L1065),ISNUMBER(Base_IFData!W1065)),IF(Base_IFData!L1065&gt;$B$4,Base_IFData!W1065,""),"")</f>
        <v/>
      </c>
      <c r="N1064" s="51">
        <f>IF(AND(ISNUMBER(Base_IFData!O1065),ISNUMBER(Base_IFData!Q1065)),IF(Base_IFData!Q1065&gt;0,Base_IFData!O1065/Base_IFData!Q1065,"PL ≤ 0"),"NI")</f>
        <v>7.7280513497017075E-2</v>
      </c>
      <c r="O1064" s="110">
        <f>IF(AND(ISNUMBER(Base_IFData!M1065),ISNUMBER(Base_IFData!Q1065)),IF(Base_IFData!Q1065&gt;0,Base_IFData!M1065/Base_IFData!Q1065,"PL ≤ 0"),"NI")</f>
        <v>0</v>
      </c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</row>
    <row r="1065" spans="1:30" ht="15" customHeight="1" x14ac:dyDescent="0.2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15" t="str">
        <f>Base_IFData!A1066</f>
        <v>GUITTA CORRETORA DE CAMBIO LTDA.</v>
      </c>
      <c r="L1065" s="15" t="str">
        <f>Base_IFData!F1066</f>
        <v>n2</v>
      </c>
      <c r="M1065" s="17" t="str">
        <f>IF(AND(ISNUMBER(Base_IFData!L1066),ISNUMBER(Base_IFData!W1066)),IF(Base_IFData!L1066&gt;$B$4,Base_IFData!W1066,""),"")</f>
        <v/>
      </c>
      <c r="N1065" s="50">
        <f>IF(AND(ISNUMBER(Base_IFData!O1066),ISNUMBER(Base_IFData!Q1066)),IF(Base_IFData!Q1066&gt;0,Base_IFData!O1066/Base_IFData!Q1066,"PL ≤ 0"),"NI")</f>
        <v>3.7481914059095267</v>
      </c>
      <c r="O1065" s="107">
        <f>IF(AND(ISNUMBER(Base_IFData!M1066),ISNUMBER(Base_IFData!Q1066)),IF(Base_IFData!Q1066&gt;0,Base_IFData!M1066/Base_IFData!Q1066,"PL ≤ 0"),"NI")</f>
        <v>0</v>
      </c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</row>
    <row r="1066" spans="1:30" ht="15" customHeight="1" x14ac:dyDescent="0.2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12" t="str">
        <f>Base_IFData!A1067</f>
        <v>COOPERATIVA DE ECONOMIA E CRÉDITO MÚTUO SICOOB CRED-ACILPA</v>
      </c>
      <c r="L1066" s="12" t="str">
        <f>Base_IFData!F1067</f>
        <v>b3S</v>
      </c>
      <c r="M1066" s="14" t="str">
        <f>IF(AND(ISNUMBER(Base_IFData!L1067),ISNUMBER(Base_IFData!W1067)),IF(Base_IFData!L1067&gt;$B$4,Base_IFData!W1067,""),"")</f>
        <v/>
      </c>
      <c r="N1066" s="51">
        <f>IF(AND(ISNUMBER(Base_IFData!O1067),ISNUMBER(Base_IFData!Q1067)),IF(Base_IFData!Q1067&gt;0,Base_IFData!O1067/Base_IFData!Q1067,"PL ≤ 0"),"NI")</f>
        <v>3.2478939157566304</v>
      </c>
      <c r="O1066" s="110">
        <f>IF(AND(ISNUMBER(Base_IFData!M1067),ISNUMBER(Base_IFData!Q1067)),IF(Base_IFData!Q1067&gt;0,Base_IFData!M1067/Base_IFData!Q1067,"PL ≤ 0"),"NI")</f>
        <v>1.7382215288611544</v>
      </c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</row>
    <row r="1067" spans="1:30" ht="15" customHeight="1" x14ac:dyDescent="0.2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15" t="str">
        <f>Base_IFData!A1068</f>
        <v>CREDISIS COOPERUFPA - COOPERATIVA DE ECONOMIA E CRÉDITO MÚTUO DOS SERVIDORES PÚBLICOS FEDERAIS E ESTADUAIS E DAS ENTIDADES DE ENSINO COM SEUS RESPECTIVOS FUNCIONÁRIOS NO ESTADO DO PARÁ</v>
      </c>
      <c r="L1067" s="15" t="str">
        <f>Base_IFData!F1068</f>
        <v>b3S</v>
      </c>
      <c r="M1067" s="17" t="str">
        <f>IF(AND(ISNUMBER(Base_IFData!L1068),ISNUMBER(Base_IFData!W1068)),IF(Base_IFData!L1068&gt;$B$4,Base_IFData!W1068,""),"")</f>
        <v/>
      </c>
      <c r="N1067" s="50">
        <f>IF(AND(ISNUMBER(Base_IFData!O1068),ISNUMBER(Base_IFData!Q1068)),IF(Base_IFData!Q1068&gt;0,Base_IFData!O1068/Base_IFData!Q1068,"PL ≤ 0"),"NI")</f>
        <v>0.28130189305878445</v>
      </c>
      <c r="O1067" s="107">
        <f>IF(AND(ISNUMBER(Base_IFData!M1068),ISNUMBER(Base_IFData!Q1068)),IF(Base_IFData!Q1068&gt;0,Base_IFData!M1068/Base_IFData!Q1068,"PL ≤ 0"),"NI")</f>
        <v>0.5089908430991128</v>
      </c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</row>
    <row r="1068" spans="1:30" ht="15" customHeight="1" x14ac:dyDescent="0.2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12" t="str">
        <f>Base_IFData!A1069</f>
        <v>AGÊNCIA DE FOMENTO DE ALAGOAS S.A.</v>
      </c>
      <c r="L1068" s="12" t="str">
        <f>Base_IFData!F1069</f>
        <v>n1</v>
      </c>
      <c r="M1068" s="14" t="str">
        <f>IF(AND(ISNUMBER(Base_IFData!L1069),ISNUMBER(Base_IFData!W1069)),IF(Base_IFData!L1069&gt;$B$4,Base_IFData!W1069,""),"")</f>
        <v/>
      </c>
      <c r="N1068" s="51">
        <f>IF(AND(ISNUMBER(Base_IFData!O1069),ISNUMBER(Base_IFData!Q1069)),IF(Base_IFData!Q1069&gt;0,Base_IFData!O1069/Base_IFData!Q1069,"PL ≤ 0"),"NI")</f>
        <v>0.58406559496870136</v>
      </c>
      <c r="O1068" s="110">
        <f>IF(AND(ISNUMBER(Base_IFData!M1069),ISNUMBER(Base_IFData!Q1069)),IF(Base_IFData!Q1069&gt;0,Base_IFData!M1069/Base_IFData!Q1069,"PL ≤ 0"),"NI")</f>
        <v>0.62950010285949398</v>
      </c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</row>
    <row r="1069" spans="1:30" ht="15" customHeight="1" x14ac:dyDescent="0.2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15" t="str">
        <f>Base_IFData!A1070</f>
        <v>HAITONG DO BRASIL DISTRIBUIDORA DE TÍTULOS E VALORES MOBILIÁRIOS S.A.</v>
      </c>
      <c r="L1069" s="15" t="str">
        <f>Base_IFData!F1070</f>
        <v>n2</v>
      </c>
      <c r="M1069" s="17" t="str">
        <f>IF(AND(ISNUMBER(Base_IFData!L1070),ISNUMBER(Base_IFData!W1070)),IF(Base_IFData!L1070&gt;$B$4,Base_IFData!W1070,""),"")</f>
        <v/>
      </c>
      <c r="N1069" s="50">
        <f>IF(AND(ISNUMBER(Base_IFData!O1070),ISNUMBER(Base_IFData!Q1070)),IF(Base_IFData!Q1070&gt;0,Base_IFData!O1070/Base_IFData!Q1070,"PL ≤ 0"),"NI")</f>
        <v>8.9207115474331147E-2</v>
      </c>
      <c r="O1069" s="107">
        <f>IF(AND(ISNUMBER(Base_IFData!M1070),ISNUMBER(Base_IFData!Q1070)),IF(Base_IFData!Q1070&gt;0,Base_IFData!M1070/Base_IFData!Q1070,"PL ≤ 0"),"NI")</f>
        <v>0</v>
      </c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</row>
    <row r="1070" spans="1:30" ht="15" customHeight="1" x14ac:dyDescent="0.2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12" t="str">
        <f>Base_IFData!A1071</f>
        <v>COOPERATIVA  ECONOMIA CRÉDITO MÚTUO  SERVS E EMPREGADOS PÚBLICOS MUNIC DE BELO HORIZONTE BETIM BRUMADINHO CONTAGEM IBIRITÉ NOVA LIMA RIBEIRÃO DAS NEVES SABARÁ SANTA LUZIA E VESPASIANO SICOOB CREDISERV</v>
      </c>
      <c r="L1070" s="12" t="str">
        <f>Base_IFData!F1071</f>
        <v>b3S</v>
      </c>
      <c r="M1070" s="14" t="str">
        <f>IF(AND(ISNUMBER(Base_IFData!L1071),ISNUMBER(Base_IFData!W1071)),IF(Base_IFData!L1071&gt;$B$4,Base_IFData!W1071,""),"")</f>
        <v/>
      </c>
      <c r="N1070" s="51">
        <f>IF(AND(ISNUMBER(Base_IFData!O1071),ISNUMBER(Base_IFData!Q1071)),IF(Base_IFData!Q1071&gt;0,Base_IFData!O1071/Base_IFData!Q1071,"PL ≤ 0"),"NI")</f>
        <v>1.0496133527295</v>
      </c>
      <c r="O1070" s="110">
        <f>IF(AND(ISNUMBER(Base_IFData!M1071),ISNUMBER(Base_IFData!Q1071)),IF(Base_IFData!Q1071&gt;0,Base_IFData!M1071/Base_IFData!Q1071,"PL ≤ 0"),"NI")</f>
        <v>1.2612740218972514</v>
      </c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</row>
    <row r="1071" spans="1:30" ht="15" customHeight="1" x14ac:dyDescent="0.2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15" t="str">
        <f>Base_IFData!A1072</f>
        <v>SANTS SOCIEDADE DE CRÉDITO DIRETO S.A.</v>
      </c>
      <c r="L1071" s="15" t="str">
        <f>Base_IFData!F1072</f>
        <v>n1</v>
      </c>
      <c r="M1071" s="17" t="str">
        <f>IF(AND(ISNUMBER(Base_IFData!L1072),ISNUMBER(Base_IFData!W1072)),IF(Base_IFData!L1072&gt;$B$4,Base_IFData!W1072,""),"")</f>
        <v/>
      </c>
      <c r="N1071" s="50">
        <f>IF(AND(ISNUMBER(Base_IFData!O1072),ISNUMBER(Base_IFData!Q1072)),IF(Base_IFData!Q1072&gt;0,Base_IFData!O1072/Base_IFData!Q1072,"PL ≤ 0"),"NI")</f>
        <v>9.01386027345945</v>
      </c>
      <c r="O1071" s="107">
        <f>IF(AND(ISNUMBER(Base_IFData!M1072),ISNUMBER(Base_IFData!Q1072)),IF(Base_IFData!Q1072&gt;0,Base_IFData!M1072/Base_IFData!Q1072,"PL ≤ 0"),"NI")</f>
        <v>5.6190297808578387E-3</v>
      </c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</row>
    <row r="1072" spans="1:30" ht="15" customHeight="1" x14ac:dyDescent="0.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12" t="str">
        <f>Base_IFData!A1073</f>
        <v>BOC BRASIL S.A. - CRÉDITO, FINANCIAMENTOS E INVESTIMENTOS</v>
      </c>
      <c r="L1072" s="12" t="str">
        <f>Base_IFData!F1073</f>
        <v>n1</v>
      </c>
      <c r="M1072" s="14" t="str">
        <f>IF(AND(ISNUMBER(Base_IFData!L1073),ISNUMBER(Base_IFData!W1073)),IF(Base_IFData!L1073&gt;$B$4,Base_IFData!W1073,""),"")</f>
        <v/>
      </c>
      <c r="N1072" s="51">
        <f>IF(AND(ISNUMBER(Base_IFData!O1073),ISNUMBER(Base_IFData!Q1073)),IF(Base_IFData!Q1073&gt;0,Base_IFData!O1073/Base_IFData!Q1073,"PL ≤ 0"),"NI")</f>
        <v>22.060314685314687</v>
      </c>
      <c r="O1072" s="110">
        <f>IF(AND(ISNUMBER(Base_IFData!M1073),ISNUMBER(Base_IFData!Q1073)),IF(Base_IFData!Q1073&gt;0,Base_IFData!M1073/Base_IFData!Q1073,"PL ≤ 0"),"NI")</f>
        <v>1.8094405594405594</v>
      </c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</row>
    <row r="1073" spans="1:30" ht="15" customHeight="1" x14ac:dyDescent="0.2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15" t="str">
        <f>Base_IFData!A1074</f>
        <v>COOPERATIVA DE CRÉDITO RURAL DOS PLANTADORES DE CANA DE ALAGOAS</v>
      </c>
      <c r="L1073" s="15" t="str">
        <f>Base_IFData!F1074</f>
        <v>b3S</v>
      </c>
      <c r="M1073" s="17" t="str">
        <f>IF(AND(ISNUMBER(Base_IFData!L1074),ISNUMBER(Base_IFData!W1074)),IF(Base_IFData!L1074&gt;$B$4,Base_IFData!W1074,""),"")</f>
        <v/>
      </c>
      <c r="N1073" s="50">
        <f>IF(AND(ISNUMBER(Base_IFData!O1074),ISNUMBER(Base_IFData!Q1074)),IF(Base_IFData!Q1074&gt;0,Base_IFData!O1074/Base_IFData!Q1074,"PL ≤ 0"),"NI")</f>
        <v>6.5545161224862522E-2</v>
      </c>
      <c r="O1073" s="107">
        <f>IF(AND(ISNUMBER(Base_IFData!M1074),ISNUMBER(Base_IFData!Q1074)),IF(Base_IFData!Q1074&gt;0,Base_IFData!M1074/Base_IFData!Q1074,"PL ≤ 0"),"NI")</f>
        <v>0.29253840378254431</v>
      </c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</row>
    <row r="1074" spans="1:30" ht="15" customHeight="1" x14ac:dyDescent="0.2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12" t="str">
        <f>Base_IFData!A1075</f>
        <v>COOPERATIVA DE ECONOMIA E CRÉDITO MÚTUO DOS EMPREGADOS DO GRUPO COLORADO</v>
      </c>
      <c r="L1074" s="12" t="str">
        <f>Base_IFData!F1075</f>
        <v>b3S</v>
      </c>
      <c r="M1074" s="14" t="str">
        <f>IF(AND(ISNUMBER(Base_IFData!L1075),ISNUMBER(Base_IFData!W1075)),IF(Base_IFData!L1075&gt;$B$4,Base_IFData!W1075,""),"")</f>
        <v/>
      </c>
      <c r="N1074" s="51">
        <f>IF(AND(ISNUMBER(Base_IFData!O1075),ISNUMBER(Base_IFData!Q1075)),IF(Base_IFData!Q1075&gt;0,Base_IFData!O1075/Base_IFData!Q1075,"PL ≤ 0"),"NI")</f>
        <v>4.1933177068849074E-2</v>
      </c>
      <c r="O1074" s="110">
        <f>IF(AND(ISNUMBER(Base_IFData!M1075),ISNUMBER(Base_IFData!Q1075)),IF(Base_IFData!Q1075&gt;0,Base_IFData!M1075/Base_IFData!Q1075,"PL ≤ 0"),"NI")</f>
        <v>0.88272218028683802</v>
      </c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</row>
    <row r="1075" spans="1:30" ht="15" customHeight="1" x14ac:dyDescent="0.2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15" t="str">
        <f>Base_IFData!A1076</f>
        <v>AZUMI DISTRIBUIDORA DE TÍTULOS E VALORES MOBILIÁRIOS LTDA.</v>
      </c>
      <c r="L1075" s="15" t="str">
        <f>Base_IFData!F1076</f>
        <v>n2</v>
      </c>
      <c r="M1075" s="17" t="str">
        <f>IF(AND(ISNUMBER(Base_IFData!L1076),ISNUMBER(Base_IFData!W1076)),IF(Base_IFData!L1076&gt;$B$4,Base_IFData!W1076,""),"")</f>
        <v/>
      </c>
      <c r="N1075" s="50">
        <f>IF(AND(ISNUMBER(Base_IFData!O1076),ISNUMBER(Base_IFData!Q1076)),IF(Base_IFData!Q1076&gt;0,Base_IFData!O1076/Base_IFData!Q1076,"PL ≤ 0"),"NI")</f>
        <v>5.9396471680594241</v>
      </c>
      <c r="O1075" s="107">
        <f>IF(AND(ISNUMBER(Base_IFData!M1076),ISNUMBER(Base_IFData!Q1076)),IF(Base_IFData!Q1076&gt;0,Base_IFData!M1076/Base_IFData!Q1076,"PL ≤ 0"),"NI")</f>
        <v>0</v>
      </c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</row>
    <row r="1076" spans="1:30" ht="15" customHeight="1" x14ac:dyDescent="0.2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12" t="str">
        <f>Base_IFData!A1077</f>
        <v>TRUSTEE DISTRIBUIDORA DE TÍTULOS E VALORES MOBILIÁRIOS LTDA.</v>
      </c>
      <c r="L1076" s="12" t="str">
        <f>Base_IFData!F1077</f>
        <v>n2</v>
      </c>
      <c r="M1076" s="14" t="str">
        <f>IF(AND(ISNUMBER(Base_IFData!L1077),ISNUMBER(Base_IFData!W1077)),IF(Base_IFData!L1077&gt;$B$4,Base_IFData!W1077,""),"")</f>
        <v/>
      </c>
      <c r="N1076" s="51">
        <f>IF(AND(ISNUMBER(Base_IFData!O1077),ISNUMBER(Base_IFData!Q1077)),IF(Base_IFData!Q1077&gt;0,Base_IFData!O1077/Base_IFData!Q1077,"PL ≤ 0"),"NI")</f>
        <v>2.0281988015509342</v>
      </c>
      <c r="O1076" s="110">
        <f>IF(AND(ISNUMBER(Base_IFData!M1077),ISNUMBER(Base_IFData!Q1077)),IF(Base_IFData!Q1077&gt;0,Base_IFData!M1077/Base_IFData!Q1077,"PL ≤ 0"),"NI")</f>
        <v>0</v>
      </c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</row>
    <row r="1077" spans="1:30" ht="15" customHeight="1" x14ac:dyDescent="0.2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15" t="str">
        <f>Base_IFData!A1078</f>
        <v>UBS BB BANCO DE INVESTIMENTO S.A.</v>
      </c>
      <c r="L1077" s="15" t="str">
        <f>Base_IFData!F1078</f>
        <v>b2</v>
      </c>
      <c r="M1077" s="17" t="str">
        <f>IF(AND(ISNUMBER(Base_IFData!L1078),ISNUMBER(Base_IFData!W1078)),IF(Base_IFData!L1078&gt;$B$4,Base_IFData!W1078,""),"")</f>
        <v/>
      </c>
      <c r="N1077" s="50">
        <f>IF(AND(ISNUMBER(Base_IFData!O1078),ISNUMBER(Base_IFData!Q1078)),IF(Base_IFData!Q1078&gt;0,Base_IFData!O1078/Base_IFData!Q1078,"PL ≤ 0"),"NI")</f>
        <v>3.2515090543259559E-2</v>
      </c>
      <c r="O1077" s="107">
        <f>IF(AND(ISNUMBER(Base_IFData!M1078),ISNUMBER(Base_IFData!Q1078)),IF(Base_IFData!Q1078&gt;0,Base_IFData!M1078/Base_IFData!Q1078,"PL ≤ 0"),"NI")</f>
        <v>0</v>
      </c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</row>
    <row r="1078" spans="1:30" ht="15" customHeight="1" x14ac:dyDescent="0.2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12" t="str">
        <f>Base_IFData!A1079</f>
        <v>GLOBAL EXCHANGE DO BRASIL SOCIEDADE CORRETORA DE CÂMBIO LTDA.</v>
      </c>
      <c r="L1078" s="12" t="str">
        <f>Base_IFData!F1079</f>
        <v>n2</v>
      </c>
      <c r="M1078" s="14" t="str">
        <f>IF(AND(ISNUMBER(Base_IFData!L1079),ISNUMBER(Base_IFData!W1079)),IF(Base_IFData!L1079&gt;$B$4,Base_IFData!W1079,""),"")</f>
        <v/>
      </c>
      <c r="N1078" s="51">
        <f>IF(AND(ISNUMBER(Base_IFData!O1079),ISNUMBER(Base_IFData!Q1079)),IF(Base_IFData!Q1079&gt;0,Base_IFData!O1079/Base_IFData!Q1079,"PL ≤ 0"),"NI")</f>
        <v>1.6887518448239511</v>
      </c>
      <c r="O1078" s="110">
        <f>IF(AND(ISNUMBER(Base_IFData!M1079),ISNUMBER(Base_IFData!Q1079)),IF(Base_IFData!Q1079&gt;0,Base_IFData!M1079/Base_IFData!Q1079,"PL ≤ 0"),"NI")</f>
        <v>0</v>
      </c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</row>
    <row r="1079" spans="1:30" ht="15" customHeight="1" x14ac:dyDescent="0.2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15" t="str">
        <f>Base_IFData!A1080</f>
        <v>SOFISA S.A. CRÉDITO, FINANCIAMENTO E INVESTIMENTO</v>
      </c>
      <c r="L1079" s="15" t="str">
        <f>Base_IFData!F1080</f>
        <v>n1</v>
      </c>
      <c r="M1079" s="17" t="str">
        <f>IF(AND(ISNUMBER(Base_IFData!L1080),ISNUMBER(Base_IFData!W1080)),IF(Base_IFData!L1080&gt;$B$4,Base_IFData!W1080,""),"")</f>
        <v/>
      </c>
      <c r="N1079" s="50">
        <f>IF(AND(ISNUMBER(Base_IFData!O1080),ISNUMBER(Base_IFData!Q1080)),IF(Base_IFData!Q1080&gt;0,Base_IFData!O1080/Base_IFData!Q1080,"PL ≤ 0"),"NI")</f>
        <v>0.53714026052711294</v>
      </c>
      <c r="O1079" s="107">
        <f>IF(AND(ISNUMBER(Base_IFData!M1080),ISNUMBER(Base_IFData!Q1080)),IF(Base_IFData!Q1080&gt;0,Base_IFData!M1080/Base_IFData!Q1080,"PL ≤ 0"),"NI")</f>
        <v>0</v>
      </c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</row>
    <row r="1080" spans="1:30" ht="15" customHeight="1" x14ac:dyDescent="0.2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12" t="str">
        <f>Base_IFData!A1081</f>
        <v>CODEPE CORRETORA DE VALORES E CÂMBIO S.A.</v>
      </c>
      <c r="L1080" s="12" t="str">
        <f>Base_IFData!F1081</f>
        <v>n2</v>
      </c>
      <c r="M1080" s="14" t="str">
        <f>IF(AND(ISNUMBER(Base_IFData!L1081),ISNUMBER(Base_IFData!W1081)),IF(Base_IFData!L1081&gt;$B$4,Base_IFData!W1081,""),"")</f>
        <v/>
      </c>
      <c r="N1080" s="51">
        <f>IF(AND(ISNUMBER(Base_IFData!O1081),ISNUMBER(Base_IFData!Q1081)),IF(Base_IFData!Q1081&gt;0,Base_IFData!O1081/Base_IFData!Q1081,"PL ≤ 0"),"NI")</f>
        <v>5.7571675156822294E-2</v>
      </c>
      <c r="O1080" s="110">
        <f>IF(AND(ISNUMBER(Base_IFData!M1081),ISNUMBER(Base_IFData!Q1081)),IF(Base_IFData!Q1081&gt;0,Base_IFData!M1081/Base_IFData!Q1081,"PL ≤ 0"),"NI")</f>
        <v>0</v>
      </c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</row>
    <row r="1081" spans="1:30" ht="15" customHeight="1" x14ac:dyDescent="0.2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15" t="str">
        <f>Base_IFData!A1082</f>
        <v>HR DIGITAL - SOCIEDADE DE CRÉDITO DIRETO S/A</v>
      </c>
      <c r="L1081" s="15" t="str">
        <f>Base_IFData!F1082</f>
        <v>n1</v>
      </c>
      <c r="M1081" s="17" t="str">
        <f>IF(AND(ISNUMBER(Base_IFData!L1082),ISNUMBER(Base_IFData!W1082)),IF(Base_IFData!L1082&gt;$B$4,Base_IFData!W1082,""),"")</f>
        <v/>
      </c>
      <c r="N1081" s="50">
        <f>IF(AND(ISNUMBER(Base_IFData!O1082),ISNUMBER(Base_IFData!Q1082)),IF(Base_IFData!Q1082&gt;0,Base_IFData!O1082/Base_IFData!Q1082,"PL ≤ 0"),"NI")</f>
        <v>5.0487362438021526</v>
      </c>
      <c r="O1081" s="107">
        <f>IF(AND(ISNUMBER(Base_IFData!M1082),ISNUMBER(Base_IFData!Q1082)),IF(Base_IFData!Q1082&gt;0,Base_IFData!M1082/Base_IFData!Q1082,"PL ≤ 0"),"NI")</f>
        <v>6.9490869512637561</v>
      </c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</row>
    <row r="1082" spans="1:30" ht="15" customHeight="1" x14ac:dyDescent="0.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12" t="str">
        <f>Base_IFData!A1083</f>
        <v>PAGINVEST CORRETORA DE TITULOS E VALORES MOBILIARIOS LTDA.</v>
      </c>
      <c r="L1082" s="12" t="str">
        <f>Base_IFData!F1083</f>
        <v>n2</v>
      </c>
      <c r="M1082" s="14" t="str">
        <f>IF(AND(ISNUMBER(Base_IFData!L1083),ISNUMBER(Base_IFData!W1083)),IF(Base_IFData!L1083&gt;$B$4,Base_IFData!W1083,""),"")</f>
        <v/>
      </c>
      <c r="N1082" s="51">
        <f>IF(AND(ISNUMBER(Base_IFData!O1083),ISNUMBER(Base_IFData!Q1083)),IF(Base_IFData!Q1083&gt;0,Base_IFData!O1083/Base_IFData!Q1083,"PL ≤ 0"),"NI")</f>
        <v>4.5759702009702009E-2</v>
      </c>
      <c r="O1082" s="110">
        <f>IF(AND(ISNUMBER(Base_IFData!M1083),ISNUMBER(Base_IFData!Q1083)),IF(Base_IFData!Q1083&gt;0,Base_IFData!M1083/Base_IFData!Q1083,"PL ≤ 0"),"NI")</f>
        <v>0</v>
      </c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</row>
    <row r="1083" spans="1:30" ht="15" customHeight="1" x14ac:dyDescent="0.2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15" t="str">
        <f>Base_IFData!A1084</f>
        <v>MONEYCORP BANCO DE CÂMBIO S.A.</v>
      </c>
      <c r="L1083" s="15" t="str">
        <f>Base_IFData!F1084</f>
        <v>b2</v>
      </c>
      <c r="M1083" s="17" t="str">
        <f>IF(AND(ISNUMBER(Base_IFData!L1084),ISNUMBER(Base_IFData!W1084)),IF(Base_IFData!L1084&gt;$B$4,Base_IFData!W1084,""),"")</f>
        <v/>
      </c>
      <c r="N1083" s="50">
        <f>IF(AND(ISNUMBER(Base_IFData!O1084),ISNUMBER(Base_IFData!Q1084)),IF(Base_IFData!Q1084&gt;0,Base_IFData!O1084/Base_IFData!Q1084,"PL ≤ 0"),"NI")</f>
        <v>1.3192843709311859</v>
      </c>
      <c r="O1083" s="107">
        <f>IF(AND(ISNUMBER(Base_IFData!M1084),ISNUMBER(Base_IFData!Q1084)),IF(Base_IFData!Q1084&gt;0,Base_IFData!M1084/Base_IFData!Q1084,"PL ≤ 0"),"NI")</f>
        <v>0</v>
      </c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</row>
    <row r="1084" spans="1:30" ht="15" customHeight="1" x14ac:dyDescent="0.2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12" t="str">
        <f>Base_IFData!A1085</f>
        <v>BT CORRETORA DE CÂMBIO LTDA.</v>
      </c>
      <c r="L1084" s="12" t="str">
        <f>Base_IFData!F1085</f>
        <v>n2</v>
      </c>
      <c r="M1084" s="14" t="str">
        <f>IF(AND(ISNUMBER(Base_IFData!L1085),ISNUMBER(Base_IFData!W1085)),IF(Base_IFData!L1085&gt;$B$4,Base_IFData!W1085,""),"")</f>
        <v/>
      </c>
      <c r="N1084" s="51">
        <f>IF(AND(ISNUMBER(Base_IFData!O1085),ISNUMBER(Base_IFData!Q1085)),IF(Base_IFData!Q1085&gt;0,Base_IFData!O1085/Base_IFData!Q1085,"PL ≤ 0"),"NI")</f>
        <v>0.9799190010124873</v>
      </c>
      <c r="O1084" s="110">
        <f>IF(AND(ISNUMBER(Base_IFData!M1085),ISNUMBER(Base_IFData!Q1085)),IF(Base_IFData!Q1085&gt;0,Base_IFData!M1085/Base_IFData!Q1085,"PL ≤ 0"),"NI")</f>
        <v>0</v>
      </c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</row>
    <row r="1085" spans="1:30" ht="15" customHeight="1" x14ac:dyDescent="0.2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15" t="str">
        <f>Base_IFData!A1086</f>
        <v>HEDGEPOINT GLOBAL MARKETS DISTRIBUIDORA DE TITULOS E VALORES MOBILIÁRIOS LTDA.</v>
      </c>
      <c r="L1085" s="15" t="str">
        <f>Base_IFData!F1086</f>
        <v>n2</v>
      </c>
      <c r="M1085" s="17" t="str">
        <f>IF(AND(ISNUMBER(Base_IFData!L1086),ISNUMBER(Base_IFData!W1086)),IF(Base_IFData!L1086&gt;$B$4,Base_IFData!W1086,""),"")</f>
        <v/>
      </c>
      <c r="N1085" s="50">
        <f>IF(AND(ISNUMBER(Base_IFData!O1086),ISNUMBER(Base_IFData!Q1086)),IF(Base_IFData!Q1086&gt;0,Base_IFData!O1086/Base_IFData!Q1086,"PL ≤ 0"),"NI")</f>
        <v>0.37781255536526309</v>
      </c>
      <c r="O1085" s="107">
        <f>IF(AND(ISNUMBER(Base_IFData!M1086),ISNUMBER(Base_IFData!Q1086)),IF(Base_IFData!Q1086&gt;0,Base_IFData!M1086/Base_IFData!Q1086,"PL ≤ 0"),"NI")</f>
        <v>0</v>
      </c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</row>
    <row r="1086" spans="1:30" ht="15" customHeight="1" x14ac:dyDescent="0.2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12" t="str">
        <f>Base_IFData!A1087</f>
        <v>SERVICOOP - COOPERATIVA DE CRÉDITO DOS SERVIDORES PÚBLICOS ESTADUAIS E MUNICIPAIS DO RIO GRANDE DO SUL</v>
      </c>
      <c r="L1086" s="12" t="str">
        <f>Base_IFData!F1087</f>
        <v>b3S</v>
      </c>
      <c r="M1086" s="14" t="str">
        <f>IF(AND(ISNUMBER(Base_IFData!L1087),ISNUMBER(Base_IFData!W1087)),IF(Base_IFData!L1087&gt;$B$4,Base_IFData!W1087,""),"")</f>
        <v/>
      </c>
      <c r="N1086" s="51">
        <f>IF(AND(ISNUMBER(Base_IFData!O1087),ISNUMBER(Base_IFData!Q1087)),IF(Base_IFData!Q1087&gt;0,Base_IFData!O1087/Base_IFData!Q1087,"PL ≤ 0"),"NI")</f>
        <v>2.3452415599534344</v>
      </c>
      <c r="O1086" s="110">
        <f>IF(AND(ISNUMBER(Base_IFData!M1087),ISNUMBER(Base_IFData!Q1087)),IF(Base_IFData!Q1087&gt;0,Base_IFData!M1087/Base_IFData!Q1087,"PL ≤ 0"),"NI")</f>
        <v>1.4843568102444704</v>
      </c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</row>
    <row r="1087" spans="1:30" ht="15" customHeight="1" x14ac:dyDescent="0.2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15" t="str">
        <f>Base_IFData!A1088</f>
        <v>FFCRED SOCIEDADE DE CRÉDITO DIRETO S.A..</v>
      </c>
      <c r="L1087" s="15" t="str">
        <f>Base_IFData!F1088</f>
        <v>n1</v>
      </c>
      <c r="M1087" s="17" t="str">
        <f>IF(AND(ISNUMBER(Base_IFData!L1088),ISNUMBER(Base_IFData!W1088)),IF(Base_IFData!L1088&gt;$B$4,Base_IFData!W1088,""),"")</f>
        <v/>
      </c>
      <c r="N1087" s="50">
        <f>IF(AND(ISNUMBER(Base_IFData!O1088),ISNUMBER(Base_IFData!Q1088)),IF(Base_IFData!Q1088&gt;0,Base_IFData!O1088/Base_IFData!Q1088,"PL ≤ 0"),"NI")</f>
        <v>2.229237528344671</v>
      </c>
      <c r="O1087" s="107">
        <f>IF(AND(ISNUMBER(Base_IFData!M1088),ISNUMBER(Base_IFData!Q1088)),IF(Base_IFData!Q1088&gt;0,Base_IFData!M1088/Base_IFData!Q1088,"PL ≤ 0"),"NI")</f>
        <v>0.19323979591836735</v>
      </c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</row>
    <row r="1088" spans="1:30" ht="15" customHeight="1" x14ac:dyDescent="0.2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12" t="str">
        <f>Base_IFData!A1089</f>
        <v>COOPERATIVA DE ECONOMIA E CREDITO MUTUO DOS FUNCIONARIOS DA COMIGO</v>
      </c>
      <c r="L1088" s="12" t="str">
        <f>Base_IFData!F1089</f>
        <v>b3S</v>
      </c>
      <c r="M1088" s="14" t="str">
        <f>IF(AND(ISNUMBER(Base_IFData!L1089),ISNUMBER(Base_IFData!W1089)),IF(Base_IFData!L1089&gt;$B$4,Base_IFData!W1089,""),"")</f>
        <v/>
      </c>
      <c r="N1088" s="51">
        <f>IF(AND(ISNUMBER(Base_IFData!O1089),ISNUMBER(Base_IFData!Q1089)),IF(Base_IFData!Q1089&gt;0,Base_IFData!O1089/Base_IFData!Q1089,"PL ≤ 0"),"NI")</f>
        <v>0.87015667115902962</v>
      </c>
      <c r="O1088" s="110">
        <f>IF(AND(ISNUMBER(Base_IFData!M1089),ISNUMBER(Base_IFData!Q1089)),IF(Base_IFData!Q1089&gt;0,Base_IFData!M1089/Base_IFData!Q1089,"PL ≤ 0"),"NI")</f>
        <v>0.84741408355795145</v>
      </c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</row>
    <row r="1089" spans="1:30" ht="15" customHeight="1" x14ac:dyDescent="0.2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15" t="str">
        <f>Base_IFData!A1090</f>
        <v>INDEPENDÊNCIA COOPERATIVA DE CRÉDITO E INVESTIMENTO - INDEPENDÊNCIA COOPERATIVA DE CRÉDITO</v>
      </c>
      <c r="L1089" s="15" t="str">
        <f>Base_IFData!F1090</f>
        <v>b3S</v>
      </c>
      <c r="M1089" s="17" t="str">
        <f>IF(AND(ISNUMBER(Base_IFData!L1090),ISNUMBER(Base_IFData!W1090)),IF(Base_IFData!L1090&gt;$B$4,Base_IFData!W1090,""),"")</f>
        <v/>
      </c>
      <c r="N1089" s="50">
        <f>IF(AND(ISNUMBER(Base_IFData!O1090),ISNUMBER(Base_IFData!Q1090)),IF(Base_IFData!Q1090&gt;0,Base_IFData!O1090/Base_IFData!Q1090,"PL ≤ 0"),"NI")</f>
        <v>1.4148732270959969</v>
      </c>
      <c r="O1089" s="107">
        <f>IF(AND(ISNUMBER(Base_IFData!M1090),ISNUMBER(Base_IFData!Q1090)),IF(Base_IFData!Q1090&gt;0,Base_IFData!M1090/Base_IFData!Q1090,"PL ≤ 0"),"NI")</f>
        <v>0.35041892557910298</v>
      </c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</row>
    <row r="1090" spans="1:30" ht="15" customHeight="1" x14ac:dyDescent="0.2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12" t="str">
        <f>Base_IFData!A1091</f>
        <v>GOLCRED S/A - CRÉDITO, FINANCIAMENTO E INVESTIMENTO</v>
      </c>
      <c r="L1090" s="12" t="str">
        <f>Base_IFData!F1091</f>
        <v>n1</v>
      </c>
      <c r="M1090" s="14" t="str">
        <f>IF(AND(ISNUMBER(Base_IFData!L1091),ISNUMBER(Base_IFData!W1091)),IF(Base_IFData!L1091&gt;$B$4,Base_IFData!W1091,""),"")</f>
        <v/>
      </c>
      <c r="N1090" s="51">
        <f>IF(AND(ISNUMBER(Base_IFData!O1091),ISNUMBER(Base_IFData!Q1091)),IF(Base_IFData!Q1091&gt;0,Base_IFData!O1091/Base_IFData!Q1091,"PL ≤ 0"),"NI")</f>
        <v>2.8447095981751183</v>
      </c>
      <c r="O1090" s="110">
        <f>IF(AND(ISNUMBER(Base_IFData!M1091),ISNUMBER(Base_IFData!Q1091)),IF(Base_IFData!Q1091&gt;0,Base_IFData!M1091/Base_IFData!Q1091,"PL ≤ 0"),"NI")</f>
        <v>2.6849447271451132</v>
      </c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</row>
    <row r="1091" spans="1:30" ht="15" customHeight="1" x14ac:dyDescent="0.2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15" t="str">
        <f>Base_IFData!A1092</f>
        <v>TAMBASA SOCIEDADE DE CRÉDITO DIRETO S.A.</v>
      </c>
      <c r="L1091" s="15" t="str">
        <f>Base_IFData!F1092</f>
        <v>n1</v>
      </c>
      <c r="M1091" s="17" t="str">
        <f>IF(AND(ISNUMBER(Base_IFData!L1092),ISNUMBER(Base_IFData!W1092)),IF(Base_IFData!L1092&gt;$B$4,Base_IFData!W1092,""),"")</f>
        <v/>
      </c>
      <c r="N1091" s="50">
        <f>IF(AND(ISNUMBER(Base_IFData!O1092),ISNUMBER(Base_IFData!Q1092)),IF(Base_IFData!Q1092&gt;0,Base_IFData!O1092/Base_IFData!Q1092,"PL ≤ 0"),"NI")</f>
        <v>0.97806063411247401</v>
      </c>
      <c r="O1091" s="107">
        <f>IF(AND(ISNUMBER(Base_IFData!M1092),ISNUMBER(Base_IFData!Q1092)),IF(Base_IFData!Q1092&gt;0,Base_IFData!M1092/Base_IFData!Q1092,"PL ≤ 0"),"NI")</f>
        <v>0.90928025919925948</v>
      </c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</row>
    <row r="1092" spans="1:30" ht="15" customHeight="1" x14ac:dyDescent="0.2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12" t="str">
        <f>Base_IFData!A1093</f>
        <v>MW INSTITUICAO DE PAGAMENTO LTDA</v>
      </c>
      <c r="L1092" s="12" t="str">
        <f>Base_IFData!F1093</f>
        <v>n4</v>
      </c>
      <c r="M1092" s="14" t="str">
        <f>IF(AND(ISNUMBER(Base_IFData!L1093),ISNUMBER(Base_IFData!W1093)),IF(Base_IFData!L1093&gt;$B$4,Base_IFData!W1093,""),"")</f>
        <v/>
      </c>
      <c r="N1092" s="51">
        <f>IF(AND(ISNUMBER(Base_IFData!O1093),ISNUMBER(Base_IFData!Q1093)),IF(Base_IFData!Q1093&gt;0,Base_IFData!O1093/Base_IFData!Q1093,"PL ≤ 0"),"NI")</f>
        <v>1.2593572978982477</v>
      </c>
      <c r="O1092" s="110">
        <f>IF(AND(ISNUMBER(Base_IFData!M1093),ISNUMBER(Base_IFData!Q1093)),IF(Base_IFData!Q1093&gt;0,Base_IFData!M1093/Base_IFData!Q1093,"PL ≤ 0"),"NI")</f>
        <v>0</v>
      </c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</row>
    <row r="1093" spans="1:30" ht="15" customHeight="1" x14ac:dyDescent="0.2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15" t="str">
        <f>Base_IFData!A1094</f>
        <v>LISTO SOCIEDADE DE CREDITO DIRETO S.A.</v>
      </c>
      <c r="L1093" s="15" t="str">
        <f>Base_IFData!F1094</f>
        <v>n1</v>
      </c>
      <c r="M1093" s="17" t="str">
        <f>IF(AND(ISNUMBER(Base_IFData!L1094),ISNUMBER(Base_IFData!W1094)),IF(Base_IFData!L1094&gt;$B$4,Base_IFData!W1094,""),"")</f>
        <v/>
      </c>
      <c r="N1093" s="50">
        <f>IF(AND(ISNUMBER(Base_IFData!O1094),ISNUMBER(Base_IFData!Q1094)),IF(Base_IFData!Q1094&gt;0,Base_IFData!O1094/Base_IFData!Q1094,"PL ≤ 0"),"NI")</f>
        <v>0.60462626648824314</v>
      </c>
      <c r="O1093" s="107">
        <f>IF(AND(ISNUMBER(Base_IFData!M1094),ISNUMBER(Base_IFData!Q1094)),IF(Base_IFData!Q1094&gt;0,Base_IFData!M1094/Base_IFData!Q1094,"PL ≤ 0"),"NI")</f>
        <v>0</v>
      </c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</row>
    <row r="1094" spans="1:30" ht="15" customHeight="1" x14ac:dyDescent="0.2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12" t="str">
        <f>Base_IFData!A1095</f>
        <v>CORRETORA GERAL DE VALORES E CÂMBIO LTDA</v>
      </c>
      <c r="L1094" s="12" t="str">
        <f>Base_IFData!F1095</f>
        <v>n2</v>
      </c>
      <c r="M1094" s="14" t="str">
        <f>IF(AND(ISNUMBER(Base_IFData!L1095),ISNUMBER(Base_IFData!W1095)),IF(Base_IFData!L1095&gt;$B$4,Base_IFData!W1095,""),"")</f>
        <v/>
      </c>
      <c r="N1094" s="51">
        <f>IF(AND(ISNUMBER(Base_IFData!O1095),ISNUMBER(Base_IFData!Q1095)),IF(Base_IFData!Q1095&gt;0,Base_IFData!O1095/Base_IFData!Q1095,"PL ≤ 0"),"NI")</f>
        <v>1.718408736349454</v>
      </c>
      <c r="O1094" s="110">
        <f>IF(AND(ISNUMBER(Base_IFData!M1095),ISNUMBER(Base_IFData!Q1095)),IF(Base_IFData!Q1095&gt;0,Base_IFData!M1095/Base_IFData!Q1095,"PL ≤ 0"),"NI")</f>
        <v>0</v>
      </c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</row>
    <row r="1095" spans="1:30" ht="15" customHeight="1" x14ac:dyDescent="0.2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15" t="str">
        <f>Base_IFData!A1096</f>
        <v>COOPERATIVA DE CRÉDITO MÚTUO DOS SERVIDORES FEDERAIS NA PARAÍBA - SICOOB COOPERCRET</v>
      </c>
      <c r="L1095" s="15" t="str">
        <f>Base_IFData!F1096</f>
        <v>b3S</v>
      </c>
      <c r="M1095" s="17" t="str">
        <f>IF(AND(ISNUMBER(Base_IFData!L1096),ISNUMBER(Base_IFData!W1096)),IF(Base_IFData!L1096&gt;$B$4,Base_IFData!W1096,""),"")</f>
        <v/>
      </c>
      <c r="N1095" s="50">
        <f>IF(AND(ISNUMBER(Base_IFData!O1096),ISNUMBER(Base_IFData!Q1096)),IF(Base_IFData!Q1096&gt;0,Base_IFData!O1096/Base_IFData!Q1096,"PL ≤ 0"),"NI")</f>
        <v>2.481375358166189</v>
      </c>
      <c r="O1095" s="107">
        <f>IF(AND(ISNUMBER(Base_IFData!M1096),ISNUMBER(Base_IFData!Q1096)),IF(Base_IFData!Q1096&gt;0,Base_IFData!M1096/Base_IFData!Q1096,"PL ≤ 0"),"NI")</f>
        <v>2.0594977245912691</v>
      </c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</row>
    <row r="1096" spans="1:30" ht="15" customHeight="1" x14ac:dyDescent="0.2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12" t="str">
        <f>Base_IFData!A1097</f>
        <v>COOPERATIVA DE CRÉDITO CREDICENTRO</v>
      </c>
      <c r="L1096" s="12" t="str">
        <f>Base_IFData!F1097</f>
        <v>b3S</v>
      </c>
      <c r="M1096" s="14" t="str">
        <f>IF(AND(ISNUMBER(Base_IFData!L1097),ISNUMBER(Base_IFData!W1097)),IF(Base_IFData!L1097&gt;$B$4,Base_IFData!W1097,""),"")</f>
        <v/>
      </c>
      <c r="N1096" s="51">
        <f>IF(AND(ISNUMBER(Base_IFData!O1097),ISNUMBER(Base_IFData!Q1097)),IF(Base_IFData!Q1097&gt;0,Base_IFData!O1097/Base_IFData!Q1097,"PL ≤ 0"),"NI")</f>
        <v>0.67633855697029055</v>
      </c>
      <c r="O1096" s="110">
        <f>IF(AND(ISNUMBER(Base_IFData!M1097),ISNUMBER(Base_IFData!Q1097)),IF(Base_IFData!Q1097&gt;0,Base_IFData!M1097/Base_IFData!Q1097,"PL ≤ 0"),"NI")</f>
        <v>0.61989879203395359</v>
      </c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</row>
    <row r="1097" spans="1:30" ht="15" customHeight="1" x14ac:dyDescent="0.2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15" t="str">
        <f>Base_IFData!A1098</f>
        <v>ACTUAL DISTRIBUIDORA DE TÍTULOS E VALORES MOBILIÁRIOS S.A.</v>
      </c>
      <c r="L1097" s="15" t="str">
        <f>Base_IFData!F1098</f>
        <v>n2</v>
      </c>
      <c r="M1097" s="17" t="str">
        <f>IF(AND(ISNUMBER(Base_IFData!L1098),ISNUMBER(Base_IFData!W1098)),IF(Base_IFData!L1098&gt;$B$4,Base_IFData!W1098,""),"")</f>
        <v/>
      </c>
      <c r="N1097" s="50">
        <f>IF(AND(ISNUMBER(Base_IFData!O1098),ISNUMBER(Base_IFData!Q1098)),IF(Base_IFData!Q1098&gt;0,Base_IFData!O1098/Base_IFData!Q1098,"PL ≤ 0"),"NI")</f>
        <v>8.38101788170564</v>
      </c>
      <c r="O1097" s="107">
        <f>IF(AND(ISNUMBER(Base_IFData!M1098),ISNUMBER(Base_IFData!Q1098)),IF(Base_IFData!Q1098&gt;0,Base_IFData!M1098/Base_IFData!Q1098,"PL ≤ 0"),"NI")</f>
        <v>0</v>
      </c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</row>
    <row r="1098" spans="1:30" ht="15" customHeight="1" x14ac:dyDescent="0.2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12" t="str">
        <f>Base_IFData!A1099</f>
        <v>BIGCASH SOCIEDADE DE CREDITO DIRETO S.A.</v>
      </c>
      <c r="L1098" s="12" t="str">
        <f>Base_IFData!F1099</f>
        <v>n1</v>
      </c>
      <c r="M1098" s="14" t="str">
        <f>IF(AND(ISNUMBER(Base_IFData!L1099),ISNUMBER(Base_IFData!W1099)),IF(Base_IFData!L1099&gt;$B$4,Base_IFData!W1099,""),"")</f>
        <v/>
      </c>
      <c r="N1098" s="51">
        <f>IF(AND(ISNUMBER(Base_IFData!O1099),ISNUMBER(Base_IFData!Q1099)),IF(Base_IFData!Q1099&gt;0,Base_IFData!O1099/Base_IFData!Q1099,"PL ≤ 0"),"NI")</f>
        <v>0.54855163488257008</v>
      </c>
      <c r="O1098" s="110">
        <f>IF(AND(ISNUMBER(Base_IFData!M1099),ISNUMBER(Base_IFData!Q1099)),IF(Base_IFData!Q1099&gt;0,Base_IFData!M1099/Base_IFData!Q1099,"PL ≤ 0"),"NI")</f>
        <v>1.0406531917323285</v>
      </c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</row>
    <row r="1099" spans="1:30" ht="15" customHeight="1" x14ac:dyDescent="0.2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15" t="str">
        <f>Base_IFData!A1100</f>
        <v>VILLELA INSTITUICAO DE PAGAMENTO S/A.</v>
      </c>
      <c r="L1099" s="15" t="str">
        <f>Base_IFData!F1100</f>
        <v>n4</v>
      </c>
      <c r="M1099" s="17" t="str">
        <f>IF(AND(ISNUMBER(Base_IFData!L1100),ISNUMBER(Base_IFData!W1100)),IF(Base_IFData!L1100&gt;$B$4,Base_IFData!W1100,""),"")</f>
        <v/>
      </c>
      <c r="N1099" s="50">
        <f>IF(AND(ISNUMBER(Base_IFData!O1100),ISNUMBER(Base_IFData!Q1100)),IF(Base_IFData!Q1100&gt;0,Base_IFData!O1100/Base_IFData!Q1100,"PL ≤ 0"),"NI")</f>
        <v>2.7803495073433724</v>
      </c>
      <c r="O1099" s="107">
        <f>IF(AND(ISNUMBER(Base_IFData!M1100),ISNUMBER(Base_IFData!Q1100)),IF(Base_IFData!Q1100&gt;0,Base_IFData!M1100/Base_IFData!Q1100,"PL ≤ 0"),"NI")</f>
        <v>0</v>
      </c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</row>
    <row r="1100" spans="1:30" ht="15" customHeight="1" x14ac:dyDescent="0.2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12" t="str">
        <f>Base_IFData!A1101</f>
        <v>ABC BRASIL DISTRIBUIDORA DE TÍTULOS E VALORES MOBILIÁRIOS S.A.</v>
      </c>
      <c r="L1100" s="12" t="str">
        <f>Base_IFData!F1101</f>
        <v>n2</v>
      </c>
      <c r="M1100" s="14" t="str">
        <f>IF(AND(ISNUMBER(Base_IFData!L1101),ISNUMBER(Base_IFData!W1101)),IF(Base_IFData!L1101&gt;$B$4,Base_IFData!W1101,""),"")</f>
        <v/>
      </c>
      <c r="N1100" s="51">
        <f>IF(AND(ISNUMBER(Base_IFData!O1101),ISNUMBER(Base_IFData!Q1101)),IF(Base_IFData!Q1101&gt;0,Base_IFData!O1101/Base_IFData!Q1101,"PL ≤ 0"),"NI")</f>
        <v>0.3140930767965795</v>
      </c>
      <c r="O1100" s="110">
        <f>IF(AND(ISNUMBER(Base_IFData!M1101),ISNUMBER(Base_IFData!Q1101)),IF(Base_IFData!Q1101&gt;0,Base_IFData!M1101/Base_IFData!Q1101,"PL ≤ 0"),"NI")</f>
        <v>0</v>
      </c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</row>
    <row r="1101" spans="1:30" ht="15" customHeight="1" x14ac:dyDescent="0.2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15" t="str">
        <f>Base_IFData!A1102</f>
        <v>COOPERATIVA DE ECONOMIA E CRÉDITO MÚTUO DOS EMPREGADOS DO GRUPO SCHAEFFLER</v>
      </c>
      <c r="L1101" s="15" t="str">
        <f>Base_IFData!F1102</f>
        <v>b3S</v>
      </c>
      <c r="M1101" s="17" t="str">
        <f>IF(AND(ISNUMBER(Base_IFData!L1102),ISNUMBER(Base_IFData!W1102)),IF(Base_IFData!L1102&gt;$B$4,Base_IFData!W1102,""),"")</f>
        <v/>
      </c>
      <c r="N1101" s="50">
        <f>IF(AND(ISNUMBER(Base_IFData!O1102),ISNUMBER(Base_IFData!Q1102)),IF(Base_IFData!Q1102&gt;0,Base_IFData!O1102/Base_IFData!Q1102,"PL ≤ 0"),"NI")</f>
        <v>1.6336949585194639E-2</v>
      </c>
      <c r="O1101" s="107">
        <f>IF(AND(ISNUMBER(Base_IFData!M1102),ISNUMBER(Base_IFData!Q1102)),IF(Base_IFData!Q1102&gt;0,Base_IFData!M1102/Base_IFData!Q1102,"PL ≤ 0"),"NI")</f>
        <v>0.63851946394384174</v>
      </c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</row>
    <row r="1102" spans="1:30" ht="15" customHeight="1" x14ac:dyDescent="0.2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12" t="str">
        <f>Base_IFData!A1103</f>
        <v>MAX INSTITUIÇÃO DE PAGAMENTO LTDA</v>
      </c>
      <c r="L1102" s="12" t="str">
        <f>Base_IFData!F1103</f>
        <v>n4</v>
      </c>
      <c r="M1102" s="14" t="str">
        <f>IF(AND(ISNUMBER(Base_IFData!L1103),ISNUMBER(Base_IFData!W1103)),IF(Base_IFData!L1103&gt;$B$4,Base_IFData!W1103,""),"")</f>
        <v/>
      </c>
      <c r="N1102" s="51">
        <f>IF(AND(ISNUMBER(Base_IFData!O1103),ISNUMBER(Base_IFData!Q1103)),IF(Base_IFData!Q1103&gt;0,Base_IFData!O1103/Base_IFData!Q1103,"PL ≤ 0"),"NI")</f>
        <v>1.5519533646962569E-2</v>
      </c>
      <c r="O1102" s="110">
        <f>IF(AND(ISNUMBER(Base_IFData!M1103),ISNUMBER(Base_IFData!Q1103)),IF(Base_IFData!Q1103&gt;0,Base_IFData!M1103/Base_IFData!Q1103,"PL ≤ 0"),"NI")</f>
        <v>0</v>
      </c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</row>
    <row r="1103" spans="1:30" ht="15" customHeight="1" x14ac:dyDescent="0.2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15" t="str">
        <f>Base_IFData!A1104</f>
        <v>BSN PAGAMENTOS INSTITUIÇÃO DE PAGAMENTO LTDA</v>
      </c>
      <c r="L1103" s="15" t="str">
        <f>Base_IFData!F1104</f>
        <v>n4</v>
      </c>
      <c r="M1103" s="17" t="str">
        <f>IF(AND(ISNUMBER(Base_IFData!L1104),ISNUMBER(Base_IFData!W1104)),IF(Base_IFData!L1104&gt;$B$4,Base_IFData!W1104,""),"")</f>
        <v/>
      </c>
      <c r="N1103" s="50">
        <f>IF(AND(ISNUMBER(Base_IFData!O1104),ISNUMBER(Base_IFData!Q1104)),IF(Base_IFData!Q1104&gt;0,Base_IFData!O1104/Base_IFData!Q1104,"PL ≤ 0"),"NI")</f>
        <v>4.9003462291133522</v>
      </c>
      <c r="O1103" s="107">
        <f>IF(AND(ISNUMBER(Base_IFData!M1104),ISNUMBER(Base_IFData!Q1104)),IF(Base_IFData!Q1104&gt;0,Base_IFData!M1104/Base_IFData!Q1104,"PL ≤ 0"),"NI")</f>
        <v>0</v>
      </c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</row>
    <row r="1104" spans="1:30" ht="15" customHeight="1" x14ac:dyDescent="0.2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12" t="str">
        <f>Base_IFData!A1105</f>
        <v>AZIMUT BRASIL DISTRIBUIDORA DE TÍTULOS E VALORES MOBILIÁRIOS LTDA</v>
      </c>
      <c r="L1104" s="12" t="str">
        <f>Base_IFData!F1105</f>
        <v>n2</v>
      </c>
      <c r="M1104" s="14" t="str">
        <f>IF(AND(ISNUMBER(Base_IFData!L1105),ISNUMBER(Base_IFData!W1105)),IF(Base_IFData!L1105&gt;$B$4,Base_IFData!W1105,""),"")</f>
        <v/>
      </c>
      <c r="N1104" s="51">
        <f>IF(AND(ISNUMBER(Base_IFData!O1105),ISNUMBER(Base_IFData!Q1105)),IF(Base_IFData!Q1105&gt;0,Base_IFData!O1105/Base_IFData!Q1105,"PL ≤ 0"),"NI")</f>
        <v>1.4625111763954528</v>
      </c>
      <c r="O1104" s="110">
        <f>IF(AND(ISNUMBER(Base_IFData!M1105),ISNUMBER(Base_IFData!Q1105)),IF(Base_IFData!Q1105&gt;0,Base_IFData!M1105/Base_IFData!Q1105,"PL ≤ 0"),"NI")</f>
        <v>0</v>
      </c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</row>
    <row r="1105" spans="1:30" ht="15" customHeight="1" x14ac:dyDescent="0.2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15" t="str">
        <f>Base_IFData!A1106</f>
        <v>B3 INSTITUICAO DE PAGAMENTO LTDA</v>
      </c>
      <c r="L1105" s="15" t="str">
        <f>Base_IFData!F1106</f>
        <v>n4</v>
      </c>
      <c r="M1105" s="17" t="str">
        <f>IF(AND(ISNUMBER(Base_IFData!L1106),ISNUMBER(Base_IFData!W1106)),IF(Base_IFData!L1106&gt;$B$4,Base_IFData!W1106,""),"")</f>
        <v/>
      </c>
      <c r="N1105" s="50">
        <f>IF(AND(ISNUMBER(Base_IFData!O1106),ISNUMBER(Base_IFData!Q1106)),IF(Base_IFData!Q1106&gt;0,Base_IFData!O1106/Base_IFData!Q1106,"PL ≤ 0"),"NI")</f>
        <v>6.3460874644858077E-3</v>
      </c>
      <c r="O1105" s="107">
        <f>IF(AND(ISNUMBER(Base_IFData!M1106),ISNUMBER(Base_IFData!Q1106)),IF(Base_IFData!Q1106&gt;0,Base_IFData!M1106/Base_IFData!Q1106,"PL ≤ 0"),"NI")</f>
        <v>0</v>
      </c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</row>
    <row r="1106" spans="1:30" ht="15" customHeight="1" x14ac:dyDescent="0.2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12" t="str">
        <f>Base_IFData!A1107</f>
        <v>COOPERATIVA DE ECONOMIA E CRÉDITO MÚTUO DOS FUNCIONÁRIOS DA FUNDAÇÃO ZERBINI E DA FUNDAÇÃO FACULDADE DE MEDICINA (FFM) - COOPINCOR</v>
      </c>
      <c r="L1106" s="12" t="str">
        <f>Base_IFData!F1107</f>
        <v>b3S</v>
      </c>
      <c r="M1106" s="14" t="str">
        <f>IF(AND(ISNUMBER(Base_IFData!L1107),ISNUMBER(Base_IFData!W1107)),IF(Base_IFData!L1107&gt;$B$4,Base_IFData!W1107,""),"")</f>
        <v/>
      </c>
      <c r="N1106" s="51">
        <f>IF(AND(ISNUMBER(Base_IFData!O1107),ISNUMBER(Base_IFData!Q1107)),IF(Base_IFData!Q1107&gt;0,Base_IFData!O1107/Base_IFData!Q1107,"PL ≤ 0"),"NI")</f>
        <v>2.7287100643332243E-2</v>
      </c>
      <c r="O1106" s="110">
        <f>IF(AND(ISNUMBER(Base_IFData!M1107),ISNUMBER(Base_IFData!Q1107)),IF(Base_IFData!Q1107&gt;0,Base_IFData!M1107/Base_IFData!Q1107,"PL ≤ 0"),"NI")</f>
        <v>0.5007632755424708</v>
      </c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</row>
    <row r="1107" spans="1:30" ht="15" customHeight="1" x14ac:dyDescent="0.2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15" t="str">
        <f>Base_IFData!A1108</f>
        <v>COINVALORES CORRETORA DE CÂMBIO E VALORES MOBILIÁRIOS LTDA.</v>
      </c>
      <c r="L1107" s="15" t="str">
        <f>Base_IFData!F1108</f>
        <v>n2</v>
      </c>
      <c r="M1107" s="17" t="str">
        <f>IF(AND(ISNUMBER(Base_IFData!L1108),ISNUMBER(Base_IFData!W1108)),IF(Base_IFData!L1108&gt;$B$4,Base_IFData!W1108,""),"")</f>
        <v/>
      </c>
      <c r="N1107" s="50">
        <f>IF(AND(ISNUMBER(Base_IFData!O1108),ISNUMBER(Base_IFData!Q1108)),IF(Base_IFData!Q1108&gt;0,Base_IFData!O1108/Base_IFData!Q1108,"PL ≤ 0"),"NI")</f>
        <v>0.91393192009783941</v>
      </c>
      <c r="O1107" s="107">
        <f>IF(AND(ISNUMBER(Base_IFData!M1108),ISNUMBER(Base_IFData!Q1108)),IF(Base_IFData!Q1108&gt;0,Base_IFData!M1108/Base_IFData!Q1108,"PL ≤ 0"),"NI")</f>
        <v>0</v>
      </c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</row>
    <row r="1108" spans="1:30" ht="15" customHeight="1" x14ac:dyDescent="0.2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12" t="str">
        <f>Base_IFData!A1109</f>
        <v>SAFETYPAY BRASIL INSTITUICAO DE PAGAMENTO LTDA</v>
      </c>
      <c r="L1108" s="12" t="str">
        <f>Base_IFData!F1109</f>
        <v>n4</v>
      </c>
      <c r="M1108" s="14" t="str">
        <f>IF(AND(ISNUMBER(Base_IFData!L1109),ISNUMBER(Base_IFData!W1109)),IF(Base_IFData!L1109&gt;$B$4,Base_IFData!W1109,""),"")</f>
        <v/>
      </c>
      <c r="N1108" s="51">
        <f>IF(AND(ISNUMBER(Base_IFData!O1109),ISNUMBER(Base_IFData!Q1109)),IF(Base_IFData!Q1109&gt;0,Base_IFData!O1109/Base_IFData!Q1109,"PL ≤ 0"),"NI")</f>
        <v>3.2987637362637363</v>
      </c>
      <c r="O1108" s="110">
        <f>IF(AND(ISNUMBER(Base_IFData!M1109),ISNUMBER(Base_IFData!Q1109)),IF(Base_IFData!Q1109&gt;0,Base_IFData!M1109/Base_IFData!Q1109,"PL ≤ 0"),"NI")</f>
        <v>0</v>
      </c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</row>
    <row r="1109" spans="1:30" ht="15" customHeight="1" x14ac:dyDescent="0.2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15" t="str">
        <f>Base_IFData!A1110</f>
        <v>COBANSA COMPANHIA HIPOTECARIA</v>
      </c>
      <c r="L1109" s="15" t="str">
        <f>Base_IFData!F1110</f>
        <v>n1</v>
      </c>
      <c r="M1109" s="17" t="str">
        <f>IF(AND(ISNUMBER(Base_IFData!L1110),ISNUMBER(Base_IFData!W1110)),IF(Base_IFData!L1110&gt;$B$4,Base_IFData!W1110,""),"")</f>
        <v/>
      </c>
      <c r="N1109" s="50">
        <f>IF(AND(ISNUMBER(Base_IFData!O1110),ISNUMBER(Base_IFData!Q1110)),IF(Base_IFData!Q1110&gt;0,Base_IFData!O1110/Base_IFData!Q1110,"PL ≤ 0"),"NI")</f>
        <v>4.7064471879286698</v>
      </c>
      <c r="O1109" s="107">
        <f>IF(AND(ISNUMBER(Base_IFData!M1110),ISNUMBER(Base_IFData!Q1110)),IF(Base_IFData!Q1110&gt;0,Base_IFData!M1110/Base_IFData!Q1110,"PL ≤ 0"),"NI")</f>
        <v>0</v>
      </c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</row>
    <row r="1110" spans="1:30" ht="15" customHeight="1" x14ac:dyDescent="0.2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12" t="str">
        <f>Base_IFData!A1111</f>
        <v>COOPERATIVA    DE    ECONOMIA    E    CRÉDITO   MÚTUO  MINUANO</v>
      </c>
      <c r="L1110" s="12" t="str">
        <f>Base_IFData!F1111</f>
        <v>b3S</v>
      </c>
      <c r="M1110" s="14" t="str">
        <f>IF(AND(ISNUMBER(Base_IFData!L1111),ISNUMBER(Base_IFData!W1111)),IF(Base_IFData!L1111&gt;$B$4,Base_IFData!W1111,""),"")</f>
        <v/>
      </c>
      <c r="N1110" s="51">
        <f>IF(AND(ISNUMBER(Base_IFData!O1111),ISNUMBER(Base_IFData!Q1111)),IF(Base_IFData!Q1111&gt;0,Base_IFData!O1111/Base_IFData!Q1111,"PL ≤ 0"),"NI")</f>
        <v>0.7295307330257701</v>
      </c>
      <c r="O1110" s="110">
        <f>IF(AND(ISNUMBER(Base_IFData!M1111),ISNUMBER(Base_IFData!Q1111)),IF(Base_IFData!Q1111&gt;0,Base_IFData!M1111/Base_IFData!Q1111,"PL ≤ 0"),"NI")</f>
        <v>0.65804557528309804</v>
      </c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</row>
    <row r="1111" spans="1:30" ht="15" customHeight="1" x14ac:dyDescent="0.2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15" t="str">
        <f>Base_IFData!A1112</f>
        <v>COOPERATIVA DE CRÉDITO MÚTUO DO ABC - COOPER 7</v>
      </c>
      <c r="L1111" s="15" t="str">
        <f>Base_IFData!F1112</f>
        <v>b3S</v>
      </c>
      <c r="M1111" s="17" t="str">
        <f>IF(AND(ISNUMBER(Base_IFData!L1112),ISNUMBER(Base_IFData!W1112)),IF(Base_IFData!L1112&gt;$B$4,Base_IFData!W1112,""),"")</f>
        <v/>
      </c>
      <c r="N1111" s="50">
        <f>IF(AND(ISNUMBER(Base_IFData!O1112),ISNUMBER(Base_IFData!Q1112)),IF(Base_IFData!Q1112&gt;0,Base_IFData!O1112/Base_IFData!Q1112,"PL ≤ 0"),"NI")</f>
        <v>0.74498702524180227</v>
      </c>
      <c r="O1111" s="107">
        <f>IF(AND(ISNUMBER(Base_IFData!M1112),ISNUMBER(Base_IFData!Q1112)),IF(Base_IFData!Q1112&gt;0,Base_IFData!M1112/Base_IFData!Q1112,"PL ≤ 0"),"NI")</f>
        <v>1.0005189903279075</v>
      </c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</row>
    <row r="1112" spans="1:30" ht="15" customHeight="1" x14ac:dyDescent="0.2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12" t="str">
        <f>Base_IFData!A1113</f>
        <v>COOPERATIVA DE ECONOMIA E CRÉDITO MÚTUO DOS EMPREGADOS DA CBMM LTDA.</v>
      </c>
      <c r="L1112" s="12" t="str">
        <f>Base_IFData!F1113</f>
        <v>b3S</v>
      </c>
      <c r="M1112" s="14" t="str">
        <f>IF(AND(ISNUMBER(Base_IFData!L1113),ISNUMBER(Base_IFData!W1113)),IF(Base_IFData!L1113&gt;$B$4,Base_IFData!W1113,""),"")</f>
        <v/>
      </c>
      <c r="N1112" s="51">
        <f>IF(AND(ISNUMBER(Base_IFData!O1113),ISNUMBER(Base_IFData!Q1113)),IF(Base_IFData!Q1113&gt;0,Base_IFData!O1113/Base_IFData!Q1113,"PL ≤ 0"),"NI")</f>
        <v>6.4191443074691809E-2</v>
      </c>
      <c r="O1112" s="110">
        <f>IF(AND(ISNUMBER(Base_IFData!M1113),ISNUMBER(Base_IFData!Q1113)),IF(Base_IFData!Q1113&gt;0,Base_IFData!M1113/Base_IFData!Q1113,"PL ≤ 0"),"NI")</f>
        <v>0.7623495286439449</v>
      </c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</row>
    <row r="1113" spans="1:30" ht="15" customHeight="1" x14ac:dyDescent="0.2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15" t="str">
        <f>Base_IFData!A1114</f>
        <v>COOPERATIVA DE ECONOMIA E CRÉDITO MÚTUO DOS SERVIDORES DA UNIVERSIDADE ESTADUAL DE CAMPINAS - COOPERUNICAMP</v>
      </c>
      <c r="L1113" s="15" t="str">
        <f>Base_IFData!F1114</f>
        <v>b3S</v>
      </c>
      <c r="M1113" s="17" t="str">
        <f>IF(AND(ISNUMBER(Base_IFData!L1114),ISNUMBER(Base_IFData!W1114)),IF(Base_IFData!L1114&gt;$B$4,Base_IFData!W1114,""),"")</f>
        <v/>
      </c>
      <c r="N1113" s="50">
        <f>IF(AND(ISNUMBER(Base_IFData!O1114),ISNUMBER(Base_IFData!Q1114)),IF(Base_IFData!Q1114&gt;0,Base_IFData!O1114/Base_IFData!Q1114,"PL ≤ 0"),"NI")</f>
        <v>8.7514827995255048E-2</v>
      </c>
      <c r="O1113" s="107">
        <f>IF(AND(ISNUMBER(Base_IFData!M1114),ISNUMBER(Base_IFData!Q1114)),IF(Base_IFData!Q1114&gt;0,Base_IFData!M1114/Base_IFData!Q1114,"PL ≤ 0"),"NI")</f>
        <v>0.60355871886120993</v>
      </c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</row>
    <row r="1114" spans="1:30" ht="15" customHeight="1" x14ac:dyDescent="0.2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12" t="str">
        <f>Base_IFData!A1115</f>
        <v>TTSCD SOCIEDADE DE CRÉDITO DIRETO S.A.</v>
      </c>
      <c r="L1114" s="12" t="str">
        <f>Base_IFData!F1115</f>
        <v>n1</v>
      </c>
      <c r="M1114" s="14" t="str">
        <f>IF(AND(ISNUMBER(Base_IFData!L1115),ISNUMBER(Base_IFData!W1115)),IF(Base_IFData!L1115&gt;$B$4,Base_IFData!W1115,""),"")</f>
        <v/>
      </c>
      <c r="N1114" s="51">
        <f>IF(AND(ISNUMBER(Base_IFData!O1115),ISNUMBER(Base_IFData!Q1115)),IF(Base_IFData!Q1115&gt;0,Base_IFData!O1115/Base_IFData!Q1115,"PL ≤ 0"),"NI")</f>
        <v>1.3276923076923077</v>
      </c>
      <c r="O1114" s="110">
        <f>IF(AND(ISNUMBER(Base_IFData!M1115),ISNUMBER(Base_IFData!Q1115)),IF(Base_IFData!Q1115&gt;0,Base_IFData!M1115/Base_IFData!Q1115,"PL ≤ 0"),"NI")</f>
        <v>0</v>
      </c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</row>
    <row r="1115" spans="1:30" ht="15" customHeight="1" x14ac:dyDescent="0.2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15" t="str">
        <f>Base_IFData!A1116</f>
        <v>PAYMEE BRASIL INSTITUIÇÃO DE PAGAMENTO S.A.</v>
      </c>
      <c r="L1115" s="15" t="str">
        <f>Base_IFData!F1116</f>
        <v>n4</v>
      </c>
      <c r="M1115" s="17" t="str">
        <f>IF(AND(ISNUMBER(Base_IFData!L1116),ISNUMBER(Base_IFData!W1116)),IF(Base_IFData!L1116&gt;$B$4,Base_IFData!W1116,""),"")</f>
        <v/>
      </c>
      <c r="N1115" s="50">
        <f>IF(AND(ISNUMBER(Base_IFData!O1116),ISNUMBER(Base_IFData!Q1116)),IF(Base_IFData!Q1116&gt;0,Base_IFData!O1116/Base_IFData!Q1116,"PL ≤ 0"),"NI")</f>
        <v>1.3284951835459515</v>
      </c>
      <c r="O1115" s="107">
        <f>IF(AND(ISNUMBER(Base_IFData!M1116),ISNUMBER(Base_IFData!Q1116)),IF(Base_IFData!Q1116&gt;0,Base_IFData!M1116/Base_IFData!Q1116,"PL ≤ 0"),"NI")</f>
        <v>0</v>
      </c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</row>
    <row r="1116" spans="1:30" ht="15" customHeight="1" x14ac:dyDescent="0.2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12" t="str">
        <f>Base_IFData!A1117</f>
        <v>J17 - SOCIEDADE DE CRÉDITO DIRETO S/A</v>
      </c>
      <c r="L1116" s="12" t="str">
        <f>Base_IFData!F1117</f>
        <v>n1</v>
      </c>
      <c r="M1116" s="14" t="str">
        <f>IF(AND(ISNUMBER(Base_IFData!L1117),ISNUMBER(Base_IFData!W1117)),IF(Base_IFData!L1117&gt;$B$4,Base_IFData!W1117,""),"")</f>
        <v/>
      </c>
      <c r="N1116" s="51">
        <f>IF(AND(ISNUMBER(Base_IFData!O1117),ISNUMBER(Base_IFData!Q1117)),IF(Base_IFData!Q1117&gt;0,Base_IFData!O1117/Base_IFData!Q1117,"PL ≤ 0"),"NI")</f>
        <v>0.66693163751987283</v>
      </c>
      <c r="O1116" s="110">
        <f>IF(AND(ISNUMBER(Base_IFData!M1117),ISNUMBER(Base_IFData!Q1117)),IF(Base_IFData!Q1117&gt;0,Base_IFData!M1117/Base_IFData!Q1117,"PL ≤ 0"),"NI")</f>
        <v>1.0832787805106143</v>
      </c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</row>
    <row r="1117" spans="1:30" ht="15" customHeight="1" x14ac:dyDescent="0.2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15" t="str">
        <f>Base_IFData!A1118</f>
        <v>INCO SOCIEDADE DE EMPRÉSTIMO ENTRE PESSOAS S.A.</v>
      </c>
      <c r="L1117" s="15" t="str">
        <f>Base_IFData!F1118</f>
        <v>n1</v>
      </c>
      <c r="M1117" s="17" t="str">
        <f>IF(AND(ISNUMBER(Base_IFData!L1118),ISNUMBER(Base_IFData!W1118)),IF(Base_IFData!L1118&gt;$B$4,Base_IFData!W1118,""),"")</f>
        <v/>
      </c>
      <c r="N1117" s="50">
        <f>IF(AND(ISNUMBER(Base_IFData!O1118),ISNUMBER(Base_IFData!Q1118)),IF(Base_IFData!Q1118&gt;0,Base_IFData!O1118/Base_IFData!Q1118,"PL ≤ 0"),"NI")</f>
        <v>5.6188323917137479</v>
      </c>
      <c r="O1117" s="107">
        <f>IF(AND(ISNUMBER(Base_IFData!M1118),ISNUMBER(Base_IFData!Q1118)),IF(Base_IFData!Q1118&gt;0,Base_IFData!M1118/Base_IFData!Q1118,"PL ≤ 0"),"NI")</f>
        <v>0</v>
      </c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</row>
    <row r="1118" spans="1:30" ht="15" customHeight="1" x14ac:dyDescent="0.2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12" t="str">
        <f>Base_IFData!A1119</f>
        <v>COOPERATIVA DE CRÉDITO MÚTUO DOS SERVIDORES DO MINISTERIO DA EDUCAÇÃO EM SÃO PAULO - COOPEMESP</v>
      </c>
      <c r="L1118" s="12" t="str">
        <f>Base_IFData!F1119</f>
        <v>b3S</v>
      </c>
      <c r="M1118" s="14" t="str">
        <f>IF(AND(ISNUMBER(Base_IFData!L1119),ISNUMBER(Base_IFData!W1119)),IF(Base_IFData!L1119&gt;$B$4,Base_IFData!W1119,""),"")</f>
        <v/>
      </c>
      <c r="N1118" s="51">
        <f>IF(AND(ISNUMBER(Base_IFData!O1119),ISNUMBER(Base_IFData!Q1119)),IF(Base_IFData!Q1119&gt;0,Base_IFData!O1119/Base_IFData!Q1119,"PL ≤ 0"),"NI")</f>
        <v>0.76202389461860509</v>
      </c>
      <c r="O1118" s="110">
        <f>IF(AND(ISNUMBER(Base_IFData!M1119),ISNUMBER(Base_IFData!Q1119)),IF(Base_IFData!Q1119&gt;0,Base_IFData!M1119/Base_IFData!Q1119,"PL ≤ 0"),"NI")</f>
        <v>1.1161543959971407</v>
      </c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</row>
    <row r="1119" spans="1:30" ht="15" customHeight="1" x14ac:dyDescent="0.2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15" t="str">
        <f>Base_IFData!A1120</f>
        <v>SER FINANCE SOCIEDADE DE CRÉDITO DIRETO S.A.</v>
      </c>
      <c r="L1119" s="15" t="str">
        <f>Base_IFData!F1120</f>
        <v>n1</v>
      </c>
      <c r="M1119" s="17" t="str">
        <f>IF(AND(ISNUMBER(Base_IFData!L1120),ISNUMBER(Base_IFData!W1120)),IF(Base_IFData!L1120&gt;$B$4,Base_IFData!W1120,""),"")</f>
        <v/>
      </c>
      <c r="N1119" s="50">
        <f>IF(AND(ISNUMBER(Base_IFData!O1120),ISNUMBER(Base_IFData!Q1120)),IF(Base_IFData!Q1120&gt;0,Base_IFData!O1120/Base_IFData!Q1120,"PL ≤ 0"),"NI")</f>
        <v>0.78649740334679741</v>
      </c>
      <c r="O1119" s="107">
        <f>IF(AND(ISNUMBER(Base_IFData!M1120),ISNUMBER(Base_IFData!Q1120)),IF(Base_IFData!Q1120&gt;0,Base_IFData!M1120/Base_IFData!Q1120,"PL ≤ 0"),"NI")</f>
        <v>0.15071080102816975</v>
      </c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</row>
    <row r="1120" spans="1:30" ht="15" customHeight="1" x14ac:dyDescent="0.2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12" t="str">
        <f>Base_IFData!A1121</f>
        <v>PAGSMILE INSTITUIÇÃO DE PAGAMENTO LTDA.</v>
      </c>
      <c r="L1120" s="12" t="str">
        <f>Base_IFData!F1121</f>
        <v>n4</v>
      </c>
      <c r="M1120" s="14" t="str">
        <f>IF(AND(ISNUMBER(Base_IFData!L1121),ISNUMBER(Base_IFData!W1121)),IF(Base_IFData!L1121&gt;$B$4,Base_IFData!W1121,""),"")</f>
        <v/>
      </c>
      <c r="N1120" s="51">
        <f>IF(AND(ISNUMBER(Base_IFData!O1121),ISNUMBER(Base_IFData!Q1121)),IF(Base_IFData!Q1121&gt;0,Base_IFData!O1121/Base_IFData!Q1121,"PL ≤ 0"),"NI")</f>
        <v>1.4837786259541985</v>
      </c>
      <c r="O1120" s="110">
        <f>IF(AND(ISNUMBER(Base_IFData!M1121),ISNUMBER(Base_IFData!Q1121)),IF(Base_IFData!Q1121&gt;0,Base_IFData!M1121/Base_IFData!Q1121,"PL ≤ 0"),"NI")</f>
        <v>0</v>
      </c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</row>
    <row r="1121" spans="1:30" ht="15" customHeight="1" x14ac:dyDescent="0.2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15" t="str">
        <f>Base_IFData!A1122</f>
        <v>WOH INSTITUICAO DE PAGAMENTO LTDA</v>
      </c>
      <c r="L1121" s="15" t="str">
        <f>Base_IFData!F1122</f>
        <v>n4</v>
      </c>
      <c r="M1121" s="17" t="str">
        <f>IF(AND(ISNUMBER(Base_IFData!L1122),ISNUMBER(Base_IFData!W1122)),IF(Base_IFData!L1122&gt;$B$4,Base_IFData!W1122,""),"")</f>
        <v/>
      </c>
      <c r="N1121" s="50">
        <f>IF(AND(ISNUMBER(Base_IFData!O1122),ISNUMBER(Base_IFData!Q1122)),IF(Base_IFData!Q1122&gt;0,Base_IFData!O1122/Base_IFData!Q1122,"PL ≤ 0"),"NI")</f>
        <v>6.8142393320964754</v>
      </c>
      <c r="O1121" s="107">
        <f>IF(AND(ISNUMBER(Base_IFData!M1122),ISNUMBER(Base_IFData!Q1122)),IF(Base_IFData!Q1122&gt;0,Base_IFData!M1122/Base_IFData!Q1122,"PL ≤ 0"),"NI")</f>
        <v>0</v>
      </c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</row>
    <row r="1122" spans="1:30" ht="15" customHeight="1" x14ac:dyDescent="0.2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12" t="str">
        <f>Base_IFData!A1123</f>
        <v>FESTOR INSTITUIÇÃO DE PAGAMENTO LTDA.</v>
      </c>
      <c r="L1122" s="12" t="str">
        <f>Base_IFData!F1123</f>
        <v>n4</v>
      </c>
      <c r="M1122" s="14" t="str">
        <f>IF(AND(ISNUMBER(Base_IFData!L1123),ISNUMBER(Base_IFData!W1123)),IF(Base_IFData!L1123&gt;$B$4,Base_IFData!W1123,""),"")</f>
        <v/>
      </c>
      <c r="N1122" s="51">
        <f>IF(AND(ISNUMBER(Base_IFData!O1123),ISNUMBER(Base_IFData!Q1123)),IF(Base_IFData!Q1123&gt;0,Base_IFData!O1123/Base_IFData!Q1123,"PL ≤ 0"),"NI")</f>
        <v>5.0970311368573498</v>
      </c>
      <c r="O1122" s="110">
        <f>IF(AND(ISNUMBER(Base_IFData!M1123),ISNUMBER(Base_IFData!Q1123)),IF(Base_IFData!Q1123&gt;0,Base_IFData!M1123/Base_IFData!Q1123,"PL ≤ 0"),"NI")</f>
        <v>0</v>
      </c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</row>
    <row r="1123" spans="1:30" ht="15" customHeight="1" x14ac:dyDescent="0.2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15" t="str">
        <f>Base_IFData!A1124</f>
        <v>BPY CORRETORA DE CÂMBIO, TÍTULOS E VALORES MOBILIÁRIOS S.A.</v>
      </c>
      <c r="L1123" s="15" t="str">
        <f>Base_IFData!F1124</f>
        <v>n2</v>
      </c>
      <c r="M1123" s="17" t="str">
        <f>IF(AND(ISNUMBER(Base_IFData!L1124),ISNUMBER(Base_IFData!W1124)),IF(Base_IFData!L1124&gt;$B$4,Base_IFData!W1124,""),"")</f>
        <v/>
      </c>
      <c r="N1123" s="50">
        <f>IF(AND(ISNUMBER(Base_IFData!O1124),ISNUMBER(Base_IFData!Q1124)),IF(Base_IFData!Q1124&gt;0,Base_IFData!O1124/Base_IFData!Q1124,"PL ≤ 0"),"NI")</f>
        <v>3.3596260205425335</v>
      </c>
      <c r="O1123" s="107">
        <f>IF(AND(ISNUMBER(Base_IFData!M1124),ISNUMBER(Base_IFData!Q1124)),IF(Base_IFData!Q1124&gt;0,Base_IFData!M1124/Base_IFData!Q1124,"PL ≤ 0"),"NI")</f>
        <v>0</v>
      </c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</row>
    <row r="1124" spans="1:30" ht="15" customHeight="1" x14ac:dyDescent="0.2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12" t="str">
        <f>Base_IFData!A1125</f>
        <v>COMPREV - CRÉDITO, FINANCIAMENTO E INVESTIMENTO S.A.</v>
      </c>
      <c r="L1124" s="12" t="str">
        <f>Base_IFData!F1125</f>
        <v>n1</v>
      </c>
      <c r="M1124" s="14" t="str">
        <f>IF(AND(ISNUMBER(Base_IFData!L1125),ISNUMBER(Base_IFData!W1125)),IF(Base_IFData!L1125&gt;$B$4,Base_IFData!W1125,""),"")</f>
        <v/>
      </c>
      <c r="N1124" s="51">
        <f>IF(AND(ISNUMBER(Base_IFData!O1125),ISNUMBER(Base_IFData!Q1125)),IF(Base_IFData!Q1125&gt;0,Base_IFData!O1125/Base_IFData!Q1125,"PL ≤ 0"),"NI")</f>
        <v>7.9788866384336837E-3</v>
      </c>
      <c r="O1124" s="110">
        <f>IF(AND(ISNUMBER(Base_IFData!M1125),ISNUMBER(Base_IFData!Q1125)),IF(Base_IFData!Q1125&gt;0,Base_IFData!M1125/Base_IFData!Q1125,"PL ≤ 0"),"NI")</f>
        <v>9.4948750997360831E-2</v>
      </c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</row>
    <row r="1125" spans="1:30" ht="15" customHeight="1" x14ac:dyDescent="0.2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15" t="str">
        <f>Base_IFData!A1126</f>
        <v>CORRETORA DE CÂMBIO AÇORIANA LIMITADA.</v>
      </c>
      <c r="L1125" s="15" t="str">
        <f>Base_IFData!F1126</f>
        <v>n2</v>
      </c>
      <c r="M1125" s="17" t="str">
        <f>IF(AND(ISNUMBER(Base_IFData!L1126),ISNUMBER(Base_IFData!W1126)),IF(Base_IFData!L1126&gt;$B$4,Base_IFData!W1126,""),"")</f>
        <v/>
      </c>
      <c r="N1125" s="50">
        <f>IF(AND(ISNUMBER(Base_IFData!O1126),ISNUMBER(Base_IFData!Q1126)),IF(Base_IFData!Q1126&gt;0,Base_IFData!O1126/Base_IFData!Q1126,"PL ≤ 0"),"NI")</f>
        <v>13.761430511543685</v>
      </c>
      <c r="O1125" s="107">
        <f>IF(AND(ISNUMBER(Base_IFData!M1126),ISNUMBER(Base_IFData!Q1126)),IF(Base_IFData!Q1126&gt;0,Base_IFData!M1126/Base_IFData!Q1126,"PL ≤ 0"),"NI")</f>
        <v>0</v>
      </c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</row>
    <row r="1126" spans="1:30" ht="15" customHeight="1" x14ac:dyDescent="0.2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12" t="str">
        <f>Base_IFData!A1127</f>
        <v>COOPERATIVA DE CREDITO RURAL DE IBIAM - SULCREDI/IBIAM</v>
      </c>
      <c r="L1126" s="12" t="str">
        <f>Base_IFData!F1127</f>
        <v>b3S</v>
      </c>
      <c r="M1126" s="14" t="str">
        <f>IF(AND(ISNUMBER(Base_IFData!L1127),ISNUMBER(Base_IFData!W1127)),IF(Base_IFData!L1127&gt;$B$4,Base_IFData!W1127,""),"")</f>
        <v/>
      </c>
      <c r="N1126" s="51">
        <f>IF(AND(ISNUMBER(Base_IFData!O1127),ISNUMBER(Base_IFData!Q1127)),IF(Base_IFData!Q1127&gt;0,Base_IFData!O1127/Base_IFData!Q1127,"PL ≤ 0"),"NI")</f>
        <v>13.596853932584269</v>
      </c>
      <c r="O1126" s="110">
        <f>IF(AND(ISNUMBER(Base_IFData!M1127),ISNUMBER(Base_IFData!Q1127)),IF(Base_IFData!Q1127&gt;0,Base_IFData!M1127/Base_IFData!Q1127,"PL ≤ 0"),"NI")</f>
        <v>6.0597752808988767</v>
      </c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</row>
    <row r="1127" spans="1:30" ht="15" customHeight="1" x14ac:dyDescent="0.2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15" t="str">
        <f>Base_IFData!A1128</f>
        <v>F.D'GOLD - DISTRIBUIDORA DE TÍTULOS E VALORES MOBILIÁRIOS LTDA.</v>
      </c>
      <c r="L1127" s="15" t="str">
        <f>Base_IFData!F1128</f>
        <v>n2</v>
      </c>
      <c r="M1127" s="17" t="str">
        <f>IF(AND(ISNUMBER(Base_IFData!L1128),ISNUMBER(Base_IFData!W1128)),IF(Base_IFData!L1128&gt;$B$4,Base_IFData!W1128,""),"")</f>
        <v/>
      </c>
      <c r="N1127" s="50">
        <f>IF(AND(ISNUMBER(Base_IFData!O1128),ISNUMBER(Base_IFData!Q1128)),IF(Base_IFData!Q1128&gt;0,Base_IFData!O1128/Base_IFData!Q1128,"PL ≤ 0"),"NI")</f>
        <v>0.13090578697232316</v>
      </c>
      <c r="O1127" s="107">
        <f>IF(AND(ISNUMBER(Base_IFData!M1128),ISNUMBER(Base_IFData!Q1128)),IF(Base_IFData!Q1128&gt;0,Base_IFData!M1128/Base_IFData!Q1128,"PL ≤ 0"),"NI")</f>
        <v>0</v>
      </c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</row>
    <row r="1128" spans="1:30" ht="15" customHeight="1" x14ac:dyDescent="0.2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12" t="str">
        <f>Base_IFData!A1129</f>
        <v>BANCO PORTO REAL DE INVESTIMENTOS S.A</v>
      </c>
      <c r="L1128" s="12" t="str">
        <f>Base_IFData!F1129</f>
        <v>b2</v>
      </c>
      <c r="M1128" s="14" t="str">
        <f>IF(AND(ISNUMBER(Base_IFData!L1129),ISNUMBER(Base_IFData!W1129)),IF(Base_IFData!L1129&gt;$B$4,Base_IFData!W1129,""),"")</f>
        <v/>
      </c>
      <c r="N1128" s="51">
        <f>IF(AND(ISNUMBER(Base_IFData!O1129),ISNUMBER(Base_IFData!Q1129)),IF(Base_IFData!Q1129&gt;0,Base_IFData!O1129/Base_IFData!Q1129,"PL ≤ 0"),"NI")</f>
        <v>1.8149049862459292E-2</v>
      </c>
      <c r="O1128" s="110">
        <f>IF(AND(ISNUMBER(Base_IFData!M1129),ISNUMBER(Base_IFData!Q1129)),IF(Base_IFData!Q1129&gt;0,Base_IFData!M1129/Base_IFData!Q1129,"PL ≤ 0"),"NI")</f>
        <v>0.26897903689885222</v>
      </c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</row>
    <row r="1129" spans="1:30" ht="15" customHeight="1" x14ac:dyDescent="0.2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15" t="str">
        <f>Base_IFData!A1130</f>
        <v>UNIDA DISTRIBUIDORA DE TÍTULOS E VALORES MOBILIÁRIOS LTDA.</v>
      </c>
      <c r="L1129" s="15" t="str">
        <f>Base_IFData!F1130</f>
        <v>n2</v>
      </c>
      <c r="M1129" s="17" t="str">
        <f>IF(AND(ISNUMBER(Base_IFData!L1130),ISNUMBER(Base_IFData!W1130)),IF(Base_IFData!L1130&gt;$B$4,Base_IFData!W1130,""),"")</f>
        <v/>
      </c>
      <c r="N1129" s="50">
        <f>IF(AND(ISNUMBER(Base_IFData!O1130),ISNUMBER(Base_IFData!Q1130)),IF(Base_IFData!Q1130&gt;0,Base_IFData!O1130/Base_IFData!Q1130,"PL ≤ 0"),"NI")</f>
        <v>0.54889969663408289</v>
      </c>
      <c r="O1129" s="107">
        <f>IF(AND(ISNUMBER(Base_IFData!M1130),ISNUMBER(Base_IFData!Q1130)),IF(Base_IFData!Q1130&gt;0,Base_IFData!M1130/Base_IFData!Q1130,"PL ≤ 0"),"NI")</f>
        <v>0</v>
      </c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</row>
    <row r="1130" spans="1:30" ht="15" customHeight="1" x14ac:dyDescent="0.2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12" t="str">
        <f>Base_IFData!A1131</f>
        <v>COOPERATIVA DE CRÉDITO DOS FORNECEDORES DE CANA DE BARRA BONITA E REGIÃO</v>
      </c>
      <c r="L1130" s="12" t="str">
        <f>Base_IFData!F1131</f>
        <v>b3S</v>
      </c>
      <c r="M1130" s="14" t="str">
        <f>IF(AND(ISNUMBER(Base_IFData!L1131),ISNUMBER(Base_IFData!W1131)),IF(Base_IFData!L1131&gt;$B$4,Base_IFData!W1131,""),"")</f>
        <v/>
      </c>
      <c r="N1130" s="51">
        <f>IF(AND(ISNUMBER(Base_IFData!O1131),ISNUMBER(Base_IFData!Q1131)),IF(Base_IFData!Q1131&gt;0,Base_IFData!O1131/Base_IFData!Q1131,"PL ≤ 0"),"NI")</f>
        <v>0.23866790009250693</v>
      </c>
      <c r="O1130" s="110">
        <f>IF(AND(ISNUMBER(Base_IFData!M1131),ISNUMBER(Base_IFData!Q1131)),IF(Base_IFData!Q1131&gt;0,Base_IFData!M1131/Base_IFData!Q1131,"PL ≤ 0"),"NI")</f>
        <v>0.77771353684859701</v>
      </c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</row>
    <row r="1131" spans="1:30" ht="15" customHeight="1" x14ac:dyDescent="0.2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15" t="str">
        <f>Base_IFData!A1132</f>
        <v>VIVO PAY SOCIEDADE DE CRÉDITO DIRETO S.A.</v>
      </c>
      <c r="L1131" s="15" t="str">
        <f>Base_IFData!F1132</f>
        <v>n1</v>
      </c>
      <c r="M1131" s="17" t="str">
        <f>IF(AND(ISNUMBER(Base_IFData!L1132),ISNUMBER(Base_IFData!W1132)),IF(Base_IFData!L1132&gt;$B$4,Base_IFData!W1132,""),"")</f>
        <v/>
      </c>
      <c r="N1131" s="50">
        <f>IF(AND(ISNUMBER(Base_IFData!O1132),ISNUMBER(Base_IFData!Q1132)),IF(Base_IFData!Q1132&gt;0,Base_IFData!O1132/Base_IFData!Q1132,"PL ≤ 0"),"NI")</f>
        <v>0.2448693484948791</v>
      </c>
      <c r="O1131" s="107">
        <f>IF(AND(ISNUMBER(Base_IFData!M1132),ISNUMBER(Base_IFData!Q1132)),IF(Base_IFData!Q1132&gt;0,Base_IFData!M1132/Base_IFData!Q1132,"PL ≤ 0"),"NI")</f>
        <v>0</v>
      </c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</row>
    <row r="1132" spans="1:30" ht="15" customHeight="1" x14ac:dyDescent="0.2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12" t="str">
        <f>Base_IFData!A1133</f>
        <v>PAGHIPER INSTITUIÇAO DE PAGAMENTO LTDA.</v>
      </c>
      <c r="L1132" s="12" t="str">
        <f>Base_IFData!F1133</f>
        <v>n4</v>
      </c>
      <c r="M1132" s="14" t="str">
        <f>IF(AND(ISNUMBER(Base_IFData!L1133),ISNUMBER(Base_IFData!W1133)),IF(Base_IFData!L1133&gt;$B$4,Base_IFData!W1133,""),"")</f>
        <v/>
      </c>
      <c r="N1132" s="51">
        <f>IF(AND(ISNUMBER(Base_IFData!O1133),ISNUMBER(Base_IFData!Q1133)),IF(Base_IFData!Q1133&gt;0,Base_IFData!O1133/Base_IFData!Q1133,"PL ≤ 0"),"NI")</f>
        <v>5.0481607887751236</v>
      </c>
      <c r="O1132" s="110">
        <f>IF(AND(ISNUMBER(Base_IFData!M1133),ISNUMBER(Base_IFData!Q1133)),IF(Base_IFData!Q1133&gt;0,Base_IFData!M1133/Base_IFData!Q1133,"PL ≤ 0"),"NI")</f>
        <v>0</v>
      </c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</row>
    <row r="1133" spans="1:30" ht="15" customHeight="1" x14ac:dyDescent="0.2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15" t="str">
        <f>Base_IFData!A1134</f>
        <v>BOCOM BBM CORRETORA DE CÂMBIO E VALORES MOBILIÁRIOS S.A.</v>
      </c>
      <c r="L1133" s="15" t="str">
        <f>Base_IFData!F1134</f>
        <v>n2</v>
      </c>
      <c r="M1133" s="17" t="str">
        <f>IF(AND(ISNUMBER(Base_IFData!L1134),ISNUMBER(Base_IFData!W1134)),IF(Base_IFData!L1134&gt;$B$4,Base_IFData!W1134,""),"")</f>
        <v/>
      </c>
      <c r="N1133" s="50">
        <f>IF(AND(ISNUMBER(Base_IFData!O1134),ISNUMBER(Base_IFData!Q1134)),IF(Base_IFData!Q1134&gt;0,Base_IFData!O1134/Base_IFData!Q1134,"PL ≤ 0"),"NI")</f>
        <v>0.14150030464857891</v>
      </c>
      <c r="O1133" s="107">
        <f>IF(AND(ISNUMBER(Base_IFData!M1134),ISNUMBER(Base_IFData!Q1134)),IF(Base_IFData!Q1134&gt;0,Base_IFData!M1134/Base_IFData!Q1134,"PL ≤ 0"),"NI")</f>
        <v>0</v>
      </c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</row>
    <row r="1134" spans="1:30" ht="15" customHeight="1" x14ac:dyDescent="0.2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12" t="str">
        <f>Base_IFData!A1135</f>
        <v>AWX BRASIL  INSTITUICAO DE PAGAMENTO LTDA</v>
      </c>
      <c r="L1134" s="12" t="str">
        <f>Base_IFData!F1135</f>
        <v>n4</v>
      </c>
      <c r="M1134" s="14" t="str">
        <f>IF(AND(ISNUMBER(Base_IFData!L1135),ISNUMBER(Base_IFData!W1135)),IF(Base_IFData!L1135&gt;$B$4,Base_IFData!W1135,""),"")</f>
        <v/>
      </c>
      <c r="N1134" s="51">
        <f>IF(AND(ISNUMBER(Base_IFData!O1135),ISNUMBER(Base_IFData!Q1135)),IF(Base_IFData!Q1135&gt;0,Base_IFData!O1135/Base_IFData!Q1135,"PL ≤ 0"),"NI")</f>
        <v>3.9447796432318993E-2</v>
      </c>
      <c r="O1134" s="110">
        <f>IF(AND(ISNUMBER(Base_IFData!M1135),ISNUMBER(Base_IFData!Q1135)),IF(Base_IFData!Q1135&gt;0,Base_IFData!M1135/Base_IFData!Q1135,"PL ≤ 0"),"NI")</f>
        <v>0</v>
      </c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</row>
    <row r="1135" spans="1:30" ht="15" customHeight="1" x14ac:dyDescent="0.2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15" t="str">
        <f>Base_IFData!A1136</f>
        <v>CRESERV CREDISIS - COOPERATIVA DE ECONOMIA E CRÉDITO MÚTUO DOS SERVIDORES PÚBLICOS DE PINHÃO</v>
      </c>
      <c r="L1135" s="15" t="str">
        <f>Base_IFData!F1136</f>
        <v>b3S</v>
      </c>
      <c r="M1135" s="17" t="str">
        <f>IF(AND(ISNUMBER(Base_IFData!L1136),ISNUMBER(Base_IFData!W1136)),IF(Base_IFData!L1136&gt;$B$4,Base_IFData!W1136,""),"")</f>
        <v/>
      </c>
      <c r="N1135" s="50">
        <f>IF(AND(ISNUMBER(Base_IFData!O1136),ISNUMBER(Base_IFData!Q1136)),IF(Base_IFData!Q1136&gt;0,Base_IFData!O1136/Base_IFData!Q1136,"PL ≤ 0"),"NI")</f>
        <v>2.3816254416961131</v>
      </c>
      <c r="O1135" s="107">
        <f>IF(AND(ISNUMBER(Base_IFData!M1136),ISNUMBER(Base_IFData!Q1136)),IF(Base_IFData!Q1136&gt;0,Base_IFData!M1136/Base_IFData!Q1136,"PL ≤ 0"),"NI")</f>
        <v>2.1540850198094015</v>
      </c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</row>
    <row r="1136" spans="1:30" ht="15" customHeight="1" x14ac:dyDescent="0.2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12" t="str">
        <f>Base_IFData!A1137</f>
        <v>COOPERATIVA DE ECONOMIA E CRÉDITO MÚTUO DOS FUNCIONÁRIOS DA ERICSSON - COOPERICSSON</v>
      </c>
      <c r="L1136" s="12" t="str">
        <f>Base_IFData!F1137</f>
        <v>b3S</v>
      </c>
      <c r="M1136" s="14" t="str">
        <f>IF(AND(ISNUMBER(Base_IFData!L1137),ISNUMBER(Base_IFData!W1137)),IF(Base_IFData!L1137&gt;$B$4,Base_IFData!W1137,""),"")</f>
        <v/>
      </c>
      <c r="N1136" s="51">
        <f>IF(AND(ISNUMBER(Base_IFData!O1137),ISNUMBER(Base_IFData!Q1137)),IF(Base_IFData!Q1137&gt;0,Base_IFData!O1137/Base_IFData!Q1137,"PL ≤ 0"),"NI")</f>
        <v>2.158623148478268E-2</v>
      </c>
      <c r="O1136" s="110">
        <f>IF(AND(ISNUMBER(Base_IFData!M1137),ISNUMBER(Base_IFData!Q1137)),IF(Base_IFData!Q1137&gt;0,Base_IFData!M1137/Base_IFData!Q1137,"PL ≤ 0"),"NI")</f>
        <v>0.42579327780118625</v>
      </c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</row>
    <row r="1137" spans="1:30" ht="15" customHeight="1" x14ac:dyDescent="0.2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15" t="str">
        <f>Base_IFData!A1138</f>
        <v>PROTOTYPE INSTITUICAO DE PAGAMENTO S.A.</v>
      </c>
      <c r="L1137" s="15" t="str">
        <f>Base_IFData!F1138</f>
        <v>n4</v>
      </c>
      <c r="M1137" s="17" t="str">
        <f>IF(AND(ISNUMBER(Base_IFData!L1138),ISNUMBER(Base_IFData!W1138)),IF(Base_IFData!L1138&gt;$B$4,Base_IFData!W1138,""),"")</f>
        <v/>
      </c>
      <c r="N1137" s="50">
        <f>IF(AND(ISNUMBER(Base_IFData!O1138),ISNUMBER(Base_IFData!Q1138)),IF(Base_IFData!Q1138&gt;0,Base_IFData!O1138/Base_IFData!Q1138,"PL ≤ 0"),"NI")</f>
        <v>1.8055855855855856</v>
      </c>
      <c r="O1137" s="107">
        <f>IF(AND(ISNUMBER(Base_IFData!M1138),ISNUMBER(Base_IFData!Q1138)),IF(Base_IFData!Q1138&gt;0,Base_IFData!M1138/Base_IFData!Q1138,"PL ≤ 0"),"NI")</f>
        <v>0</v>
      </c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</row>
    <row r="1138" spans="1:30" ht="15" customHeight="1" x14ac:dyDescent="0.2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12" t="str">
        <f>Base_IFData!A1139</f>
        <v>CLARO PAY S.A. - INSTITUIÇÃO DE PAGAMENTO</v>
      </c>
      <c r="L1138" s="12" t="str">
        <f>Base_IFData!F1139</f>
        <v>n4</v>
      </c>
      <c r="M1138" s="14" t="str">
        <f>IF(AND(ISNUMBER(Base_IFData!L1139),ISNUMBER(Base_IFData!W1139)),IF(Base_IFData!L1139&gt;$B$4,Base_IFData!W1139,""),"")</f>
        <v/>
      </c>
      <c r="N1138" s="51">
        <f>IF(AND(ISNUMBER(Base_IFData!O1139),ISNUMBER(Base_IFData!Q1139)),IF(Base_IFData!Q1139&gt;0,Base_IFData!O1139/Base_IFData!Q1139,"PL ≤ 0"),"NI")</f>
        <v>2.4482643524699599</v>
      </c>
      <c r="O1138" s="110">
        <f>IF(AND(ISNUMBER(Base_IFData!M1139),ISNUMBER(Base_IFData!Q1139)),IF(Base_IFData!Q1139&gt;0,Base_IFData!M1139/Base_IFData!Q1139,"PL ≤ 0"),"NI")</f>
        <v>0</v>
      </c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</row>
    <row r="1139" spans="1:30" ht="15" customHeight="1" x14ac:dyDescent="0.2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15" t="str">
        <f>Base_IFData!A1140</f>
        <v>PORTOPAR DISTRIBUIDORA DE TITULOS E VALORES MOBILIARIOS LTDA.</v>
      </c>
      <c r="L1139" s="15" t="str">
        <f>Base_IFData!F1140</f>
        <v>n2</v>
      </c>
      <c r="M1139" s="17" t="str">
        <f>IF(AND(ISNUMBER(Base_IFData!L1140),ISNUMBER(Base_IFData!W1140)),IF(Base_IFData!L1140&gt;$B$4,Base_IFData!W1140,""),"")</f>
        <v/>
      </c>
      <c r="N1139" s="50">
        <f>IF(AND(ISNUMBER(Base_IFData!O1140),ISNUMBER(Base_IFData!Q1140)),IF(Base_IFData!Q1140&gt;0,Base_IFData!O1140/Base_IFData!Q1140,"PL ≤ 0"),"NI")</f>
        <v>0.23908064451319966</v>
      </c>
      <c r="O1139" s="107">
        <f>IF(AND(ISNUMBER(Base_IFData!M1140),ISNUMBER(Base_IFData!Q1140)),IF(Base_IFData!Q1140&gt;0,Base_IFData!M1140/Base_IFData!Q1140,"PL ≤ 0"),"NI")</f>
        <v>0</v>
      </c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</row>
    <row r="1140" spans="1:30" ht="15" customHeight="1" x14ac:dyDescent="0.2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12" t="str">
        <f>Base_IFData!A1141</f>
        <v>COOPERATIVA DE ECONOMIA E CRÉDITO MÚTUO DOS TRABALHADORES DA CIA. DE PROCESSAMENTO DE DADOS DO ESTADO DE SÃO PAULO - CREDIPRODESP</v>
      </c>
      <c r="L1140" s="12" t="str">
        <f>Base_IFData!F1141</f>
        <v>b3S</v>
      </c>
      <c r="M1140" s="14" t="str">
        <f>IF(AND(ISNUMBER(Base_IFData!L1141),ISNUMBER(Base_IFData!W1141)),IF(Base_IFData!L1141&gt;$B$4,Base_IFData!W1141,""),"")</f>
        <v/>
      </c>
      <c r="N1140" s="51">
        <f>IF(AND(ISNUMBER(Base_IFData!O1141),ISNUMBER(Base_IFData!Q1141)),IF(Base_IFData!Q1141&gt;0,Base_IFData!O1141/Base_IFData!Q1141,"PL ≤ 0"),"NI")</f>
        <v>0.12686157561564637</v>
      </c>
      <c r="O1140" s="110">
        <f>IF(AND(ISNUMBER(Base_IFData!M1141),ISNUMBER(Base_IFData!Q1141)),IF(Base_IFData!Q1141&gt;0,Base_IFData!M1141/Base_IFData!Q1141,"PL ≤ 0"),"NI")</f>
        <v>0.31567199677997732</v>
      </c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</row>
    <row r="1141" spans="1:30" ht="15" customHeight="1" x14ac:dyDescent="0.2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15" t="str">
        <f>Base_IFData!A1142</f>
        <v>PINTOS S.A. CREDITO, FINANCIAMENTO E INVESTIMENTO</v>
      </c>
      <c r="L1141" s="15" t="str">
        <f>Base_IFData!F1142</f>
        <v>n1</v>
      </c>
      <c r="M1141" s="17" t="str">
        <f>IF(AND(ISNUMBER(Base_IFData!L1142),ISNUMBER(Base_IFData!W1142)),IF(Base_IFData!L1142&gt;$B$4,Base_IFData!W1142,""),"")</f>
        <v/>
      </c>
      <c r="N1141" s="50">
        <f>IF(AND(ISNUMBER(Base_IFData!O1142),ISNUMBER(Base_IFData!Q1142)),IF(Base_IFData!Q1142&gt;0,Base_IFData!O1142/Base_IFData!Q1142,"PL ≤ 0"),"NI")</f>
        <v>1.1290269178558422E-2</v>
      </c>
      <c r="O1141" s="107">
        <f>IF(AND(ISNUMBER(Base_IFData!M1142),ISNUMBER(Base_IFData!Q1142)),IF(Base_IFData!Q1142&gt;0,Base_IFData!M1142/Base_IFData!Q1142,"PL ≤ 0"),"NI")</f>
        <v>2.9798364400887328E-3</v>
      </c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</row>
    <row r="1142" spans="1:30" ht="15" customHeight="1" x14ac:dyDescent="0.2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12" t="str">
        <f>Base_IFData!A1143</f>
        <v>COOPERATIVA DE CRÉDITO SICOOB CREDMETAL</v>
      </c>
      <c r="L1142" s="12" t="str">
        <f>Base_IFData!F1143</f>
        <v>b3S</v>
      </c>
      <c r="M1142" s="14" t="str">
        <f>IF(AND(ISNUMBER(Base_IFData!L1143),ISNUMBER(Base_IFData!W1143)),IF(Base_IFData!L1143&gt;$B$4,Base_IFData!W1143,""),"")</f>
        <v/>
      </c>
      <c r="N1142" s="51">
        <f>IF(AND(ISNUMBER(Base_IFData!O1143),ISNUMBER(Base_IFData!Q1143)),IF(Base_IFData!Q1143&gt;0,Base_IFData!O1143/Base_IFData!Q1143,"PL ≤ 0"),"NI")</f>
        <v>1.5125258371227781</v>
      </c>
      <c r="O1142" s="110">
        <f>IF(AND(ISNUMBER(Base_IFData!M1143),ISNUMBER(Base_IFData!Q1143)),IF(Base_IFData!Q1143&gt;0,Base_IFData!M1143/Base_IFData!Q1143,"PL ≤ 0"),"NI")</f>
        <v>1.0464654816039687</v>
      </c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</row>
    <row r="1143" spans="1:30" ht="15" customHeight="1" x14ac:dyDescent="0.2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15" t="str">
        <f>Base_IFData!A1144</f>
        <v>BANVOX DISTRIBUIDORA DE TÍTULOS E VALORES MOBILIÁRIOS LTDA</v>
      </c>
      <c r="L1143" s="15" t="str">
        <f>Base_IFData!F1144</f>
        <v>n2</v>
      </c>
      <c r="M1143" s="17" t="str">
        <f>IF(AND(ISNUMBER(Base_IFData!L1144),ISNUMBER(Base_IFData!W1144)),IF(Base_IFData!L1144&gt;$B$4,Base_IFData!W1144,""),"")</f>
        <v/>
      </c>
      <c r="N1143" s="50">
        <f>IF(AND(ISNUMBER(Base_IFData!O1144),ISNUMBER(Base_IFData!Q1144)),IF(Base_IFData!Q1144&gt;0,Base_IFData!O1144/Base_IFData!Q1144,"PL ≤ 0"),"NI")</f>
        <v>4.7373447946513849</v>
      </c>
      <c r="O1143" s="107">
        <f>IF(AND(ISNUMBER(Base_IFData!M1144),ISNUMBER(Base_IFData!Q1144)),IF(Base_IFData!Q1144&gt;0,Base_IFData!M1144/Base_IFData!Q1144,"PL ≤ 0"),"NI")</f>
        <v>0</v>
      </c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</row>
    <row r="1144" spans="1:30" ht="15" customHeight="1" x14ac:dyDescent="0.2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12" t="str">
        <f>Base_IFData!A1145</f>
        <v>PAGOL SOCIEDADE DE CRÉDITO DIRETO S.A.</v>
      </c>
      <c r="L1144" s="12" t="str">
        <f>Base_IFData!F1145</f>
        <v>n1</v>
      </c>
      <c r="M1144" s="14" t="str">
        <f>IF(AND(ISNUMBER(Base_IFData!L1145),ISNUMBER(Base_IFData!W1145)),IF(Base_IFData!L1145&gt;$B$4,Base_IFData!W1145,""),"")</f>
        <v/>
      </c>
      <c r="N1144" s="51">
        <f>IF(AND(ISNUMBER(Base_IFData!O1145),ISNUMBER(Base_IFData!Q1145)),IF(Base_IFData!Q1145&gt;0,Base_IFData!O1145/Base_IFData!Q1145,"PL ≤ 0"),"NI")</f>
        <v>1.1191116140896873</v>
      </c>
      <c r="O1144" s="110">
        <f>IF(AND(ISNUMBER(Base_IFData!M1145),ISNUMBER(Base_IFData!Q1145)),IF(Base_IFData!Q1145&gt;0,Base_IFData!M1145/Base_IFData!Q1145,"PL ≤ 0"),"NI")</f>
        <v>0</v>
      </c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</row>
    <row r="1145" spans="1:30" ht="15" customHeight="1" x14ac:dyDescent="0.2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15" t="str">
        <f>Base_IFData!A1146</f>
        <v>CREDIFIT SOCIEDADE DE CRÉDITO DIRETO S.A.</v>
      </c>
      <c r="L1145" s="15" t="str">
        <f>Base_IFData!F1146</f>
        <v>n1</v>
      </c>
      <c r="M1145" s="17" t="str">
        <f>IF(AND(ISNUMBER(Base_IFData!L1146),ISNUMBER(Base_IFData!W1146)),IF(Base_IFData!L1146&gt;$B$4,Base_IFData!W1146,""),"")</f>
        <v/>
      </c>
      <c r="N1145" s="50">
        <f>IF(AND(ISNUMBER(Base_IFData!O1146),ISNUMBER(Base_IFData!Q1146)),IF(Base_IFData!Q1146&gt;0,Base_IFData!O1146/Base_IFData!Q1146,"PL ≤ 0"),"NI")</f>
        <v>2.5106058830423064</v>
      </c>
      <c r="O1145" s="107">
        <f>IF(AND(ISNUMBER(Base_IFData!M1146),ISNUMBER(Base_IFData!Q1146)),IF(Base_IFData!Q1146&gt;0,Base_IFData!M1146/Base_IFData!Q1146,"PL ≤ 0"),"NI")</f>
        <v>1.1142622758701513</v>
      </c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</row>
    <row r="1146" spans="1:30" ht="15" customHeight="1" x14ac:dyDescent="0.2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12" t="str">
        <f>Base_IFData!A1147</f>
        <v>WASU - WALLET SUPPORT INSTITUIÇÃO DE PAGAMENTO LTDA</v>
      </c>
      <c r="L1146" s="12" t="str">
        <f>Base_IFData!F1147</f>
        <v>n4</v>
      </c>
      <c r="M1146" s="14" t="str">
        <f>IF(AND(ISNUMBER(Base_IFData!L1147),ISNUMBER(Base_IFData!W1147)),IF(Base_IFData!L1147&gt;$B$4,Base_IFData!W1147,""),"")</f>
        <v/>
      </c>
      <c r="N1146" s="51">
        <f>IF(AND(ISNUMBER(Base_IFData!O1147),ISNUMBER(Base_IFData!Q1147)),IF(Base_IFData!Q1147&gt;0,Base_IFData!O1147/Base_IFData!Q1147,"PL ≤ 0"),"NI")</f>
        <v>4.1607173650629417</v>
      </c>
      <c r="O1146" s="110">
        <f>IF(AND(ISNUMBER(Base_IFData!M1147),ISNUMBER(Base_IFData!Q1147)),IF(Base_IFData!Q1147&gt;0,Base_IFData!M1147/Base_IFData!Q1147,"PL ≤ 0"),"NI")</f>
        <v>0</v>
      </c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</row>
    <row r="1147" spans="1:30" ht="15" customHeight="1" x14ac:dyDescent="0.2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15" t="str">
        <f>Base_IFData!A1148</f>
        <v>COOPERATIVA DE ECONOMIA E CRÉDITO MÚTUO DOS FUNCIONÁRIOS DA TETRA PAK</v>
      </c>
      <c r="L1147" s="15" t="str">
        <f>Base_IFData!F1148</f>
        <v>b3S</v>
      </c>
      <c r="M1147" s="17" t="str">
        <f>IF(AND(ISNUMBER(Base_IFData!L1148),ISNUMBER(Base_IFData!W1148)),IF(Base_IFData!L1148&gt;$B$4,Base_IFData!W1148,""),"")</f>
        <v/>
      </c>
      <c r="N1147" s="50">
        <f>IF(AND(ISNUMBER(Base_IFData!O1148),ISNUMBER(Base_IFData!Q1148)),IF(Base_IFData!Q1148&gt;0,Base_IFData!O1148/Base_IFData!Q1148,"PL ≤ 0"),"NI")</f>
        <v>1.0250215703192407E-2</v>
      </c>
      <c r="O1147" s="107">
        <f>IF(AND(ISNUMBER(Base_IFData!M1148),ISNUMBER(Base_IFData!Q1148)),IF(Base_IFData!Q1148&gt;0,Base_IFData!M1148/Base_IFData!Q1148,"PL ≤ 0"),"NI")</f>
        <v>0.58664365832614318</v>
      </c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</row>
    <row r="1148" spans="1:30" ht="15" customHeight="1" x14ac:dyDescent="0.2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12" t="str">
        <f>Base_IFData!A1149</f>
        <v>INTEGRAÇÃO DE CRÉDITO E COBRANÇA SOCIEDADE DE CRÉDITO DIRETO S.A.</v>
      </c>
      <c r="L1148" s="12" t="str">
        <f>Base_IFData!F1149</f>
        <v>n1</v>
      </c>
      <c r="M1148" s="14" t="str">
        <f>IF(AND(ISNUMBER(Base_IFData!L1149),ISNUMBER(Base_IFData!W1149)),IF(Base_IFData!L1149&gt;$B$4,Base_IFData!W1149,""),"")</f>
        <v/>
      </c>
      <c r="N1148" s="51">
        <f>IF(AND(ISNUMBER(Base_IFData!O1149),ISNUMBER(Base_IFData!Q1149)),IF(Base_IFData!Q1149&gt;0,Base_IFData!O1149/Base_IFData!Q1149,"PL ≤ 0"),"NI")</f>
        <v>4.5231437747969014</v>
      </c>
      <c r="O1148" s="110">
        <f>IF(AND(ISNUMBER(Base_IFData!M1149),ISNUMBER(Base_IFData!Q1149)),IF(Base_IFData!Q1149&gt;0,Base_IFData!M1149/Base_IFData!Q1149,"PL ≤ 0"),"NI")</f>
        <v>0.49140374078972227</v>
      </c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</row>
    <row r="1149" spans="1:30" ht="15" customHeight="1" x14ac:dyDescent="0.2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15" t="str">
        <f>Base_IFData!A1150</f>
        <v>ABN AMRO CLEARING CORRETORA DE TÍTULOS E VALORES MOBILIÁRIOS LTDA.</v>
      </c>
      <c r="L1149" s="15" t="str">
        <f>Base_IFData!F1150</f>
        <v>n2</v>
      </c>
      <c r="M1149" s="17" t="str">
        <f>IF(AND(ISNUMBER(Base_IFData!L1150),ISNUMBER(Base_IFData!W1150)),IF(Base_IFData!L1150&gt;$B$4,Base_IFData!W1150,""),"")</f>
        <v/>
      </c>
      <c r="N1149" s="50">
        <f>IF(AND(ISNUMBER(Base_IFData!O1150),ISNUMBER(Base_IFData!Q1150)),IF(Base_IFData!Q1150&gt;0,Base_IFData!O1150/Base_IFData!Q1150,"PL ≤ 0"),"NI")</f>
        <v>2.3101367515264041E-2</v>
      </c>
      <c r="O1149" s="107">
        <f>IF(AND(ISNUMBER(Base_IFData!M1150),ISNUMBER(Base_IFData!Q1150)),IF(Base_IFData!Q1150&gt;0,Base_IFData!M1150/Base_IFData!Q1150,"PL ≤ 0"),"NI")</f>
        <v>0</v>
      </c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</row>
    <row r="1150" spans="1:30" ht="15" customHeight="1" x14ac:dyDescent="0.2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12" t="str">
        <f>Base_IFData!A1151</f>
        <v>COOPERATIVA DE ECONOMIA E CRÉDITO MÚTUO DOS EMPREGADOS DAS EMPRESAS DO GRUPO ECONÔMICO RHODIA - CREDIRHODIA</v>
      </c>
      <c r="L1150" s="12" t="str">
        <f>Base_IFData!F1151</f>
        <v>b3S</v>
      </c>
      <c r="M1150" s="14" t="str">
        <f>IF(AND(ISNUMBER(Base_IFData!L1151),ISNUMBER(Base_IFData!W1151)),IF(Base_IFData!L1151&gt;$B$4,Base_IFData!W1151,""),"")</f>
        <v/>
      </c>
      <c r="N1150" s="51">
        <f>IF(AND(ISNUMBER(Base_IFData!O1151),ISNUMBER(Base_IFData!Q1151)),IF(Base_IFData!Q1151&gt;0,Base_IFData!O1151/Base_IFData!Q1151,"PL ≤ 0"),"NI")</f>
        <v>0.40591464319272041</v>
      </c>
      <c r="O1150" s="110">
        <f>IF(AND(ISNUMBER(Base_IFData!M1151),ISNUMBER(Base_IFData!Q1151)),IF(Base_IFData!Q1151&gt;0,Base_IFData!M1151/Base_IFData!Q1151,"PL ≤ 0"),"NI")</f>
        <v>0.79763612086444791</v>
      </c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</row>
    <row r="1151" spans="1:30" ht="15" customHeight="1" x14ac:dyDescent="0.2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15" t="str">
        <f>Base_IFData!A1152</f>
        <v>COOPERATIVA DE ECONOMIA E CRÉDITO MÚTUO DOS COLABORADORES DO GRUPO EMPRESARIAL A COSTA LTDA.</v>
      </c>
      <c r="L1151" s="15" t="str">
        <f>Base_IFData!F1152</f>
        <v>b3S</v>
      </c>
      <c r="M1151" s="17" t="str">
        <f>IF(AND(ISNUMBER(Base_IFData!L1152),ISNUMBER(Base_IFData!W1152)),IF(Base_IFData!L1152&gt;$B$4,Base_IFData!W1152,""),"")</f>
        <v/>
      </c>
      <c r="N1151" s="50">
        <f>IF(AND(ISNUMBER(Base_IFData!O1152),ISNUMBER(Base_IFData!Q1152)),IF(Base_IFData!Q1152&gt;0,Base_IFData!O1152/Base_IFData!Q1152,"PL ≤ 0"),"NI")</f>
        <v>0.21657777013076393</v>
      </c>
      <c r="O1151" s="107">
        <f>IF(AND(ISNUMBER(Base_IFData!M1152),ISNUMBER(Base_IFData!Q1152)),IF(Base_IFData!Q1152&gt;0,Base_IFData!M1152/Base_IFData!Q1152,"PL ≤ 0"),"NI")</f>
        <v>0.5736837577426015</v>
      </c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</row>
    <row r="1152" spans="1:30" ht="15" customHeight="1" x14ac:dyDescent="0.2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12" t="str">
        <f>Base_IFData!A1153</f>
        <v>HARMOS S.A. - SOCIEDADE DE CRÉDITO, FINANCIAMENTO E INVESTIMENTO</v>
      </c>
      <c r="L1152" s="12" t="str">
        <f>Base_IFData!F1153</f>
        <v>n1</v>
      </c>
      <c r="M1152" s="14" t="str">
        <f>IF(AND(ISNUMBER(Base_IFData!L1153),ISNUMBER(Base_IFData!W1153)),IF(Base_IFData!L1153&gt;$B$4,Base_IFData!W1153,""),"")</f>
        <v/>
      </c>
      <c r="N1152" s="51">
        <f>IF(AND(ISNUMBER(Base_IFData!O1153),ISNUMBER(Base_IFData!Q1153)),IF(Base_IFData!Q1153&gt;0,Base_IFData!O1153/Base_IFData!Q1153,"PL ≤ 0"),"NI")</f>
        <v>0.1266413889443225</v>
      </c>
      <c r="O1152" s="110">
        <f>IF(AND(ISNUMBER(Base_IFData!M1153),ISNUMBER(Base_IFData!Q1153)),IF(Base_IFData!Q1153&gt;0,Base_IFData!M1153/Base_IFData!Q1153,"PL ≤ 0"),"NI")</f>
        <v>4.2306924765515867E-3</v>
      </c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</row>
    <row r="1153" spans="1:30" ht="15" customHeight="1" x14ac:dyDescent="0.2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15" t="str">
        <f>Base_IFData!A1154</f>
        <v>CREBEL - COOPERATIVA DE ECONOMIA E CRÉDITO MÚTUO DOS COLABORADORES DAS EMPRESAS BELGO BEKAERT - CREBEL LTDA.</v>
      </c>
      <c r="L1153" s="15" t="str">
        <f>Base_IFData!F1154</f>
        <v>b3S</v>
      </c>
      <c r="M1153" s="17" t="str">
        <f>IF(AND(ISNUMBER(Base_IFData!L1154),ISNUMBER(Base_IFData!W1154)),IF(Base_IFData!L1154&gt;$B$4,Base_IFData!W1154,""),"")</f>
        <v/>
      </c>
      <c r="N1153" s="50">
        <f>IF(AND(ISNUMBER(Base_IFData!O1154),ISNUMBER(Base_IFData!Q1154)),IF(Base_IFData!Q1154&gt;0,Base_IFData!O1154/Base_IFData!Q1154,"PL ≤ 0"),"NI")</f>
        <v>0.11371990987786078</v>
      </c>
      <c r="O1153" s="107">
        <f>IF(AND(ISNUMBER(Base_IFData!M1154),ISNUMBER(Base_IFData!Q1154)),IF(Base_IFData!Q1154&gt;0,Base_IFData!M1154/Base_IFData!Q1154,"PL ≤ 0"),"NI")</f>
        <v>0.36270208308628799</v>
      </c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</row>
    <row r="1154" spans="1:30" ht="15" customHeight="1" x14ac:dyDescent="0.2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12" t="str">
        <f>Base_IFData!A1155</f>
        <v>BOC BRASIL DISTRIBUIDORA DE TÍTULOS E VALORES MOBILIÁRIOS S/A</v>
      </c>
      <c r="L1154" s="12" t="str">
        <f>Base_IFData!F1155</f>
        <v>n2</v>
      </c>
      <c r="M1154" s="14" t="str">
        <f>IF(AND(ISNUMBER(Base_IFData!L1155),ISNUMBER(Base_IFData!W1155)),IF(Base_IFData!L1155&gt;$B$4,Base_IFData!W1155,""),"")</f>
        <v/>
      </c>
      <c r="N1154" s="51">
        <f>IF(AND(ISNUMBER(Base_IFData!O1155),ISNUMBER(Base_IFData!Q1155)),IF(Base_IFData!Q1155&gt;0,Base_IFData!O1155/Base_IFData!Q1155,"PL ≤ 0"),"NI")</f>
        <v>5.5863603787107238E-2</v>
      </c>
      <c r="O1154" s="110">
        <f>IF(AND(ISNUMBER(Base_IFData!M1155),ISNUMBER(Base_IFData!Q1155)),IF(Base_IFData!Q1155&gt;0,Base_IFData!M1155/Base_IFData!Q1155,"PL ≤ 0"),"NI")</f>
        <v>0</v>
      </c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</row>
    <row r="1155" spans="1:30" ht="15" customHeight="1" x14ac:dyDescent="0.2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15" t="str">
        <f>Base_IFData!A1156</f>
        <v>COOPER BENEFICIOS INSTITUICAO DE PAGAMENTO LTDA</v>
      </c>
      <c r="L1155" s="15" t="str">
        <f>Base_IFData!F1156</f>
        <v>n4</v>
      </c>
      <c r="M1155" s="17" t="str">
        <f>IF(AND(ISNUMBER(Base_IFData!L1156),ISNUMBER(Base_IFData!W1156)),IF(Base_IFData!L1156&gt;$B$4,Base_IFData!W1156,""),"")</f>
        <v/>
      </c>
      <c r="N1155" s="50">
        <f>IF(AND(ISNUMBER(Base_IFData!O1156),ISNUMBER(Base_IFData!Q1156)),IF(Base_IFData!Q1156&gt;0,Base_IFData!O1156/Base_IFData!Q1156,"PL ≤ 0"),"NI")</f>
        <v>2.8900516255057904</v>
      </c>
      <c r="O1155" s="107">
        <f>IF(AND(ISNUMBER(Base_IFData!M1156),ISNUMBER(Base_IFData!Q1156)),IF(Base_IFData!Q1156&gt;0,Base_IFData!M1156/Base_IFData!Q1156,"PL ≤ 0"),"NI")</f>
        <v>0</v>
      </c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</row>
    <row r="1156" spans="1:30" ht="15" customHeight="1" x14ac:dyDescent="0.2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12" t="str">
        <f>Base_IFData!A1157</f>
        <v>LINA INSTITUICAO DE PAGAMENTO S.A</v>
      </c>
      <c r="L1156" s="12" t="str">
        <f>Base_IFData!F1157</f>
        <v>n4</v>
      </c>
      <c r="M1156" s="14" t="str">
        <f>IF(AND(ISNUMBER(Base_IFData!L1157),ISNUMBER(Base_IFData!W1157)),IF(Base_IFData!L1157&gt;$B$4,Base_IFData!W1157,""),"")</f>
        <v/>
      </c>
      <c r="N1156" s="51">
        <f>IF(AND(ISNUMBER(Base_IFData!O1157),ISNUMBER(Base_IFData!Q1157)),IF(Base_IFData!Q1157&gt;0,Base_IFData!O1157/Base_IFData!Q1157,"PL ≤ 0"),"NI")</f>
        <v>6.1120867374207834E-2</v>
      </c>
      <c r="O1156" s="110">
        <f>IF(AND(ISNUMBER(Base_IFData!M1157),ISNUMBER(Base_IFData!Q1157)),IF(Base_IFData!Q1157&gt;0,Base_IFData!M1157/Base_IFData!Q1157,"PL ≤ 0"),"NI")</f>
        <v>0</v>
      </c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</row>
    <row r="1157" spans="1:30" ht="15" customHeight="1" x14ac:dyDescent="0.2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15" t="str">
        <f>Base_IFData!A1158</f>
        <v>CGD INVESTIMENTOS CORRETORA DE VALORES E CÂMBIO S.A.</v>
      </c>
      <c r="L1157" s="15" t="str">
        <f>Base_IFData!F1158</f>
        <v>n2</v>
      </c>
      <c r="M1157" s="17" t="str">
        <f>IF(AND(ISNUMBER(Base_IFData!L1158),ISNUMBER(Base_IFData!W1158)),IF(Base_IFData!L1158&gt;$B$4,Base_IFData!W1158,""),"")</f>
        <v/>
      </c>
      <c r="N1157" s="50">
        <f>IF(AND(ISNUMBER(Base_IFData!O1158),ISNUMBER(Base_IFData!Q1158)),IF(Base_IFData!Q1158&gt;0,Base_IFData!O1158/Base_IFData!Q1158,"PL ≤ 0"),"NI")</f>
        <v>4.1890925514697579E-2</v>
      </c>
      <c r="O1157" s="107">
        <f>IF(AND(ISNUMBER(Base_IFData!M1158),ISNUMBER(Base_IFData!Q1158)),IF(Base_IFData!Q1158&gt;0,Base_IFData!M1158/Base_IFData!Q1158,"PL ≤ 0"),"NI")</f>
        <v>0</v>
      </c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</row>
    <row r="1158" spans="1:30" ht="15" customHeight="1" x14ac:dyDescent="0.2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12" t="str">
        <f>Base_IFData!A1159</f>
        <v>COOPERATIVA DE CRÉDITO DOS MAGISTRADOS DO ESTADO DO RIO DE JANEIRO LTDA. - MAGICREDI-RJ</v>
      </c>
      <c r="L1158" s="12" t="str">
        <f>Base_IFData!F1159</f>
        <v>b3S</v>
      </c>
      <c r="M1158" s="14" t="str">
        <f>IF(AND(ISNUMBER(Base_IFData!L1159),ISNUMBER(Base_IFData!W1159)),IF(Base_IFData!L1159&gt;$B$4,Base_IFData!W1159,""),"")</f>
        <v/>
      </c>
      <c r="N1158" s="51">
        <f>IF(AND(ISNUMBER(Base_IFData!O1159),ISNUMBER(Base_IFData!Q1159)),IF(Base_IFData!Q1159&gt;0,Base_IFData!O1159/Base_IFData!Q1159,"PL ≤ 0"),"NI")</f>
        <v>1.4547967189728959</v>
      </c>
      <c r="O1158" s="110">
        <f>IF(AND(ISNUMBER(Base_IFData!M1159),ISNUMBER(Base_IFData!Q1159)),IF(Base_IFData!Q1159&gt;0,Base_IFData!M1159/Base_IFData!Q1159,"PL ≤ 0"),"NI")</f>
        <v>1.7780848787446506</v>
      </c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</row>
    <row r="1159" spans="1:30" ht="15" customHeight="1" x14ac:dyDescent="0.2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15" t="str">
        <f>Base_IFData!A1160</f>
        <v>FARMTECH SOCIEDADE DE CRÉDITO DIRETO S.A.</v>
      </c>
      <c r="L1159" s="15" t="str">
        <f>Base_IFData!F1160</f>
        <v>n1</v>
      </c>
      <c r="M1159" s="17" t="str">
        <f>IF(AND(ISNUMBER(Base_IFData!L1160),ISNUMBER(Base_IFData!W1160)),IF(Base_IFData!L1160&gt;$B$4,Base_IFData!W1160,""),"")</f>
        <v/>
      </c>
      <c r="N1159" s="50">
        <f>IF(AND(ISNUMBER(Base_IFData!O1160),ISNUMBER(Base_IFData!Q1160)),IF(Base_IFData!Q1160&gt;0,Base_IFData!O1160/Base_IFData!Q1160,"PL ≤ 0"),"NI")</f>
        <v>5.5616538602268574E-3</v>
      </c>
      <c r="O1159" s="107">
        <f>IF(AND(ISNUMBER(Base_IFData!M1160),ISNUMBER(Base_IFData!Q1160)),IF(Base_IFData!Q1160&gt;0,Base_IFData!M1160/Base_IFData!Q1160,"PL ≤ 0"),"NI")</f>
        <v>0</v>
      </c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</row>
    <row r="1160" spans="1:30" ht="15" customHeight="1" x14ac:dyDescent="0.2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12" t="str">
        <f>Base_IFData!A1161</f>
        <v>AGK CORRETORA DE CAMBIO S.A.</v>
      </c>
      <c r="L1160" s="12" t="str">
        <f>Base_IFData!F1161</f>
        <v>n2</v>
      </c>
      <c r="M1160" s="14" t="str">
        <f>IF(AND(ISNUMBER(Base_IFData!L1161),ISNUMBER(Base_IFData!W1161)),IF(Base_IFData!L1161&gt;$B$4,Base_IFData!W1161,""),"")</f>
        <v/>
      </c>
      <c r="N1160" s="51">
        <f>IF(AND(ISNUMBER(Base_IFData!O1161),ISNUMBER(Base_IFData!Q1161)),IF(Base_IFData!Q1161&gt;0,Base_IFData!O1161/Base_IFData!Q1161,"PL ≤ 0"),"NI")</f>
        <v>2.4010681902869209</v>
      </c>
      <c r="O1160" s="110">
        <f>IF(AND(ISNUMBER(Base_IFData!M1161),ISNUMBER(Base_IFData!Q1161)),IF(Base_IFData!Q1161&gt;0,Base_IFData!M1161/Base_IFData!Q1161,"PL ≤ 0"),"NI")</f>
        <v>0</v>
      </c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</row>
    <row r="1161" spans="1:30" ht="15" customHeight="1" x14ac:dyDescent="0.2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15" t="str">
        <f>Base_IFData!A1162</f>
        <v>CDC SOCIEDADE DE CRÉDITO DIRETO S.A.</v>
      </c>
      <c r="L1161" s="15" t="str">
        <f>Base_IFData!F1162</f>
        <v>n1</v>
      </c>
      <c r="M1161" s="17" t="str">
        <f>IF(AND(ISNUMBER(Base_IFData!L1162),ISNUMBER(Base_IFData!W1162)),IF(Base_IFData!L1162&gt;$B$4,Base_IFData!W1162,""),"")</f>
        <v/>
      </c>
      <c r="N1161" s="50">
        <f>IF(AND(ISNUMBER(Base_IFData!O1162),ISNUMBER(Base_IFData!Q1162)),IF(Base_IFData!Q1162&gt;0,Base_IFData!O1162/Base_IFData!Q1162,"PL ≤ 0"),"NI")</f>
        <v>2.0247585211502166</v>
      </c>
      <c r="O1161" s="107">
        <f>IF(AND(ISNUMBER(Base_IFData!M1162),ISNUMBER(Base_IFData!Q1162)),IF(Base_IFData!Q1162&gt;0,Base_IFData!M1162/Base_IFData!Q1162,"PL ≤ 0"),"NI")</f>
        <v>0.66625957588542239</v>
      </c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</row>
    <row r="1162" spans="1:30" ht="15" customHeight="1" x14ac:dyDescent="0.2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12" t="str">
        <f>Base_IFData!A1163</f>
        <v>INICIADOR INSTITUICAO DE PAGAMENTO LTDA</v>
      </c>
      <c r="L1162" s="12" t="str">
        <f>Base_IFData!F1163</f>
        <v>n4</v>
      </c>
      <c r="M1162" s="14" t="str">
        <f>IF(AND(ISNUMBER(Base_IFData!L1163),ISNUMBER(Base_IFData!W1163)),IF(Base_IFData!L1163&gt;$B$4,Base_IFData!W1163,""),"")</f>
        <v/>
      </c>
      <c r="N1162" s="51">
        <f>IF(AND(ISNUMBER(Base_IFData!O1163),ISNUMBER(Base_IFData!Q1163)),IF(Base_IFData!Q1163&gt;0,Base_IFData!O1163/Base_IFData!Q1163,"PL ≤ 0"),"NI")</f>
        <v>0.10344403947745608</v>
      </c>
      <c r="O1162" s="110">
        <f>IF(AND(ISNUMBER(Base_IFData!M1163),ISNUMBER(Base_IFData!Q1163)),IF(Base_IFData!Q1163&gt;0,Base_IFData!M1163/Base_IFData!Q1163,"PL ≤ 0"),"NI")</f>
        <v>0</v>
      </c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</row>
    <row r="1163" spans="1:30" ht="15" customHeight="1" x14ac:dyDescent="0.2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15" t="str">
        <f>Base_IFData!A1164</f>
        <v>VIS DISTRIBUIDORA DE TÍTULOS E VALORES MOBILIÁRIOS LTDA</v>
      </c>
      <c r="L1163" s="15" t="str">
        <f>Base_IFData!F1164</f>
        <v>n2</v>
      </c>
      <c r="M1163" s="17" t="str">
        <f>IF(AND(ISNUMBER(Base_IFData!L1164),ISNUMBER(Base_IFData!W1164)),IF(Base_IFData!L1164&gt;$B$4,Base_IFData!W1164,""),"")</f>
        <v/>
      </c>
      <c r="N1163" s="50">
        <f>IF(AND(ISNUMBER(Base_IFData!O1164),ISNUMBER(Base_IFData!Q1164)),IF(Base_IFData!Q1164&gt;0,Base_IFData!O1164/Base_IFData!Q1164,"PL ≤ 0"),"NI")</f>
        <v>2.0424810755846798</v>
      </c>
      <c r="O1163" s="107">
        <f>IF(AND(ISNUMBER(Base_IFData!M1164),ISNUMBER(Base_IFData!Q1164)),IF(Base_IFData!Q1164&gt;0,Base_IFData!M1164/Base_IFData!Q1164,"PL ≤ 0"),"NI")</f>
        <v>0</v>
      </c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</row>
    <row r="1164" spans="1:30" ht="15" customHeight="1" x14ac:dyDescent="0.2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12" t="str">
        <f>Base_IFData!A1165</f>
        <v>BONUSPAGO SOCIEDADE DE CRÉDITO DIRETO S.A.</v>
      </c>
      <c r="L1164" s="12" t="str">
        <f>Base_IFData!F1165</f>
        <v>n1</v>
      </c>
      <c r="M1164" s="14" t="str">
        <f>IF(AND(ISNUMBER(Base_IFData!L1165),ISNUMBER(Base_IFData!W1165)),IF(Base_IFData!L1165&gt;$B$4,Base_IFData!W1165,""),"")</f>
        <v/>
      </c>
      <c r="N1164" s="51">
        <f>IF(AND(ISNUMBER(Base_IFData!O1165),ISNUMBER(Base_IFData!Q1165)),IF(Base_IFData!Q1165&gt;0,Base_IFData!O1165/Base_IFData!Q1165,"PL ≤ 0"),"NI")</f>
        <v>2.681698348827529</v>
      </c>
      <c r="O1164" s="110">
        <f>IF(AND(ISNUMBER(Base_IFData!M1165),ISNUMBER(Base_IFData!Q1165)),IF(Base_IFData!Q1165&gt;0,Base_IFData!M1165/Base_IFData!Q1165,"PL ≤ 0"),"NI")</f>
        <v>0.79644789787706394</v>
      </c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</row>
    <row r="1165" spans="1:30" ht="15" customHeight="1" x14ac:dyDescent="0.2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15" t="str">
        <f>Base_IFData!A1166</f>
        <v>COOPERATIVA DE CRÉDITO MÚTUO DOS SERVIDORES DA ASSEMBLEIA LEGISLATIVA DO ESTADO DE SÃO PAULO - COOPERALESP</v>
      </c>
      <c r="L1165" s="15" t="str">
        <f>Base_IFData!F1166</f>
        <v>b3S</v>
      </c>
      <c r="M1165" s="17" t="str">
        <f>IF(AND(ISNUMBER(Base_IFData!L1166),ISNUMBER(Base_IFData!W1166)),IF(Base_IFData!L1166&gt;$B$4,Base_IFData!W1166,""),"")</f>
        <v/>
      </c>
      <c r="N1165" s="50">
        <f>IF(AND(ISNUMBER(Base_IFData!O1166),ISNUMBER(Base_IFData!Q1166)),IF(Base_IFData!Q1166&gt;0,Base_IFData!O1166/Base_IFData!Q1166,"PL ≤ 0"),"NI")</f>
        <v>4.0669007139757803E-2</v>
      </c>
      <c r="O1165" s="107">
        <f>IF(AND(ISNUMBER(Base_IFData!M1166),ISNUMBER(Base_IFData!Q1166)),IF(Base_IFData!Q1166&gt;0,Base_IFData!M1166/Base_IFData!Q1166,"PL ≤ 0"),"NI")</f>
        <v>0.92102875626208036</v>
      </c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</row>
    <row r="1166" spans="1:30" ht="15" customHeight="1" x14ac:dyDescent="0.2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12" t="str">
        <f>Base_IFData!A1167</f>
        <v>BMS SOCIEDADE DE CRÉDITO DIRETO S.A.</v>
      </c>
      <c r="L1166" s="12" t="str">
        <f>Base_IFData!F1167</f>
        <v>n1</v>
      </c>
      <c r="M1166" s="14" t="str">
        <f>IF(AND(ISNUMBER(Base_IFData!L1167),ISNUMBER(Base_IFData!W1167)),IF(Base_IFData!L1167&gt;$B$4,Base_IFData!W1167,""),"")</f>
        <v/>
      </c>
      <c r="N1166" s="51">
        <f>IF(AND(ISNUMBER(Base_IFData!O1167),ISNUMBER(Base_IFData!Q1167)),IF(Base_IFData!Q1167&gt;0,Base_IFData!O1167/Base_IFData!Q1167,"PL ≤ 0"),"NI")</f>
        <v>2.5934815218873584</v>
      </c>
      <c r="O1166" s="110">
        <f>IF(AND(ISNUMBER(Base_IFData!M1167),ISNUMBER(Base_IFData!Q1167)),IF(Base_IFData!Q1167&gt;0,Base_IFData!M1167/Base_IFData!Q1167,"PL ≤ 0"),"NI")</f>
        <v>0.53061502795581617</v>
      </c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</row>
    <row r="1167" spans="1:30" ht="15" customHeight="1" x14ac:dyDescent="0.2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15" t="str">
        <f>Base_IFData!A1168</f>
        <v>SICOOB DISTRIBUIDORA DE TÍTULOS E VALORES MOBILIÁRIOS LTDA.</v>
      </c>
      <c r="L1167" s="15" t="str">
        <f>Base_IFData!F1168</f>
        <v>n2</v>
      </c>
      <c r="M1167" s="17" t="str">
        <f>IF(AND(ISNUMBER(Base_IFData!L1168),ISNUMBER(Base_IFData!W1168)),IF(Base_IFData!L1168&gt;$B$4,Base_IFData!W1168,""),"")</f>
        <v/>
      </c>
      <c r="N1167" s="50">
        <f>IF(AND(ISNUMBER(Base_IFData!O1168),ISNUMBER(Base_IFData!Q1168)),IF(Base_IFData!Q1168&gt;0,Base_IFData!O1168/Base_IFData!Q1168,"PL ≤ 0"),"NI")</f>
        <v>0.33082364830722588</v>
      </c>
      <c r="O1167" s="107">
        <f>IF(AND(ISNUMBER(Base_IFData!M1168),ISNUMBER(Base_IFData!Q1168)),IF(Base_IFData!Q1168&gt;0,Base_IFData!M1168/Base_IFData!Q1168,"PL ≤ 0"),"NI")</f>
        <v>0</v>
      </c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</row>
    <row r="1168" spans="1:30" ht="15" customHeight="1" x14ac:dyDescent="0.2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12" t="str">
        <f>Base_IFData!A1169</f>
        <v>DELTA GLOBAL SOCIEDADE DE CRÉDITO DIRETO S.A.</v>
      </c>
      <c r="L1168" s="12" t="str">
        <f>Base_IFData!F1169</f>
        <v>n1</v>
      </c>
      <c r="M1168" s="14" t="str">
        <f>IF(AND(ISNUMBER(Base_IFData!L1169),ISNUMBER(Base_IFData!W1169)),IF(Base_IFData!L1169&gt;$B$4,Base_IFData!W1169,""),"")</f>
        <v/>
      </c>
      <c r="N1168" s="51">
        <f>IF(AND(ISNUMBER(Base_IFData!O1169),ISNUMBER(Base_IFData!Q1169)),IF(Base_IFData!Q1169&gt;0,Base_IFData!O1169/Base_IFData!Q1169,"PL ≤ 0"),"NI")</f>
        <v>1.2243584167029142</v>
      </c>
      <c r="O1168" s="110">
        <f>IF(AND(ISNUMBER(Base_IFData!M1169),ISNUMBER(Base_IFData!Q1169)),IF(Base_IFData!Q1169&gt;0,Base_IFData!M1169/Base_IFData!Q1169,"PL ≤ 0"),"NI")</f>
        <v>1.3849499782514136</v>
      </c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</row>
    <row r="1169" spans="1:30" ht="15" customHeight="1" x14ac:dyDescent="0.2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15" t="str">
        <f>Base_IFData!A1170</f>
        <v>COOPERATIVA DE ECONOMIA E CRÉDITO MÚTUO DOS EMPREGADOS DAS EMPRESAS METALÚRGICAS DE MATÃO - METALCOOPERCRED</v>
      </c>
      <c r="L1169" s="15" t="str">
        <f>Base_IFData!F1170</f>
        <v>b3S</v>
      </c>
      <c r="M1169" s="17" t="str">
        <f>IF(AND(ISNUMBER(Base_IFData!L1170),ISNUMBER(Base_IFData!W1170)),IF(Base_IFData!L1170&gt;$B$4,Base_IFData!W1170,""),"")</f>
        <v/>
      </c>
      <c r="N1169" s="50">
        <f>IF(AND(ISNUMBER(Base_IFData!O1170),ISNUMBER(Base_IFData!Q1170)),IF(Base_IFData!Q1170&gt;0,Base_IFData!O1170/Base_IFData!Q1170,"PL ≤ 0"),"NI")</f>
        <v>0.19247892393672444</v>
      </c>
      <c r="O1169" s="107">
        <f>IF(AND(ISNUMBER(Base_IFData!M1170),ISNUMBER(Base_IFData!Q1170)),IF(Base_IFData!Q1170&gt;0,Base_IFData!M1170/Base_IFData!Q1170,"PL ≤ 0"),"NI")</f>
        <v>0.81377285213602346</v>
      </c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</row>
    <row r="1170" spans="1:30" ht="15" customHeight="1" x14ac:dyDescent="0.2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12" t="str">
        <f>Base_IFData!A1171</f>
        <v>COOPERATIVA DE CRÉDITO COOPAÇO LTDA.</v>
      </c>
      <c r="L1170" s="12" t="str">
        <f>Base_IFData!F1171</f>
        <v>b3S</v>
      </c>
      <c r="M1170" s="14" t="str">
        <f>IF(AND(ISNUMBER(Base_IFData!L1171),ISNUMBER(Base_IFData!W1171)),IF(Base_IFData!L1171&gt;$B$4,Base_IFData!W1171,""),"")</f>
        <v/>
      </c>
      <c r="N1170" s="51">
        <f>IF(AND(ISNUMBER(Base_IFData!O1171),ISNUMBER(Base_IFData!Q1171)),IF(Base_IFData!Q1171&gt;0,Base_IFData!O1171/Base_IFData!Q1171,"PL ≤ 0"),"NI")</f>
        <v>0.17556357501054506</v>
      </c>
      <c r="O1170" s="110">
        <f>IF(AND(ISNUMBER(Base_IFData!M1171),ISNUMBER(Base_IFData!Q1171)),IF(Base_IFData!Q1171&gt;0,Base_IFData!M1171/Base_IFData!Q1171,"PL ≤ 0"),"NI")</f>
        <v>0.33031822655481091</v>
      </c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</row>
    <row r="1171" spans="1:30" ht="15" customHeight="1" x14ac:dyDescent="0.2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15" t="str">
        <f>Base_IFData!A1172</f>
        <v>WEALTH HIGH GOVERNANCE DISTRIBUIDORA DE TÍTULOS E VALORES MOBILIÁRIOS S.A.</v>
      </c>
      <c r="L1171" s="15" t="str">
        <f>Base_IFData!F1172</f>
        <v>n2</v>
      </c>
      <c r="M1171" s="17" t="str">
        <f>IF(AND(ISNUMBER(Base_IFData!L1172),ISNUMBER(Base_IFData!W1172)),IF(Base_IFData!L1172&gt;$B$4,Base_IFData!W1172,""),"")</f>
        <v/>
      </c>
      <c r="N1171" s="50">
        <f>IF(AND(ISNUMBER(Base_IFData!O1172),ISNUMBER(Base_IFData!Q1172)),IF(Base_IFData!Q1172&gt;0,Base_IFData!O1172/Base_IFData!Q1172,"PL ≤ 0"),"NI")</f>
        <v>0.23277476589452933</v>
      </c>
      <c r="O1171" s="107">
        <f>IF(AND(ISNUMBER(Base_IFData!M1172),ISNUMBER(Base_IFData!Q1172)),IF(Base_IFData!Q1172&gt;0,Base_IFData!M1172/Base_IFData!Q1172,"PL ≤ 0"),"NI")</f>
        <v>0</v>
      </c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</row>
    <row r="1172" spans="1:30" ht="15" customHeight="1" x14ac:dyDescent="0.2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12" t="str">
        <f>Base_IFData!A1173</f>
        <v>CASAS BAHIA PAY SOCIEDADE DE CRÉDITO DIRETO S.A.</v>
      </c>
      <c r="L1172" s="12" t="str">
        <f>Base_IFData!F1173</f>
        <v>n1</v>
      </c>
      <c r="M1172" s="14" t="str">
        <f>IF(AND(ISNUMBER(Base_IFData!L1173),ISNUMBER(Base_IFData!W1173)),IF(Base_IFData!L1173&gt;$B$4,Base_IFData!W1173,""),"")</f>
        <v/>
      </c>
      <c r="N1172" s="51">
        <f>IF(AND(ISNUMBER(Base_IFData!O1173),ISNUMBER(Base_IFData!Q1173)),IF(Base_IFData!Q1173&gt;0,Base_IFData!O1173/Base_IFData!Q1173,"PL ≤ 0"),"NI")</f>
        <v>0.24294945649451485</v>
      </c>
      <c r="O1172" s="110">
        <f>IF(AND(ISNUMBER(Base_IFData!M1173),ISNUMBER(Base_IFData!Q1173)),IF(Base_IFData!Q1173&gt;0,Base_IFData!M1173/Base_IFData!Q1173,"PL ≤ 0"),"NI")</f>
        <v>0</v>
      </c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</row>
    <row r="1173" spans="1:30" ht="15" customHeight="1" x14ac:dyDescent="0.2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15" t="str">
        <f>Base_IFData!A1174</f>
        <v>COOPERATIVA DE ECONOMIA E CRÉDITO MÚTUO DOS EMPREGADOS DAS EMPRESAS CONTROLADAS E COLIGADAS DA USINA SANTA ADELIA - USAGRO</v>
      </c>
      <c r="L1173" s="15" t="str">
        <f>Base_IFData!F1174</f>
        <v>b3S</v>
      </c>
      <c r="M1173" s="17" t="str">
        <f>IF(AND(ISNUMBER(Base_IFData!L1174),ISNUMBER(Base_IFData!W1174)),IF(Base_IFData!L1174&gt;$B$4,Base_IFData!W1174,""),"")</f>
        <v/>
      </c>
      <c r="N1173" s="50">
        <f>IF(AND(ISNUMBER(Base_IFData!O1174),ISNUMBER(Base_IFData!Q1174)),IF(Base_IFData!Q1174&gt;0,Base_IFData!O1174/Base_IFData!Q1174,"PL ≤ 0"),"NI")</f>
        <v>0.1967292199334266</v>
      </c>
      <c r="O1173" s="107">
        <f>IF(AND(ISNUMBER(Base_IFData!M1174),ISNUMBER(Base_IFData!Q1174)),IF(Base_IFData!Q1174&gt;0,Base_IFData!M1174/Base_IFData!Q1174,"PL ≤ 0"),"NI")</f>
        <v>0.62260601090260026</v>
      </c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</row>
    <row r="1174" spans="1:30" ht="15" customHeight="1" x14ac:dyDescent="0.2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12" t="str">
        <f>Base_IFData!A1175</f>
        <v>V3 INSTITUICAO DE PAGAMENTO S.A.</v>
      </c>
      <c r="L1174" s="12" t="str">
        <f>Base_IFData!F1175</f>
        <v>n4</v>
      </c>
      <c r="M1174" s="14" t="str">
        <f>IF(AND(ISNUMBER(Base_IFData!L1175),ISNUMBER(Base_IFData!W1175)),IF(Base_IFData!L1175&gt;$B$4,Base_IFData!W1175,""),"")</f>
        <v/>
      </c>
      <c r="N1174" s="51">
        <f>IF(AND(ISNUMBER(Base_IFData!O1175),ISNUMBER(Base_IFData!Q1175)),IF(Base_IFData!Q1175&gt;0,Base_IFData!O1175/Base_IFData!Q1175,"PL ≤ 0"),"NI")</f>
        <v>0.75937922688118464</v>
      </c>
      <c r="O1174" s="110">
        <f>IF(AND(ISNUMBER(Base_IFData!M1175),ISNUMBER(Base_IFData!Q1175)),IF(Base_IFData!Q1175&gt;0,Base_IFData!M1175/Base_IFData!Q1175,"PL ≤ 0"),"NI")</f>
        <v>0</v>
      </c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</row>
    <row r="1175" spans="1:30" ht="15" customHeight="1" x14ac:dyDescent="0.2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15" t="str">
        <f>Base_IFData!A1176</f>
        <v>COOPERATIVA DE ECONOMIA E CRÉDITO MÚTUO DOS EMPREGADOS DA COMPANHIA BRASILEIRA DE ALUMÍNIO</v>
      </c>
      <c r="L1175" s="15" t="str">
        <f>Base_IFData!F1176</f>
        <v>b3S</v>
      </c>
      <c r="M1175" s="17" t="str">
        <f>IF(AND(ISNUMBER(Base_IFData!L1176),ISNUMBER(Base_IFData!W1176)),IF(Base_IFData!L1176&gt;$B$4,Base_IFData!W1176,""),"")</f>
        <v/>
      </c>
      <c r="N1175" s="50">
        <f>IF(AND(ISNUMBER(Base_IFData!O1176),ISNUMBER(Base_IFData!Q1176)),IF(Base_IFData!Q1176&gt;0,Base_IFData!O1176/Base_IFData!Q1176,"PL ≤ 0"),"NI")</f>
        <v>6.2808905218037878E-2</v>
      </c>
      <c r="O1175" s="107">
        <f>IF(AND(ISNUMBER(Base_IFData!M1176),ISNUMBER(Base_IFData!Q1176)),IF(Base_IFData!Q1176&gt;0,Base_IFData!M1176/Base_IFData!Q1176,"PL ≤ 0"),"NI")</f>
        <v>0.48440712067532693</v>
      </c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</row>
    <row r="1176" spans="1:30" ht="15" customHeight="1" x14ac:dyDescent="0.2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12" t="str">
        <f>Base_IFData!A1177</f>
        <v>LIMINE TRUST DISTRIBUIDORA DE TÍTULOS E VALORES MOBILIÁRIOS S.A.</v>
      </c>
      <c r="L1176" s="12" t="str">
        <f>Base_IFData!F1177</f>
        <v>n2</v>
      </c>
      <c r="M1176" s="14" t="str">
        <f>IF(AND(ISNUMBER(Base_IFData!L1177),ISNUMBER(Base_IFData!W1177)),IF(Base_IFData!L1177&gt;$B$4,Base_IFData!W1177,""),"")</f>
        <v/>
      </c>
      <c r="N1176" s="51">
        <f>IF(AND(ISNUMBER(Base_IFData!O1177),ISNUMBER(Base_IFData!Q1177)),IF(Base_IFData!Q1177&gt;0,Base_IFData!O1177/Base_IFData!Q1177,"PL ≤ 0"),"NI")</f>
        <v>0.37064873417721517</v>
      </c>
      <c r="O1176" s="110">
        <f>IF(AND(ISNUMBER(Base_IFData!M1177),ISNUMBER(Base_IFData!Q1177)),IF(Base_IFData!Q1177&gt;0,Base_IFData!M1177/Base_IFData!Q1177,"PL ≤ 0"),"NI")</f>
        <v>0</v>
      </c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</row>
    <row r="1177" spans="1:30" ht="15" customHeight="1" x14ac:dyDescent="0.2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15" t="str">
        <f>Base_IFData!A1178</f>
        <v>MERCANTIL DO BRASIL DISTRIBUIDORA S.A. - TÍTULOS E VALORES MOBILIÁRIOS</v>
      </c>
      <c r="L1177" s="15" t="str">
        <f>Base_IFData!F1178</f>
        <v>n2</v>
      </c>
      <c r="M1177" s="17" t="str">
        <f>IF(AND(ISNUMBER(Base_IFData!L1178),ISNUMBER(Base_IFData!W1178)),IF(Base_IFData!L1178&gt;$B$4,Base_IFData!W1178,""),"")</f>
        <v/>
      </c>
      <c r="N1177" s="50">
        <f>IF(AND(ISNUMBER(Base_IFData!O1178),ISNUMBER(Base_IFData!Q1178)),IF(Base_IFData!Q1178&gt;0,Base_IFData!O1178/Base_IFData!Q1178,"PL ≤ 0"),"NI")</f>
        <v>4.7753296321998609E-2</v>
      </c>
      <c r="O1177" s="107">
        <f>IF(AND(ISNUMBER(Base_IFData!M1178),ISNUMBER(Base_IFData!Q1178)),IF(Base_IFData!Q1178&gt;0,Base_IFData!M1178/Base_IFData!Q1178,"PL ≤ 0"),"NI")</f>
        <v>0</v>
      </c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</row>
    <row r="1178" spans="1:30" ht="15" customHeight="1" x14ac:dyDescent="0.2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12" t="str">
        <f>Base_IFData!A1179</f>
        <v>COLUNA S/A DISTRIBUIDORA DE TITULOS E VALORES MOBILIÁRIOS</v>
      </c>
      <c r="L1178" s="12" t="str">
        <f>Base_IFData!F1179</f>
        <v>n2</v>
      </c>
      <c r="M1178" s="14" t="str">
        <f>IF(AND(ISNUMBER(Base_IFData!L1179),ISNUMBER(Base_IFData!W1179)),IF(Base_IFData!L1179&gt;$B$4,Base_IFData!W1179,""),"")</f>
        <v/>
      </c>
      <c r="N1178" s="51">
        <f>IF(AND(ISNUMBER(Base_IFData!O1179),ISNUMBER(Base_IFData!Q1179)),IF(Base_IFData!Q1179&gt;0,Base_IFData!O1179/Base_IFData!Q1179,"PL ≤ 0"),"NI")</f>
        <v>1.2227448810182624</v>
      </c>
      <c r="O1178" s="110">
        <f>IF(AND(ISNUMBER(Base_IFData!M1179),ISNUMBER(Base_IFData!Q1179)),IF(Base_IFData!Q1179&gt;0,Base_IFData!M1179/Base_IFData!Q1179,"PL ≤ 0"),"NI")</f>
        <v>0</v>
      </c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</row>
    <row r="1179" spans="1:30" ht="15" customHeight="1" x14ac:dyDescent="0.2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15" t="str">
        <f>Base_IFData!A1180</f>
        <v>A27 INSTITUICAO DE PAGAMENTOS S/A</v>
      </c>
      <c r="L1179" s="15" t="str">
        <f>Base_IFData!F1180</f>
        <v>n4</v>
      </c>
      <c r="M1179" s="17" t="str">
        <f>IF(AND(ISNUMBER(Base_IFData!L1180),ISNUMBER(Base_IFData!W1180)),IF(Base_IFData!L1180&gt;$B$4,Base_IFData!W1180,""),"")</f>
        <v/>
      </c>
      <c r="N1179" s="50">
        <f>IF(AND(ISNUMBER(Base_IFData!O1180),ISNUMBER(Base_IFData!Q1180)),IF(Base_IFData!Q1180&gt;0,Base_IFData!O1180/Base_IFData!Q1180,"PL ≤ 0"),"NI")</f>
        <v>3.4842922028766088</v>
      </c>
      <c r="O1179" s="107">
        <f>IF(AND(ISNUMBER(Base_IFData!M1180),ISNUMBER(Base_IFData!Q1180)),IF(Base_IFData!Q1180&gt;0,Base_IFData!M1180/Base_IFData!Q1180,"PL ≤ 0"),"NI")</f>
        <v>0</v>
      </c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</row>
    <row r="1180" spans="1:30" ht="15" customHeight="1" x14ac:dyDescent="0.2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12" t="str">
        <f>Base_IFData!A1181</f>
        <v>HEDGE INVESTMENTS DISTRIBUIDORA DE TÍTULOS E VALORES MOBILIÁRIOS LTDA.</v>
      </c>
      <c r="L1180" s="12" t="str">
        <f>Base_IFData!F1181</f>
        <v>n2</v>
      </c>
      <c r="M1180" s="14" t="str">
        <f>IF(AND(ISNUMBER(Base_IFData!L1181),ISNUMBER(Base_IFData!W1181)),IF(Base_IFData!L1181&gt;$B$4,Base_IFData!W1181,""),"")</f>
        <v/>
      </c>
      <c r="N1180" s="51">
        <f>IF(AND(ISNUMBER(Base_IFData!O1181),ISNUMBER(Base_IFData!Q1181)),IF(Base_IFData!Q1181&gt;0,Base_IFData!O1181/Base_IFData!Q1181,"PL ≤ 0"),"NI")</f>
        <v>0.60339306397765213</v>
      </c>
      <c r="O1180" s="110">
        <f>IF(AND(ISNUMBER(Base_IFData!M1181),ISNUMBER(Base_IFData!Q1181)),IF(Base_IFData!Q1181&gt;0,Base_IFData!M1181/Base_IFData!Q1181,"PL ≤ 0"),"NI")</f>
        <v>0</v>
      </c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</row>
    <row r="1181" spans="1:30" ht="15" customHeight="1" x14ac:dyDescent="0.2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15" t="str">
        <f>Base_IFData!A1182</f>
        <v>COOPERATIVA DE ECONOMIA E CRÉDITO MÚTUO DOS FUNCIONÁRIOS DA VILLARES METALS</v>
      </c>
      <c r="L1181" s="15" t="str">
        <f>Base_IFData!F1182</f>
        <v>b3S</v>
      </c>
      <c r="M1181" s="17" t="str">
        <f>IF(AND(ISNUMBER(Base_IFData!L1182),ISNUMBER(Base_IFData!W1182)),IF(Base_IFData!L1182&gt;$B$4,Base_IFData!W1182,""),"")</f>
        <v/>
      </c>
      <c r="N1181" s="50">
        <f>IF(AND(ISNUMBER(Base_IFData!O1182),ISNUMBER(Base_IFData!Q1182)),IF(Base_IFData!Q1182&gt;0,Base_IFData!O1182/Base_IFData!Q1182,"PL ≤ 0"),"NI")</f>
        <v>1.3804816443844445E-2</v>
      </c>
      <c r="O1181" s="107">
        <f>IF(AND(ISNUMBER(Base_IFData!M1182),ISNUMBER(Base_IFData!Q1182)),IF(Base_IFData!Q1182&gt;0,Base_IFData!M1182/Base_IFData!Q1182,"PL ≤ 0"),"NI")</f>
        <v>0.8431389626790925</v>
      </c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</row>
    <row r="1182" spans="1:30" ht="15" customHeight="1" x14ac:dyDescent="0.2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12" t="str">
        <f>Base_IFData!A1183</f>
        <v>COOPERATIVA DE ECONOMIA E CRÉDITO MÚTUO DOS FUNCIONÁRIOS DO GRUPO OWENS-ILLINOIS DO BRASIL</v>
      </c>
      <c r="L1182" s="12" t="str">
        <f>Base_IFData!F1183</f>
        <v>b3S</v>
      </c>
      <c r="M1182" s="14" t="str">
        <f>IF(AND(ISNUMBER(Base_IFData!L1183),ISNUMBER(Base_IFData!W1183)),IF(Base_IFData!L1183&gt;$B$4,Base_IFData!W1183,""),"")</f>
        <v/>
      </c>
      <c r="N1182" s="51">
        <f>IF(AND(ISNUMBER(Base_IFData!O1183),ISNUMBER(Base_IFData!Q1183)),IF(Base_IFData!Q1183&gt;0,Base_IFData!O1183/Base_IFData!Q1183,"PL ≤ 0"),"NI")</f>
        <v>3.8644524236983842E-2</v>
      </c>
      <c r="O1182" s="110">
        <f>IF(AND(ISNUMBER(Base_IFData!M1183),ISNUMBER(Base_IFData!Q1183)),IF(Base_IFData!Q1183&gt;0,Base_IFData!M1183/Base_IFData!Q1183,"PL ≤ 0"),"NI")</f>
        <v>0.32818671454219028</v>
      </c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</row>
    <row r="1183" spans="1:30" ht="15" customHeight="1" x14ac:dyDescent="0.2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15" t="str">
        <f>Base_IFData!A1184</f>
        <v>BNK DIGITAL SOCIEDADE DE CRÉDITO DIRETO S.A.</v>
      </c>
      <c r="L1183" s="15" t="str">
        <f>Base_IFData!F1184</f>
        <v>n1</v>
      </c>
      <c r="M1183" s="17" t="str">
        <f>IF(AND(ISNUMBER(Base_IFData!L1184),ISNUMBER(Base_IFData!W1184)),IF(Base_IFData!L1184&gt;$B$4,Base_IFData!W1184,""),"")</f>
        <v/>
      </c>
      <c r="N1183" s="50">
        <f>IF(AND(ISNUMBER(Base_IFData!O1184),ISNUMBER(Base_IFData!Q1184)),IF(Base_IFData!Q1184&gt;0,Base_IFData!O1184/Base_IFData!Q1184,"PL ≤ 0"),"NI")</f>
        <v>1.245023419203747</v>
      </c>
      <c r="O1183" s="107">
        <f>IF(AND(ISNUMBER(Base_IFData!M1184),ISNUMBER(Base_IFData!Q1184)),IF(Base_IFData!Q1184&gt;0,Base_IFData!M1184/Base_IFData!Q1184,"PL ≤ 0"),"NI")</f>
        <v>0.11982825917252146</v>
      </c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</row>
    <row r="1184" spans="1:30" ht="15" customHeight="1" x14ac:dyDescent="0.2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12" t="str">
        <f>Base_IFData!A1185</f>
        <v>COOPERATIVA DE ECONOMIA E CRÉDITO MÚTUO DOS SERVIDORES DA PREFEITURA MUNICIPAL DE ORLÂNDIA - CRED SERV</v>
      </c>
      <c r="L1184" s="12" t="str">
        <f>Base_IFData!F1185</f>
        <v>b3S</v>
      </c>
      <c r="M1184" s="14" t="str">
        <f>IF(AND(ISNUMBER(Base_IFData!L1185),ISNUMBER(Base_IFData!W1185)),IF(Base_IFData!L1185&gt;$B$4,Base_IFData!W1185,""),"")</f>
        <v/>
      </c>
      <c r="N1184" s="51">
        <f>IF(AND(ISNUMBER(Base_IFData!O1185),ISNUMBER(Base_IFData!Q1185)),IF(Base_IFData!Q1185&gt;0,Base_IFData!O1185/Base_IFData!Q1185,"PL ≤ 0"),"NI")</f>
        <v>1.8529190123675696E-2</v>
      </c>
      <c r="O1184" s="110">
        <f>IF(AND(ISNUMBER(Base_IFData!M1185),ISNUMBER(Base_IFData!Q1185)),IF(Base_IFData!Q1185&gt;0,Base_IFData!M1185/Base_IFData!Q1185,"PL ≤ 0"),"NI")</f>
        <v>0.77840329801852914</v>
      </c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</row>
    <row r="1185" spans="1:30" ht="15" customHeight="1" x14ac:dyDescent="0.2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15" t="str">
        <f>Base_IFData!A1186</f>
        <v>GALLERIA - SOCIEDADE DE CRÉDITO DIRETO S/A</v>
      </c>
      <c r="L1185" s="15" t="str">
        <f>Base_IFData!F1186</f>
        <v>n1</v>
      </c>
      <c r="M1185" s="17" t="str">
        <f>IF(AND(ISNUMBER(Base_IFData!L1186),ISNUMBER(Base_IFData!W1186)),IF(Base_IFData!L1186&gt;$B$4,Base_IFData!W1186,""),"")</f>
        <v/>
      </c>
      <c r="N1185" s="50">
        <f>IF(AND(ISNUMBER(Base_IFData!O1186),ISNUMBER(Base_IFData!Q1186)),IF(Base_IFData!Q1186&gt;0,Base_IFData!O1186/Base_IFData!Q1186,"PL ≤ 0"),"NI")</f>
        <v>1.5121417632903085</v>
      </c>
      <c r="O1185" s="107">
        <f>IF(AND(ISNUMBER(Base_IFData!M1186),ISNUMBER(Base_IFData!Q1186)),IF(Base_IFData!Q1186&gt;0,Base_IFData!M1186/Base_IFData!Q1186,"PL ≤ 0"),"NI")</f>
        <v>0</v>
      </c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</row>
    <row r="1186" spans="1:30" ht="15" customHeight="1" x14ac:dyDescent="0.2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12" t="str">
        <f>Base_IFData!A1187</f>
        <v>WNT CAPITAL DISTRIBUIDORA DE TÍTULOS E VALORES MOBILIÁRIOS S.A.</v>
      </c>
      <c r="L1186" s="12" t="str">
        <f>Base_IFData!F1187</f>
        <v>n2</v>
      </c>
      <c r="M1186" s="14" t="str">
        <f>IF(AND(ISNUMBER(Base_IFData!L1187),ISNUMBER(Base_IFData!W1187)),IF(Base_IFData!L1187&gt;$B$4,Base_IFData!W1187,""),"")</f>
        <v/>
      </c>
      <c r="N1186" s="51">
        <f>IF(AND(ISNUMBER(Base_IFData!O1187),ISNUMBER(Base_IFData!Q1187)),IF(Base_IFData!Q1187&gt;0,Base_IFData!O1187/Base_IFData!Q1187,"PL ≤ 0"),"NI")</f>
        <v>0.80947039500040063</v>
      </c>
      <c r="O1186" s="110">
        <f>IF(AND(ISNUMBER(Base_IFData!M1187),ISNUMBER(Base_IFData!Q1187)),IF(Base_IFData!Q1187&gt;0,Base_IFData!M1187/Base_IFData!Q1187,"PL ≤ 0"),"NI")</f>
        <v>0</v>
      </c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</row>
    <row r="1187" spans="1:30" ht="15" customHeight="1" x14ac:dyDescent="0.2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15" t="str">
        <f>Base_IFData!A1188</f>
        <v>CREDISIS COOPESA - COOPERATIVA DE ECONOMIA E CRÉDITO</v>
      </c>
      <c r="L1187" s="15" t="str">
        <f>Base_IFData!F1188</f>
        <v>b3S</v>
      </c>
      <c r="M1187" s="17" t="str">
        <f>IF(AND(ISNUMBER(Base_IFData!L1188),ISNUMBER(Base_IFData!W1188)),IF(Base_IFData!L1188&gt;$B$4,Base_IFData!W1188,""),"")</f>
        <v/>
      </c>
      <c r="N1187" s="50">
        <f>IF(AND(ISNUMBER(Base_IFData!O1188),ISNUMBER(Base_IFData!Q1188)),IF(Base_IFData!Q1188&gt;0,Base_IFData!O1188/Base_IFData!Q1188,"PL ≤ 0"),"NI")</f>
        <v>1.4601721094439541</v>
      </c>
      <c r="O1187" s="107">
        <f>IF(AND(ISNUMBER(Base_IFData!M1188),ISNUMBER(Base_IFData!Q1188)),IF(Base_IFData!Q1188&gt;0,Base_IFData!M1188/Base_IFData!Q1188,"PL ≤ 0"),"NI")</f>
        <v>1.1732127096204765</v>
      </c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</row>
    <row r="1188" spans="1:30" ht="15" customHeight="1" x14ac:dyDescent="0.2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12" t="str">
        <f>Base_IFData!A1189</f>
        <v>KIKAI SOCIEDADE DE CRÉDITO DIRETO S.A.</v>
      </c>
      <c r="L1188" s="12" t="str">
        <f>Base_IFData!F1189</f>
        <v>n1</v>
      </c>
      <c r="M1188" s="14" t="str">
        <f>IF(AND(ISNUMBER(Base_IFData!L1189),ISNUMBER(Base_IFData!W1189)),IF(Base_IFData!L1189&gt;$B$4,Base_IFData!W1189,""),"")</f>
        <v/>
      </c>
      <c r="N1188" s="51">
        <f>IF(AND(ISNUMBER(Base_IFData!O1189),ISNUMBER(Base_IFData!Q1189)),IF(Base_IFData!Q1189&gt;0,Base_IFData!O1189/Base_IFData!Q1189,"PL ≤ 0"),"NI")</f>
        <v>1.2811465231788079</v>
      </c>
      <c r="O1188" s="110">
        <f>IF(AND(ISNUMBER(Base_IFData!M1189),ISNUMBER(Base_IFData!Q1189)),IF(Base_IFData!Q1189&gt;0,Base_IFData!M1189/Base_IFData!Q1189,"PL ≤ 0"),"NI")</f>
        <v>0</v>
      </c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</row>
    <row r="1189" spans="1:30" ht="15" customHeight="1" x14ac:dyDescent="0.2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15" t="str">
        <f>Base_IFData!A1190</f>
        <v>COOPERATIVA DE ECONOMIA E CRÉDITO MÚTUO DOS FUNCIONÁRIOS DO GRUPO JAL LTDA.</v>
      </c>
      <c r="L1189" s="15" t="str">
        <f>Base_IFData!F1190</f>
        <v>b3S</v>
      </c>
      <c r="M1189" s="17" t="str">
        <f>IF(AND(ISNUMBER(Base_IFData!L1190),ISNUMBER(Base_IFData!W1190)),IF(Base_IFData!L1190&gt;$B$4,Base_IFData!W1190,""),"")</f>
        <v/>
      </c>
      <c r="N1189" s="50">
        <f>IF(AND(ISNUMBER(Base_IFData!O1190),ISNUMBER(Base_IFData!Q1190)),IF(Base_IFData!Q1190&gt;0,Base_IFData!O1190/Base_IFData!Q1190,"PL ≤ 0"),"NI")</f>
        <v>0.17779700427188666</v>
      </c>
      <c r="O1189" s="107">
        <f>IF(AND(ISNUMBER(Base_IFData!M1190),ISNUMBER(Base_IFData!Q1190)),IF(Base_IFData!Q1190&gt;0,Base_IFData!M1190/Base_IFData!Q1190,"PL ≤ 0"),"NI")</f>
        <v>0.27815930352025092</v>
      </c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</row>
    <row r="1190" spans="1:30" ht="15" customHeight="1" x14ac:dyDescent="0.2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12" t="str">
        <f>Base_IFData!A1191</f>
        <v>BROKER BRASIL CORRETORA DE CÂMBIO LTDA.</v>
      </c>
      <c r="L1190" s="12" t="str">
        <f>Base_IFData!F1191</f>
        <v>n2</v>
      </c>
      <c r="M1190" s="14" t="str">
        <f>IF(AND(ISNUMBER(Base_IFData!L1191),ISNUMBER(Base_IFData!W1191)),IF(Base_IFData!L1191&gt;$B$4,Base_IFData!W1191,""),"")</f>
        <v/>
      </c>
      <c r="N1190" s="51">
        <f>IF(AND(ISNUMBER(Base_IFData!O1191),ISNUMBER(Base_IFData!Q1191)),IF(Base_IFData!Q1191&gt;0,Base_IFData!O1191/Base_IFData!Q1191,"PL ≤ 0"),"NI")</f>
        <v>0.78139077729543782</v>
      </c>
      <c r="O1190" s="110">
        <f>IF(AND(ISNUMBER(Base_IFData!M1191),ISNUMBER(Base_IFData!Q1191)),IF(Base_IFData!Q1191&gt;0,Base_IFData!M1191/Base_IFData!Q1191,"PL ≤ 0"),"NI")</f>
        <v>0</v>
      </c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</row>
    <row r="1191" spans="1:30" ht="15" customHeight="1" x14ac:dyDescent="0.2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15" t="str">
        <f>Base_IFData!A1192</f>
        <v>COOPERATIVA DE CRÉDITO DOS EMPREGADOS DA MINERAÇÃO RIO DO NORTE</v>
      </c>
      <c r="L1191" s="15" t="str">
        <f>Base_IFData!F1192</f>
        <v>b3S</v>
      </c>
      <c r="M1191" s="17" t="str">
        <f>IF(AND(ISNUMBER(Base_IFData!L1192),ISNUMBER(Base_IFData!W1192)),IF(Base_IFData!L1192&gt;$B$4,Base_IFData!W1192,""),"")</f>
        <v/>
      </c>
      <c r="N1191" s="50">
        <f>IF(AND(ISNUMBER(Base_IFData!O1192),ISNUMBER(Base_IFData!Q1192)),IF(Base_IFData!Q1192&gt;0,Base_IFData!O1192/Base_IFData!Q1192,"PL ≤ 0"),"NI")</f>
        <v>3.1634276896368808E-2</v>
      </c>
      <c r="O1191" s="107">
        <f>IF(AND(ISNUMBER(Base_IFData!M1192),ISNUMBER(Base_IFData!Q1192)),IF(Base_IFData!Q1192&gt;0,Base_IFData!M1192/Base_IFData!Q1192,"PL ≤ 0"),"NI")</f>
        <v>0.67743646621980036</v>
      </c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</row>
    <row r="1192" spans="1:30" ht="15" customHeight="1" x14ac:dyDescent="0.2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12" t="str">
        <f>Base_IFData!A1193</f>
        <v>ASAAS SOCIEDADE DE CRÉDITO, FINANCIAMENTO E INVESTIMENTO S.A.</v>
      </c>
      <c r="L1192" s="12" t="str">
        <f>Base_IFData!F1193</f>
        <v>n1</v>
      </c>
      <c r="M1192" s="14" t="str">
        <f>IF(AND(ISNUMBER(Base_IFData!L1193),ISNUMBER(Base_IFData!W1193)),IF(Base_IFData!L1193&gt;$B$4,Base_IFData!W1193,""),"")</f>
        <v/>
      </c>
      <c r="N1192" s="51">
        <f>IF(AND(ISNUMBER(Base_IFData!O1193),ISNUMBER(Base_IFData!Q1193)),IF(Base_IFData!Q1193&gt;0,Base_IFData!O1193/Base_IFData!Q1193,"PL ≤ 0"),"NI")</f>
        <v>2.4142068634509239E-2</v>
      </c>
      <c r="O1192" s="110">
        <f>IF(AND(ISNUMBER(Base_IFData!M1193),ISNUMBER(Base_IFData!Q1193)),IF(Base_IFData!Q1193&gt;0,Base_IFData!M1193/Base_IFData!Q1193,"PL ≤ 0"),"NI")</f>
        <v>2.4046076313894889E-2</v>
      </c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</row>
    <row r="1193" spans="1:30" ht="15" customHeight="1" x14ac:dyDescent="0.2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15" t="str">
        <f>Base_IFData!A1194</f>
        <v>ASPENFIN-BR - SOCIEDADE DE CRÉDITO AO MICROEMPREENDEDOR E A EMPRESA DE PEQUENO PORTE LTDA.</v>
      </c>
      <c r="L1193" s="15" t="str">
        <f>Base_IFData!F1194</f>
        <v>n1</v>
      </c>
      <c r="M1193" s="17" t="str">
        <f>IF(AND(ISNUMBER(Base_IFData!L1194),ISNUMBER(Base_IFData!W1194)),IF(Base_IFData!L1194&gt;$B$4,Base_IFData!W1194,""),"")</f>
        <v/>
      </c>
      <c r="N1193" s="50">
        <f>IF(AND(ISNUMBER(Base_IFData!O1194),ISNUMBER(Base_IFData!Q1194)),IF(Base_IFData!Q1194&gt;0,Base_IFData!O1194/Base_IFData!Q1194,"PL ≤ 0"),"NI")</f>
        <v>0.50176628514907451</v>
      </c>
      <c r="O1193" s="107">
        <f>IF(AND(ISNUMBER(Base_IFData!M1194),ISNUMBER(Base_IFData!Q1194)),IF(Base_IFData!Q1194&gt;0,Base_IFData!M1194/Base_IFData!Q1194,"PL ≤ 0"),"NI")</f>
        <v>0.84689840327822519</v>
      </c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</row>
    <row r="1194" spans="1:30" ht="15" customHeight="1" x14ac:dyDescent="0.2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12" t="str">
        <f>Base_IFData!A1195</f>
        <v>BOKU NETWORK BRASIL INSTITUICAO DE PAGAMENTO LTDA</v>
      </c>
      <c r="L1194" s="12" t="str">
        <f>Base_IFData!F1195</f>
        <v>n4</v>
      </c>
      <c r="M1194" s="14" t="str">
        <f>IF(AND(ISNUMBER(Base_IFData!L1195),ISNUMBER(Base_IFData!W1195)),IF(Base_IFData!L1195&gt;$B$4,Base_IFData!W1195,""),"")</f>
        <v/>
      </c>
      <c r="N1194" s="51">
        <f>IF(AND(ISNUMBER(Base_IFData!O1195),ISNUMBER(Base_IFData!Q1195)),IF(Base_IFData!Q1195&gt;0,Base_IFData!O1195/Base_IFData!Q1195,"PL ≤ 0"),"NI")</f>
        <v>2.7032792665726375</v>
      </c>
      <c r="O1194" s="110">
        <f>IF(AND(ISNUMBER(Base_IFData!M1195),ISNUMBER(Base_IFData!Q1195)),IF(Base_IFData!Q1195&gt;0,Base_IFData!M1195/Base_IFData!Q1195,"PL ≤ 0"),"NI")</f>
        <v>0</v>
      </c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</row>
    <row r="1195" spans="1:30" ht="15" customHeight="1" x14ac:dyDescent="0.2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15" t="str">
        <f>Base_IFData!A1196</f>
        <v>SOCIAL BANK BANCO MÚLTIPLO S/A</v>
      </c>
      <c r="L1195" s="15" t="str">
        <f>Base_IFData!F1196</f>
        <v>b1</v>
      </c>
      <c r="M1195" s="17" t="str">
        <f>IF(AND(ISNUMBER(Base_IFData!L1196),ISNUMBER(Base_IFData!W1196)),IF(Base_IFData!L1196&gt;$B$4,Base_IFData!W1196,""),"")</f>
        <v/>
      </c>
      <c r="N1195" s="50">
        <f>IF(AND(ISNUMBER(Base_IFData!O1196),ISNUMBER(Base_IFData!Q1196)),IF(Base_IFData!Q1196&gt;0,Base_IFData!O1196/Base_IFData!Q1196,"PL ≤ 0"),"NI")</f>
        <v>0.11815515862436683</v>
      </c>
      <c r="O1195" s="107">
        <f>IF(AND(ISNUMBER(Base_IFData!M1196),ISNUMBER(Base_IFData!Q1196)),IF(Base_IFData!Q1196&gt;0,Base_IFData!M1196/Base_IFData!Q1196,"PL ≤ 0"),"NI")</f>
        <v>0.11042388696347641</v>
      </c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</row>
    <row r="1196" spans="1:30" ht="15" customHeight="1" x14ac:dyDescent="0.2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12" t="str">
        <f>Base_IFData!A1197</f>
        <v>UNLIMIT BRASIL INSTITUICAO DE PAGAMENTO LTDA</v>
      </c>
      <c r="L1196" s="12" t="str">
        <f>Base_IFData!F1197</f>
        <v>n4</v>
      </c>
      <c r="M1196" s="14" t="str">
        <f>IF(AND(ISNUMBER(Base_IFData!L1197),ISNUMBER(Base_IFData!W1197)),IF(Base_IFData!L1197&gt;$B$4,Base_IFData!W1197,""),"")</f>
        <v/>
      </c>
      <c r="N1196" s="51">
        <f>IF(AND(ISNUMBER(Base_IFData!O1197),ISNUMBER(Base_IFData!Q1197)),IF(Base_IFData!Q1197&gt;0,Base_IFData!O1197/Base_IFData!Q1197,"PL ≤ 0"),"NI")</f>
        <v>1.130350591112923</v>
      </c>
      <c r="O1196" s="110">
        <f>IF(AND(ISNUMBER(Base_IFData!M1197),ISNUMBER(Base_IFData!Q1197)),IF(Base_IFData!Q1197&gt;0,Base_IFData!M1197/Base_IFData!Q1197,"PL ≤ 0"),"NI")</f>
        <v>0</v>
      </c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</row>
    <row r="1197" spans="1:30" ht="15" customHeight="1" x14ac:dyDescent="0.2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15" t="str">
        <f>Base_IFData!A1198</f>
        <v>COOPERATIVA DE CRÉDITO DOS EMPREGADOS DE ELEVADORES ATLAS</v>
      </c>
      <c r="L1197" s="15" t="str">
        <f>Base_IFData!F1198</f>
        <v>b3S</v>
      </c>
      <c r="M1197" s="17" t="str">
        <f>IF(AND(ISNUMBER(Base_IFData!L1198),ISNUMBER(Base_IFData!W1198)),IF(Base_IFData!L1198&gt;$B$4,Base_IFData!W1198,""),"")</f>
        <v/>
      </c>
      <c r="N1197" s="50">
        <f>IF(AND(ISNUMBER(Base_IFData!O1198),ISNUMBER(Base_IFData!Q1198)),IF(Base_IFData!Q1198&gt;0,Base_IFData!O1198/Base_IFData!Q1198,"PL ≤ 0"),"NI")</f>
        <v>5.1396820496990278E-2</v>
      </c>
      <c r="O1197" s="107">
        <f>IF(AND(ISNUMBER(Base_IFData!M1198),ISNUMBER(Base_IFData!Q1198)),IF(Base_IFData!Q1198&gt;0,Base_IFData!M1198/Base_IFData!Q1198,"PL ≤ 0"),"NI")</f>
        <v>0.62545660338529607</v>
      </c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</row>
    <row r="1198" spans="1:30" ht="15" customHeight="1" x14ac:dyDescent="0.2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12" t="str">
        <f>Base_IFData!A1199</f>
        <v>MERCADO BITCOIN CORRETORA DE TÍTULOS E VALORES MOBILIÁRIOS S.A.</v>
      </c>
      <c r="L1198" s="12" t="str">
        <f>Base_IFData!F1199</f>
        <v>n2</v>
      </c>
      <c r="M1198" s="14" t="str">
        <f>IF(AND(ISNUMBER(Base_IFData!L1199),ISNUMBER(Base_IFData!W1199)),IF(Base_IFData!L1199&gt;$B$4,Base_IFData!W1199,""),"")</f>
        <v/>
      </c>
      <c r="N1198" s="51">
        <f>IF(AND(ISNUMBER(Base_IFData!O1199),ISNUMBER(Base_IFData!Q1199)),IF(Base_IFData!Q1199&gt;0,Base_IFData!O1199/Base_IFData!Q1199,"PL ≤ 0"),"NI")</f>
        <v>6.6009747827929649E-2</v>
      </c>
      <c r="O1198" s="110">
        <f>IF(AND(ISNUMBER(Base_IFData!M1199),ISNUMBER(Base_IFData!Q1199)),IF(Base_IFData!Q1199&gt;0,Base_IFData!M1199/Base_IFData!Q1199,"PL ≤ 0"),"NI")</f>
        <v>0.48818605636787454</v>
      </c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</row>
    <row r="1199" spans="1:30" ht="15" customHeight="1" x14ac:dyDescent="0.2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15" t="str">
        <f>Base_IFData!A1200</f>
        <v>COOPERATIVA DE ECONOMIA E CREDITO MUTUO DOS EMPREGADOS DE CHOCOLATES GAROTO LTDA. - CREDI-GAROTO</v>
      </c>
      <c r="L1199" s="15" t="str">
        <f>Base_IFData!F1200</f>
        <v>b3S</v>
      </c>
      <c r="M1199" s="17" t="str">
        <f>IF(AND(ISNUMBER(Base_IFData!L1200),ISNUMBER(Base_IFData!W1200)),IF(Base_IFData!L1200&gt;$B$4,Base_IFData!W1200,""),"")</f>
        <v/>
      </c>
      <c r="N1199" s="50">
        <f>IF(AND(ISNUMBER(Base_IFData!O1200),ISNUMBER(Base_IFData!Q1200)),IF(Base_IFData!Q1200&gt;0,Base_IFData!O1200/Base_IFData!Q1200,"PL ≤ 0"),"NI")</f>
        <v>6.3730304140710885</v>
      </c>
      <c r="O1199" s="107">
        <f>IF(AND(ISNUMBER(Base_IFData!M1200),ISNUMBER(Base_IFData!Q1200)),IF(Base_IFData!Q1200&gt;0,Base_IFData!M1200/Base_IFData!Q1200,"PL ≤ 0"),"NI")</f>
        <v>2.9351410773176987</v>
      </c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</row>
    <row r="1200" spans="1:30" ht="15" customHeight="1" x14ac:dyDescent="0.2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12" t="str">
        <f>Base_IFData!A1201</f>
        <v>COOPERATIVA DE ECONOMIA E CRÉDITO MÚTUO DOS FUNCIONÁRIOS DA TICKET SERVIÇOS COMÉRCIO E ADMINISTRAÇÃO</v>
      </c>
      <c r="L1200" s="12" t="str">
        <f>Base_IFData!F1201</f>
        <v>b3S</v>
      </c>
      <c r="M1200" s="14" t="str">
        <f>IF(AND(ISNUMBER(Base_IFData!L1201),ISNUMBER(Base_IFData!W1201)),IF(Base_IFData!L1201&gt;$B$4,Base_IFData!W1201,""),"")</f>
        <v/>
      </c>
      <c r="N1200" s="51">
        <f>IF(AND(ISNUMBER(Base_IFData!O1201),ISNUMBER(Base_IFData!Q1201)),IF(Base_IFData!Q1201&gt;0,Base_IFData!O1201/Base_IFData!Q1201,"PL ≤ 0"),"NI")</f>
        <v>0.26041339448388517</v>
      </c>
      <c r="O1200" s="110">
        <f>IF(AND(ISNUMBER(Base_IFData!M1201),ISNUMBER(Base_IFData!Q1201)),IF(Base_IFData!Q1201&gt;0,Base_IFData!M1201/Base_IFData!Q1201,"PL ≤ 0"),"NI")</f>
        <v>0.21335678833951122</v>
      </c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</row>
    <row r="1201" spans="1:30" ht="15" customHeight="1" x14ac:dyDescent="0.2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15" t="str">
        <f>Base_IFData!A1202</f>
        <v>COOPERATIVA DE ECONOMIA E CRÉDITO MÚTUO DOS COLABORADORES DA CEBRACE</v>
      </c>
      <c r="L1201" s="15" t="str">
        <f>Base_IFData!F1202</f>
        <v>b3S</v>
      </c>
      <c r="M1201" s="17" t="str">
        <f>IF(AND(ISNUMBER(Base_IFData!L1202),ISNUMBER(Base_IFData!W1202)),IF(Base_IFData!L1202&gt;$B$4,Base_IFData!W1202,""),"")</f>
        <v/>
      </c>
      <c r="N1201" s="50">
        <f>IF(AND(ISNUMBER(Base_IFData!O1202),ISNUMBER(Base_IFData!Q1202)),IF(Base_IFData!Q1202&gt;0,Base_IFData!O1202/Base_IFData!Q1202,"PL ≤ 0"),"NI")</f>
        <v>2.0293983012054321E-2</v>
      </c>
      <c r="O1201" s="107">
        <f>IF(AND(ISNUMBER(Base_IFData!M1202),ISNUMBER(Base_IFData!Q1202)),IF(Base_IFData!Q1202&gt;0,Base_IFData!M1202/Base_IFData!Q1202,"PL ≤ 0"),"NI")</f>
        <v>0.85697573877218858</v>
      </c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</row>
    <row r="1202" spans="1:30" ht="15" customHeight="1" x14ac:dyDescent="0.2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12" t="str">
        <f>Base_IFData!A1203</f>
        <v>COOPERATIVA DE ECONOMIA E CRÉDITO MÚTUO DOS EMPREGADOS DA CEMIG E DAS INDÚSTRIAS METALÚRGICAS E DE MATERIAL ELÉTRICO E DOS SERVIDORES PÚBLICOS MUNICIPAIS DE JUIZ DE FORA LTDA. - SICOOB CECREMEC</v>
      </c>
      <c r="L1202" s="12" t="str">
        <f>Base_IFData!F1203</f>
        <v>b3S</v>
      </c>
      <c r="M1202" s="14" t="str">
        <f>IF(AND(ISNUMBER(Base_IFData!L1203),ISNUMBER(Base_IFData!W1203)),IF(Base_IFData!L1203&gt;$B$4,Base_IFData!W1203,""),"")</f>
        <v/>
      </c>
      <c r="N1202" s="51">
        <f>IF(AND(ISNUMBER(Base_IFData!O1203),ISNUMBER(Base_IFData!Q1203)),IF(Base_IFData!Q1203&gt;0,Base_IFData!O1203/Base_IFData!Q1203,"PL ≤ 0"),"NI")</f>
        <v>1.0153954518011672</v>
      </c>
      <c r="O1202" s="110">
        <f>IF(AND(ISNUMBER(Base_IFData!M1203),ISNUMBER(Base_IFData!Q1203)),IF(Base_IFData!Q1203&gt;0,Base_IFData!M1203/Base_IFData!Q1203,"PL ≤ 0"),"NI")</f>
        <v>0.70567518615415581</v>
      </c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</row>
    <row r="1203" spans="1:30" ht="15" customHeight="1" x14ac:dyDescent="0.2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15" t="str">
        <f>Base_IFData!A1204</f>
        <v>UNAVANTI SOCIEDADE DE CRÉDITO DIRETO S/A</v>
      </c>
      <c r="L1203" s="15" t="str">
        <f>Base_IFData!F1204</f>
        <v>n1</v>
      </c>
      <c r="M1203" s="17" t="str">
        <f>IF(AND(ISNUMBER(Base_IFData!L1204),ISNUMBER(Base_IFData!W1204)),IF(Base_IFData!L1204&gt;$B$4,Base_IFData!W1204,""),"")</f>
        <v/>
      </c>
      <c r="N1203" s="50">
        <f>IF(AND(ISNUMBER(Base_IFData!O1204),ISNUMBER(Base_IFData!Q1204)),IF(Base_IFData!Q1204&gt;0,Base_IFData!O1204/Base_IFData!Q1204,"PL ≤ 0"),"NI")</f>
        <v>1.8627338129496402</v>
      </c>
      <c r="O1203" s="107">
        <f>IF(AND(ISNUMBER(Base_IFData!M1204),ISNUMBER(Base_IFData!Q1204)),IF(Base_IFData!Q1204&gt;0,Base_IFData!M1204/Base_IFData!Q1204,"PL ≤ 0"),"NI")</f>
        <v>0.26978417266187049</v>
      </c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</row>
    <row r="1204" spans="1:30" ht="15" customHeight="1" x14ac:dyDescent="0.2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12" t="str">
        <f>Base_IFData!A1205</f>
        <v>TORRA SOCIEDADE DE CRÉDITO DIRETO S.A.</v>
      </c>
      <c r="L1204" s="12" t="str">
        <f>Base_IFData!F1205</f>
        <v>n1</v>
      </c>
      <c r="M1204" s="14" t="str">
        <f>IF(AND(ISNUMBER(Base_IFData!L1205),ISNUMBER(Base_IFData!W1205)),IF(Base_IFData!L1205&gt;$B$4,Base_IFData!W1205,""),"")</f>
        <v/>
      </c>
      <c r="N1204" s="51">
        <f>IF(AND(ISNUMBER(Base_IFData!O1205),ISNUMBER(Base_IFData!Q1205)),IF(Base_IFData!Q1205&gt;0,Base_IFData!O1205/Base_IFData!Q1205,"PL ≤ 0"),"NI")</f>
        <v>4.7425187691656975E-2</v>
      </c>
      <c r="O1204" s="110">
        <f>IF(AND(ISNUMBER(Base_IFData!M1205),ISNUMBER(Base_IFData!Q1205)),IF(Base_IFData!Q1205&gt;0,Base_IFData!M1205/Base_IFData!Q1205,"PL ≤ 0"),"NI")</f>
        <v>0</v>
      </c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</row>
    <row r="1205" spans="1:30" ht="15" customHeight="1" x14ac:dyDescent="0.2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15" t="str">
        <f>Base_IFData!A1206</f>
        <v>FISERV SOCIEDADE DE CRÉDITO DIRETO S.A.</v>
      </c>
      <c r="L1205" s="15" t="str">
        <f>Base_IFData!F1206</f>
        <v>n1</v>
      </c>
      <c r="M1205" s="17" t="str">
        <f>IF(AND(ISNUMBER(Base_IFData!L1206),ISNUMBER(Base_IFData!W1206)),IF(Base_IFData!L1206&gt;$B$4,Base_IFData!W1206,""),"")</f>
        <v/>
      </c>
      <c r="N1205" s="50">
        <f>IF(AND(ISNUMBER(Base_IFData!O1206),ISNUMBER(Base_IFData!Q1206)),IF(Base_IFData!Q1206&gt;0,Base_IFData!O1206/Base_IFData!Q1206,"PL ≤ 0"),"NI")</f>
        <v>5.411024629491417E-2</v>
      </c>
      <c r="O1205" s="107">
        <f>IF(AND(ISNUMBER(Base_IFData!M1206),ISNUMBER(Base_IFData!Q1206)),IF(Base_IFData!Q1206&gt;0,Base_IFData!M1206/Base_IFData!Q1206,"PL ≤ 0"),"NI")</f>
        <v>3.1133383089881651E-2</v>
      </c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</row>
    <row r="1206" spans="1:30" ht="15" customHeight="1" x14ac:dyDescent="0.2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12" t="str">
        <f>Base_IFData!A1207</f>
        <v>COOPERATIVA DE CREDITO RURAL DE GUACUI - CREDIGUAÇUÍ</v>
      </c>
      <c r="L1206" s="12" t="str">
        <f>Base_IFData!F1207</f>
        <v>b3S</v>
      </c>
      <c r="M1206" s="14" t="str">
        <f>IF(AND(ISNUMBER(Base_IFData!L1207),ISNUMBER(Base_IFData!W1207)),IF(Base_IFData!L1207&gt;$B$4,Base_IFData!W1207,""),"")</f>
        <v/>
      </c>
      <c r="N1206" s="51">
        <f>IF(AND(ISNUMBER(Base_IFData!O1207),ISNUMBER(Base_IFData!Q1207)),IF(Base_IFData!Q1207&gt;0,Base_IFData!O1207/Base_IFData!Q1207,"PL ≤ 0"),"NI")</f>
        <v>0.89936501827977677</v>
      </c>
      <c r="O1206" s="110">
        <f>IF(AND(ISNUMBER(Base_IFData!M1207),ISNUMBER(Base_IFData!Q1207)),IF(Base_IFData!Q1207&gt;0,Base_IFData!M1207/Base_IFData!Q1207,"PL ≤ 0"),"NI")</f>
        <v>0.50365595535886087</v>
      </c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</row>
    <row r="1207" spans="1:30" ht="15" customHeight="1" x14ac:dyDescent="0.2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15" t="str">
        <f>Base_IFData!A1208</f>
        <v>COOPERATIVA DE CRÉDITO DOS SERVIDORES PÚBLICOS MUNICIPAIS DA GRANDE VITÓRIA/ES</v>
      </c>
      <c r="L1207" s="15" t="str">
        <f>Base_IFData!F1208</f>
        <v>b3S</v>
      </c>
      <c r="M1207" s="17" t="str">
        <f>IF(AND(ISNUMBER(Base_IFData!L1208),ISNUMBER(Base_IFData!W1208)),IF(Base_IFData!L1208&gt;$B$4,Base_IFData!W1208,""),"")</f>
        <v/>
      </c>
      <c r="N1207" s="50">
        <f>IF(AND(ISNUMBER(Base_IFData!O1208),ISNUMBER(Base_IFData!Q1208)),IF(Base_IFData!Q1208&gt;0,Base_IFData!O1208/Base_IFData!Q1208,"PL ≤ 0"),"NI")</f>
        <v>0.10002786291446085</v>
      </c>
      <c r="O1207" s="107">
        <f>IF(AND(ISNUMBER(Base_IFData!M1208),ISNUMBER(Base_IFData!Q1208)),IF(Base_IFData!Q1208&gt;0,Base_IFData!M1208/Base_IFData!Q1208,"PL ≤ 0"),"NI")</f>
        <v>0.70911117302869875</v>
      </c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</row>
    <row r="1208" spans="1:30" ht="15" customHeight="1" x14ac:dyDescent="0.2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12" t="str">
        <f>Base_IFData!A1209</f>
        <v>A55 SOCIEDADE DE CRÉDITO DIRETO S.A.</v>
      </c>
      <c r="L1208" s="12" t="str">
        <f>Base_IFData!F1209</f>
        <v>n1</v>
      </c>
      <c r="M1208" s="14" t="str">
        <f>IF(AND(ISNUMBER(Base_IFData!L1209),ISNUMBER(Base_IFData!W1209)),IF(Base_IFData!L1209&gt;$B$4,Base_IFData!W1209,""),"")</f>
        <v/>
      </c>
      <c r="N1208" s="51">
        <f>IF(AND(ISNUMBER(Base_IFData!O1209),ISNUMBER(Base_IFData!Q1209)),IF(Base_IFData!Q1209&gt;0,Base_IFData!O1209/Base_IFData!Q1209,"PL ≤ 0"),"NI")</f>
        <v>0.21644483144669735</v>
      </c>
      <c r="O1208" s="110">
        <f>IF(AND(ISNUMBER(Base_IFData!M1209),ISNUMBER(Base_IFData!Q1209)),IF(Base_IFData!Q1209&gt;0,Base_IFData!M1209/Base_IFData!Q1209,"PL ≤ 0"),"NI")</f>
        <v>2.1271302400796117E-2</v>
      </c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</row>
    <row r="1209" spans="1:30" ht="15" customHeight="1" x14ac:dyDescent="0.2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15" t="str">
        <f>Base_IFData!A1210</f>
        <v>OPPORTUNITY DISTRIBUIDORA DE TÍTULOS E VALORES MOBILIÁRIOS LTDA</v>
      </c>
      <c r="L1209" s="15" t="str">
        <f>Base_IFData!F1210</f>
        <v>n2</v>
      </c>
      <c r="M1209" s="17" t="str">
        <f>IF(AND(ISNUMBER(Base_IFData!L1210),ISNUMBER(Base_IFData!W1210)),IF(Base_IFData!L1210&gt;$B$4,Base_IFData!W1210,""),"")</f>
        <v/>
      </c>
      <c r="N1209" s="50">
        <f>IF(AND(ISNUMBER(Base_IFData!O1210),ISNUMBER(Base_IFData!Q1210)),IF(Base_IFData!Q1210&gt;0,Base_IFData!O1210/Base_IFData!Q1210,"PL ≤ 0"),"NI")</f>
        <v>0.24787472035794184</v>
      </c>
      <c r="O1209" s="107">
        <f>IF(AND(ISNUMBER(Base_IFData!M1210),ISNUMBER(Base_IFData!Q1210)),IF(Base_IFData!Q1210&gt;0,Base_IFData!M1210/Base_IFData!Q1210,"PL ≤ 0"),"NI")</f>
        <v>0</v>
      </c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</row>
    <row r="1210" spans="1:30" ht="15" customHeight="1" x14ac:dyDescent="0.2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12" t="str">
        <f>Base_IFData!A1211</f>
        <v>COOPERATIVA DE ECONOMIA E CRÉDITO MÚTUO DOS SERVIDORES PÚBLICOS MUNICIPAIS EM JOÃO MONLEVADE LTDA. - COPREMON</v>
      </c>
      <c r="L1210" s="12" t="str">
        <f>Base_IFData!F1211</f>
        <v>b3S</v>
      </c>
      <c r="M1210" s="14" t="str">
        <f>IF(AND(ISNUMBER(Base_IFData!L1211),ISNUMBER(Base_IFData!W1211)),IF(Base_IFData!L1211&gt;$B$4,Base_IFData!W1211,""),"")</f>
        <v/>
      </c>
      <c r="N1210" s="51">
        <f>IF(AND(ISNUMBER(Base_IFData!O1211),ISNUMBER(Base_IFData!Q1211)),IF(Base_IFData!Q1211&gt;0,Base_IFData!O1211/Base_IFData!Q1211,"PL ≤ 0"),"NI")</f>
        <v>0.10308579179382842</v>
      </c>
      <c r="O1210" s="110">
        <f>IF(AND(ISNUMBER(Base_IFData!M1211),ISNUMBER(Base_IFData!Q1211)),IF(Base_IFData!Q1211&gt;0,Base_IFData!M1211/Base_IFData!Q1211,"PL ≤ 0"),"NI")</f>
        <v>0.81383519837232965</v>
      </c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</row>
    <row r="1211" spans="1:30" ht="15" customHeight="1" x14ac:dyDescent="0.2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15" t="str">
        <f>Base_IFData!A1212</f>
        <v>COOPERATIVA DE ECONOMIA E CRÉDITO MÚTUO DOS EMPREGADOS DO GRUPO SBF LTDA. - COOPER ATIVA SBF</v>
      </c>
      <c r="L1211" s="15" t="str">
        <f>Base_IFData!F1212</f>
        <v>b3S</v>
      </c>
      <c r="M1211" s="17" t="str">
        <f>IF(AND(ISNUMBER(Base_IFData!L1212),ISNUMBER(Base_IFData!W1212)),IF(Base_IFData!L1212&gt;$B$4,Base_IFData!W1212,""),"")</f>
        <v/>
      </c>
      <c r="N1211" s="50">
        <f>IF(AND(ISNUMBER(Base_IFData!O1212),ISNUMBER(Base_IFData!Q1212)),IF(Base_IFData!Q1212&gt;0,Base_IFData!O1212/Base_IFData!Q1212,"PL ≤ 0"),"NI")</f>
        <v>0.14498456323021974</v>
      </c>
      <c r="O1211" s="107">
        <f>IF(AND(ISNUMBER(Base_IFData!M1212),ISNUMBER(Base_IFData!Q1212)),IF(Base_IFData!Q1212&gt;0,Base_IFData!M1212/Base_IFData!Q1212,"PL ≤ 0"),"NI")</f>
        <v>0.78999939463647917</v>
      </c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</row>
    <row r="1212" spans="1:30" ht="15" customHeight="1" x14ac:dyDescent="0.2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12" t="str">
        <f>Base_IFData!A1213</f>
        <v>MÉRITO SOCIEDADE DE CRÉDITO, FINANCIAMENTO E INVESTIMENTO S.A.</v>
      </c>
      <c r="L1212" s="12" t="str">
        <f>Base_IFData!F1213</f>
        <v>n1</v>
      </c>
      <c r="M1212" s="14" t="str">
        <f>IF(AND(ISNUMBER(Base_IFData!L1213),ISNUMBER(Base_IFData!W1213)),IF(Base_IFData!L1213&gt;$B$4,Base_IFData!W1213,""),"")</f>
        <v/>
      </c>
      <c r="N1212" s="51">
        <f>IF(AND(ISNUMBER(Base_IFData!O1213),ISNUMBER(Base_IFData!Q1213)),IF(Base_IFData!Q1213&gt;0,Base_IFData!O1213/Base_IFData!Q1213,"PL ≤ 0"),"NI")</f>
        <v>0.51272346593654372</v>
      </c>
      <c r="O1212" s="110">
        <f>IF(AND(ISNUMBER(Base_IFData!M1213),ISNUMBER(Base_IFData!Q1213)),IF(Base_IFData!Q1213&gt;0,Base_IFData!M1213/Base_IFData!Q1213,"PL ≤ 0"),"NI")</f>
        <v>1.1029151232082461</v>
      </c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</row>
    <row r="1213" spans="1:30" ht="15" customHeight="1" x14ac:dyDescent="0.2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15" t="str">
        <f>Base_IFData!A1214</f>
        <v>COOPERATIVA DE ECONOMIA E CRÉDITO MÚTUO DOS FUNCIONÁRIOS PÚBLICOS MUNICIPAIS DE ITAPIRA - CREDITA</v>
      </c>
      <c r="L1213" s="15" t="str">
        <f>Base_IFData!F1214</f>
        <v>b3S</v>
      </c>
      <c r="M1213" s="17" t="str">
        <f>IF(AND(ISNUMBER(Base_IFData!L1214),ISNUMBER(Base_IFData!W1214)),IF(Base_IFData!L1214&gt;$B$4,Base_IFData!W1214,""),"")</f>
        <v/>
      </c>
      <c r="N1213" s="50">
        <f>IF(AND(ISNUMBER(Base_IFData!O1214),ISNUMBER(Base_IFData!Q1214)),IF(Base_IFData!Q1214&gt;0,Base_IFData!O1214/Base_IFData!Q1214,"PL ≤ 0"),"NI")</f>
        <v>4.2711026188602903E-2</v>
      </c>
      <c r="O1213" s="107">
        <f>IF(AND(ISNUMBER(Base_IFData!M1214),ISNUMBER(Base_IFData!Q1214)),IF(Base_IFData!Q1214&gt;0,Base_IFData!M1214/Base_IFData!Q1214,"PL ≤ 0"),"NI")</f>
        <v>0.75311902888614135</v>
      </c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</row>
    <row r="1214" spans="1:30" ht="15" customHeight="1" x14ac:dyDescent="0.2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12" t="str">
        <f>Base_IFData!A1215</f>
        <v>OSLO CAPITAL DISTRIBUIDORA DE TÍTULOS E VALORES MOBILIÁRIOS S.A</v>
      </c>
      <c r="L1214" s="12" t="str">
        <f>Base_IFData!F1215</f>
        <v>n2</v>
      </c>
      <c r="M1214" s="14" t="str">
        <f>IF(AND(ISNUMBER(Base_IFData!L1215),ISNUMBER(Base_IFData!W1215)),IF(Base_IFData!L1215&gt;$B$4,Base_IFData!W1215,""),"")</f>
        <v/>
      </c>
      <c r="N1214" s="51">
        <f>IF(AND(ISNUMBER(Base_IFData!O1215),ISNUMBER(Base_IFData!Q1215)),IF(Base_IFData!Q1215&gt;0,Base_IFData!O1215/Base_IFData!Q1215,"PL ≤ 0"),"NI")</f>
        <v>1.0124796527400977</v>
      </c>
      <c r="O1214" s="110">
        <f>IF(AND(ISNUMBER(Base_IFData!M1215),ISNUMBER(Base_IFData!Q1215)),IF(Base_IFData!Q1215&gt;0,Base_IFData!M1215/Base_IFData!Q1215,"PL ≤ 0"),"NI")</f>
        <v>0</v>
      </c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</row>
    <row r="1215" spans="1:30" ht="15" customHeight="1" x14ac:dyDescent="0.2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15" t="str">
        <f>Base_IFData!A1216</f>
        <v>LEND SOCIEDADE DE CRÉDITO DIRETO S.A.</v>
      </c>
      <c r="L1215" s="15" t="str">
        <f>Base_IFData!F1216</f>
        <v>n1</v>
      </c>
      <c r="M1215" s="17" t="str">
        <f>IF(AND(ISNUMBER(Base_IFData!L1216),ISNUMBER(Base_IFData!W1216)),IF(Base_IFData!L1216&gt;$B$4,Base_IFData!W1216,""),"")</f>
        <v/>
      </c>
      <c r="N1215" s="50">
        <f>IF(AND(ISNUMBER(Base_IFData!O1216),ISNUMBER(Base_IFData!Q1216)),IF(Base_IFData!Q1216&gt;0,Base_IFData!O1216/Base_IFData!Q1216,"PL ≤ 0"),"NI")</f>
        <v>0.69014985380116955</v>
      </c>
      <c r="O1215" s="107">
        <f>IF(AND(ISNUMBER(Base_IFData!M1216),ISNUMBER(Base_IFData!Q1216)),IF(Base_IFData!Q1216&gt;0,Base_IFData!M1216/Base_IFData!Q1216,"PL ≤ 0"),"NI")</f>
        <v>2.0102339181286549E-2</v>
      </c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</row>
    <row r="1216" spans="1:30" ht="15" customHeight="1" x14ac:dyDescent="0.2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12" t="str">
        <f>Base_IFData!A1217</f>
        <v>ATF SOCIEDADE DE CRÉDITO DIRETO S.A.</v>
      </c>
      <c r="L1216" s="12" t="str">
        <f>Base_IFData!F1217</f>
        <v>n1</v>
      </c>
      <c r="M1216" s="14" t="str">
        <f>IF(AND(ISNUMBER(Base_IFData!L1217),ISNUMBER(Base_IFData!W1217)),IF(Base_IFData!L1217&gt;$B$4,Base_IFData!W1217,""),"")</f>
        <v/>
      </c>
      <c r="N1216" s="51">
        <f>IF(AND(ISNUMBER(Base_IFData!O1217),ISNUMBER(Base_IFData!Q1217)),IF(Base_IFData!Q1217&gt;0,Base_IFData!O1217/Base_IFData!Q1217,"PL ≤ 0"),"NI")</f>
        <v>0.64547413793103448</v>
      </c>
      <c r="O1216" s="110">
        <f>IF(AND(ISNUMBER(Base_IFData!M1217),ISNUMBER(Base_IFData!Q1217)),IF(Base_IFData!Q1217&gt;0,Base_IFData!M1217/Base_IFData!Q1217,"PL ≤ 0"),"NI")</f>
        <v>0</v>
      </c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</row>
    <row r="1217" spans="1:30" ht="15" customHeight="1" x14ac:dyDescent="0.2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15" t="str">
        <f>Base_IFData!A1218</f>
        <v>COOPERATIVA DE CRÉDITO MÚTUO DOS POLICIAIS FEDERAIS E SERVIDORES PÚBLICOS NO ESPÍRITO SANTO - CREDFEDERAL</v>
      </c>
      <c r="L1217" s="15" t="str">
        <f>Base_IFData!F1218</f>
        <v>b3S</v>
      </c>
      <c r="M1217" s="17" t="str">
        <f>IF(AND(ISNUMBER(Base_IFData!L1218),ISNUMBER(Base_IFData!W1218)),IF(Base_IFData!L1218&gt;$B$4,Base_IFData!W1218,""),"")</f>
        <v/>
      </c>
      <c r="N1217" s="50">
        <f>IF(AND(ISNUMBER(Base_IFData!O1218),ISNUMBER(Base_IFData!Q1218)),IF(Base_IFData!Q1218&gt;0,Base_IFData!O1218/Base_IFData!Q1218,"PL ≤ 0"),"NI")</f>
        <v>2.4275253473526099</v>
      </c>
      <c r="O1217" s="107">
        <f>IF(AND(ISNUMBER(Base_IFData!M1218),ISNUMBER(Base_IFData!Q1218)),IF(Base_IFData!Q1218&gt;0,Base_IFData!M1218/Base_IFData!Q1218,"PL ≤ 0"),"NI")</f>
        <v>2.0264739016147204</v>
      </c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</row>
    <row r="1218" spans="1:30" ht="15" customHeight="1" x14ac:dyDescent="0.2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12" t="str">
        <f>Base_IFData!A1219</f>
        <v>EXIM CORRETORA DE CAMBIO LTDA</v>
      </c>
      <c r="L1218" s="12" t="str">
        <f>Base_IFData!F1219</f>
        <v>n2</v>
      </c>
      <c r="M1218" s="14" t="str">
        <f>IF(AND(ISNUMBER(Base_IFData!L1219),ISNUMBER(Base_IFData!W1219)),IF(Base_IFData!L1219&gt;$B$4,Base_IFData!W1219,""),"")</f>
        <v/>
      </c>
      <c r="N1218" s="51">
        <f>IF(AND(ISNUMBER(Base_IFData!O1219),ISNUMBER(Base_IFData!Q1219)),IF(Base_IFData!Q1219&gt;0,Base_IFData!O1219/Base_IFData!Q1219,"PL ≤ 0"),"NI")</f>
        <v>6.6000834028356961</v>
      </c>
      <c r="O1218" s="110">
        <f>IF(AND(ISNUMBER(Base_IFData!M1219),ISNUMBER(Base_IFData!Q1219)),IF(Base_IFData!Q1219&gt;0,Base_IFData!M1219/Base_IFData!Q1219,"PL ≤ 0"),"NI")</f>
        <v>0</v>
      </c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</row>
    <row r="1219" spans="1:30" ht="15" customHeight="1" x14ac:dyDescent="0.2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15" t="str">
        <f>Base_IFData!A1220</f>
        <v>MICROCASH SOCIEDADE DE CRÉDITO AO MICROEMPREENDEDOR E À EMPRESA DE PEQUENO PORTE LTDA.</v>
      </c>
      <c r="L1219" s="15" t="str">
        <f>Base_IFData!F1220</f>
        <v>n1</v>
      </c>
      <c r="M1219" s="17" t="str">
        <f>IF(AND(ISNUMBER(Base_IFData!L1220),ISNUMBER(Base_IFData!W1220)),IF(Base_IFData!L1220&gt;$B$4,Base_IFData!W1220,""),"")</f>
        <v/>
      </c>
      <c r="N1219" s="50">
        <f>IF(AND(ISNUMBER(Base_IFData!O1220),ISNUMBER(Base_IFData!Q1220)),IF(Base_IFData!Q1220&gt;0,Base_IFData!O1220/Base_IFData!Q1220,"PL ≤ 0"),"NI")</f>
        <v>9.5465538089480051E-2</v>
      </c>
      <c r="O1219" s="107">
        <f>IF(AND(ISNUMBER(Base_IFData!M1220),ISNUMBER(Base_IFData!Q1220)),IF(Base_IFData!Q1220&gt;0,Base_IFData!M1220/Base_IFData!Q1220,"PL ≤ 0"),"NI")</f>
        <v>0</v>
      </c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</row>
    <row r="1220" spans="1:30" ht="15" customHeight="1" x14ac:dyDescent="0.2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12" t="str">
        <f>Base_IFData!A1221</f>
        <v>COOPERATIVA DE ECONOMIA E CRÉDITO MÚTUO DOS EMPREGADOS DA SAMARCO MINERAÇÃO S.A. LTDA - CREDISAM</v>
      </c>
      <c r="L1220" s="12" t="str">
        <f>Base_IFData!F1221</f>
        <v>b3S</v>
      </c>
      <c r="M1220" s="14" t="str">
        <f>IF(AND(ISNUMBER(Base_IFData!L1221),ISNUMBER(Base_IFData!W1221)),IF(Base_IFData!L1221&gt;$B$4,Base_IFData!W1221,""),"")</f>
        <v/>
      </c>
      <c r="N1220" s="51">
        <f>IF(AND(ISNUMBER(Base_IFData!O1221),ISNUMBER(Base_IFData!Q1221)),IF(Base_IFData!Q1221&gt;0,Base_IFData!O1221/Base_IFData!Q1221,"PL ≤ 0"),"NI")</f>
        <v>5.5824817518248172E-2</v>
      </c>
      <c r="O1220" s="110">
        <f>IF(AND(ISNUMBER(Base_IFData!M1221),ISNUMBER(Base_IFData!Q1221)),IF(Base_IFData!Q1221&gt;0,Base_IFData!M1221/Base_IFData!Q1221,"PL ≤ 0"),"NI")</f>
        <v>0.475970802919708</v>
      </c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</row>
    <row r="1221" spans="1:30" ht="15" customHeight="1" x14ac:dyDescent="0.2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15" t="str">
        <f>Base_IFData!A1222</f>
        <v>COOPERATIVA DE ECONOMIA E CRÉDÍTO MÚTUO DOS FUNCIONÁRIOS DA MWM TUPY DO BRASIL</v>
      </c>
      <c r="L1221" s="15" t="str">
        <f>Base_IFData!F1222</f>
        <v>b3S</v>
      </c>
      <c r="M1221" s="17" t="str">
        <f>IF(AND(ISNUMBER(Base_IFData!L1222),ISNUMBER(Base_IFData!W1222)),IF(Base_IFData!L1222&gt;$B$4,Base_IFData!W1222,""),"")</f>
        <v/>
      </c>
      <c r="N1221" s="50">
        <f>IF(AND(ISNUMBER(Base_IFData!O1222),ISNUMBER(Base_IFData!Q1222)),IF(Base_IFData!Q1222&gt;0,Base_IFData!O1222/Base_IFData!Q1222,"PL ≤ 0"),"NI")</f>
        <v>1.3587871982032566E-2</v>
      </c>
      <c r="O1221" s="107">
        <f>IF(AND(ISNUMBER(Base_IFData!M1222),ISNUMBER(Base_IFData!Q1222)),IF(Base_IFData!Q1222&gt;0,Base_IFData!M1222/Base_IFData!Q1222,"PL ≤ 0"),"NI")</f>
        <v>0.77276810780460414</v>
      </c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</row>
    <row r="1222" spans="1:30" ht="15" customHeight="1" x14ac:dyDescent="0.2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12" t="str">
        <f>Base_IFData!A1223</f>
        <v>FAMÍLIA PAULISTA COMPANHIA HIPOTECÁRIA</v>
      </c>
      <c r="L1222" s="12" t="str">
        <f>Base_IFData!F1223</f>
        <v>n1</v>
      </c>
      <c r="M1222" s="14" t="str">
        <f>IF(AND(ISNUMBER(Base_IFData!L1223),ISNUMBER(Base_IFData!W1223)),IF(Base_IFData!L1223&gt;$B$4,Base_IFData!W1223,""),"")</f>
        <v/>
      </c>
      <c r="N1222" s="51">
        <f>IF(AND(ISNUMBER(Base_IFData!O1223),ISNUMBER(Base_IFData!Q1223)),IF(Base_IFData!Q1223&gt;0,Base_IFData!O1223/Base_IFData!Q1223,"PL ≤ 0"),"NI")</f>
        <v>0.76319138521781693</v>
      </c>
      <c r="O1222" s="110">
        <f>IF(AND(ISNUMBER(Base_IFData!M1223),ISNUMBER(Base_IFData!Q1223)),IF(Base_IFData!Q1223&gt;0,Base_IFData!M1223/Base_IFData!Q1223,"PL ≤ 0"),"NI")</f>
        <v>1.0474791972589329E-2</v>
      </c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</row>
    <row r="1223" spans="1:30" ht="15" customHeight="1" x14ac:dyDescent="0.2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15" t="str">
        <f>Base_IFData!A1224</f>
        <v>COOPERATIVA DE ECONOMIA E CRÉDITO MÚTUO DOS EMPREGADOS DA UNIÃO MARISTA DO BRASIL E SUAS ASSOCIADAS, PROVÍNCIA MARISTA BRASIL CENTRO-NORTE E UNIÃO BRASILEIRA DE EDUCAÇÃO CATÓLICA.</v>
      </c>
      <c r="L1223" s="15" t="str">
        <f>Base_IFData!F1224</f>
        <v>b3S</v>
      </c>
      <c r="M1223" s="17" t="str">
        <f>IF(AND(ISNUMBER(Base_IFData!L1224),ISNUMBER(Base_IFData!W1224)),IF(Base_IFData!L1224&gt;$B$4,Base_IFData!W1224,""),"")</f>
        <v/>
      </c>
      <c r="N1223" s="50">
        <f>IF(AND(ISNUMBER(Base_IFData!O1224),ISNUMBER(Base_IFData!Q1224)),IF(Base_IFData!Q1224&gt;0,Base_IFData!O1224/Base_IFData!Q1224,"PL ≤ 0"),"NI")</f>
        <v>0.11793916821849783</v>
      </c>
      <c r="O1223" s="107">
        <f>IF(AND(ISNUMBER(Base_IFData!M1224),ISNUMBER(Base_IFData!Q1224)),IF(Base_IFData!Q1224&gt;0,Base_IFData!M1224/Base_IFData!Q1224,"PL ≤ 0"),"NI")</f>
        <v>0.63606455617628799</v>
      </c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</row>
    <row r="1224" spans="1:30" ht="15" customHeight="1" x14ac:dyDescent="0.2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12" t="str">
        <f>Base_IFData!A1225</f>
        <v>NIXFIN SOCIEDADE DE CRÉDITO DIRETO S.A.</v>
      </c>
      <c r="L1224" s="12" t="str">
        <f>Base_IFData!F1225</f>
        <v>n1</v>
      </c>
      <c r="M1224" s="14" t="str">
        <f>IF(AND(ISNUMBER(Base_IFData!L1225),ISNUMBER(Base_IFData!W1225)),IF(Base_IFData!L1225&gt;$B$4,Base_IFData!W1225,""),"")</f>
        <v/>
      </c>
      <c r="N1224" s="51">
        <f>IF(AND(ISNUMBER(Base_IFData!O1225),ISNUMBER(Base_IFData!Q1225)),IF(Base_IFData!Q1225&gt;0,Base_IFData!O1225/Base_IFData!Q1225,"PL ≤ 0"),"NI")</f>
        <v>1.0572540936676973</v>
      </c>
      <c r="O1224" s="110">
        <f>IF(AND(ISNUMBER(Base_IFData!M1225),ISNUMBER(Base_IFData!Q1225)),IF(Base_IFData!Q1225&gt;0,Base_IFData!M1225/Base_IFData!Q1225,"PL ≤ 0"),"NI")</f>
        <v>0</v>
      </c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</row>
    <row r="1225" spans="1:30" ht="15" customHeight="1" x14ac:dyDescent="0.2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15" t="str">
        <f>Base_IFData!A1226</f>
        <v>MAREE SOCIEDADE DE CRÉDITO, FINANCIAMENTO E INVESTIMENTO S.A.</v>
      </c>
      <c r="L1225" s="15" t="str">
        <f>Base_IFData!F1226</f>
        <v>n1</v>
      </c>
      <c r="M1225" s="17" t="str">
        <f>IF(AND(ISNUMBER(Base_IFData!L1226),ISNUMBER(Base_IFData!W1226)),IF(Base_IFData!L1226&gt;$B$4,Base_IFData!W1226,""),"")</f>
        <v/>
      </c>
      <c r="N1225" s="50">
        <f>IF(AND(ISNUMBER(Base_IFData!O1226),ISNUMBER(Base_IFData!Q1226)),IF(Base_IFData!Q1226&gt;0,Base_IFData!O1226/Base_IFData!Q1226,"PL ≤ 0"),"NI")</f>
        <v>9.6945102017810848E-3</v>
      </c>
      <c r="O1225" s="107">
        <f>IF(AND(ISNUMBER(Base_IFData!M1226),ISNUMBER(Base_IFData!Q1226)),IF(Base_IFData!Q1226&gt;0,Base_IFData!M1226/Base_IFData!Q1226,"PL ≤ 0"),"NI")</f>
        <v>0</v>
      </c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</row>
    <row r="1226" spans="1:30" ht="15" customHeight="1" x14ac:dyDescent="0.2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12" t="str">
        <f>Base_IFData!A1227</f>
        <v>UP.P SOCIEDADE DE EMPRÉSTIMO ENTRE PESSOAS S.A.</v>
      </c>
      <c r="L1226" s="12" t="str">
        <f>Base_IFData!F1227</f>
        <v>n1</v>
      </c>
      <c r="M1226" s="14" t="str">
        <f>IF(AND(ISNUMBER(Base_IFData!L1227),ISNUMBER(Base_IFData!W1227)),IF(Base_IFData!L1227&gt;$B$4,Base_IFData!W1227,""),"")</f>
        <v/>
      </c>
      <c r="N1226" s="51">
        <f>IF(AND(ISNUMBER(Base_IFData!O1227),ISNUMBER(Base_IFData!Q1227)),IF(Base_IFData!Q1227&gt;0,Base_IFData!O1227/Base_IFData!Q1227,"PL ≤ 0"),"NI")</f>
        <v>1.0523962393946342</v>
      </c>
      <c r="O1226" s="110">
        <f>IF(AND(ISNUMBER(Base_IFData!M1227),ISNUMBER(Base_IFData!Q1227)),IF(Base_IFData!Q1227&gt;0,Base_IFData!M1227/Base_IFData!Q1227,"PL ≤ 0"),"NI")</f>
        <v>0</v>
      </c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</row>
    <row r="1227" spans="1:30" ht="15" customHeight="1" x14ac:dyDescent="0.2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15" t="str">
        <f>Base_IFData!A1228</f>
        <v>HONDA LEASING S.A. - ARRENDAMENTO MERCANTIL</v>
      </c>
      <c r="L1227" s="15" t="str">
        <f>Base_IFData!F1228</f>
        <v>n1</v>
      </c>
      <c r="M1227" s="17" t="str">
        <f>IF(AND(ISNUMBER(Base_IFData!L1228),ISNUMBER(Base_IFData!W1228)),IF(Base_IFData!L1228&gt;$B$4,Base_IFData!W1228,""),"")</f>
        <v/>
      </c>
      <c r="N1227" s="50">
        <f>IF(AND(ISNUMBER(Base_IFData!O1228),ISNUMBER(Base_IFData!Q1228)),IF(Base_IFData!Q1228&gt;0,Base_IFData!O1228/Base_IFData!Q1228,"PL ≤ 0"),"NI")</f>
        <v>1.98362357282897E-2</v>
      </c>
      <c r="O1227" s="107">
        <f>IF(AND(ISNUMBER(Base_IFData!M1228),ISNUMBER(Base_IFData!Q1228)),IF(Base_IFData!Q1228&gt;0,Base_IFData!M1228/Base_IFData!Q1228,"PL ≤ 0"),"NI")</f>
        <v>0</v>
      </c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</row>
    <row r="1228" spans="1:30" ht="15" customHeight="1" x14ac:dyDescent="0.2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12" t="str">
        <f>Base_IFData!A1229</f>
        <v>COOPERATIVA DE CRÉDITO DOS SERVIDORES PÚBLICOS MUNICIPAIS DE TIMÓTEO LTDA. - COOPERTIM</v>
      </c>
      <c r="L1228" s="12" t="str">
        <f>Base_IFData!F1229</f>
        <v>b3S</v>
      </c>
      <c r="M1228" s="14" t="str">
        <f>IF(AND(ISNUMBER(Base_IFData!L1229),ISNUMBER(Base_IFData!W1229)),IF(Base_IFData!L1229&gt;$B$4,Base_IFData!W1229,""),"")</f>
        <v/>
      </c>
      <c r="N1228" s="51">
        <f>IF(AND(ISNUMBER(Base_IFData!O1229),ISNUMBER(Base_IFData!Q1229)),IF(Base_IFData!Q1229&gt;0,Base_IFData!O1229/Base_IFData!Q1229,"PL ≤ 0"),"NI")</f>
        <v>4.8635824436536183E-2</v>
      </c>
      <c r="O1228" s="110">
        <f>IF(AND(ISNUMBER(Base_IFData!M1229),ISNUMBER(Base_IFData!Q1229)),IF(Base_IFData!Q1229&gt;0,Base_IFData!M1229/Base_IFData!Q1229,"PL ≤ 0"),"NI")</f>
        <v>0.82728351126927635</v>
      </c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</row>
    <row r="1229" spans="1:30" ht="15" customHeight="1" x14ac:dyDescent="0.2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15" t="str">
        <f>Base_IFData!A1230</f>
        <v>LEVYCAM - CORRETORA DE CAMBIO E VALORES LTDA.</v>
      </c>
      <c r="L1229" s="15" t="str">
        <f>Base_IFData!F1230</f>
        <v>n2</v>
      </c>
      <c r="M1229" s="17" t="str">
        <f>IF(AND(ISNUMBER(Base_IFData!L1230),ISNUMBER(Base_IFData!W1230)),IF(Base_IFData!L1230&gt;$B$4,Base_IFData!W1230,""),"")</f>
        <v/>
      </c>
      <c r="N1229" s="50">
        <f>IF(AND(ISNUMBER(Base_IFData!O1230),ISNUMBER(Base_IFData!Q1230)),IF(Base_IFData!Q1230&gt;0,Base_IFData!O1230/Base_IFData!Q1230,"PL ≤ 0"),"NI")</f>
        <v>2.9036676977463545</v>
      </c>
      <c r="O1229" s="107">
        <f>IF(AND(ISNUMBER(Base_IFData!M1230),ISNUMBER(Base_IFData!Q1230)),IF(Base_IFData!Q1230&gt;0,Base_IFData!M1230/Base_IFData!Q1230,"PL ≤ 0"),"NI")</f>
        <v>0</v>
      </c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</row>
    <row r="1230" spans="1:30" ht="15" customHeight="1" x14ac:dyDescent="0.2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12" t="str">
        <f>Base_IFData!A1231</f>
        <v>IDEA MAKER INSTITUICAO DE PAGAMENTO LTDA</v>
      </c>
      <c r="L1230" s="12" t="str">
        <f>Base_IFData!F1231</f>
        <v>n4</v>
      </c>
      <c r="M1230" s="14" t="str">
        <f>IF(AND(ISNUMBER(Base_IFData!L1231),ISNUMBER(Base_IFData!W1231)),IF(Base_IFData!L1231&gt;$B$4,Base_IFData!W1231,""),"")</f>
        <v/>
      </c>
      <c r="N1230" s="51">
        <f>IF(AND(ISNUMBER(Base_IFData!O1231),ISNUMBER(Base_IFData!Q1231)),IF(Base_IFData!Q1231&gt;0,Base_IFData!O1231/Base_IFData!Q1231,"PL ≤ 0"),"NI")</f>
        <v>1.1567858892699656</v>
      </c>
      <c r="O1230" s="110">
        <f>IF(AND(ISNUMBER(Base_IFData!M1231),ISNUMBER(Base_IFData!Q1231)),IF(Base_IFData!Q1231&gt;0,Base_IFData!M1231/Base_IFData!Q1231,"PL ≤ 0"),"NI")</f>
        <v>0</v>
      </c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</row>
    <row r="1231" spans="1:30" ht="15" customHeight="1" x14ac:dyDescent="0.2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15" t="str">
        <f>Base_IFData!A1232</f>
        <v>PAGARE INSTITUICAO DE PAGAMENTO S.A.</v>
      </c>
      <c r="L1231" s="15" t="str">
        <f>Base_IFData!F1232</f>
        <v>n4</v>
      </c>
      <c r="M1231" s="17" t="str">
        <f>IF(AND(ISNUMBER(Base_IFData!L1232),ISNUMBER(Base_IFData!W1232)),IF(Base_IFData!L1232&gt;$B$4,Base_IFData!W1232,""),"")</f>
        <v/>
      </c>
      <c r="N1231" s="50">
        <f>IF(AND(ISNUMBER(Base_IFData!O1232),ISNUMBER(Base_IFData!Q1232)),IF(Base_IFData!Q1232&gt;0,Base_IFData!O1232/Base_IFData!Q1232,"PL ≤ 0"),"NI")</f>
        <v>3.6121164437450828</v>
      </c>
      <c r="O1231" s="107">
        <f>IF(AND(ISNUMBER(Base_IFData!M1232),ISNUMBER(Base_IFData!Q1232)),IF(Base_IFData!Q1232&gt;0,Base_IFData!M1232/Base_IFData!Q1232,"PL ≤ 0"),"NI")</f>
        <v>6.9761342774718071E-2</v>
      </c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</row>
    <row r="1232" spans="1:30" ht="15" customHeight="1" x14ac:dyDescent="0.2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12" t="str">
        <f>Base_IFData!A1233</f>
        <v>FIDD DISTRIBUIDORA DE TÍTULOS E VALORES MOBILIÁRIOS LTDA.</v>
      </c>
      <c r="L1232" s="12" t="str">
        <f>Base_IFData!F1233</f>
        <v>n2</v>
      </c>
      <c r="M1232" s="14" t="str">
        <f>IF(AND(ISNUMBER(Base_IFData!L1233),ISNUMBER(Base_IFData!W1233)),IF(Base_IFData!L1233&gt;$B$4,Base_IFData!W1233,""),"")</f>
        <v/>
      </c>
      <c r="N1232" s="51">
        <f>IF(AND(ISNUMBER(Base_IFData!O1233),ISNUMBER(Base_IFData!Q1233)),IF(Base_IFData!Q1233&gt;0,Base_IFData!O1233/Base_IFData!Q1233,"PL ≤ 0"),"NI")</f>
        <v>3.7951807228915664</v>
      </c>
      <c r="O1232" s="110">
        <f>IF(AND(ISNUMBER(Base_IFData!M1233),ISNUMBER(Base_IFData!Q1233)),IF(Base_IFData!Q1233&gt;0,Base_IFData!M1233/Base_IFData!Q1233,"PL ≤ 0"),"NI")</f>
        <v>0</v>
      </c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</row>
    <row r="1233" spans="1:30" ht="15" customHeight="1" x14ac:dyDescent="0.2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15" t="str">
        <f>Base_IFData!A1234</f>
        <v>PAGPRIME INSTITUICAO DE PAGAMENTO LTDA</v>
      </c>
      <c r="L1233" s="15" t="str">
        <f>Base_IFData!F1234</f>
        <v>n4</v>
      </c>
      <c r="M1233" s="17" t="str">
        <f>IF(AND(ISNUMBER(Base_IFData!L1234),ISNUMBER(Base_IFData!W1234)),IF(Base_IFData!L1234&gt;$B$4,Base_IFData!W1234,""),"")</f>
        <v/>
      </c>
      <c r="N1233" s="50">
        <f>IF(AND(ISNUMBER(Base_IFData!O1234),ISNUMBER(Base_IFData!Q1234)),IF(Base_IFData!Q1234&gt;0,Base_IFData!O1234/Base_IFData!Q1234,"PL ≤ 0"),"NI")</f>
        <v>2.0890144825150125</v>
      </c>
      <c r="O1233" s="107">
        <f>IF(AND(ISNUMBER(Base_IFData!M1234),ISNUMBER(Base_IFData!Q1234)),IF(Base_IFData!Q1234&gt;0,Base_IFData!M1234/Base_IFData!Q1234,"PL ≤ 0"),"NI")</f>
        <v>0</v>
      </c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</row>
    <row r="1234" spans="1:30" ht="15" customHeight="1" x14ac:dyDescent="0.2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12" t="str">
        <f>Base_IFData!A1235</f>
        <v>COOPERATIVA DE CRÉDITO COOPHARMA</v>
      </c>
      <c r="L1234" s="12" t="str">
        <f>Base_IFData!F1235</f>
        <v>b3S</v>
      </c>
      <c r="M1234" s="14" t="str">
        <f>IF(AND(ISNUMBER(Base_IFData!L1235),ISNUMBER(Base_IFData!W1235)),IF(Base_IFData!L1235&gt;$B$4,Base_IFData!W1235,""),"")</f>
        <v/>
      </c>
      <c r="N1234" s="51">
        <f>IF(AND(ISNUMBER(Base_IFData!O1235),ISNUMBER(Base_IFData!Q1235)),IF(Base_IFData!Q1235&gt;0,Base_IFData!O1235/Base_IFData!Q1235,"PL ≤ 0"),"NI")</f>
        <v>2.4097091932457786E-2</v>
      </c>
      <c r="O1234" s="110">
        <f>IF(AND(ISNUMBER(Base_IFData!M1235),ISNUMBER(Base_IFData!Q1235)),IF(Base_IFData!Q1235&gt;0,Base_IFData!M1235/Base_IFData!Q1235,"PL ≤ 0"),"NI")</f>
        <v>0.67899859287054409</v>
      </c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</row>
    <row r="1235" spans="1:30" ht="15" customHeight="1" x14ac:dyDescent="0.2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15" t="str">
        <f>Base_IFData!A1236</f>
        <v>COOPERATIVA DE ECONOMIA E CRÉDITO MÚTUO DOS EMPREGADOS DO SISTEMA FIERGS - CRESUL</v>
      </c>
      <c r="L1235" s="15" t="str">
        <f>Base_IFData!F1236</f>
        <v>b3S</v>
      </c>
      <c r="M1235" s="17" t="str">
        <f>IF(AND(ISNUMBER(Base_IFData!L1236),ISNUMBER(Base_IFData!W1236)),IF(Base_IFData!L1236&gt;$B$4,Base_IFData!W1236,""),"")</f>
        <v/>
      </c>
      <c r="N1235" s="50">
        <f>IF(AND(ISNUMBER(Base_IFData!O1236),ISNUMBER(Base_IFData!Q1236)),IF(Base_IFData!Q1236&gt;0,Base_IFData!O1236/Base_IFData!Q1236,"PL ≤ 0"),"NI")</f>
        <v>6.1046334167633234E-2</v>
      </c>
      <c r="O1235" s="107">
        <f>IF(AND(ISNUMBER(Base_IFData!M1236),ISNUMBER(Base_IFData!Q1236)),IF(Base_IFData!Q1236&gt;0,Base_IFData!M1236/Base_IFData!Q1236,"PL ≤ 0"),"NI")</f>
        <v>0.63854465539344363</v>
      </c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</row>
    <row r="1236" spans="1:30" ht="15" customHeight="1" x14ac:dyDescent="0.2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12" t="str">
        <f>Base_IFData!A1237</f>
        <v>BMG S.A. DISTRIBUIDORA DE TÍTULOS E VALORES MOBILIÁRIOS</v>
      </c>
      <c r="L1236" s="12" t="str">
        <f>Base_IFData!F1237</f>
        <v>n2</v>
      </c>
      <c r="M1236" s="14" t="str">
        <f>IF(AND(ISNUMBER(Base_IFData!L1237),ISNUMBER(Base_IFData!W1237)),IF(Base_IFData!L1237&gt;$B$4,Base_IFData!W1237,""),"")</f>
        <v/>
      </c>
      <c r="N1236" s="51">
        <f>IF(AND(ISNUMBER(Base_IFData!O1237),ISNUMBER(Base_IFData!Q1237)),IF(Base_IFData!Q1237&gt;0,Base_IFData!O1237/Base_IFData!Q1237,"PL ≤ 0"),"NI")</f>
        <v>0.172743290864733</v>
      </c>
      <c r="O1236" s="110">
        <f>IF(AND(ISNUMBER(Base_IFData!M1237),ISNUMBER(Base_IFData!Q1237)),IF(Base_IFData!Q1237&gt;0,Base_IFData!M1237/Base_IFData!Q1237,"PL ≤ 0"),"NI")</f>
        <v>0</v>
      </c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</row>
    <row r="1237" spans="1:30" ht="15" customHeight="1" x14ac:dyDescent="0.2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15" t="str">
        <f>Base_IFData!A1238</f>
        <v>BULLLA SOCIEDADE DE CRÉDITO DIRETO S.A.</v>
      </c>
      <c r="L1237" s="15" t="str">
        <f>Base_IFData!F1238</f>
        <v>n1</v>
      </c>
      <c r="M1237" s="17" t="str">
        <f>IF(AND(ISNUMBER(Base_IFData!L1238),ISNUMBER(Base_IFData!W1238)),IF(Base_IFData!L1238&gt;$B$4,Base_IFData!W1238,""),"")</f>
        <v/>
      </c>
      <c r="N1237" s="50">
        <f>IF(AND(ISNUMBER(Base_IFData!O1238),ISNUMBER(Base_IFData!Q1238)),IF(Base_IFData!Q1238&gt;0,Base_IFData!O1238/Base_IFData!Q1238,"PL ≤ 0"),"NI")</f>
        <v>6.0192023633677989E-2</v>
      </c>
      <c r="O1237" s="107">
        <f>IF(AND(ISNUMBER(Base_IFData!M1238),ISNUMBER(Base_IFData!Q1238)),IF(Base_IFData!Q1238&gt;0,Base_IFData!M1238/Base_IFData!Q1238,"PL ≤ 0"),"NI")</f>
        <v>6.3392417528311176E-3</v>
      </c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</row>
    <row r="1238" spans="1:30" ht="15" customHeight="1" x14ac:dyDescent="0.2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12" t="str">
        <f>Base_IFData!A1239</f>
        <v>MAG INSTITUICAO DE PAGAMENTO LTDA</v>
      </c>
      <c r="L1238" s="12" t="str">
        <f>Base_IFData!F1239</f>
        <v>n4</v>
      </c>
      <c r="M1238" s="14" t="str">
        <f>IF(AND(ISNUMBER(Base_IFData!L1239),ISNUMBER(Base_IFData!W1239)),IF(Base_IFData!L1239&gt;$B$4,Base_IFData!W1239,""),"")</f>
        <v/>
      </c>
      <c r="N1238" s="51">
        <f>IF(AND(ISNUMBER(Base_IFData!O1239),ISNUMBER(Base_IFData!Q1239)),IF(Base_IFData!Q1239&gt;0,Base_IFData!O1239/Base_IFData!Q1239,"PL ≤ 0"),"NI")</f>
        <v>0.16513699095791692</v>
      </c>
      <c r="O1238" s="110">
        <f>IF(AND(ISNUMBER(Base_IFData!M1239),ISNUMBER(Base_IFData!Q1239)),IF(Base_IFData!Q1239&gt;0,Base_IFData!M1239/Base_IFData!Q1239,"PL ≤ 0"),"NI")</f>
        <v>0</v>
      </c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</row>
    <row r="1239" spans="1:30" ht="15" customHeight="1" x14ac:dyDescent="0.2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15" t="str">
        <f>Base_IFData!A1240</f>
        <v>COOPERATIVA DE ECONOMIA E CRÉDITO MÚTUO DOS SERVIDORES MUNICIPAIS DE POÇOS DE CALDAS LTDA. - COOPOÇOS</v>
      </c>
      <c r="L1239" s="15" t="str">
        <f>Base_IFData!F1240</f>
        <v>b3S</v>
      </c>
      <c r="M1239" s="17" t="str">
        <f>IF(AND(ISNUMBER(Base_IFData!L1240),ISNUMBER(Base_IFData!W1240)),IF(Base_IFData!L1240&gt;$B$4,Base_IFData!W1240,""),"")</f>
        <v/>
      </c>
      <c r="N1239" s="50">
        <f>IF(AND(ISNUMBER(Base_IFData!O1240),ISNUMBER(Base_IFData!Q1240)),IF(Base_IFData!Q1240&gt;0,Base_IFData!O1240/Base_IFData!Q1240,"PL ≤ 0"),"NI")</f>
        <v>0.24742719509524852</v>
      </c>
      <c r="O1239" s="107">
        <f>IF(AND(ISNUMBER(Base_IFData!M1240),ISNUMBER(Base_IFData!Q1240)),IF(Base_IFData!Q1240&gt;0,Base_IFData!M1240/Base_IFData!Q1240,"PL ≤ 0"),"NI")</f>
        <v>0.96803153054521562</v>
      </c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</row>
    <row r="1240" spans="1:30" ht="15" customHeight="1" x14ac:dyDescent="0.2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12" t="str">
        <f>Base_IFData!A1241</f>
        <v>FACEBOOK INSTITUIÇÃO DE PAGAMENTO DO BRASIL LTDA.</v>
      </c>
      <c r="L1240" s="12" t="str">
        <f>Base_IFData!F1241</f>
        <v>n4</v>
      </c>
      <c r="M1240" s="14" t="str">
        <f>IF(AND(ISNUMBER(Base_IFData!L1241),ISNUMBER(Base_IFData!W1241)),IF(Base_IFData!L1241&gt;$B$4,Base_IFData!W1241,""),"")</f>
        <v/>
      </c>
      <c r="N1240" s="51">
        <f>IF(AND(ISNUMBER(Base_IFData!O1241),ISNUMBER(Base_IFData!Q1241)),IF(Base_IFData!Q1241&gt;0,Base_IFData!O1241/Base_IFData!Q1241,"PL ≤ 0"),"NI")</f>
        <v>0.19949299345116542</v>
      </c>
      <c r="O1240" s="110">
        <f>IF(AND(ISNUMBER(Base_IFData!M1241),ISNUMBER(Base_IFData!Q1241)),IF(Base_IFData!Q1241&gt;0,Base_IFData!M1241/Base_IFData!Q1241,"PL ≤ 0"),"NI")</f>
        <v>0</v>
      </c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</row>
    <row r="1241" spans="1:30" ht="15" customHeight="1" x14ac:dyDescent="0.2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15" t="str">
        <f>Base_IFData!A1242</f>
        <v>PARTNER INSTITUIÇÃO DE PAGAMENTO S.A.</v>
      </c>
      <c r="L1241" s="15" t="str">
        <f>Base_IFData!F1242</f>
        <v>n4</v>
      </c>
      <c r="M1241" s="17" t="str">
        <f>IF(AND(ISNUMBER(Base_IFData!L1242),ISNUMBER(Base_IFData!W1242)),IF(Base_IFData!L1242&gt;$B$4,Base_IFData!W1242,""),"")</f>
        <v/>
      </c>
      <c r="N1241" s="50">
        <f>IF(AND(ISNUMBER(Base_IFData!O1242),ISNUMBER(Base_IFData!Q1242)),IF(Base_IFData!Q1242&gt;0,Base_IFData!O1242/Base_IFData!Q1242,"PL ≤ 0"),"NI")</f>
        <v>0.71781928319030797</v>
      </c>
      <c r="O1241" s="107">
        <f>IF(AND(ISNUMBER(Base_IFData!M1242),ISNUMBER(Base_IFData!Q1242)),IF(Base_IFData!Q1242&gt;0,Base_IFData!M1242/Base_IFData!Q1242,"PL ≤ 0"),"NI")</f>
        <v>0</v>
      </c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</row>
    <row r="1242" spans="1:30" ht="15" customHeight="1" x14ac:dyDescent="0.2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12" t="str">
        <f>Base_IFData!A1243</f>
        <v>OZ CORRETORA DE CÂMBIO S.A.</v>
      </c>
      <c r="L1242" s="12" t="str">
        <f>Base_IFData!F1243</f>
        <v>n2</v>
      </c>
      <c r="M1242" s="14" t="str">
        <f>IF(AND(ISNUMBER(Base_IFData!L1243),ISNUMBER(Base_IFData!W1243)),IF(Base_IFData!L1243&gt;$B$4,Base_IFData!W1243,""),"")</f>
        <v/>
      </c>
      <c r="N1242" s="51">
        <f>IF(AND(ISNUMBER(Base_IFData!O1243),ISNUMBER(Base_IFData!Q1243)),IF(Base_IFData!Q1243&gt;0,Base_IFData!O1243/Base_IFData!Q1243,"PL ≤ 0"),"NI")</f>
        <v>2.3683478951548849</v>
      </c>
      <c r="O1242" s="110">
        <f>IF(AND(ISNUMBER(Base_IFData!M1243),ISNUMBER(Base_IFData!Q1243)),IF(Base_IFData!Q1243&gt;0,Base_IFData!M1243/Base_IFData!Q1243,"PL ≤ 0"),"NI")</f>
        <v>0</v>
      </c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</row>
    <row r="1243" spans="1:30" ht="15" customHeight="1" x14ac:dyDescent="0.2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15" t="str">
        <f>Base_IFData!A1244</f>
        <v>MÉRITO DISTRIBUIDORA DE TÍTULOS E VALORES MOBILIÁRIOS LTDA.</v>
      </c>
      <c r="L1243" s="15" t="str">
        <f>Base_IFData!F1244</f>
        <v>n2</v>
      </c>
      <c r="M1243" s="17" t="str">
        <f>IF(AND(ISNUMBER(Base_IFData!L1244),ISNUMBER(Base_IFData!W1244)),IF(Base_IFData!L1244&gt;$B$4,Base_IFData!W1244,""),"")</f>
        <v/>
      </c>
      <c r="N1243" s="50">
        <f>IF(AND(ISNUMBER(Base_IFData!O1244),ISNUMBER(Base_IFData!Q1244)),IF(Base_IFData!Q1244&gt;0,Base_IFData!O1244/Base_IFData!Q1244,"PL ≤ 0"),"NI")</f>
        <v>2.0669240669240669</v>
      </c>
      <c r="O1243" s="107">
        <f>IF(AND(ISNUMBER(Base_IFData!M1244),ISNUMBER(Base_IFData!Q1244)),IF(Base_IFData!Q1244&gt;0,Base_IFData!M1244/Base_IFData!Q1244,"PL ≤ 0"),"NI")</f>
        <v>0</v>
      </c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</row>
    <row r="1244" spans="1:30" ht="15" customHeight="1" x14ac:dyDescent="0.2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12" t="str">
        <f>Base_IFData!A1245</f>
        <v>WARREN CORRETORA DE VALORES MOBILIÁRIOS E CÂMBIO LTDA.</v>
      </c>
      <c r="L1244" s="12" t="str">
        <f>Base_IFData!F1245</f>
        <v>n2</v>
      </c>
      <c r="M1244" s="14" t="str">
        <f>IF(AND(ISNUMBER(Base_IFData!L1245),ISNUMBER(Base_IFData!W1245)),IF(Base_IFData!L1245&gt;$B$4,Base_IFData!W1245,""),"")</f>
        <v/>
      </c>
      <c r="N1244" s="51">
        <f>IF(AND(ISNUMBER(Base_IFData!O1245),ISNUMBER(Base_IFData!Q1245)),IF(Base_IFData!Q1245&gt;0,Base_IFData!O1245/Base_IFData!Q1245,"PL ≤ 0"),"NI")</f>
        <v>1.2009266032674958E-2</v>
      </c>
      <c r="O1244" s="110">
        <f>IF(AND(ISNUMBER(Base_IFData!M1245),ISNUMBER(Base_IFData!Q1245)),IF(Base_IFData!Q1245&gt;0,Base_IFData!M1245/Base_IFData!Q1245,"PL ≤ 0"),"NI")</f>
        <v>0</v>
      </c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</row>
    <row r="1245" spans="1:30" ht="15" customHeight="1" x14ac:dyDescent="0.2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15" t="str">
        <f>Base_IFData!A1246</f>
        <v>AGENCIA DE FOMENTO DO AMAPA S.A.</v>
      </c>
      <c r="L1245" s="15" t="str">
        <f>Base_IFData!F1246</f>
        <v>n1</v>
      </c>
      <c r="M1245" s="17" t="str">
        <f>IF(AND(ISNUMBER(Base_IFData!L1246),ISNUMBER(Base_IFData!W1246)),IF(Base_IFData!L1246&gt;$B$4,Base_IFData!W1246,""),"")</f>
        <v/>
      </c>
      <c r="N1245" s="50">
        <f>IF(AND(ISNUMBER(Base_IFData!O1246),ISNUMBER(Base_IFData!Q1246)),IF(Base_IFData!Q1246&gt;0,Base_IFData!O1246/Base_IFData!Q1246,"PL ≤ 0"),"NI")</f>
        <v>0.46706852229412288</v>
      </c>
      <c r="O1245" s="107">
        <f>IF(AND(ISNUMBER(Base_IFData!M1246),ISNUMBER(Base_IFData!Q1246)),IF(Base_IFData!Q1246&gt;0,Base_IFData!M1246/Base_IFData!Q1246,"PL ≤ 0"),"NI")</f>
        <v>1.0046095204325858</v>
      </c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</row>
    <row r="1246" spans="1:30" ht="15" customHeight="1" x14ac:dyDescent="0.2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12" t="str">
        <f>Base_IFData!A1247</f>
        <v>COOPERATIVA DE ECONOMIA E CRÉDITO MÚTUO DOS FUNCIONÁRIOS DA ASTRAZENECA DO BRASIL</v>
      </c>
      <c r="L1246" s="12" t="str">
        <f>Base_IFData!F1247</f>
        <v>b3S</v>
      </c>
      <c r="M1246" s="14" t="str">
        <f>IF(AND(ISNUMBER(Base_IFData!L1247),ISNUMBER(Base_IFData!W1247)),IF(Base_IFData!L1247&gt;$B$4,Base_IFData!W1247,""),"")</f>
        <v/>
      </c>
      <c r="N1246" s="51">
        <f>IF(AND(ISNUMBER(Base_IFData!O1247),ISNUMBER(Base_IFData!Q1247)),IF(Base_IFData!Q1247&gt;0,Base_IFData!O1247/Base_IFData!Q1247,"PL ≤ 0"),"NI")</f>
        <v>3.224996862843519E-2</v>
      </c>
      <c r="O1246" s="110">
        <f>IF(AND(ISNUMBER(Base_IFData!M1247),ISNUMBER(Base_IFData!Q1247)),IF(Base_IFData!Q1247&gt;0,Base_IFData!M1247/Base_IFData!Q1247,"PL ≤ 0"),"NI")</f>
        <v>0.67975906638223116</v>
      </c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</row>
    <row r="1247" spans="1:30" ht="15" customHeight="1" x14ac:dyDescent="0.2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15" t="str">
        <f>Base_IFData!A1248</f>
        <v>BEETELLER INSTITUIÇÃO DE PAGAMENTO LTDA.</v>
      </c>
      <c r="L1247" s="15" t="str">
        <f>Base_IFData!F1248</f>
        <v>n4</v>
      </c>
      <c r="M1247" s="17" t="str">
        <f>IF(AND(ISNUMBER(Base_IFData!L1248),ISNUMBER(Base_IFData!W1248)),IF(Base_IFData!L1248&gt;$B$4,Base_IFData!W1248,""),"")</f>
        <v/>
      </c>
      <c r="N1247" s="50">
        <f>IF(AND(ISNUMBER(Base_IFData!O1248),ISNUMBER(Base_IFData!Q1248)),IF(Base_IFData!Q1248&gt;0,Base_IFData!O1248/Base_IFData!Q1248,"PL ≤ 0"),"NI")</f>
        <v>0.60201191522609632</v>
      </c>
      <c r="O1247" s="107">
        <f>IF(AND(ISNUMBER(Base_IFData!M1248),ISNUMBER(Base_IFData!Q1248)),IF(Base_IFData!Q1248&gt;0,Base_IFData!M1248/Base_IFData!Q1248,"PL ≤ 0"),"NI")</f>
        <v>0</v>
      </c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</row>
    <row r="1248" spans="1:30" ht="15" customHeight="1" x14ac:dyDescent="0.2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12" t="str">
        <f>Base_IFData!A1249</f>
        <v>RJI CORRETORA DE TITULOS E VALORES MOBILIARIOS LTDA</v>
      </c>
      <c r="L1248" s="12" t="str">
        <f>Base_IFData!F1249</f>
        <v>n2</v>
      </c>
      <c r="M1248" s="14" t="str">
        <f>IF(AND(ISNUMBER(Base_IFData!L1249),ISNUMBER(Base_IFData!W1249)),IF(Base_IFData!L1249&gt;$B$4,Base_IFData!W1249,""),"")</f>
        <v/>
      </c>
      <c r="N1248" s="51">
        <f>IF(AND(ISNUMBER(Base_IFData!O1249),ISNUMBER(Base_IFData!Q1249)),IF(Base_IFData!Q1249&gt;0,Base_IFData!O1249/Base_IFData!Q1249,"PL ≤ 0"),"NI")</f>
        <v>0.3377371273712737</v>
      </c>
      <c r="O1248" s="110">
        <f>IF(AND(ISNUMBER(Base_IFData!M1249),ISNUMBER(Base_IFData!Q1249)),IF(Base_IFData!Q1249&gt;0,Base_IFData!M1249/Base_IFData!Q1249,"PL ≤ 0"),"NI")</f>
        <v>0</v>
      </c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</row>
    <row r="1249" spans="1:30" ht="15" customHeight="1" x14ac:dyDescent="0.2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15" t="str">
        <f>Base_IFData!A1250</f>
        <v>COOPERATIVA DE ECONOMIA E CREDITO MUTUO DOS EMPREGADOS DE ELEVADORES ATLAS SCHINDLER LTDA.</v>
      </c>
      <c r="L1249" s="15" t="str">
        <f>Base_IFData!F1250</f>
        <v>b3S</v>
      </c>
      <c r="M1249" s="17" t="str">
        <f>IF(AND(ISNUMBER(Base_IFData!L1250),ISNUMBER(Base_IFData!W1250)),IF(Base_IFData!L1250&gt;$B$4,Base_IFData!W1250,""),"")</f>
        <v/>
      </c>
      <c r="N1249" s="50">
        <f>IF(AND(ISNUMBER(Base_IFData!O1250),ISNUMBER(Base_IFData!Q1250)),IF(Base_IFData!Q1250&gt;0,Base_IFData!O1250/Base_IFData!Q1250,"PL ≤ 0"),"NI")</f>
        <v>6.8761878903068147E-2</v>
      </c>
      <c r="O1249" s="107">
        <f>IF(AND(ISNUMBER(Base_IFData!M1250),ISNUMBER(Base_IFData!Q1250)),IF(Base_IFData!Q1250&gt;0,Base_IFData!M1250/Base_IFData!Q1250,"PL ≤ 0"),"NI")</f>
        <v>0.74280477871300565</v>
      </c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</row>
    <row r="1250" spans="1:30" ht="15" customHeight="1" x14ac:dyDescent="0.2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12" t="str">
        <f>Base_IFData!A1251</f>
        <v>DILLON S/A DISTRIBUIDORA DE TITULOS E VALORES MOBILIARIOS</v>
      </c>
      <c r="L1250" s="12" t="str">
        <f>Base_IFData!F1251</f>
        <v>n2</v>
      </c>
      <c r="M1250" s="14" t="str">
        <f>IF(AND(ISNUMBER(Base_IFData!L1251),ISNUMBER(Base_IFData!W1251)),IF(Base_IFData!L1251&gt;$B$4,Base_IFData!W1251,""),"")</f>
        <v/>
      </c>
      <c r="N1250" s="51">
        <f>IF(AND(ISNUMBER(Base_IFData!O1251),ISNUMBER(Base_IFData!Q1251)),IF(Base_IFData!Q1251&gt;0,Base_IFData!O1251/Base_IFData!Q1251,"PL ≤ 0"),"NI")</f>
        <v>0.87639238232123606</v>
      </c>
      <c r="O1250" s="110">
        <f>IF(AND(ISNUMBER(Base_IFData!M1251),ISNUMBER(Base_IFData!Q1251)),IF(Base_IFData!Q1251&gt;0,Base_IFData!M1251/Base_IFData!Q1251,"PL ≤ 0"),"NI")</f>
        <v>0</v>
      </c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</row>
    <row r="1251" spans="1:30" ht="15" customHeight="1" x14ac:dyDescent="0.2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15" t="str">
        <f>Base_IFData!A1252</f>
        <v>COOPERATIVA DE CRÉDITO E SERVIÇOS FINANCEIROS DE CURITIBA E REGIÃO METROPOLITANA</v>
      </c>
      <c r="L1251" s="15" t="str">
        <f>Base_IFData!F1252</f>
        <v>b3S</v>
      </c>
      <c r="M1251" s="17" t="str">
        <f>IF(AND(ISNUMBER(Base_IFData!L1252),ISNUMBER(Base_IFData!W1252)),IF(Base_IFData!L1252&gt;$B$4,Base_IFData!W1252,""),"")</f>
        <v/>
      </c>
      <c r="N1251" s="50">
        <f>IF(AND(ISNUMBER(Base_IFData!O1252),ISNUMBER(Base_IFData!Q1252)),IF(Base_IFData!Q1252&gt;0,Base_IFData!O1252/Base_IFData!Q1252,"PL ≤ 0"),"NI")</f>
        <v>1.237575409365125</v>
      </c>
      <c r="O1251" s="107">
        <f>IF(AND(ISNUMBER(Base_IFData!M1252),ISNUMBER(Base_IFData!Q1252)),IF(Base_IFData!Q1252&gt;0,Base_IFData!M1252/Base_IFData!Q1252,"PL ≤ 0"),"NI")</f>
        <v>1.8239011778224647</v>
      </c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</row>
    <row r="1252" spans="1:30" ht="15" customHeight="1" x14ac:dyDescent="0.2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12" t="str">
        <f>Base_IFData!A1253</f>
        <v>SAFRA SOCIEDADE DE CREDITO DIRETO S.A.</v>
      </c>
      <c r="L1252" s="12" t="str">
        <f>Base_IFData!F1253</f>
        <v>n1</v>
      </c>
      <c r="M1252" s="14" t="str">
        <f>IF(AND(ISNUMBER(Base_IFData!L1253),ISNUMBER(Base_IFData!W1253)),IF(Base_IFData!L1253&gt;$B$4,Base_IFData!W1253,""),"")</f>
        <v/>
      </c>
      <c r="N1252" s="51">
        <f>IF(AND(ISNUMBER(Base_IFData!O1253),ISNUMBER(Base_IFData!Q1253)),IF(Base_IFData!Q1253&gt;0,Base_IFData!O1253/Base_IFData!Q1253,"PL ≤ 0"),"NI")</f>
        <v>4.3970255415454254E-3</v>
      </c>
      <c r="O1252" s="110">
        <f>IF(AND(ISNUMBER(Base_IFData!M1253),ISNUMBER(Base_IFData!Q1253)),IF(Base_IFData!Q1253&gt;0,Base_IFData!M1253/Base_IFData!Q1253,"PL ≤ 0"),"NI")</f>
        <v>0</v>
      </c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</row>
    <row r="1253" spans="1:30" ht="15" customHeight="1" x14ac:dyDescent="0.2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15" t="str">
        <f>Base_IFData!A1254</f>
        <v>COOPERATIVA DE ECONOMIA E CRÉDITO MÚTUO DOS EMPREGADOS DO GRUPO BAYER E EMPRESAS QUÍMICAS E FARMACÊUTICAS DO ESTADO DO RIO DE JANEIRO LTDA.</v>
      </c>
      <c r="L1253" s="15" t="str">
        <f>Base_IFData!F1254</f>
        <v>b3S</v>
      </c>
      <c r="M1253" s="17" t="str">
        <f>IF(AND(ISNUMBER(Base_IFData!L1254),ISNUMBER(Base_IFData!W1254)),IF(Base_IFData!L1254&gt;$B$4,Base_IFData!W1254,""),"")</f>
        <v/>
      </c>
      <c r="N1253" s="50">
        <f>IF(AND(ISNUMBER(Base_IFData!O1254),ISNUMBER(Base_IFData!Q1254)),IF(Base_IFData!Q1254&gt;0,Base_IFData!O1254/Base_IFData!Q1254,"PL ≤ 0"),"NI")</f>
        <v>7.9935206704697517E-2</v>
      </c>
      <c r="O1253" s="107">
        <f>IF(AND(ISNUMBER(Base_IFData!M1254),ISNUMBER(Base_IFData!Q1254)),IF(Base_IFData!Q1254&gt;0,Base_IFData!M1254/Base_IFData!Q1254,"PL ≤ 0"),"NI")</f>
        <v>0.4500316923727023</v>
      </c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</row>
    <row r="1254" spans="1:30" ht="15" customHeight="1" x14ac:dyDescent="0.2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12" t="str">
        <f>Base_IFData!A1255</f>
        <v>WE PAY OUT INSTITUICAO DE PAGAMENTO LTDA.</v>
      </c>
      <c r="L1254" s="12" t="str">
        <f>Base_IFData!F1255</f>
        <v>n4</v>
      </c>
      <c r="M1254" s="14" t="str">
        <f>IF(AND(ISNUMBER(Base_IFData!L1255),ISNUMBER(Base_IFData!W1255)),IF(Base_IFData!L1255&gt;$B$4,Base_IFData!W1255,""),"")</f>
        <v/>
      </c>
      <c r="N1254" s="51">
        <f>IF(AND(ISNUMBER(Base_IFData!O1255),ISNUMBER(Base_IFData!Q1255)),IF(Base_IFData!Q1255&gt;0,Base_IFData!O1255/Base_IFData!Q1255,"PL ≤ 0"),"NI")</f>
        <v>24.820512820512821</v>
      </c>
      <c r="O1254" s="110">
        <f>IF(AND(ISNUMBER(Base_IFData!M1255),ISNUMBER(Base_IFData!Q1255)),IF(Base_IFData!Q1255&gt;0,Base_IFData!M1255/Base_IFData!Q1255,"PL ≤ 0"),"NI")</f>
        <v>0</v>
      </c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</row>
    <row r="1255" spans="1:30" ht="15" customHeight="1" x14ac:dyDescent="0.2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15" t="str">
        <f>Base_IFData!A1256</f>
        <v>COOPERATIVA DE ECONOMIA E CRÉDITO MÚTUO DOS APOSENTADOS, PENSIONISTAS E IDOSOS - SICOOB COOPERNAPI</v>
      </c>
      <c r="L1255" s="15" t="str">
        <f>Base_IFData!F1256</f>
        <v>b3S</v>
      </c>
      <c r="M1255" s="17" t="str">
        <f>IF(AND(ISNUMBER(Base_IFData!L1256),ISNUMBER(Base_IFData!W1256)),IF(Base_IFData!L1256&gt;$B$4,Base_IFData!W1256,""),"")</f>
        <v/>
      </c>
      <c r="N1255" s="50">
        <f>IF(AND(ISNUMBER(Base_IFData!O1256),ISNUMBER(Base_IFData!Q1256)),IF(Base_IFData!Q1256&gt;0,Base_IFData!O1256/Base_IFData!Q1256,"PL ≤ 0"),"NI")</f>
        <v>8.8759894459102906</v>
      </c>
      <c r="O1255" s="107">
        <f>IF(AND(ISNUMBER(Base_IFData!M1256),ISNUMBER(Base_IFData!Q1256)),IF(Base_IFData!Q1256&gt;0,Base_IFData!M1256/Base_IFData!Q1256,"PL ≤ 0"),"NI")</f>
        <v>6.3931398416886545</v>
      </c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</row>
    <row r="1256" spans="1:30" ht="15" customHeight="1" x14ac:dyDescent="0.2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12" t="str">
        <f>Base_IFData!A1257</f>
        <v>COOPERATIVA DE ECONOMIA E CRÉDITO MÚTUO DOS EMPREGADOS DA NOVELIS</v>
      </c>
      <c r="L1256" s="12" t="str">
        <f>Base_IFData!F1257</f>
        <v>b3S</v>
      </c>
      <c r="M1256" s="14" t="str">
        <f>IF(AND(ISNUMBER(Base_IFData!L1257),ISNUMBER(Base_IFData!W1257)),IF(Base_IFData!L1257&gt;$B$4,Base_IFData!W1257,""),"")</f>
        <v/>
      </c>
      <c r="N1256" s="51">
        <f>IF(AND(ISNUMBER(Base_IFData!O1257),ISNUMBER(Base_IFData!Q1257)),IF(Base_IFData!Q1257&gt;0,Base_IFData!O1257/Base_IFData!Q1257,"PL ≤ 0"),"NI")</f>
        <v>9.2659006074800557E-2</v>
      </c>
      <c r="O1256" s="110">
        <f>IF(AND(ISNUMBER(Base_IFData!M1257),ISNUMBER(Base_IFData!Q1257)),IF(Base_IFData!Q1257&gt;0,Base_IFData!M1257/Base_IFData!Q1257,"PL ≤ 0"),"NI")</f>
        <v>0.61296933323574621</v>
      </c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</row>
    <row r="1257" spans="1:30" ht="15" customHeight="1" x14ac:dyDescent="0.2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15" t="str">
        <f>Base_IFData!A1258</f>
        <v>RIO BRAVO INVESTIMENTOS - DISTRIBUIDORA DE TÍTULOS E VALORES MOBILIÁRIOS LTDA.</v>
      </c>
      <c r="L1257" s="15" t="str">
        <f>Base_IFData!F1258</f>
        <v>n2</v>
      </c>
      <c r="M1257" s="17" t="str">
        <f>IF(AND(ISNUMBER(Base_IFData!L1258),ISNUMBER(Base_IFData!W1258)),IF(Base_IFData!L1258&gt;$B$4,Base_IFData!W1258,""),"")</f>
        <v/>
      </c>
      <c r="N1257" s="50">
        <f>IF(AND(ISNUMBER(Base_IFData!O1258),ISNUMBER(Base_IFData!Q1258)),IF(Base_IFData!Q1258&gt;0,Base_IFData!O1258/Base_IFData!Q1258,"PL ≤ 0"),"NI")</f>
        <v>1.0149090411708384</v>
      </c>
      <c r="O1257" s="107">
        <f>IF(AND(ISNUMBER(Base_IFData!M1258),ISNUMBER(Base_IFData!Q1258)),IF(Base_IFData!Q1258&gt;0,Base_IFData!M1258/Base_IFData!Q1258,"PL ≤ 0"),"NI")</f>
        <v>0</v>
      </c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</row>
    <row r="1258" spans="1:30" ht="15" customHeight="1" x14ac:dyDescent="0.2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12" t="str">
        <f>Base_IFData!A1259</f>
        <v>BELVO INSTITUICAO DE PAGAMENTO LTDA</v>
      </c>
      <c r="L1258" s="12" t="str">
        <f>Base_IFData!F1259</f>
        <v>n4</v>
      </c>
      <c r="M1258" s="14" t="str">
        <f>IF(AND(ISNUMBER(Base_IFData!L1259),ISNUMBER(Base_IFData!W1259)),IF(Base_IFData!L1259&gt;$B$4,Base_IFData!W1259,""),"")</f>
        <v/>
      </c>
      <c r="N1258" s="51">
        <f>IF(AND(ISNUMBER(Base_IFData!O1259),ISNUMBER(Base_IFData!Q1259)),IF(Base_IFData!Q1259&gt;0,Base_IFData!O1259/Base_IFData!Q1259,"PL ≤ 0"),"NI")</f>
        <v>31.72</v>
      </c>
      <c r="O1258" s="110">
        <f>IF(AND(ISNUMBER(Base_IFData!M1259),ISNUMBER(Base_IFData!Q1259)),IF(Base_IFData!Q1259&gt;0,Base_IFData!M1259/Base_IFData!Q1259,"PL ≤ 0"),"NI")</f>
        <v>0</v>
      </c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</row>
    <row r="1259" spans="1:30" ht="15" customHeight="1" x14ac:dyDescent="0.2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15" t="str">
        <f>Base_IFData!A1260</f>
        <v>OMNI S.A. ARRENDAMENTO MERCANTIL</v>
      </c>
      <c r="L1259" s="15" t="str">
        <f>Base_IFData!F1260</f>
        <v>n1</v>
      </c>
      <c r="M1259" s="17" t="str">
        <f>IF(AND(ISNUMBER(Base_IFData!L1260),ISNUMBER(Base_IFData!W1260)),IF(Base_IFData!L1260&gt;$B$4,Base_IFData!W1260,""),"")</f>
        <v/>
      </c>
      <c r="N1259" s="50">
        <f>IF(AND(ISNUMBER(Base_IFData!O1260),ISNUMBER(Base_IFData!Q1260)),IF(Base_IFData!Q1260&gt;0,Base_IFData!O1260/Base_IFData!Q1260,"PL ≤ 0"),"NI")</f>
        <v>1.5174611973392461E-2</v>
      </c>
      <c r="O1259" s="107">
        <f>IF(AND(ISNUMBER(Base_IFData!M1260),ISNUMBER(Base_IFData!Q1260)),IF(Base_IFData!Q1260&gt;0,Base_IFData!M1260/Base_IFData!Q1260,"PL ≤ 0"),"NI")</f>
        <v>0</v>
      </c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</row>
    <row r="1260" spans="1:30" ht="15" customHeight="1" x14ac:dyDescent="0.2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12" t="str">
        <f>Base_IFData!A1261</f>
        <v>ZM SOCIEDADE DE CRÉDITO DIRETO S.A.</v>
      </c>
      <c r="L1260" s="12" t="str">
        <f>Base_IFData!F1261</f>
        <v>n1</v>
      </c>
      <c r="M1260" s="14" t="str">
        <f>IF(AND(ISNUMBER(Base_IFData!L1261),ISNUMBER(Base_IFData!W1261)),IF(Base_IFData!L1261&gt;$B$4,Base_IFData!W1261,""),"")</f>
        <v/>
      </c>
      <c r="N1260" s="51">
        <f>IF(AND(ISNUMBER(Base_IFData!O1261),ISNUMBER(Base_IFData!Q1261)),IF(Base_IFData!Q1261&gt;0,Base_IFData!O1261/Base_IFData!Q1261,"PL ≤ 0"),"NI")</f>
        <v>8.5022093554776773E-2</v>
      </c>
      <c r="O1260" s="110">
        <f>IF(AND(ISNUMBER(Base_IFData!M1261),ISNUMBER(Base_IFData!Q1261)),IF(Base_IFData!Q1261&gt;0,Base_IFData!M1261/Base_IFData!Q1261,"PL ≤ 0"),"NI")</f>
        <v>0.70387018131951851</v>
      </c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</row>
    <row r="1261" spans="1:30" ht="15" customHeight="1" x14ac:dyDescent="0.2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15" t="str">
        <f>Base_IFData!A1262</f>
        <v>CONPAY INSTITUIÇÃO DE PAGAMENTO E TECNOLOGIA S.A</v>
      </c>
      <c r="L1261" s="15" t="str">
        <f>Base_IFData!F1262</f>
        <v>n4</v>
      </c>
      <c r="M1261" s="17" t="str">
        <f>IF(AND(ISNUMBER(Base_IFData!L1262),ISNUMBER(Base_IFData!W1262)),IF(Base_IFData!L1262&gt;$B$4,Base_IFData!W1262,""),"")</f>
        <v/>
      </c>
      <c r="N1261" s="50">
        <f>IF(AND(ISNUMBER(Base_IFData!O1262),ISNUMBER(Base_IFData!Q1262)),IF(Base_IFData!Q1262&gt;0,Base_IFData!O1262/Base_IFData!Q1262,"PL ≤ 0"),"NI")</f>
        <v>1.0610941808155565</v>
      </c>
      <c r="O1261" s="107">
        <f>IF(AND(ISNUMBER(Base_IFData!M1262),ISNUMBER(Base_IFData!Q1262)),IF(Base_IFData!Q1262&gt;0,Base_IFData!M1262/Base_IFData!Q1262,"PL ≤ 0"),"NI")</f>
        <v>0</v>
      </c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</row>
    <row r="1262" spans="1:30" ht="15" customHeight="1" x14ac:dyDescent="0.2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12" t="str">
        <f>Base_IFData!A1263</f>
        <v>INTEGRAL ACCESS DISTRIBUIDORA DE TÍTULOS E VALORES MOBILIÁRIOS LTDA.</v>
      </c>
      <c r="L1262" s="12" t="str">
        <f>Base_IFData!F1263</f>
        <v>n2</v>
      </c>
      <c r="M1262" s="14" t="str">
        <f>IF(AND(ISNUMBER(Base_IFData!L1263),ISNUMBER(Base_IFData!W1263)),IF(Base_IFData!L1263&gt;$B$4,Base_IFData!W1263,""),"")</f>
        <v/>
      </c>
      <c r="N1262" s="51">
        <f>IF(AND(ISNUMBER(Base_IFData!O1263),ISNUMBER(Base_IFData!Q1263)),IF(Base_IFData!Q1263&gt;0,Base_IFData!O1263/Base_IFData!Q1263,"PL ≤ 0"),"NI")</f>
        <v>17.696236559139784</v>
      </c>
      <c r="O1262" s="110">
        <f>IF(AND(ISNUMBER(Base_IFData!M1263),ISNUMBER(Base_IFData!Q1263)),IF(Base_IFData!Q1263&gt;0,Base_IFData!M1263/Base_IFData!Q1263,"PL ≤ 0"),"NI")</f>
        <v>0</v>
      </c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</row>
    <row r="1263" spans="1:30" ht="15" customHeight="1" x14ac:dyDescent="0.2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15" t="str">
        <f>Base_IFData!A1264</f>
        <v>SISPAY INSTITUIÇÃO DE PAGAMENTO LTDA.</v>
      </c>
      <c r="L1263" s="15" t="str">
        <f>Base_IFData!F1264</f>
        <v>n4</v>
      </c>
      <c r="M1263" s="17" t="str">
        <f>IF(AND(ISNUMBER(Base_IFData!L1264),ISNUMBER(Base_IFData!W1264)),IF(Base_IFData!L1264&gt;$B$4,Base_IFData!W1264,""),"")</f>
        <v/>
      </c>
      <c r="N1263" s="50">
        <f>IF(AND(ISNUMBER(Base_IFData!O1264),ISNUMBER(Base_IFData!Q1264)),IF(Base_IFData!Q1264&gt;0,Base_IFData!O1264/Base_IFData!Q1264,"PL ≤ 0"),"NI")</f>
        <v>3.1099911058404981</v>
      </c>
      <c r="O1263" s="107">
        <f>IF(AND(ISNUMBER(Base_IFData!M1264),ISNUMBER(Base_IFData!Q1264)),IF(Base_IFData!Q1264&gt;0,Base_IFData!M1264/Base_IFData!Q1264,"PL ≤ 0"),"NI")</f>
        <v>0</v>
      </c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</row>
    <row r="1264" spans="1:30" ht="15" customHeight="1" x14ac:dyDescent="0.2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12" t="str">
        <f>Base_IFData!A1265</f>
        <v>COOPERATIVA DE ECONOMIA E CRÉDITO MÚTUO DOS SERVIDORES PÚBLICOS DOS PODERES EXECUTIVOS NO ESTADO DO ESPÍRITO SANTO</v>
      </c>
      <c r="L1264" s="12" t="str">
        <f>Base_IFData!F1265</f>
        <v>b3S</v>
      </c>
      <c r="M1264" s="14" t="str">
        <f>IF(AND(ISNUMBER(Base_IFData!L1265),ISNUMBER(Base_IFData!W1265)),IF(Base_IFData!L1265&gt;$B$4,Base_IFData!W1265,""),"")</f>
        <v/>
      </c>
      <c r="N1264" s="51">
        <f>IF(AND(ISNUMBER(Base_IFData!O1265),ISNUMBER(Base_IFData!Q1265)),IF(Base_IFData!Q1265&gt;0,Base_IFData!O1265/Base_IFData!Q1265,"PL ≤ 0"),"NI")</f>
        <v>0.1095528129507934</v>
      </c>
      <c r="O1264" s="110">
        <f>IF(AND(ISNUMBER(Base_IFData!M1265),ISNUMBER(Base_IFData!Q1265)),IF(Base_IFData!Q1265&gt;0,Base_IFData!M1265/Base_IFData!Q1265,"PL ≤ 0"),"NI")</f>
        <v>0.45912806539509537</v>
      </c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</row>
    <row r="1265" spans="1:30" ht="15" customHeight="1" x14ac:dyDescent="0.2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15" t="str">
        <f>Base_IFData!A1266</f>
        <v>INVEST SOCIEDADE CORRETORA DE CÂMBIO LTDA.</v>
      </c>
      <c r="L1265" s="15" t="str">
        <f>Base_IFData!F1266</f>
        <v>n2</v>
      </c>
      <c r="M1265" s="17" t="str">
        <f>IF(AND(ISNUMBER(Base_IFData!L1266),ISNUMBER(Base_IFData!W1266)),IF(Base_IFData!L1266&gt;$B$4,Base_IFData!W1266,""),"")</f>
        <v/>
      </c>
      <c r="N1265" s="50">
        <f>IF(AND(ISNUMBER(Base_IFData!O1266),ISNUMBER(Base_IFData!Q1266)),IF(Base_IFData!Q1266&gt;0,Base_IFData!O1266/Base_IFData!Q1266,"PL ≤ 0"),"NI")</f>
        <v>1.0011584129742253</v>
      </c>
      <c r="O1265" s="107">
        <f>IF(AND(ISNUMBER(Base_IFData!M1266),ISNUMBER(Base_IFData!Q1266)),IF(Base_IFData!Q1266&gt;0,Base_IFData!M1266/Base_IFData!Q1266,"PL ≤ 0"),"NI")</f>
        <v>0</v>
      </c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</row>
    <row r="1266" spans="1:30" ht="15" customHeight="1" x14ac:dyDescent="0.2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12" t="str">
        <f>Base_IFData!A1267</f>
        <v>BARU SOCIEDADE DE CRÉDITO, FINANCIAMENTO E INVESTIMENTO S/A</v>
      </c>
      <c r="L1266" s="12" t="str">
        <f>Base_IFData!F1267</f>
        <v>n1</v>
      </c>
      <c r="M1266" s="14" t="str">
        <f>IF(AND(ISNUMBER(Base_IFData!L1267),ISNUMBER(Base_IFData!W1267)),IF(Base_IFData!L1267&gt;$B$4,Base_IFData!W1267,""),"")</f>
        <v/>
      </c>
      <c r="N1266" s="51">
        <f>IF(AND(ISNUMBER(Base_IFData!O1267),ISNUMBER(Base_IFData!Q1267)),IF(Base_IFData!Q1267&gt;0,Base_IFData!O1267/Base_IFData!Q1267,"PL ≤ 0"),"NI")</f>
        <v>0.36307053941908712</v>
      </c>
      <c r="O1266" s="110">
        <f>IF(AND(ISNUMBER(Base_IFData!M1267),ISNUMBER(Base_IFData!Q1267)),IF(Base_IFData!Q1267&gt;0,Base_IFData!M1267/Base_IFData!Q1267,"PL ≤ 0"),"NI")</f>
        <v>1.0250938549693736</v>
      </c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</row>
    <row r="1267" spans="1:30" ht="15" customHeight="1" x14ac:dyDescent="0.2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15" t="str">
        <f>Base_IFData!A1268</f>
        <v>COOPERATIVA DE ECONOMIA E CRÉDITO MÚTUO DOS MEMBROS DO MINISTÉRIO PÚBLICO DE SÃO PAULO - PROMOCRED</v>
      </c>
      <c r="L1267" s="15" t="str">
        <f>Base_IFData!F1268</f>
        <v>b3S</v>
      </c>
      <c r="M1267" s="17" t="str">
        <f>IF(AND(ISNUMBER(Base_IFData!L1268),ISNUMBER(Base_IFData!W1268)),IF(Base_IFData!L1268&gt;$B$4,Base_IFData!W1268,""),"")</f>
        <v/>
      </c>
      <c r="N1267" s="50">
        <f>IF(AND(ISNUMBER(Base_IFData!O1268),ISNUMBER(Base_IFData!Q1268)),IF(Base_IFData!Q1268&gt;0,Base_IFData!O1268/Base_IFData!Q1268,"PL ≤ 0"),"NI")</f>
        <v>9.4301765650080263E-2</v>
      </c>
      <c r="O1267" s="107">
        <f>IF(AND(ISNUMBER(Base_IFData!M1268),ISNUMBER(Base_IFData!Q1268)),IF(Base_IFData!Q1268&gt;0,Base_IFData!M1268/Base_IFData!Q1268,"PL ≤ 0"),"NI")</f>
        <v>0.43234349919743176</v>
      </c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</row>
    <row r="1268" spans="1:30" ht="15" customHeight="1" x14ac:dyDescent="0.2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12" t="str">
        <f>Base_IFData!A1269</f>
        <v>QUADRA SOCIEDADE DE CRÉDITO DIRETO S.A.</v>
      </c>
      <c r="L1268" s="12" t="str">
        <f>Base_IFData!F1269</f>
        <v>n1</v>
      </c>
      <c r="M1268" s="14" t="str">
        <f>IF(AND(ISNUMBER(Base_IFData!L1269),ISNUMBER(Base_IFData!W1269)),IF(Base_IFData!L1269&gt;$B$4,Base_IFData!W1269,""),"")</f>
        <v/>
      </c>
      <c r="N1268" s="51">
        <f>IF(AND(ISNUMBER(Base_IFData!O1269),ISNUMBER(Base_IFData!Q1269)),IF(Base_IFData!Q1269&gt;0,Base_IFData!O1269/Base_IFData!Q1269,"PL ≤ 0"),"NI")</f>
        <v>1.7043374452845206</v>
      </c>
      <c r="O1268" s="110">
        <f>IF(AND(ISNUMBER(Base_IFData!M1269),ISNUMBER(Base_IFData!Q1269)),IF(Base_IFData!Q1269&gt;0,Base_IFData!M1269/Base_IFData!Q1269,"PL ≤ 0"),"NI")</f>
        <v>0</v>
      </c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</row>
    <row r="1269" spans="1:30" ht="15" customHeight="1" x14ac:dyDescent="0.2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15" t="str">
        <f>Base_IFData!A1270</f>
        <v>VX PAVARINI DISTRIBUIDORA DE TÍTULOS E VALORES MOBILIÁRIOS LTDA</v>
      </c>
      <c r="L1269" s="15" t="str">
        <f>Base_IFData!F1270</f>
        <v>n2</v>
      </c>
      <c r="M1269" s="17" t="str">
        <f>IF(AND(ISNUMBER(Base_IFData!L1270),ISNUMBER(Base_IFData!W1270)),IF(Base_IFData!L1270&gt;$B$4,Base_IFData!W1270,""),"")</f>
        <v/>
      </c>
      <c r="N1269" s="50">
        <f>IF(AND(ISNUMBER(Base_IFData!O1270),ISNUMBER(Base_IFData!Q1270)),IF(Base_IFData!Q1270&gt;0,Base_IFData!O1270/Base_IFData!Q1270,"PL ≤ 0"),"NI")</f>
        <v>0.25103945301672365</v>
      </c>
      <c r="O1269" s="107">
        <f>IF(AND(ISNUMBER(Base_IFData!M1270),ISNUMBER(Base_IFData!Q1270)),IF(Base_IFData!Q1270&gt;0,Base_IFData!M1270/Base_IFData!Q1270,"PL ≤ 0"),"NI")</f>
        <v>0</v>
      </c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</row>
    <row r="1270" spans="1:30" ht="15" customHeight="1" x14ac:dyDescent="0.2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12" t="str">
        <f>Base_IFData!A1271</f>
        <v>INSTITUIÇÃO DE PAGAMENTOS MAPS LTDA.</v>
      </c>
      <c r="L1270" s="12" t="str">
        <f>Base_IFData!F1271</f>
        <v>n4</v>
      </c>
      <c r="M1270" s="14" t="str">
        <f>IF(AND(ISNUMBER(Base_IFData!L1271),ISNUMBER(Base_IFData!W1271)),IF(Base_IFData!L1271&gt;$B$4,Base_IFData!W1271,""),"")</f>
        <v/>
      </c>
      <c r="N1270" s="51">
        <f>IF(AND(ISNUMBER(Base_IFData!O1271),ISNUMBER(Base_IFData!Q1271)),IF(Base_IFData!Q1271&gt;0,Base_IFData!O1271/Base_IFData!Q1271,"PL ≤ 0"),"NI")</f>
        <v>0.61828859060402686</v>
      </c>
      <c r="O1270" s="110">
        <f>IF(AND(ISNUMBER(Base_IFData!M1271),ISNUMBER(Base_IFData!Q1271)),IF(Base_IFData!Q1271&gt;0,Base_IFData!M1271/Base_IFData!Q1271,"PL ≤ 0"),"NI")</f>
        <v>0</v>
      </c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</row>
    <row r="1271" spans="1:30" ht="15" customHeight="1" x14ac:dyDescent="0.2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15" t="str">
        <f>Base_IFData!A1272</f>
        <v>ATICCA - SOCIEDADE DE CRÉDITO DIRETO S.A.</v>
      </c>
      <c r="L1271" s="15" t="str">
        <f>Base_IFData!F1272</f>
        <v>n1</v>
      </c>
      <c r="M1271" s="17" t="str">
        <f>IF(AND(ISNUMBER(Base_IFData!L1272),ISNUMBER(Base_IFData!W1272)),IF(Base_IFData!L1272&gt;$B$4,Base_IFData!W1272,""),"")</f>
        <v/>
      </c>
      <c r="N1271" s="50">
        <f>IF(AND(ISNUMBER(Base_IFData!O1272),ISNUMBER(Base_IFData!Q1272)),IF(Base_IFData!Q1272&gt;0,Base_IFData!O1272/Base_IFData!Q1272,"PL ≤ 0"),"NI")</f>
        <v>0.20817610062893083</v>
      </c>
      <c r="O1271" s="107">
        <f>IF(AND(ISNUMBER(Base_IFData!M1272),ISNUMBER(Base_IFData!Q1272)),IF(Base_IFData!Q1272&gt;0,Base_IFData!M1272/Base_IFData!Q1272,"PL ≤ 0"),"NI")</f>
        <v>0.41590296495956874</v>
      </c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</row>
    <row r="1272" spans="1:30" ht="15" customHeight="1" x14ac:dyDescent="0.2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12" t="str">
        <f>Base_IFData!A1273</f>
        <v>EWALLY INSTITUIÇÃO DE PAGAMENTO S.A.</v>
      </c>
      <c r="L1272" s="12" t="str">
        <f>Base_IFData!F1273</f>
        <v>n4</v>
      </c>
      <c r="M1272" s="14" t="str">
        <f>IF(AND(ISNUMBER(Base_IFData!L1273),ISNUMBER(Base_IFData!W1273)),IF(Base_IFData!L1273&gt;$B$4,Base_IFData!W1273,""),"")</f>
        <v/>
      </c>
      <c r="N1272" s="51">
        <f>IF(AND(ISNUMBER(Base_IFData!O1273),ISNUMBER(Base_IFData!Q1273)),IF(Base_IFData!Q1273&gt;0,Base_IFData!O1273/Base_IFData!Q1273,"PL ≤ 0"),"NI")</f>
        <v>1.1577419354838709</v>
      </c>
      <c r="O1272" s="110">
        <f>IF(AND(ISNUMBER(Base_IFData!M1273),ISNUMBER(Base_IFData!Q1273)),IF(Base_IFData!Q1273&gt;0,Base_IFData!M1273/Base_IFData!Q1273,"PL ≤ 0"),"NI")</f>
        <v>0</v>
      </c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</row>
    <row r="1273" spans="1:30" ht="15" customHeight="1" x14ac:dyDescent="0.2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15" t="str">
        <f>Base_IFData!A1274</f>
        <v>COOPERATIVA DE ECONOMIA E CRÉDITO MÚTUO DOS SERVIDORES PÚBLICOS DA REGIÃO METROPOLITANA DE BELÉM - CREDISIS CREDBEM METROPOLITANA</v>
      </c>
      <c r="L1273" s="15" t="str">
        <f>Base_IFData!F1274</f>
        <v>b3S</v>
      </c>
      <c r="M1273" s="17" t="str">
        <f>IF(AND(ISNUMBER(Base_IFData!L1274),ISNUMBER(Base_IFData!W1274)),IF(Base_IFData!L1274&gt;$B$4,Base_IFData!W1274,""),"")</f>
        <v/>
      </c>
      <c r="N1273" s="50">
        <f>IF(AND(ISNUMBER(Base_IFData!O1274),ISNUMBER(Base_IFData!Q1274)),IF(Base_IFData!Q1274&gt;0,Base_IFData!O1274/Base_IFData!Q1274,"PL ≤ 0"),"NI")</f>
        <v>0.1339611436328158</v>
      </c>
      <c r="O1273" s="107">
        <f>IF(AND(ISNUMBER(Base_IFData!M1274),ISNUMBER(Base_IFData!Q1274)),IF(Base_IFData!Q1274&gt;0,Base_IFData!M1274/Base_IFData!Q1274,"PL ≤ 0"),"NI")</f>
        <v>0.76414694154577079</v>
      </c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</row>
    <row r="1274" spans="1:30" ht="15" customHeight="1" x14ac:dyDescent="0.2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12" t="str">
        <f>Base_IFData!A1275</f>
        <v>ZIPDIN SOLUÇÕES DIGITAIS SOCIEDADE DE CRÉDITO DIRETO S/A</v>
      </c>
      <c r="L1274" s="12" t="str">
        <f>Base_IFData!F1275</f>
        <v>n1</v>
      </c>
      <c r="M1274" s="14" t="str">
        <f>IF(AND(ISNUMBER(Base_IFData!L1275),ISNUMBER(Base_IFData!W1275)),IF(Base_IFData!L1275&gt;$B$4,Base_IFData!W1275,""),"")</f>
        <v/>
      </c>
      <c r="N1274" s="51">
        <f>IF(AND(ISNUMBER(Base_IFData!O1275),ISNUMBER(Base_IFData!Q1275)),IF(Base_IFData!Q1275&gt;0,Base_IFData!O1275/Base_IFData!Q1275,"PL ≤ 0"),"NI")</f>
        <v>1.1894771348959188</v>
      </c>
      <c r="O1274" s="110">
        <f>IF(AND(ISNUMBER(Base_IFData!M1275),ISNUMBER(Base_IFData!Q1275)),IF(Base_IFData!Q1275&gt;0,Base_IFData!M1275/Base_IFData!Q1275,"PL ≤ 0"),"NI")</f>
        <v>8.6379282084904113E-2</v>
      </c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</row>
    <row r="1275" spans="1:30" ht="15" customHeight="1" x14ac:dyDescent="0.2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15" t="str">
        <f>Base_IFData!A1276</f>
        <v>FINAXIS CORRETORA DE TÍTULOS E VALORES MOBILIÁRIOS S.A.</v>
      </c>
      <c r="L1275" s="15" t="str">
        <f>Base_IFData!F1276</f>
        <v>n2</v>
      </c>
      <c r="M1275" s="17" t="str">
        <f>IF(AND(ISNUMBER(Base_IFData!L1276),ISNUMBER(Base_IFData!W1276)),IF(Base_IFData!L1276&gt;$B$4,Base_IFData!W1276,""),"")</f>
        <v/>
      </c>
      <c r="N1275" s="50">
        <f>IF(AND(ISNUMBER(Base_IFData!O1276),ISNUMBER(Base_IFData!Q1276)),IF(Base_IFData!Q1276&gt;0,Base_IFData!O1276/Base_IFData!Q1276,"PL ≤ 0"),"NI")</f>
        <v>0.67962264150943397</v>
      </c>
      <c r="O1275" s="107">
        <f>IF(AND(ISNUMBER(Base_IFData!M1276),ISNUMBER(Base_IFData!Q1276)),IF(Base_IFData!Q1276&gt;0,Base_IFData!M1276/Base_IFData!Q1276,"PL ≤ 0"),"NI")</f>
        <v>0</v>
      </c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</row>
    <row r="1276" spans="1:30" ht="15" customHeight="1" x14ac:dyDescent="0.2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12" t="str">
        <f>Base_IFData!A1277</f>
        <v>ALL IN CRED SOCIEDADE DE CREDITO DIRETO S.A.</v>
      </c>
      <c r="L1276" s="12" t="str">
        <f>Base_IFData!F1277</f>
        <v>n1</v>
      </c>
      <c r="M1276" s="14" t="str">
        <f>IF(AND(ISNUMBER(Base_IFData!L1277),ISNUMBER(Base_IFData!W1277)),IF(Base_IFData!L1277&gt;$B$4,Base_IFData!W1277,""),"")</f>
        <v/>
      </c>
      <c r="N1276" s="51">
        <f>IF(AND(ISNUMBER(Base_IFData!O1277),ISNUMBER(Base_IFData!Q1277)),IF(Base_IFData!Q1277&gt;0,Base_IFData!O1277/Base_IFData!Q1277,"PL ≤ 0"),"NI")</f>
        <v>0.59212880143112701</v>
      </c>
      <c r="O1276" s="110">
        <f>IF(AND(ISNUMBER(Base_IFData!M1277),ISNUMBER(Base_IFData!Q1277)),IF(Base_IFData!Q1277&gt;0,Base_IFData!M1277/Base_IFData!Q1277,"PL ≤ 0"),"NI")</f>
        <v>8.0739415623136551E-2</v>
      </c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</row>
    <row r="1277" spans="1:30" ht="15" customHeight="1" x14ac:dyDescent="0.2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15" t="str">
        <f>Base_IFData!A1278</f>
        <v>APROMS NET INSTITUICAO DE PAGAMENTO LTDA.</v>
      </c>
      <c r="L1277" s="15" t="str">
        <f>Base_IFData!F1278</f>
        <v>n4</v>
      </c>
      <c r="M1277" s="17" t="str">
        <f>IF(AND(ISNUMBER(Base_IFData!L1278),ISNUMBER(Base_IFData!W1278)),IF(Base_IFData!L1278&gt;$B$4,Base_IFData!W1278,""),"")</f>
        <v/>
      </c>
      <c r="N1277" s="50">
        <f>IF(AND(ISNUMBER(Base_IFData!O1278),ISNUMBER(Base_IFData!Q1278)),IF(Base_IFData!Q1278&gt;0,Base_IFData!O1278/Base_IFData!Q1278,"PL ≤ 0"),"NI")</f>
        <v>0.96812749003984067</v>
      </c>
      <c r="O1277" s="107">
        <f>IF(AND(ISNUMBER(Base_IFData!M1278),ISNUMBER(Base_IFData!Q1278)),IF(Base_IFData!Q1278&gt;0,Base_IFData!M1278/Base_IFData!Q1278,"PL ≤ 0"),"NI")</f>
        <v>0.57119669470267076</v>
      </c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</row>
    <row r="1278" spans="1:30" ht="15" customHeight="1" x14ac:dyDescent="0.2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12" t="str">
        <f>Base_IFData!A1279</f>
        <v>TRINUS SOCIEDADE DE CRÉDITO DIRETO S.A.</v>
      </c>
      <c r="L1278" s="12" t="str">
        <f>Base_IFData!F1279</f>
        <v>n1</v>
      </c>
      <c r="M1278" s="14" t="str">
        <f>IF(AND(ISNUMBER(Base_IFData!L1279),ISNUMBER(Base_IFData!W1279)),IF(Base_IFData!L1279&gt;$B$4,Base_IFData!W1279,""),"")</f>
        <v/>
      </c>
      <c r="N1278" s="51">
        <f>IF(AND(ISNUMBER(Base_IFData!O1279),ISNUMBER(Base_IFData!Q1279)),IF(Base_IFData!Q1279&gt;0,Base_IFData!O1279/Base_IFData!Q1279,"PL ≤ 0"),"NI")</f>
        <v>1.3722172751558326</v>
      </c>
      <c r="O1278" s="110">
        <f>IF(AND(ISNUMBER(Base_IFData!M1279),ISNUMBER(Base_IFData!Q1279)),IF(Base_IFData!Q1279&gt;0,Base_IFData!M1279/Base_IFData!Q1279,"PL ≤ 0"),"NI")</f>
        <v>0.27836153161175425</v>
      </c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</row>
    <row r="1279" spans="1:30" ht="15" customHeight="1" x14ac:dyDescent="0.2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15" t="str">
        <f>Base_IFData!A1280</f>
        <v>COOPERATIVA DE ECONOMIA E CRÉDITO MÚTUO DOS  EMPREGADOS DA TUPY MINAS GERAIS LTDA. E NEMAK ALUMÍNIO DO BRASIL LTDA.</v>
      </c>
      <c r="L1279" s="15" t="str">
        <f>Base_IFData!F1280</f>
        <v>b3S</v>
      </c>
      <c r="M1279" s="17" t="str">
        <f>IF(AND(ISNUMBER(Base_IFData!L1280),ISNUMBER(Base_IFData!W1280)),IF(Base_IFData!L1280&gt;$B$4,Base_IFData!W1280,""),"")</f>
        <v/>
      </c>
      <c r="N1279" s="50">
        <f>IF(AND(ISNUMBER(Base_IFData!O1280),ISNUMBER(Base_IFData!Q1280)),IF(Base_IFData!Q1280&gt;0,Base_IFData!O1280/Base_IFData!Q1280,"PL ≤ 0"),"NI")</f>
        <v>6.647932557205942E-2</v>
      </c>
      <c r="O1279" s="107">
        <f>IF(AND(ISNUMBER(Base_IFData!M1280),ISNUMBER(Base_IFData!Q1280)),IF(Base_IFData!Q1280&gt;0,Base_IFData!M1280/Base_IFData!Q1280,"PL ≤ 0"),"NI")</f>
        <v>0.35560016057808108</v>
      </c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</row>
    <row r="1280" spans="1:30" ht="15" customHeight="1" x14ac:dyDescent="0.2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12" t="str">
        <f>Base_IFData!A1281</f>
        <v>LOAN BRASIL SOCIEDADE DE CRÉDITO DIRETO S.A.</v>
      </c>
      <c r="L1280" s="12" t="str">
        <f>Base_IFData!F1281</f>
        <v>n1</v>
      </c>
      <c r="M1280" s="14" t="str">
        <f>IF(AND(ISNUMBER(Base_IFData!L1281),ISNUMBER(Base_IFData!W1281)),IF(Base_IFData!L1281&gt;$B$4,Base_IFData!W1281,""),"")</f>
        <v/>
      </c>
      <c r="N1280" s="51">
        <f>IF(AND(ISNUMBER(Base_IFData!O1281),ISNUMBER(Base_IFData!Q1281)),IF(Base_IFData!Q1281&gt;0,Base_IFData!O1281/Base_IFData!Q1281,"PL ≤ 0"),"NI")</f>
        <v>0.19343397599126955</v>
      </c>
      <c r="O1280" s="110">
        <f>IF(AND(ISNUMBER(Base_IFData!M1281),ISNUMBER(Base_IFData!Q1281)),IF(Base_IFData!Q1281&gt;0,Base_IFData!M1281/Base_IFData!Q1281,"PL ≤ 0"),"NI")</f>
        <v>0</v>
      </c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</row>
    <row r="1281" spans="1:30" ht="15" customHeight="1" x14ac:dyDescent="0.2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15" t="str">
        <f>Base_IFData!A1282</f>
        <v>INTERCAM CORRETORA DE CÂMBIO LTDA.</v>
      </c>
      <c r="L1281" s="15" t="str">
        <f>Base_IFData!F1282</f>
        <v>n2</v>
      </c>
      <c r="M1281" s="17" t="str">
        <f>IF(AND(ISNUMBER(Base_IFData!L1282),ISNUMBER(Base_IFData!W1282)),IF(Base_IFData!L1282&gt;$B$4,Base_IFData!W1282,""),"")</f>
        <v/>
      </c>
      <c r="N1281" s="50">
        <f>IF(AND(ISNUMBER(Base_IFData!O1282),ISNUMBER(Base_IFData!Q1282)),IF(Base_IFData!Q1282&gt;0,Base_IFData!O1282/Base_IFData!Q1282,"PL ≤ 0"),"NI")</f>
        <v>1.6067012365376945</v>
      </c>
      <c r="O1281" s="107">
        <f>IF(AND(ISNUMBER(Base_IFData!M1282),ISNUMBER(Base_IFData!Q1282)),IF(Base_IFData!Q1282&gt;0,Base_IFData!M1282/Base_IFData!Q1282,"PL ≤ 0"),"NI")</f>
        <v>0</v>
      </c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</row>
    <row r="1282" spans="1:30" ht="15" customHeight="1" x14ac:dyDescent="0.2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12" t="str">
        <f>Base_IFData!A1283</f>
        <v>COOPERATIVA DE CRÉDITO E INVESTIMENTO COM INTERAÇÃO SOLIDÁRIA DE TOLEDO E REGIÃO - CRESOL PRIMATO CREDI</v>
      </c>
      <c r="L1282" s="12" t="str">
        <f>Base_IFData!F1283</f>
        <v>b3S</v>
      </c>
      <c r="M1282" s="14" t="str">
        <f>IF(AND(ISNUMBER(Base_IFData!L1283),ISNUMBER(Base_IFData!W1283)),IF(Base_IFData!L1283&gt;$B$4,Base_IFData!W1283,""),"")</f>
        <v/>
      </c>
      <c r="N1282" s="51">
        <f>IF(AND(ISNUMBER(Base_IFData!O1283),ISNUMBER(Base_IFData!Q1283)),IF(Base_IFData!Q1283&gt;0,Base_IFData!O1283/Base_IFData!Q1283,"PL ≤ 0"),"NI")</f>
        <v>6.5942790426152946</v>
      </c>
      <c r="O1282" s="110">
        <f>IF(AND(ISNUMBER(Base_IFData!M1283),ISNUMBER(Base_IFData!Q1283)),IF(Base_IFData!Q1283&gt;0,Base_IFData!M1283/Base_IFData!Q1283,"PL ≤ 0"),"NI")</f>
        <v>0.62346760070052543</v>
      </c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</row>
    <row r="1283" spans="1:30" ht="15" customHeight="1" x14ac:dyDescent="0.2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15" t="str">
        <f>Base_IFData!A1284</f>
        <v>G5 SOCIEDADE DE CRÉDITO DIRETO S.A.</v>
      </c>
      <c r="L1283" s="15" t="str">
        <f>Base_IFData!F1284</f>
        <v>n1</v>
      </c>
      <c r="M1283" s="17" t="str">
        <f>IF(AND(ISNUMBER(Base_IFData!L1284),ISNUMBER(Base_IFData!W1284)),IF(Base_IFData!L1284&gt;$B$4,Base_IFData!W1284,""),"")</f>
        <v/>
      </c>
      <c r="N1283" s="50">
        <f>IF(AND(ISNUMBER(Base_IFData!O1284),ISNUMBER(Base_IFData!Q1284)),IF(Base_IFData!Q1284&gt;0,Base_IFData!O1284/Base_IFData!Q1284,"PL ≤ 0"),"NI")</f>
        <v>1.9573932866912978E-2</v>
      </c>
      <c r="O1283" s="107">
        <f>IF(AND(ISNUMBER(Base_IFData!M1284),ISNUMBER(Base_IFData!Q1284)),IF(Base_IFData!Q1284&gt;0,Base_IFData!M1284/Base_IFData!Q1284,"PL ≤ 0"),"NI")</f>
        <v>0.31412624793648297</v>
      </c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</row>
    <row r="1284" spans="1:30" ht="15" customHeight="1" x14ac:dyDescent="0.2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12" t="str">
        <f>Base_IFData!A1285</f>
        <v>COOPERATIVA DE ECONOMIA E CRÉDITO MÚTUO DOS EMPREGADOS DA CONFAB</v>
      </c>
      <c r="L1284" s="12" t="str">
        <f>Base_IFData!F1285</f>
        <v>b3S</v>
      </c>
      <c r="M1284" s="14" t="str">
        <f>IF(AND(ISNUMBER(Base_IFData!L1285),ISNUMBER(Base_IFData!W1285)),IF(Base_IFData!L1285&gt;$B$4,Base_IFData!W1285,""),"")</f>
        <v/>
      </c>
      <c r="N1284" s="51">
        <f>IF(AND(ISNUMBER(Base_IFData!O1285),ISNUMBER(Base_IFData!Q1285)),IF(Base_IFData!Q1285&gt;0,Base_IFData!O1285/Base_IFData!Q1285,"PL ≤ 0"),"NI")</f>
        <v>1.894803050554289E-2</v>
      </c>
      <c r="O1284" s="110">
        <f>IF(AND(ISNUMBER(Base_IFData!M1285),ISNUMBER(Base_IFData!Q1285)),IF(Base_IFData!Q1285&gt;0,Base_IFData!M1285/Base_IFData!Q1285,"PL ≤ 0"),"NI")</f>
        <v>0.69620253164556967</v>
      </c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</row>
    <row r="1285" spans="1:30" ht="15" customHeight="1" x14ac:dyDescent="0.2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15" t="str">
        <f>Base_IFData!A1286</f>
        <v>GLOBAL FINANÇAS SOCIEDADE DE CRÉDITO AO MICROEMPREENDEDOR E À EMPRESA DE PEQUENO PORTE LTDA.</v>
      </c>
      <c r="L1285" s="15" t="str">
        <f>Base_IFData!F1286</f>
        <v>n1</v>
      </c>
      <c r="M1285" s="17" t="str">
        <f>IF(AND(ISNUMBER(Base_IFData!L1286),ISNUMBER(Base_IFData!W1286)),IF(Base_IFData!L1286&gt;$B$4,Base_IFData!W1286,""),"")</f>
        <v/>
      </c>
      <c r="N1285" s="50">
        <f>IF(AND(ISNUMBER(Base_IFData!O1286),ISNUMBER(Base_IFData!Q1286)),IF(Base_IFData!Q1286&gt;0,Base_IFData!O1286/Base_IFData!Q1286,"PL ≤ 0"),"NI")</f>
        <v>1.487215064420218</v>
      </c>
      <c r="O1285" s="107">
        <f>IF(AND(ISNUMBER(Base_IFData!M1286),ISNUMBER(Base_IFData!Q1286)),IF(Base_IFData!Q1286&gt;0,Base_IFData!M1286/Base_IFData!Q1286,"PL ≤ 0"),"NI")</f>
        <v>1.7641228939544104E-2</v>
      </c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</row>
    <row r="1286" spans="1:30" ht="15" customHeight="1" x14ac:dyDescent="0.2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12" t="str">
        <f>Base_IFData!A1287</f>
        <v>COOPERATIVA DE CRÉDITO MÚTUO DOS EMPREGADOS DA SKF E COLIGADAS</v>
      </c>
      <c r="L1286" s="12" t="str">
        <f>Base_IFData!F1287</f>
        <v>b3S</v>
      </c>
      <c r="M1286" s="14" t="str">
        <f>IF(AND(ISNUMBER(Base_IFData!L1287),ISNUMBER(Base_IFData!W1287)),IF(Base_IFData!L1287&gt;$B$4,Base_IFData!W1287,""),"")</f>
        <v/>
      </c>
      <c r="N1286" s="51">
        <f>IF(AND(ISNUMBER(Base_IFData!O1287),ISNUMBER(Base_IFData!Q1287)),IF(Base_IFData!Q1287&gt;0,Base_IFData!O1287/Base_IFData!Q1287,"PL ≤ 0"),"NI")</f>
        <v>9.2697082057069165E-3</v>
      </c>
      <c r="O1286" s="110">
        <f>IF(AND(ISNUMBER(Base_IFData!M1287),ISNUMBER(Base_IFData!Q1287)),IF(Base_IFData!Q1287&gt;0,Base_IFData!M1287/Base_IFData!Q1287,"PL ≤ 0"),"NI")</f>
        <v>0.61486377559245531</v>
      </c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</row>
    <row r="1287" spans="1:30" ht="15" customHeight="1" x14ac:dyDescent="0.2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15" t="str">
        <f>Base_IFData!A1288</f>
        <v>HBI SOCIEDADE DE CRÉDITO DIRETO S/A.</v>
      </c>
      <c r="L1287" s="15" t="str">
        <f>Base_IFData!F1288</f>
        <v>n1</v>
      </c>
      <c r="M1287" s="17" t="str">
        <f>IF(AND(ISNUMBER(Base_IFData!L1288),ISNUMBER(Base_IFData!W1288)),IF(Base_IFData!L1288&gt;$B$4,Base_IFData!W1288,""),"")</f>
        <v/>
      </c>
      <c r="N1287" s="50">
        <f>IF(AND(ISNUMBER(Base_IFData!O1288),ISNUMBER(Base_IFData!Q1288)),IF(Base_IFData!Q1288&gt;0,Base_IFData!O1288/Base_IFData!Q1288,"PL ≤ 0"),"NI")</f>
        <v>0.5346067973207641</v>
      </c>
      <c r="O1287" s="107">
        <f>IF(AND(ISNUMBER(Base_IFData!M1288),ISNUMBER(Base_IFData!Q1288)),IF(Base_IFData!Q1288&gt;0,Base_IFData!M1288/Base_IFData!Q1288,"PL ≤ 0"),"NI")</f>
        <v>6.9213594641528153E-2</v>
      </c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</row>
    <row r="1288" spans="1:30" ht="15" customHeight="1" x14ac:dyDescent="0.2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12" t="str">
        <f>Base_IFData!A1289</f>
        <v>ACTIVTRADES CORRETORA DE CÂMBIO, TÍTULOS E VALORES MOBILIÁRIOS LTDA.</v>
      </c>
      <c r="L1288" s="12" t="str">
        <f>Base_IFData!F1289</f>
        <v>n2</v>
      </c>
      <c r="M1288" s="14" t="str">
        <f>IF(AND(ISNUMBER(Base_IFData!L1289),ISNUMBER(Base_IFData!W1289)),IF(Base_IFData!L1289&gt;$B$4,Base_IFData!W1289,""),"")</f>
        <v/>
      </c>
      <c r="N1288" s="51">
        <f>IF(AND(ISNUMBER(Base_IFData!O1289),ISNUMBER(Base_IFData!Q1289)),IF(Base_IFData!Q1289&gt;0,Base_IFData!O1289/Base_IFData!Q1289,"PL ≤ 0"),"NI")</f>
        <v>0.17509283061982292</v>
      </c>
      <c r="O1288" s="110">
        <f>IF(AND(ISNUMBER(Base_IFData!M1289),ISNUMBER(Base_IFData!Q1289)),IF(Base_IFData!Q1289&gt;0,Base_IFData!M1289/Base_IFData!Q1289,"PL ≤ 0"),"NI")</f>
        <v>0</v>
      </c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</row>
    <row r="1289" spans="1:30" ht="15" customHeight="1" x14ac:dyDescent="0.2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15" t="str">
        <f>Base_IFData!A1290</f>
        <v>LEV DISTRIBUIDORA DE TÍTULOS E VALORES MOBILIÁRIOS LTDA.</v>
      </c>
      <c r="L1289" s="15" t="str">
        <f>Base_IFData!F1290</f>
        <v>n2</v>
      </c>
      <c r="M1289" s="17" t="str">
        <f>IF(AND(ISNUMBER(Base_IFData!L1290),ISNUMBER(Base_IFData!W1290)),IF(Base_IFData!L1290&gt;$B$4,Base_IFData!W1290,""),"")</f>
        <v/>
      </c>
      <c r="N1289" s="50">
        <f>IF(AND(ISNUMBER(Base_IFData!O1290),ISNUMBER(Base_IFData!Q1290)),IF(Base_IFData!Q1290&gt;0,Base_IFData!O1290/Base_IFData!Q1290,"PL ≤ 0"),"NI")</f>
        <v>0.46740318076969772</v>
      </c>
      <c r="O1289" s="107">
        <f>IF(AND(ISNUMBER(Base_IFData!M1290),ISNUMBER(Base_IFData!Q1290)),IF(Base_IFData!Q1290&gt;0,Base_IFData!M1290/Base_IFData!Q1290,"PL ≤ 0"),"NI")</f>
        <v>0</v>
      </c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</row>
    <row r="1290" spans="1:30" ht="15" customHeight="1" x14ac:dyDescent="0.2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12" t="str">
        <f>Base_IFData!A1291</f>
        <v>ONCRED - SOCIEDADE DE CRÉDITO DIRETO S.A.</v>
      </c>
      <c r="L1290" s="12" t="str">
        <f>Base_IFData!F1291</f>
        <v>n1</v>
      </c>
      <c r="M1290" s="14" t="str">
        <f>IF(AND(ISNUMBER(Base_IFData!L1291),ISNUMBER(Base_IFData!W1291)),IF(Base_IFData!L1291&gt;$B$4,Base_IFData!W1291,""),"")</f>
        <v/>
      </c>
      <c r="N1290" s="51">
        <f>IF(AND(ISNUMBER(Base_IFData!O1291),ISNUMBER(Base_IFData!Q1291)),IF(Base_IFData!Q1291&gt;0,Base_IFData!O1291/Base_IFData!Q1291,"PL ≤ 0"),"NI")</f>
        <v>0.24741948802642444</v>
      </c>
      <c r="O1290" s="110">
        <f>IF(AND(ISNUMBER(Base_IFData!M1291),ISNUMBER(Base_IFData!Q1291)),IF(Base_IFData!Q1291&gt;0,Base_IFData!M1291/Base_IFData!Q1291,"PL ≤ 0"),"NI")</f>
        <v>0.11529727497935591</v>
      </c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</row>
    <row r="1291" spans="1:30" ht="15" customHeight="1" x14ac:dyDescent="0.2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15" t="str">
        <f>Base_IFData!A1292</f>
        <v>COOPERATIVA DE ECONOMIA E CRÉDITO MÚTUO DOS FUNCIONÁRIOS DO FLEURY</v>
      </c>
      <c r="L1291" s="15" t="str">
        <f>Base_IFData!F1292</f>
        <v>b3S</v>
      </c>
      <c r="M1291" s="17" t="str">
        <f>IF(AND(ISNUMBER(Base_IFData!L1292),ISNUMBER(Base_IFData!W1292)),IF(Base_IFData!L1292&gt;$B$4,Base_IFData!W1292,""),"")</f>
        <v/>
      </c>
      <c r="N1291" s="50">
        <f>IF(AND(ISNUMBER(Base_IFData!O1292),ISNUMBER(Base_IFData!Q1292)),IF(Base_IFData!Q1292&gt;0,Base_IFData!O1292/Base_IFData!Q1292,"PL ≤ 0"),"NI")</f>
        <v>9.8794373744139317E-3</v>
      </c>
      <c r="O1291" s="107">
        <f>IF(AND(ISNUMBER(Base_IFData!M1292),ISNUMBER(Base_IFData!Q1292)),IF(Base_IFData!Q1292&gt;0,Base_IFData!M1292/Base_IFData!Q1292,"PL ≤ 0"),"NI")</f>
        <v>0.5219356999330208</v>
      </c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</row>
    <row r="1292" spans="1:30" ht="15" customHeight="1" x14ac:dyDescent="0.2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12" t="str">
        <f>Base_IFData!A1293</f>
        <v>COOPERATIVA DE ECONOMIA E CRÉDITO MÚTUO DOS FUNCIONÁRIOS DO GRUPO COMOLATTI - SÃO PAULO</v>
      </c>
      <c r="L1292" s="12" t="str">
        <f>Base_IFData!F1293</f>
        <v>b3S</v>
      </c>
      <c r="M1292" s="14" t="str">
        <f>IF(AND(ISNUMBER(Base_IFData!L1293),ISNUMBER(Base_IFData!W1293)),IF(Base_IFData!L1293&gt;$B$4,Base_IFData!W1293,""),"")</f>
        <v/>
      </c>
      <c r="N1292" s="51">
        <f>IF(AND(ISNUMBER(Base_IFData!O1293),ISNUMBER(Base_IFData!Q1293)),IF(Base_IFData!Q1293&gt;0,Base_IFData!O1293/Base_IFData!Q1293,"PL ≤ 0"),"NI")</f>
        <v>7.3705892889127711E-2</v>
      </c>
      <c r="O1292" s="110">
        <f>IF(AND(ISNUMBER(Base_IFData!M1293),ISNUMBER(Base_IFData!Q1293)),IF(Base_IFData!Q1293&gt;0,Base_IFData!M1293/Base_IFData!Q1293,"PL ≤ 0"),"NI")</f>
        <v>0.55964535196131115</v>
      </c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</row>
    <row r="1293" spans="1:30" ht="15" customHeight="1" x14ac:dyDescent="0.2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15" t="str">
        <f>Base_IFData!A1294</f>
        <v>DAUX SOCIEDADE DE CRÉDITO DIRETO S.A.</v>
      </c>
      <c r="L1293" s="15" t="str">
        <f>Base_IFData!F1294</f>
        <v>n1</v>
      </c>
      <c r="M1293" s="17" t="str">
        <f>IF(AND(ISNUMBER(Base_IFData!L1294),ISNUMBER(Base_IFData!W1294)),IF(Base_IFData!L1294&gt;$B$4,Base_IFData!W1294,""),"")</f>
        <v/>
      </c>
      <c r="N1293" s="50">
        <f>IF(AND(ISNUMBER(Base_IFData!O1294),ISNUMBER(Base_IFData!Q1294)),IF(Base_IFData!Q1294&gt;0,Base_IFData!O1294/Base_IFData!Q1294,"PL ≤ 0"),"NI")</f>
        <v>9.6514500045741469E-2</v>
      </c>
      <c r="O1293" s="107">
        <f>IF(AND(ISNUMBER(Base_IFData!M1294),ISNUMBER(Base_IFData!Q1294)),IF(Base_IFData!Q1294&gt;0,Base_IFData!M1294/Base_IFData!Q1294,"PL ≤ 0"),"NI")</f>
        <v>0.70313786478821705</v>
      </c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</row>
    <row r="1294" spans="1:30" ht="15" customHeight="1" x14ac:dyDescent="0.2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12" t="str">
        <f>Base_IFData!A1295</f>
        <v>LABOR SOCIEDADE CORRETORA DE CÂMBIO LTDA.</v>
      </c>
      <c r="L1294" s="12" t="str">
        <f>Base_IFData!F1295</f>
        <v>n2</v>
      </c>
      <c r="M1294" s="14" t="str">
        <f>IF(AND(ISNUMBER(Base_IFData!L1295),ISNUMBER(Base_IFData!W1295)),IF(Base_IFData!L1295&gt;$B$4,Base_IFData!W1295,""),"")</f>
        <v/>
      </c>
      <c r="N1294" s="51">
        <f>IF(AND(ISNUMBER(Base_IFData!O1295),ISNUMBER(Base_IFData!Q1295)),IF(Base_IFData!Q1295&gt;0,Base_IFData!O1295/Base_IFData!Q1295,"PL ≤ 0"),"NI")</f>
        <v>0.68425495989869145</v>
      </c>
      <c r="O1294" s="110">
        <f>IF(AND(ISNUMBER(Base_IFData!M1295),ISNUMBER(Base_IFData!Q1295)),IF(Base_IFData!Q1295&gt;0,Base_IFData!M1295/Base_IFData!Q1295,"PL ≤ 0"),"NI")</f>
        <v>0</v>
      </c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</row>
    <row r="1295" spans="1:30" ht="15" customHeight="1" x14ac:dyDescent="0.2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15" t="str">
        <f>Base_IFData!A1296</f>
        <v>COOPERATIVA DE ECONOMIA E CRÉDITO MÚTUO DOS FUNCIONÁRIOS DA BOMBRIL</v>
      </c>
      <c r="L1295" s="15" t="str">
        <f>Base_IFData!F1296</f>
        <v>b3S</v>
      </c>
      <c r="M1295" s="17" t="str">
        <f>IF(AND(ISNUMBER(Base_IFData!L1296),ISNUMBER(Base_IFData!W1296)),IF(Base_IFData!L1296&gt;$B$4,Base_IFData!W1296,""),"")</f>
        <v/>
      </c>
      <c r="N1295" s="50">
        <f>IF(AND(ISNUMBER(Base_IFData!O1296),ISNUMBER(Base_IFData!Q1296)),IF(Base_IFData!Q1296&gt;0,Base_IFData!O1296/Base_IFData!Q1296,"PL ≤ 0"),"NI")</f>
        <v>7.9996384344210428E-2</v>
      </c>
      <c r="O1295" s="107">
        <f>IF(AND(ISNUMBER(Base_IFData!M1296),ISNUMBER(Base_IFData!Q1296)),IF(Base_IFData!Q1296&gt;0,Base_IFData!M1296/Base_IFData!Q1296,"PL ≤ 0"),"NI")</f>
        <v>0.95968543794630756</v>
      </c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</row>
    <row r="1296" spans="1:30" ht="15" customHeight="1" x14ac:dyDescent="0.2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12" t="str">
        <f>Base_IFData!A1297</f>
        <v>BFC SOCIEDADE DE CRÉDITO DIRETO S.A.</v>
      </c>
      <c r="L1296" s="12" t="str">
        <f>Base_IFData!F1297</f>
        <v>n1</v>
      </c>
      <c r="M1296" s="14" t="str">
        <f>IF(AND(ISNUMBER(Base_IFData!L1297),ISNUMBER(Base_IFData!W1297)),IF(Base_IFData!L1297&gt;$B$4,Base_IFData!W1297,""),"")</f>
        <v/>
      </c>
      <c r="N1296" s="51">
        <f>IF(AND(ISNUMBER(Base_IFData!O1297),ISNUMBER(Base_IFData!Q1297)),IF(Base_IFData!Q1297&gt;0,Base_IFData!O1297/Base_IFData!Q1297,"PL ≤ 0"),"NI")</f>
        <v>0.15226057365094797</v>
      </c>
      <c r="O1296" s="110">
        <f>IF(AND(ISNUMBER(Base_IFData!M1297),ISNUMBER(Base_IFData!Q1297)),IF(Base_IFData!Q1297&gt;0,Base_IFData!M1297/Base_IFData!Q1297,"PL ≤ 0"),"NI")</f>
        <v>0</v>
      </c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</row>
    <row r="1297" spans="1:30" ht="15" customHeight="1" x14ac:dyDescent="0.2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15" t="str">
        <f>Base_IFData!A1298</f>
        <v>COOPERATIVA DE ECONOMIA E CRÉDITO MÚTUO DOS PETROLEIROS NO ESTADO DE MINAS GERAIS LTDA. - COPETRO</v>
      </c>
      <c r="L1297" s="15" t="str">
        <f>Base_IFData!F1298</f>
        <v>b3S</v>
      </c>
      <c r="M1297" s="17" t="str">
        <f>IF(AND(ISNUMBER(Base_IFData!L1298),ISNUMBER(Base_IFData!W1298)),IF(Base_IFData!L1298&gt;$B$4,Base_IFData!W1298,""),"")</f>
        <v/>
      </c>
      <c r="N1297" s="50">
        <f>IF(AND(ISNUMBER(Base_IFData!O1298),ISNUMBER(Base_IFData!Q1298)),IF(Base_IFData!Q1298&gt;0,Base_IFData!O1298/Base_IFData!Q1298,"PL ≤ 0"),"NI")</f>
        <v>0.14658107188016731</v>
      </c>
      <c r="O1297" s="107">
        <f>IF(AND(ISNUMBER(Base_IFData!M1298),ISNUMBER(Base_IFData!Q1298)),IF(Base_IFData!Q1298&gt;0,Base_IFData!M1298/Base_IFData!Q1298,"PL ≤ 0"),"NI")</f>
        <v>1.0072950102130143</v>
      </c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</row>
    <row r="1298" spans="1:30" ht="15" customHeight="1" x14ac:dyDescent="0.2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12" t="str">
        <f>Base_IFData!A1299</f>
        <v>COOPERATIVA DE ECONOMIA E CREDITO MUTUO DOS SERVIDORES ESTATUTARIOS DA ADMINISTRAÇÃO DIRETA DO ESTADO DO ESPIRITO SANTO - COOPSERVIDOR ES</v>
      </c>
      <c r="L1298" s="12" t="str">
        <f>Base_IFData!F1299</f>
        <v>b3S</v>
      </c>
      <c r="M1298" s="14" t="str">
        <f>IF(AND(ISNUMBER(Base_IFData!L1299),ISNUMBER(Base_IFData!W1299)),IF(Base_IFData!L1299&gt;$B$4,Base_IFData!W1299,""),"")</f>
        <v/>
      </c>
      <c r="N1298" s="51">
        <f>IF(AND(ISNUMBER(Base_IFData!O1299),ISNUMBER(Base_IFData!Q1299)),IF(Base_IFData!Q1299&gt;0,Base_IFData!O1299/Base_IFData!Q1299,"PL ≤ 0"),"NI")</f>
        <v>0.70321087648249925</v>
      </c>
      <c r="O1298" s="110">
        <f>IF(AND(ISNUMBER(Base_IFData!M1299),ISNUMBER(Base_IFData!Q1299)),IF(Base_IFData!Q1299&gt;0,Base_IFData!M1299/Base_IFData!Q1299,"PL ≤ 0"),"NI")</f>
        <v>1.2509401214926237</v>
      </c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</row>
    <row r="1299" spans="1:30" ht="15" customHeight="1" x14ac:dyDescent="0.2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15" t="str">
        <f>Base_IFData!A1300</f>
        <v>COOPERATIVA DE ECONOMIA E CREDITO MUTUO JOHN F. KENNEDY LTDA</v>
      </c>
      <c r="L1299" s="15" t="str">
        <f>Base_IFData!F1300</f>
        <v>b3S</v>
      </c>
      <c r="M1299" s="17" t="str">
        <f>IF(AND(ISNUMBER(Base_IFData!L1300),ISNUMBER(Base_IFData!W1300)),IF(Base_IFData!L1300&gt;$B$4,Base_IFData!W1300,""),"")</f>
        <v/>
      </c>
      <c r="N1299" s="50">
        <f>IF(AND(ISNUMBER(Base_IFData!O1300),ISNUMBER(Base_IFData!Q1300)),IF(Base_IFData!Q1300&gt;0,Base_IFData!O1300/Base_IFData!Q1300,"PL ≤ 0"),"NI")</f>
        <v>0.58009708737864074</v>
      </c>
      <c r="O1299" s="107">
        <f>IF(AND(ISNUMBER(Base_IFData!M1300),ISNUMBER(Base_IFData!Q1300)),IF(Base_IFData!Q1300&gt;0,Base_IFData!M1300/Base_IFData!Q1300,"PL ≤ 0"),"NI")</f>
        <v>0.970873786407767</v>
      </c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</row>
    <row r="1300" spans="1:30" ht="15" customHeight="1" x14ac:dyDescent="0.2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12" t="str">
        <f>Base_IFData!A1301</f>
        <v>PAY BROKERS IP INSTITUICAO DE PAGAMENTO LTDA.</v>
      </c>
      <c r="L1300" s="12" t="str">
        <f>Base_IFData!F1301</f>
        <v>n4</v>
      </c>
      <c r="M1300" s="14" t="str">
        <f>IF(AND(ISNUMBER(Base_IFData!L1301),ISNUMBER(Base_IFData!W1301)),IF(Base_IFData!L1301&gt;$B$4,Base_IFData!W1301,""),"")</f>
        <v/>
      </c>
      <c r="N1300" s="51">
        <f>IF(AND(ISNUMBER(Base_IFData!O1301),ISNUMBER(Base_IFData!Q1301)),IF(Base_IFData!Q1301&gt;0,Base_IFData!O1301/Base_IFData!Q1301,"PL ≤ 0"),"NI")</f>
        <v>0.47628709104742584</v>
      </c>
      <c r="O1300" s="110">
        <f>IF(AND(ISNUMBER(Base_IFData!M1301),ISNUMBER(Base_IFData!Q1301)),IF(Base_IFData!Q1301&gt;0,Base_IFData!M1301/Base_IFData!Q1301,"PL ≤ 0"),"NI")</f>
        <v>0</v>
      </c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</row>
    <row r="1301" spans="1:30" ht="15" customHeight="1" x14ac:dyDescent="0.2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15" t="str">
        <f>Base_IFData!A1302</f>
        <v>CREDNOVO SOCIEDADE DE EMPRÉSTIMO ENTRE PESSOAS S. A.</v>
      </c>
      <c r="L1301" s="15" t="str">
        <f>Base_IFData!F1302</f>
        <v>n1</v>
      </c>
      <c r="M1301" s="17" t="str">
        <f>IF(AND(ISNUMBER(Base_IFData!L1302),ISNUMBER(Base_IFData!W1302)),IF(Base_IFData!L1302&gt;$B$4,Base_IFData!W1302,""),"")</f>
        <v/>
      </c>
      <c r="N1301" s="50">
        <f>IF(AND(ISNUMBER(Base_IFData!O1302),ISNUMBER(Base_IFData!Q1302)),IF(Base_IFData!Q1302&gt;0,Base_IFData!O1302/Base_IFData!Q1302,"PL ≤ 0"),"NI")</f>
        <v>0.22870762711864406</v>
      </c>
      <c r="O1301" s="107">
        <f>IF(AND(ISNUMBER(Base_IFData!M1302),ISNUMBER(Base_IFData!Q1302)),IF(Base_IFData!Q1302&gt;0,Base_IFData!M1302/Base_IFData!Q1302,"PL ≤ 0"),"NI")</f>
        <v>0</v>
      </c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</row>
    <row r="1302" spans="1:30" ht="15" customHeight="1" x14ac:dyDescent="0.2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12" t="str">
        <f>Base_IFData!A1303</f>
        <v>GERU SOCIEDADE DE CRÉDITO DIRETO S.A.</v>
      </c>
      <c r="L1302" s="12" t="str">
        <f>Base_IFData!F1303</f>
        <v>n1</v>
      </c>
      <c r="M1302" s="14" t="str">
        <f>IF(AND(ISNUMBER(Base_IFData!L1303),ISNUMBER(Base_IFData!W1303)),IF(Base_IFData!L1303&gt;$B$4,Base_IFData!W1303,""),"")</f>
        <v/>
      </c>
      <c r="N1302" s="51">
        <f>IF(AND(ISNUMBER(Base_IFData!O1303),ISNUMBER(Base_IFData!Q1303)),IF(Base_IFData!Q1303&gt;0,Base_IFData!O1303/Base_IFData!Q1303,"PL ≤ 0"),"NI")</f>
        <v>0.31949685534591193</v>
      </c>
      <c r="O1302" s="110">
        <f>IF(AND(ISNUMBER(Base_IFData!M1303),ISNUMBER(Base_IFData!Q1303)),IF(Base_IFData!Q1303&gt;0,Base_IFData!M1303/Base_IFData!Q1303,"PL ≤ 0"),"NI")</f>
        <v>0.28530588907947396</v>
      </c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</row>
    <row r="1303" spans="1:30" ht="15" customHeight="1" x14ac:dyDescent="0.2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15" t="str">
        <f>Base_IFData!A1304</f>
        <v>CREDJUST - COOPERATIVA DE CRÉDITO MÚTUO DOS INTEGRANTES DA JUSTIÇA DO TRABALHO DA 13- REGIÃO LTDA.</v>
      </c>
      <c r="L1303" s="15" t="str">
        <f>Base_IFData!F1304</f>
        <v>b3S</v>
      </c>
      <c r="M1303" s="17" t="str">
        <f>IF(AND(ISNUMBER(Base_IFData!L1304),ISNUMBER(Base_IFData!W1304)),IF(Base_IFData!L1304&gt;$B$4,Base_IFData!W1304,""),"")</f>
        <v/>
      </c>
      <c r="N1303" s="50">
        <f>IF(AND(ISNUMBER(Base_IFData!O1304),ISNUMBER(Base_IFData!Q1304)),IF(Base_IFData!Q1304&gt;0,Base_IFData!O1304/Base_IFData!Q1304,"PL ≤ 0"),"NI")</f>
        <v>0.61903421089680422</v>
      </c>
      <c r="O1303" s="107">
        <f>IF(AND(ISNUMBER(Base_IFData!M1304),ISNUMBER(Base_IFData!Q1304)),IF(Base_IFData!Q1304&gt;0,Base_IFData!M1304/Base_IFData!Q1304,"PL ≤ 0"),"NI")</f>
        <v>1.3478811769674786</v>
      </c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</row>
    <row r="1304" spans="1:30" ht="15" customHeight="1" x14ac:dyDescent="0.2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12" t="str">
        <f>Base_IFData!A1305</f>
        <v>AMARIL FRANKLIN CORRETORA DE TÍTULOS E VALORES LTDA</v>
      </c>
      <c r="L1304" s="12" t="str">
        <f>Base_IFData!F1305</f>
        <v>n2</v>
      </c>
      <c r="M1304" s="14" t="str">
        <f>IF(AND(ISNUMBER(Base_IFData!L1305),ISNUMBER(Base_IFData!W1305)),IF(Base_IFData!L1305&gt;$B$4,Base_IFData!W1305,""),"")</f>
        <v/>
      </c>
      <c r="N1304" s="51">
        <f>IF(AND(ISNUMBER(Base_IFData!O1305),ISNUMBER(Base_IFData!Q1305)),IF(Base_IFData!Q1305&gt;0,Base_IFData!O1305/Base_IFData!Q1305,"PL ≤ 0"),"NI")</f>
        <v>0.2766930715162334</v>
      </c>
      <c r="O1304" s="110">
        <f>IF(AND(ISNUMBER(Base_IFData!M1305),ISNUMBER(Base_IFData!Q1305)),IF(Base_IFData!Q1305&gt;0,Base_IFData!M1305/Base_IFData!Q1305,"PL ≤ 0"),"NI")</f>
        <v>0</v>
      </c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</row>
    <row r="1305" spans="1:30" ht="15" customHeight="1" x14ac:dyDescent="0.2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15" t="str">
        <f>Base_IFData!A1306</f>
        <v>DGBK CREDIT S.A. - SOCIEDADE DE CRÉDITO DIRETO.</v>
      </c>
      <c r="L1305" s="15" t="str">
        <f>Base_IFData!F1306</f>
        <v>n1</v>
      </c>
      <c r="M1305" s="17" t="str">
        <f>IF(AND(ISNUMBER(Base_IFData!L1306),ISNUMBER(Base_IFData!W1306)),IF(Base_IFData!L1306&gt;$B$4,Base_IFData!W1306,""),"")</f>
        <v/>
      </c>
      <c r="N1305" s="50">
        <f>IF(AND(ISNUMBER(Base_IFData!O1306),ISNUMBER(Base_IFData!Q1306)),IF(Base_IFData!Q1306&gt;0,Base_IFData!O1306/Base_IFData!Q1306,"PL ≤ 0"),"NI")</f>
        <v>3.9479668880196488E-2</v>
      </c>
      <c r="O1305" s="107">
        <f>IF(AND(ISNUMBER(Base_IFData!M1306),ISNUMBER(Base_IFData!Q1306)),IF(Base_IFData!Q1306&gt;0,Base_IFData!M1306/Base_IFData!Q1306,"PL ≤ 0"),"NI")</f>
        <v>0.49476939870826891</v>
      </c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</row>
    <row r="1306" spans="1:30" ht="15" customHeight="1" x14ac:dyDescent="0.2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12" t="str">
        <f>Base_IFData!A1307</f>
        <v>UZZIPAY INSTITUIÇÃO DE PAGAMENTO S.A.</v>
      </c>
      <c r="L1306" s="12" t="str">
        <f>Base_IFData!F1307</f>
        <v>n4</v>
      </c>
      <c r="M1306" s="14" t="str">
        <f>IF(AND(ISNUMBER(Base_IFData!L1307),ISNUMBER(Base_IFData!W1307)),IF(Base_IFData!L1307&gt;$B$4,Base_IFData!W1307,""),"")</f>
        <v/>
      </c>
      <c r="N1306" s="51">
        <f>IF(AND(ISNUMBER(Base_IFData!O1307),ISNUMBER(Base_IFData!Q1307)),IF(Base_IFData!Q1307&gt;0,Base_IFData!O1307/Base_IFData!Q1307,"PL ≤ 0"),"NI")</f>
        <v>0.71096345514950166</v>
      </c>
      <c r="O1306" s="110">
        <f>IF(AND(ISNUMBER(Base_IFData!M1307),ISNUMBER(Base_IFData!Q1307)),IF(Base_IFData!Q1307&gt;0,Base_IFData!M1307/Base_IFData!Q1307,"PL ≤ 0"),"NI")</f>
        <v>0</v>
      </c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</row>
    <row r="1307" spans="1:30" ht="15" customHeight="1" x14ac:dyDescent="0.2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15" t="str">
        <f>Base_IFData!A1308</f>
        <v>DUFRIO FINANCEIRA, CRÉDITO, FINANCIAMENTO E INVESTIMENTOS S.A.</v>
      </c>
      <c r="L1307" s="15" t="str">
        <f>Base_IFData!F1308</f>
        <v>n1</v>
      </c>
      <c r="M1307" s="17" t="str">
        <f>IF(AND(ISNUMBER(Base_IFData!L1308),ISNUMBER(Base_IFData!W1308)),IF(Base_IFData!L1308&gt;$B$4,Base_IFData!W1308,""),"")</f>
        <v/>
      </c>
      <c r="N1307" s="50">
        <f>IF(AND(ISNUMBER(Base_IFData!O1308),ISNUMBER(Base_IFData!Q1308)),IF(Base_IFData!Q1308&gt;0,Base_IFData!O1308/Base_IFData!Q1308,"PL ≤ 0"),"NI")</f>
        <v>1.6692093691106524E-2</v>
      </c>
      <c r="O1307" s="107">
        <f>IF(AND(ISNUMBER(Base_IFData!M1308),ISNUMBER(Base_IFData!Q1308)),IF(Base_IFData!Q1308&gt;0,Base_IFData!M1308/Base_IFData!Q1308,"PL ≤ 0"),"NI")</f>
        <v>0.10912680606658889</v>
      </c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</row>
    <row r="1308" spans="1:30" ht="15" customHeight="1" x14ac:dyDescent="0.2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12" t="str">
        <f>Base_IFData!A1309</f>
        <v>MULTICRED SOCIEDADE DE CRÉDITO DIRETO S.A.</v>
      </c>
      <c r="L1308" s="12" t="str">
        <f>Base_IFData!F1309</f>
        <v>n1</v>
      </c>
      <c r="M1308" s="14" t="str">
        <f>IF(AND(ISNUMBER(Base_IFData!L1309),ISNUMBER(Base_IFData!W1309)),IF(Base_IFData!L1309&gt;$B$4,Base_IFData!W1309,""),"")</f>
        <v/>
      </c>
      <c r="N1308" s="51">
        <f>IF(AND(ISNUMBER(Base_IFData!O1309),ISNUMBER(Base_IFData!Q1309)),IF(Base_IFData!Q1309&gt;0,Base_IFData!O1309/Base_IFData!Q1309,"PL ≤ 0"),"NI")</f>
        <v>6.8298723566393604E-2</v>
      </c>
      <c r="O1308" s="110">
        <f>IF(AND(ISNUMBER(Base_IFData!M1309),ISNUMBER(Base_IFData!Q1309)),IF(Base_IFData!Q1309&gt;0,Base_IFData!M1309/Base_IFData!Q1309,"PL ≤ 0"),"NI")</f>
        <v>0.59344637073728335</v>
      </c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</row>
    <row r="1309" spans="1:30" ht="15" customHeight="1" x14ac:dyDescent="0.2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15" t="str">
        <f>Base_IFData!A1310</f>
        <v>BR-CAPITAL DISTRIBUIDORA DE TÍTULOS E VALORES MOBILIÁRIOS S.A.</v>
      </c>
      <c r="L1309" s="15" t="str">
        <f>Base_IFData!F1310</f>
        <v>n2</v>
      </c>
      <c r="M1309" s="17" t="str">
        <f>IF(AND(ISNUMBER(Base_IFData!L1310),ISNUMBER(Base_IFData!W1310)),IF(Base_IFData!L1310&gt;$B$4,Base_IFData!W1310,""),"")</f>
        <v/>
      </c>
      <c r="N1309" s="50">
        <f>IF(AND(ISNUMBER(Base_IFData!O1310),ISNUMBER(Base_IFData!Q1310)),IF(Base_IFData!Q1310&gt;0,Base_IFData!O1310/Base_IFData!Q1310,"PL ≤ 0"),"NI")</f>
        <v>0.11249377799900448</v>
      </c>
      <c r="O1309" s="107">
        <f>IF(AND(ISNUMBER(Base_IFData!M1310),ISNUMBER(Base_IFData!Q1310)),IF(Base_IFData!Q1310&gt;0,Base_IFData!M1310/Base_IFData!Q1310,"PL ≤ 0"),"NI")</f>
        <v>0</v>
      </c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</row>
    <row r="1310" spans="1:30" ht="15" customHeight="1" x14ac:dyDescent="0.2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12" t="str">
        <f>Base_IFData!A1311</f>
        <v>COOPERATIVA DE CRÉDITO MÚTUO DOS EMPREGADOS DA PILKINGTON BRASIL</v>
      </c>
      <c r="L1310" s="12" t="str">
        <f>Base_IFData!F1311</f>
        <v>b3S</v>
      </c>
      <c r="M1310" s="14" t="str">
        <f>IF(AND(ISNUMBER(Base_IFData!L1311),ISNUMBER(Base_IFData!W1311)),IF(Base_IFData!L1311&gt;$B$4,Base_IFData!W1311,""),"")</f>
        <v/>
      </c>
      <c r="N1310" s="51">
        <f>IF(AND(ISNUMBER(Base_IFData!O1311),ISNUMBER(Base_IFData!Q1311)),IF(Base_IFData!Q1311&gt;0,Base_IFData!O1311/Base_IFData!Q1311,"PL ≤ 0"),"NI")</f>
        <v>2.5368021479492641E-2</v>
      </c>
      <c r="O1310" s="110">
        <f>IF(AND(ISNUMBER(Base_IFData!M1311),ISNUMBER(Base_IFData!Q1311)),IF(Base_IFData!Q1311&gt;0,Base_IFData!M1311/Base_IFData!Q1311,"PL ≤ 0"),"NI")</f>
        <v>0.63216368854735672</v>
      </c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</row>
    <row r="1311" spans="1:30" ht="15" customHeight="1" x14ac:dyDescent="0.2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15" t="str">
        <f>Base_IFData!A1312</f>
        <v>COOPERATIVA DE ECONOMIA E CRÉDITO MÚTUO DOS EMPREGADOS DA JOYSON SAFETY SYSTEMS - COOPERJSS</v>
      </c>
      <c r="L1311" s="15" t="str">
        <f>Base_IFData!F1312</f>
        <v>b3S</v>
      </c>
      <c r="M1311" s="17" t="str">
        <f>IF(AND(ISNUMBER(Base_IFData!L1312),ISNUMBER(Base_IFData!W1312)),IF(Base_IFData!L1312&gt;$B$4,Base_IFData!W1312,""),"")</f>
        <v/>
      </c>
      <c r="N1311" s="50">
        <f>IF(AND(ISNUMBER(Base_IFData!O1312),ISNUMBER(Base_IFData!Q1312)),IF(Base_IFData!Q1312&gt;0,Base_IFData!O1312/Base_IFData!Q1312,"PL ≤ 0"),"NI")</f>
        <v>0.26514717672660637</v>
      </c>
      <c r="O1311" s="107">
        <f>IF(AND(ISNUMBER(Base_IFData!M1312),ISNUMBER(Base_IFData!Q1312)),IF(Base_IFData!Q1312&gt;0,Base_IFData!M1312/Base_IFData!Q1312,"PL ≤ 0"),"NI")</f>
        <v>5.0395143740694075E-3</v>
      </c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</row>
    <row r="1312" spans="1:30" ht="15" customHeight="1" x14ac:dyDescent="0.2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12" t="str">
        <f>Base_IFData!A1313</f>
        <v>SCB CRÉDITO SOCIEDADE DE CRÉDITO AO MICROEMPREENDEDOR E À EMPRESA DE PEQUENO PORTE LTDA.</v>
      </c>
      <c r="L1312" s="12" t="str">
        <f>Base_IFData!F1313</f>
        <v>n1</v>
      </c>
      <c r="M1312" s="14" t="str">
        <f>IF(AND(ISNUMBER(Base_IFData!L1313),ISNUMBER(Base_IFData!W1313)),IF(Base_IFData!L1313&gt;$B$4,Base_IFData!W1313,""),"")</f>
        <v/>
      </c>
      <c r="N1312" s="51">
        <f>IF(AND(ISNUMBER(Base_IFData!O1313),ISNUMBER(Base_IFData!Q1313)),IF(Base_IFData!Q1313&gt;0,Base_IFData!O1313/Base_IFData!Q1313,"PL ≤ 0"),"NI")</f>
        <v>1.6416546416546416</v>
      </c>
      <c r="O1312" s="110">
        <f>IF(AND(ISNUMBER(Base_IFData!M1313),ISNUMBER(Base_IFData!Q1313)),IF(Base_IFData!Q1313&gt;0,Base_IFData!M1313/Base_IFData!Q1313,"PL ≤ 0"),"NI")</f>
        <v>2.1827801827801827</v>
      </c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</row>
    <row r="1313" spans="1:30" ht="15" customHeight="1" x14ac:dyDescent="0.2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15" t="str">
        <f>Base_IFData!A1314</f>
        <v>FONTECRED - SOCIEDADE DE CRÉDITO DIRETO S/A</v>
      </c>
      <c r="L1313" s="15" t="str">
        <f>Base_IFData!F1314</f>
        <v>n1</v>
      </c>
      <c r="M1313" s="17" t="str">
        <f>IF(AND(ISNUMBER(Base_IFData!L1314),ISNUMBER(Base_IFData!W1314)),IF(Base_IFData!L1314&gt;$B$4,Base_IFData!W1314,""),"")</f>
        <v/>
      </c>
      <c r="N1313" s="50">
        <f>IF(AND(ISNUMBER(Base_IFData!O1314),ISNUMBER(Base_IFData!Q1314)),IF(Base_IFData!Q1314&gt;0,Base_IFData!O1314/Base_IFData!Q1314,"PL ≤ 0"),"NI")</f>
        <v>0.79243119266055051</v>
      </c>
      <c r="O1313" s="107">
        <f>IF(AND(ISNUMBER(Base_IFData!M1314),ISNUMBER(Base_IFData!Q1314)),IF(Base_IFData!Q1314&gt;0,Base_IFData!M1314/Base_IFData!Q1314,"PL ≤ 0"),"NI")</f>
        <v>0.57781782437745743</v>
      </c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</row>
    <row r="1314" spans="1:30" ht="15" customHeight="1" x14ac:dyDescent="0.2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12" t="str">
        <f>Base_IFData!A1315</f>
        <v>COOPERATIVA DE CRÉDITO RURAL DOS PLANTADORES DE CANA DA REGIÃO DE IGARAPAVA</v>
      </c>
      <c r="L1314" s="12" t="str">
        <f>Base_IFData!F1315</f>
        <v>b3S</v>
      </c>
      <c r="M1314" s="14" t="str">
        <f>IF(AND(ISNUMBER(Base_IFData!L1315),ISNUMBER(Base_IFData!W1315)),IF(Base_IFData!L1315&gt;$B$4,Base_IFData!W1315,""),"")</f>
        <v/>
      </c>
      <c r="N1314" s="51">
        <f>IF(AND(ISNUMBER(Base_IFData!O1315),ISNUMBER(Base_IFData!Q1315)),IF(Base_IFData!Q1315&gt;0,Base_IFData!O1315/Base_IFData!Q1315,"PL ≤ 0"),"NI")</f>
        <v>0.17255113024757804</v>
      </c>
      <c r="O1314" s="110">
        <f>IF(AND(ISNUMBER(Base_IFData!M1315),ISNUMBER(Base_IFData!Q1315)),IF(Base_IFData!Q1315&gt;0,Base_IFData!M1315/Base_IFData!Q1315,"PL ≤ 0"),"NI")</f>
        <v>0.71916038751345535</v>
      </c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</row>
    <row r="1315" spans="1:30" ht="15" customHeight="1" x14ac:dyDescent="0.2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15" t="str">
        <f>Base_IFData!A1316</f>
        <v>H.COMMCOR DISTRIBUIDORA DE TÍTULOS E VALORES MOBILIÁRIOS LTDA.</v>
      </c>
      <c r="L1315" s="15" t="str">
        <f>Base_IFData!F1316</f>
        <v>n2</v>
      </c>
      <c r="M1315" s="17" t="str">
        <f>IF(AND(ISNUMBER(Base_IFData!L1316),ISNUMBER(Base_IFData!W1316)),IF(Base_IFData!L1316&gt;$B$4,Base_IFData!W1316,""),"")</f>
        <v/>
      </c>
      <c r="N1315" s="50">
        <f>IF(AND(ISNUMBER(Base_IFData!O1316),ISNUMBER(Base_IFData!Q1316)),IF(Base_IFData!Q1316&gt;0,Base_IFData!O1316/Base_IFData!Q1316,"PL ≤ 0"),"NI")</f>
        <v>0.12757028955098615</v>
      </c>
      <c r="O1315" s="107">
        <f>IF(AND(ISNUMBER(Base_IFData!M1316),ISNUMBER(Base_IFData!Q1316)),IF(Base_IFData!Q1316&gt;0,Base_IFData!M1316/Base_IFData!Q1316,"PL ≤ 0"),"NI")</f>
        <v>0</v>
      </c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</row>
    <row r="1316" spans="1:30" ht="15" customHeight="1" x14ac:dyDescent="0.2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12" t="str">
        <f>Base_IFData!A1317</f>
        <v>CREDI-SHOP - SOCIEDADE DE CRÉDITO DIRETO S.A.</v>
      </c>
      <c r="L1316" s="12" t="str">
        <f>Base_IFData!F1317</f>
        <v>n1</v>
      </c>
      <c r="M1316" s="14" t="str">
        <f>IF(AND(ISNUMBER(Base_IFData!L1317),ISNUMBER(Base_IFData!W1317)),IF(Base_IFData!L1317&gt;$B$4,Base_IFData!W1317,""),"")</f>
        <v/>
      </c>
      <c r="N1316" s="51">
        <f>IF(AND(ISNUMBER(Base_IFData!O1317),ISNUMBER(Base_IFData!Q1317)),IF(Base_IFData!Q1317&gt;0,Base_IFData!O1317/Base_IFData!Q1317,"PL ≤ 0"),"NI")</f>
        <v>1.7331682696886012E-2</v>
      </c>
      <c r="O1316" s="110">
        <f>IF(AND(ISNUMBER(Base_IFData!M1317),ISNUMBER(Base_IFData!Q1317)),IF(Base_IFData!Q1317&gt;0,Base_IFData!M1317/Base_IFData!Q1317,"PL ≤ 0"),"NI")</f>
        <v>8.0087610703742498E-2</v>
      </c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</row>
    <row r="1317" spans="1:30" ht="15" customHeight="1" x14ac:dyDescent="0.2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15" t="str">
        <f>Base_IFData!A1318</f>
        <v>J17 - SOCIEDADE DE CRÉDITO, FINANCIAMENTO E INVESTIMENTO S/A</v>
      </c>
      <c r="L1317" s="15" t="str">
        <f>Base_IFData!F1318</f>
        <v>n1</v>
      </c>
      <c r="M1317" s="17" t="str">
        <f>IF(AND(ISNUMBER(Base_IFData!L1318),ISNUMBER(Base_IFData!W1318)),IF(Base_IFData!L1318&gt;$B$4,Base_IFData!W1318,""),"")</f>
        <v/>
      </c>
      <c r="N1317" s="50">
        <f>IF(AND(ISNUMBER(Base_IFData!O1318),ISNUMBER(Base_IFData!Q1318)),IF(Base_IFData!Q1318&gt;0,Base_IFData!O1318/Base_IFData!Q1318,"PL ≤ 0"),"NI")</f>
        <v>4.2629784009094356E-3</v>
      </c>
      <c r="O1317" s="107">
        <f>IF(AND(ISNUMBER(Base_IFData!M1318),ISNUMBER(Base_IFData!Q1318)),IF(Base_IFData!Q1318&gt;0,Base_IFData!M1318/Base_IFData!Q1318,"PL ≤ 0"),"NI")</f>
        <v>9.5680181887078438E-3</v>
      </c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</row>
    <row r="1318" spans="1:30" ht="15" customHeight="1" x14ac:dyDescent="0.2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12" t="str">
        <f>Base_IFData!A1319</f>
        <v>MONETAR DISTRIBUIDORA DE TÍTULOS E VALORES MOBILIÁRIOS LTDA.</v>
      </c>
      <c r="L1318" s="12" t="str">
        <f>Base_IFData!F1319</f>
        <v>n2</v>
      </c>
      <c r="M1318" s="14" t="str">
        <f>IF(AND(ISNUMBER(Base_IFData!L1319),ISNUMBER(Base_IFData!W1319)),IF(Base_IFData!L1319&gt;$B$4,Base_IFData!W1319,""),"")</f>
        <v/>
      </c>
      <c r="N1318" s="51">
        <f>IF(AND(ISNUMBER(Base_IFData!O1319),ISNUMBER(Base_IFData!Q1319)),IF(Base_IFData!Q1319&gt;0,Base_IFData!O1319/Base_IFData!Q1319,"PL ≤ 0"),"NI")</f>
        <v>0.18156486847971468</v>
      </c>
      <c r="O1318" s="110">
        <f>IF(AND(ISNUMBER(Base_IFData!M1319),ISNUMBER(Base_IFData!Q1319)),IF(Base_IFData!Q1319&gt;0,Base_IFData!M1319/Base_IFData!Q1319,"PL ≤ 0"),"NI")</f>
        <v>0</v>
      </c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</row>
    <row r="1319" spans="1:30" ht="15" customHeight="1" x14ac:dyDescent="0.2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15" t="str">
        <f>Base_IFData!A1320</f>
        <v>HSCM - SOCIEDADE DE CRÉDITO AO MICROEMPREENDEDOR E À EMPRESA DE PEQUENO PORTE LTDA.</v>
      </c>
      <c r="L1319" s="15" t="str">
        <f>Base_IFData!F1320</f>
        <v>n1</v>
      </c>
      <c r="M1319" s="17" t="str">
        <f>IF(AND(ISNUMBER(Base_IFData!L1320),ISNUMBER(Base_IFData!W1320)),IF(Base_IFData!L1320&gt;$B$4,Base_IFData!W1320,""),"")</f>
        <v/>
      </c>
      <c r="N1319" s="50">
        <f>IF(AND(ISNUMBER(Base_IFData!O1320),ISNUMBER(Base_IFData!Q1320)),IF(Base_IFData!Q1320&gt;0,Base_IFData!O1320/Base_IFData!Q1320,"PL ≤ 0"),"NI")</f>
        <v>0.28497917177162463</v>
      </c>
      <c r="O1319" s="107">
        <f>IF(AND(ISNUMBER(Base_IFData!M1320),ISNUMBER(Base_IFData!Q1320)),IF(Base_IFData!Q1320&gt;0,Base_IFData!M1320/Base_IFData!Q1320,"PL ≤ 0"),"NI")</f>
        <v>0.82859593236951723</v>
      </c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</row>
    <row r="1320" spans="1:30" ht="15" customHeight="1" x14ac:dyDescent="0.2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12" t="str">
        <f>Base_IFData!A1321</f>
        <v>SOCIALCRED S/A - SOCIEDADE DE CRÉDITO AO MICROEMPREENDEDOR E À EMPRESA DE PEQUENO PORTE</v>
      </c>
      <c r="L1320" s="12" t="str">
        <f>Base_IFData!F1321</f>
        <v>n1</v>
      </c>
      <c r="M1320" s="14" t="str">
        <f>IF(AND(ISNUMBER(Base_IFData!L1321),ISNUMBER(Base_IFData!W1321)),IF(Base_IFData!L1321&gt;$B$4,Base_IFData!W1321,""),"")</f>
        <v/>
      </c>
      <c r="N1320" s="51">
        <f>IF(AND(ISNUMBER(Base_IFData!O1321),ISNUMBER(Base_IFData!Q1321)),IF(Base_IFData!Q1321&gt;0,Base_IFData!O1321/Base_IFData!Q1321,"PL ≤ 0"),"NI")</f>
        <v>1.6611295681063124E-2</v>
      </c>
      <c r="O1320" s="110">
        <f>IF(AND(ISNUMBER(Base_IFData!M1321),ISNUMBER(Base_IFData!Q1321)),IF(Base_IFData!Q1321&gt;0,Base_IFData!M1321/Base_IFData!Q1321,"PL ≤ 0"),"NI")</f>
        <v>0.89505569669728358</v>
      </c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</row>
    <row r="1321" spans="1:30" ht="15" customHeight="1" x14ac:dyDescent="0.2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15" t="str">
        <f>Base_IFData!A1322</f>
        <v>COOPERATIVA DE ECONOMIA E CRÉDITO MÚTUO DOS FABRICANTES DE CALÇADOS DE SAPIRANGA LTDA.</v>
      </c>
      <c r="L1321" s="15" t="str">
        <f>Base_IFData!F1322</f>
        <v>b3S</v>
      </c>
      <c r="M1321" s="17" t="str">
        <f>IF(AND(ISNUMBER(Base_IFData!L1322),ISNUMBER(Base_IFData!W1322)),IF(Base_IFData!L1322&gt;$B$4,Base_IFData!W1322,""),"")</f>
        <v/>
      </c>
      <c r="N1321" s="50">
        <f>IF(AND(ISNUMBER(Base_IFData!O1322),ISNUMBER(Base_IFData!Q1322)),IF(Base_IFData!Q1322&gt;0,Base_IFData!O1322/Base_IFData!Q1322,"PL ≤ 0"),"NI")</f>
        <v>0.71040424121935053</v>
      </c>
      <c r="O1321" s="107">
        <f>IF(AND(ISNUMBER(Base_IFData!M1322),ISNUMBER(Base_IFData!Q1322)),IF(Base_IFData!Q1322&gt;0,Base_IFData!M1322/Base_IFData!Q1322,"PL ≤ 0"),"NI")</f>
        <v>1.0939363817097416</v>
      </c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</row>
    <row r="1322" spans="1:30" ht="15" customHeight="1" x14ac:dyDescent="0.2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12" t="str">
        <f>Base_IFData!A1323</f>
        <v>MERCADO PAGO DISTRIBUIDORA DE TÍTULOS E VALORES MOBILIÁRIOS LTDA.</v>
      </c>
      <c r="L1322" s="12" t="str">
        <f>Base_IFData!F1323</f>
        <v>n2</v>
      </c>
      <c r="M1322" s="14" t="str">
        <f>IF(AND(ISNUMBER(Base_IFData!L1323),ISNUMBER(Base_IFData!W1323)),IF(Base_IFData!L1323&gt;$B$4,Base_IFData!W1323,""),"")</f>
        <v/>
      </c>
      <c r="N1322" s="51">
        <f>IF(AND(ISNUMBER(Base_IFData!O1323),ISNUMBER(Base_IFData!Q1323)),IF(Base_IFData!Q1323&gt;0,Base_IFData!O1323/Base_IFData!Q1323,"PL ≤ 0"),"NI")</f>
        <v>2.0958388442364431E-2</v>
      </c>
      <c r="O1322" s="110">
        <f>IF(AND(ISNUMBER(Base_IFData!M1323),ISNUMBER(Base_IFData!Q1323)),IF(Base_IFData!Q1323&gt;0,Base_IFData!M1323/Base_IFData!Q1323,"PL ≤ 0"),"NI")</f>
        <v>0</v>
      </c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</row>
    <row r="1323" spans="1:30" ht="15" customHeight="1" x14ac:dyDescent="0.2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15" t="str">
        <f>Base_IFData!A1324</f>
        <v>COOPERATIVA DE ECONOMIA E CRÉDITO MÚTUO DOS FUNCIONÁRIOS DA ELGIN</v>
      </c>
      <c r="L1323" s="15" t="str">
        <f>Base_IFData!F1324</f>
        <v>b3S</v>
      </c>
      <c r="M1323" s="17" t="str">
        <f>IF(AND(ISNUMBER(Base_IFData!L1324),ISNUMBER(Base_IFData!W1324)),IF(Base_IFData!L1324&gt;$B$4,Base_IFData!W1324,""),"")</f>
        <v/>
      </c>
      <c r="N1323" s="50">
        <f>IF(AND(ISNUMBER(Base_IFData!O1324),ISNUMBER(Base_IFData!Q1324)),IF(Base_IFData!Q1324&gt;0,Base_IFData!O1324/Base_IFData!Q1324,"PL ≤ 0"),"NI")</f>
        <v>6.9487370776937007E-2</v>
      </c>
      <c r="O1323" s="107">
        <f>IF(AND(ISNUMBER(Base_IFData!M1324),ISNUMBER(Base_IFData!Q1324)),IF(Base_IFData!Q1324&gt;0,Base_IFData!M1324/Base_IFData!Q1324,"PL ≤ 0"),"NI")</f>
        <v>0.64073324096770756</v>
      </c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</row>
    <row r="1324" spans="1:30" ht="15" customHeight="1" x14ac:dyDescent="0.2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12" t="str">
        <f>Base_IFData!A1325</f>
        <v>COOPERATIVA DE ECONOMIA E CRÉDITO MÚTUO DOS SERVIDORES DA SECRETARIA DE DEFESA SOCIAL DO ESTADO DE MINAS GERAIS LTDA. - COOPSESP</v>
      </c>
      <c r="L1324" s="12" t="str">
        <f>Base_IFData!F1325</f>
        <v>b3S</v>
      </c>
      <c r="M1324" s="14" t="str">
        <f>IF(AND(ISNUMBER(Base_IFData!L1325),ISNUMBER(Base_IFData!W1325)),IF(Base_IFData!L1325&gt;$B$4,Base_IFData!W1325,""),"")</f>
        <v/>
      </c>
      <c r="N1324" s="51">
        <f>IF(AND(ISNUMBER(Base_IFData!O1325),ISNUMBER(Base_IFData!Q1325)),IF(Base_IFData!Q1325&gt;0,Base_IFData!O1325/Base_IFData!Q1325,"PL ≤ 0"),"NI")</f>
        <v>7.0998278829604133E-2</v>
      </c>
      <c r="O1324" s="110">
        <f>IF(AND(ISNUMBER(Base_IFData!M1325),ISNUMBER(Base_IFData!Q1325)),IF(Base_IFData!Q1325&gt;0,Base_IFData!M1325/Base_IFData!Q1325,"PL ≤ 0"),"NI")</f>
        <v>0.40458261617900171</v>
      </c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</row>
    <row r="1325" spans="1:30" ht="15" customHeight="1" x14ac:dyDescent="0.2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15" t="str">
        <f>Base_IFData!A1326</f>
        <v>MAGNUM SOCIEDADE DE CRÉDITO DIRETO S.A.</v>
      </c>
      <c r="L1325" s="15" t="str">
        <f>Base_IFData!F1326</f>
        <v>n1</v>
      </c>
      <c r="M1325" s="17" t="str">
        <f>IF(AND(ISNUMBER(Base_IFData!L1326),ISNUMBER(Base_IFData!W1326)),IF(Base_IFData!L1326&gt;$B$4,Base_IFData!W1326,""),"")</f>
        <v/>
      </c>
      <c r="N1325" s="50">
        <f>IF(AND(ISNUMBER(Base_IFData!O1326),ISNUMBER(Base_IFData!Q1326)),IF(Base_IFData!Q1326&gt;0,Base_IFData!O1326/Base_IFData!Q1326,"PL ≤ 0"),"NI")</f>
        <v>0.85071841761522671</v>
      </c>
      <c r="O1325" s="107">
        <f>IF(AND(ISNUMBER(Base_IFData!M1326),ISNUMBER(Base_IFData!Q1326)),IF(Base_IFData!Q1326&gt;0,Base_IFData!M1326/Base_IFData!Q1326,"PL ≤ 0"),"NI")</f>
        <v>4.6650494495241645E-3</v>
      </c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</row>
    <row r="1326" spans="1:30" ht="15" customHeight="1" x14ac:dyDescent="0.2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12" t="str">
        <f>Base_IFData!A1327</f>
        <v>BM4 SOCIEDADE DE CRÉDITO DIRETO S.A.</v>
      </c>
      <c r="L1326" s="12" t="str">
        <f>Base_IFData!F1327</f>
        <v>n1</v>
      </c>
      <c r="M1326" s="14" t="str">
        <f>IF(AND(ISNUMBER(Base_IFData!L1327),ISNUMBER(Base_IFData!W1327)),IF(Base_IFData!L1327&gt;$B$4,Base_IFData!W1327,""),"")</f>
        <v/>
      </c>
      <c r="N1326" s="51">
        <f>IF(AND(ISNUMBER(Base_IFData!O1327),ISNUMBER(Base_IFData!Q1327)),IF(Base_IFData!Q1327&gt;0,Base_IFData!O1327/Base_IFData!Q1327,"PL ≤ 0"),"NI")</f>
        <v>8.105580380338772E-3</v>
      </c>
      <c r="O1326" s="110">
        <f>IF(AND(ISNUMBER(Base_IFData!M1327),ISNUMBER(Base_IFData!Q1327)),IF(Base_IFData!Q1327&gt;0,Base_IFData!M1327/Base_IFData!Q1327,"PL ≤ 0"),"NI")</f>
        <v>7.3469811908968091E-2</v>
      </c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</row>
    <row r="1327" spans="1:30" ht="15" customHeight="1" x14ac:dyDescent="0.2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15" t="str">
        <f>Base_IFData!A1328</f>
        <v>COOPERATIVA DE ECONOMIA E CRÉDITO MÚTUO DOS FUNCIONÁRIOS DA FACULDADE DE CIÊNCIAS AGRÁRIAS E VETERINÁRIAS - CAMPUS DE JABOTICABAL/SP - COOPERFAC</v>
      </c>
      <c r="L1327" s="15" t="str">
        <f>Base_IFData!F1328</f>
        <v>b3S</v>
      </c>
      <c r="M1327" s="17" t="str">
        <f>IF(AND(ISNUMBER(Base_IFData!L1328),ISNUMBER(Base_IFData!W1328)),IF(Base_IFData!L1328&gt;$B$4,Base_IFData!W1328,""),"")</f>
        <v/>
      </c>
      <c r="N1327" s="50">
        <f>IF(AND(ISNUMBER(Base_IFData!O1328),ISNUMBER(Base_IFData!Q1328)),IF(Base_IFData!Q1328&gt;0,Base_IFData!O1328/Base_IFData!Q1328,"PL ≤ 0"),"NI")</f>
        <v>6.6747439145280321E-2</v>
      </c>
      <c r="O1327" s="107">
        <f>IF(AND(ISNUMBER(Base_IFData!M1328),ISNUMBER(Base_IFData!Q1328)),IF(Base_IFData!Q1328&gt;0,Base_IFData!M1328/Base_IFData!Q1328,"PL ≤ 0"),"NI")</f>
        <v>1.02224914638176</v>
      </c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</row>
    <row r="1328" spans="1:30" ht="15" customHeight="1" x14ac:dyDescent="0.2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12" t="str">
        <f>Base_IFData!A1329</f>
        <v>COOPERATIVA DE ECONOMIA E CRÉDITO MÚTUO DOS SERVIDORES DO DISTRITO FEDERAL LTDA. - COOSERVCRED</v>
      </c>
      <c r="L1328" s="12" t="str">
        <f>Base_IFData!F1329</f>
        <v>b3S</v>
      </c>
      <c r="M1328" s="14" t="str">
        <f>IF(AND(ISNUMBER(Base_IFData!L1329),ISNUMBER(Base_IFData!W1329)),IF(Base_IFData!L1329&gt;$B$4,Base_IFData!W1329,""),"")</f>
        <v/>
      </c>
      <c r="N1328" s="51">
        <f>IF(AND(ISNUMBER(Base_IFData!O1329),ISNUMBER(Base_IFData!Q1329)),IF(Base_IFData!Q1329&gt;0,Base_IFData!O1329/Base_IFData!Q1329,"PL ≤ 0"),"NI")</f>
        <v>0.72700888808271358</v>
      </c>
      <c r="O1328" s="110">
        <f>IF(AND(ISNUMBER(Base_IFData!M1329),ISNUMBER(Base_IFData!Q1329)),IF(Base_IFData!Q1329&gt;0,Base_IFData!M1329/Base_IFData!Q1329,"PL ≤ 0"),"NI")</f>
        <v>1.4416832940322872</v>
      </c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</row>
    <row r="1329" spans="1:30" ht="15" customHeight="1" x14ac:dyDescent="0.2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15" t="str">
        <f>Base_IFData!A1330</f>
        <v>SOCRED S.A. - SOCIEDADE DE CRÉDITO AO MICROEMPREENDEDOR E À EMPRESA DE PEQUENO PORTE</v>
      </c>
      <c r="L1329" s="15" t="str">
        <f>Base_IFData!F1330</f>
        <v>n1</v>
      </c>
      <c r="M1329" s="17" t="str">
        <f>IF(AND(ISNUMBER(Base_IFData!L1330),ISNUMBER(Base_IFData!W1330)),IF(Base_IFData!L1330&gt;$B$4,Base_IFData!W1330,""),"")</f>
        <v/>
      </c>
      <c r="N1329" s="50">
        <f>IF(AND(ISNUMBER(Base_IFData!O1330),ISNUMBER(Base_IFData!Q1330)),IF(Base_IFData!Q1330&gt;0,Base_IFData!O1330/Base_IFData!Q1330,"PL ≤ 0"),"NI")</f>
        <v>1.0325739833936556E-2</v>
      </c>
      <c r="O1329" s="107">
        <f>IF(AND(ISNUMBER(Base_IFData!M1330),ISNUMBER(Base_IFData!Q1330)),IF(Base_IFData!Q1330&gt;0,Base_IFData!M1330/Base_IFData!Q1330,"PL ≤ 0"),"NI")</f>
        <v>0.35203321268895038</v>
      </c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</row>
    <row r="1330" spans="1:30" ht="15" customHeight="1" x14ac:dyDescent="0.2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12" t="str">
        <f>Base_IFData!A1331</f>
        <v>PINE INVESTIMENTOS DISTRIBUIDORA DE TÍTULOS E VALORES MOBILIÁRIOS LTDA</v>
      </c>
      <c r="L1330" s="12" t="str">
        <f>Base_IFData!F1331</f>
        <v>n2</v>
      </c>
      <c r="M1330" s="14" t="str">
        <f>IF(AND(ISNUMBER(Base_IFData!L1331),ISNUMBER(Base_IFData!W1331)),IF(Base_IFData!L1331&gt;$B$4,Base_IFData!W1331,""),"")</f>
        <v/>
      </c>
      <c r="N1330" s="51">
        <f>IF(AND(ISNUMBER(Base_IFData!O1331),ISNUMBER(Base_IFData!Q1331)),IF(Base_IFData!Q1331&gt;0,Base_IFData!O1331/Base_IFData!Q1331,"PL ≤ 0"),"NI")</f>
        <v>0.10215743440233237</v>
      </c>
      <c r="O1330" s="110">
        <f>IF(AND(ISNUMBER(Base_IFData!M1331),ISNUMBER(Base_IFData!Q1331)),IF(Base_IFData!Q1331&gt;0,Base_IFData!M1331/Base_IFData!Q1331,"PL ≤ 0"),"NI")</f>
        <v>0</v>
      </c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</row>
    <row r="1331" spans="1:30" ht="15" customHeight="1" x14ac:dyDescent="0.2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15" t="str">
        <f>Base_IFData!A1332</f>
        <v>PAYFACE INSTITUICAO DE PAGAMENTO S.A.</v>
      </c>
      <c r="L1331" s="15" t="str">
        <f>Base_IFData!F1332</f>
        <v>n4</v>
      </c>
      <c r="M1331" s="17" t="str">
        <f>IF(AND(ISNUMBER(Base_IFData!L1332),ISNUMBER(Base_IFData!W1332)),IF(Base_IFData!L1332&gt;$B$4,Base_IFData!W1332,""),"")</f>
        <v/>
      </c>
      <c r="N1331" s="50">
        <f>IF(AND(ISNUMBER(Base_IFData!O1332),ISNUMBER(Base_IFData!Q1332)),IF(Base_IFData!Q1332&gt;0,Base_IFData!O1332/Base_IFData!Q1332,"PL ≤ 0"),"NI")</f>
        <v>0.44875728751150662</v>
      </c>
      <c r="O1331" s="107">
        <f>IF(AND(ISNUMBER(Base_IFData!M1332),ISNUMBER(Base_IFData!Q1332)),IF(Base_IFData!Q1332&gt;0,Base_IFData!M1332/Base_IFData!Q1332,"PL ≤ 0"),"NI")</f>
        <v>0</v>
      </c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</row>
    <row r="1332" spans="1:30" ht="15" customHeight="1" x14ac:dyDescent="0.2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12" t="str">
        <f>Base_IFData!A1333</f>
        <v>VBS SOCIEDADE DE CRÉDITO DIRETO S.A.</v>
      </c>
      <c r="L1332" s="12" t="str">
        <f>Base_IFData!F1333</f>
        <v>n1</v>
      </c>
      <c r="M1332" s="14" t="str">
        <f>IF(AND(ISNUMBER(Base_IFData!L1333),ISNUMBER(Base_IFData!W1333)),IF(Base_IFData!L1333&gt;$B$4,Base_IFData!W1333,""),"")</f>
        <v/>
      </c>
      <c r="N1332" s="51">
        <f>IF(AND(ISNUMBER(Base_IFData!O1333),ISNUMBER(Base_IFData!Q1333)),IF(Base_IFData!Q1333&gt;0,Base_IFData!O1333/Base_IFData!Q1333,"PL ≤ 0"),"NI")</f>
        <v>3.8940981798124656E-2</v>
      </c>
      <c r="O1332" s="110">
        <f>IF(AND(ISNUMBER(Base_IFData!M1333),ISNUMBER(Base_IFData!Q1333)),IF(Base_IFData!Q1333&gt;0,Base_IFData!M1333/Base_IFData!Q1333,"PL ≤ 0"),"NI")</f>
        <v>2.2062879205736349E-4</v>
      </c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</row>
    <row r="1333" spans="1:30" ht="15" customHeight="1" x14ac:dyDescent="0.2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15" t="str">
        <f>Base_IFData!A1334</f>
        <v>SEDONA SOCIEDADE DE CRÉDITO DIRETO S.A.</v>
      </c>
      <c r="L1333" s="15" t="str">
        <f>Base_IFData!F1334</f>
        <v>n1</v>
      </c>
      <c r="M1333" s="17" t="str">
        <f>IF(AND(ISNUMBER(Base_IFData!L1334),ISNUMBER(Base_IFData!W1334)),IF(Base_IFData!L1334&gt;$B$4,Base_IFData!W1334,""),"")</f>
        <v/>
      </c>
      <c r="N1333" s="50">
        <f>IF(AND(ISNUMBER(Base_IFData!O1334),ISNUMBER(Base_IFData!Q1334)),IF(Base_IFData!Q1334&gt;0,Base_IFData!O1334/Base_IFData!Q1334,"PL ≤ 0"),"NI")</f>
        <v>1.03862382343395E-2</v>
      </c>
      <c r="O1333" s="107">
        <f>IF(AND(ISNUMBER(Base_IFData!M1334),ISNUMBER(Base_IFData!Q1334)),IF(Base_IFData!Q1334&gt;0,Base_IFData!M1334/Base_IFData!Q1334,"PL ≤ 0"),"NI")</f>
        <v>3.2456994482310937E-4</v>
      </c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</row>
    <row r="1334" spans="1:30" ht="15" customHeight="1" x14ac:dyDescent="0.2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12" t="str">
        <f>Base_IFData!A1335</f>
        <v>COOPERATIVA DE ECONOMIA E CRÉDITO MÚTUO DOS TRABALHADORES NAS INDÚSTRIAS DE EXTRAÇÃO DE FERRO E METAIS BÁSICOS DA REGIÃO DE CONGONHAS LTDA. - COOFERSE</v>
      </c>
      <c r="L1334" s="12" t="str">
        <f>Base_IFData!F1335</f>
        <v>b3S</v>
      </c>
      <c r="M1334" s="14" t="str">
        <f>IF(AND(ISNUMBER(Base_IFData!L1335),ISNUMBER(Base_IFData!W1335)),IF(Base_IFData!L1335&gt;$B$4,Base_IFData!W1335,""),"")</f>
        <v/>
      </c>
      <c r="N1334" s="51">
        <f>IF(AND(ISNUMBER(Base_IFData!O1335),ISNUMBER(Base_IFData!Q1335)),IF(Base_IFData!Q1335&gt;0,Base_IFData!O1335/Base_IFData!Q1335,"PL ≤ 0"),"NI")</f>
        <v>0.10374088681725828</v>
      </c>
      <c r="O1334" s="110">
        <f>IF(AND(ISNUMBER(Base_IFData!M1335),ISNUMBER(Base_IFData!Q1335)),IF(Base_IFData!Q1335&gt;0,Base_IFData!M1335/Base_IFData!Q1335,"PL ≤ 0"),"NI")</f>
        <v>0.74184295446396553</v>
      </c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</row>
    <row r="1335" spans="1:30" ht="15" customHeight="1" x14ac:dyDescent="0.2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15" t="str">
        <f>Base_IFData!A1336</f>
        <v>COOPERATIVA DE ECONOMIA E CRÉDITO MÚTUO DOS SERVIDORES DA EMPRESA BRASILEIRA DE CORREIOS E TELÉGRAFOS E EMPRESAS DE LOGÍSTICA DE ENTREGAS DE ENCOMENDAS LTDA.</v>
      </c>
      <c r="L1335" s="15" t="str">
        <f>Base_IFData!F1336</f>
        <v>b3S</v>
      </c>
      <c r="M1335" s="17" t="str">
        <f>IF(AND(ISNUMBER(Base_IFData!L1336),ISNUMBER(Base_IFData!W1336)),IF(Base_IFData!L1336&gt;$B$4,Base_IFData!W1336,""),"")</f>
        <v/>
      </c>
      <c r="N1335" s="50">
        <f>IF(AND(ISNUMBER(Base_IFData!O1336),ISNUMBER(Base_IFData!Q1336)),IF(Base_IFData!Q1336&gt;0,Base_IFData!O1336/Base_IFData!Q1336,"PL ≤ 0"),"NI")</f>
        <v>2.4680377987770983E-2</v>
      </c>
      <c r="O1335" s="107">
        <f>IF(AND(ISNUMBER(Base_IFData!M1336),ISNUMBER(Base_IFData!Q1336)),IF(Base_IFData!Q1336&gt;0,Base_IFData!M1336/Base_IFData!Q1336,"PL ≤ 0"),"NI")</f>
        <v>0.10061145080600334</v>
      </c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</row>
    <row r="1336" spans="1:30" ht="15" customHeight="1" x14ac:dyDescent="0.2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12" t="str">
        <f>Base_IFData!A1337</f>
        <v>TRADERS DISTRIBUIDORA DE TÍTULOS E VALORES MOBILIÁRIOS LTDA.</v>
      </c>
      <c r="L1336" s="12" t="str">
        <f>Base_IFData!F1337</f>
        <v>n2</v>
      </c>
      <c r="M1336" s="14" t="str">
        <f>IF(AND(ISNUMBER(Base_IFData!L1337),ISNUMBER(Base_IFData!W1337)),IF(Base_IFData!L1337&gt;$B$4,Base_IFData!W1337,""),"")</f>
        <v/>
      </c>
      <c r="N1336" s="51">
        <f>IF(AND(ISNUMBER(Base_IFData!O1337),ISNUMBER(Base_IFData!Q1337)),IF(Base_IFData!Q1337&gt;0,Base_IFData!O1337/Base_IFData!Q1337,"PL ≤ 0"),"NI")</f>
        <v>7.4428371441903868E-2</v>
      </c>
      <c r="O1336" s="110">
        <f>IF(AND(ISNUMBER(Base_IFData!M1337),ISNUMBER(Base_IFData!Q1337)),IF(Base_IFData!Q1337&gt;0,Base_IFData!M1337/Base_IFData!Q1337,"PL ≤ 0"),"NI")</f>
        <v>0</v>
      </c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</row>
    <row r="1337" spans="1:30" ht="15" customHeight="1" x14ac:dyDescent="0.2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15" t="str">
        <f>Base_IFData!A1338</f>
        <v>COOPERATIVA DE CRÉDITO MÚTUO DOS SERVIDORES DA SEGURANÇA PÚBLICA DE SÃO PAULO - CREDIAFAM</v>
      </c>
      <c r="L1337" s="15" t="str">
        <f>Base_IFData!F1338</f>
        <v>b3S</v>
      </c>
      <c r="M1337" s="17" t="str">
        <f>IF(AND(ISNUMBER(Base_IFData!L1338),ISNUMBER(Base_IFData!W1338)),IF(Base_IFData!L1338&gt;$B$4,Base_IFData!W1338,""),"")</f>
        <v/>
      </c>
      <c r="N1337" s="50">
        <f>IF(AND(ISNUMBER(Base_IFData!O1338),ISNUMBER(Base_IFData!Q1338)),IF(Base_IFData!Q1338&gt;0,Base_IFData!O1338/Base_IFData!Q1338,"PL ≤ 0"),"NI")</f>
        <v>3.9727582292849034E-2</v>
      </c>
      <c r="O1337" s="107">
        <f>IF(AND(ISNUMBER(Base_IFData!M1338),ISNUMBER(Base_IFData!Q1338)),IF(Base_IFData!Q1338&gt;0,Base_IFData!M1338/Base_IFData!Q1338,"PL ≤ 0"),"NI")</f>
        <v>0.37480136208853576</v>
      </c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</row>
    <row r="1338" spans="1:30" ht="15" customHeight="1" x14ac:dyDescent="0.2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12" t="str">
        <f>Base_IFData!A1339</f>
        <v>COOPERATIVA DE ECONOMIA E CRÉDITO MÚTUO DOS FUNCIONÁRIOS DA MORLAN - CRED MORLAN</v>
      </c>
      <c r="L1338" s="12" t="str">
        <f>Base_IFData!F1339</f>
        <v>b3S</v>
      </c>
      <c r="M1338" s="14" t="str">
        <f>IF(AND(ISNUMBER(Base_IFData!L1339),ISNUMBER(Base_IFData!W1339)),IF(Base_IFData!L1339&gt;$B$4,Base_IFData!W1339,""),"")</f>
        <v/>
      </c>
      <c r="N1338" s="51">
        <f>IF(AND(ISNUMBER(Base_IFData!O1339),ISNUMBER(Base_IFData!Q1339)),IF(Base_IFData!Q1339&gt;0,Base_IFData!O1339/Base_IFData!Q1339,"PL ≤ 0"),"NI")</f>
        <v>2.4313725490196079E-2</v>
      </c>
      <c r="O1338" s="110">
        <f>IF(AND(ISNUMBER(Base_IFData!M1339),ISNUMBER(Base_IFData!Q1339)),IF(Base_IFData!Q1339&gt;0,Base_IFData!M1339/Base_IFData!Q1339,"PL ≤ 0"),"NI")</f>
        <v>0.90857142857142859</v>
      </c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</row>
    <row r="1339" spans="1:30" ht="15" customHeight="1" x14ac:dyDescent="0.2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15" t="str">
        <f>Base_IFData!A1340</f>
        <v>NDD INSTITUICAO DE PAGAMENTO LTDA</v>
      </c>
      <c r="L1339" s="15" t="str">
        <f>Base_IFData!F1340</f>
        <v>n4</v>
      </c>
      <c r="M1339" s="17" t="str">
        <f>IF(AND(ISNUMBER(Base_IFData!L1340),ISNUMBER(Base_IFData!W1340)),IF(Base_IFData!L1340&gt;$B$4,Base_IFData!W1340,""),"")</f>
        <v/>
      </c>
      <c r="N1339" s="50">
        <f>IF(AND(ISNUMBER(Base_IFData!O1340),ISNUMBER(Base_IFData!Q1340)),IF(Base_IFData!Q1340&gt;0,Base_IFData!O1340/Base_IFData!Q1340,"PL ≤ 0"),"NI")</f>
        <v>2.3076923076923079E-3</v>
      </c>
      <c r="O1339" s="107">
        <f>IF(AND(ISNUMBER(Base_IFData!M1340),ISNUMBER(Base_IFData!Q1340)),IF(Base_IFData!Q1340&gt;0,Base_IFData!M1340/Base_IFData!Q1340,"PL ≤ 0"),"NI")</f>
        <v>0</v>
      </c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</row>
    <row r="1340" spans="1:30" ht="15" customHeight="1" x14ac:dyDescent="0.2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12" t="str">
        <f>Base_IFData!A1341</f>
        <v>UNICRED DISTRIBUIDORA DE TITULOS E VALORES MOBILIARIOS LTDA</v>
      </c>
      <c r="L1340" s="12" t="str">
        <f>Base_IFData!F1341</f>
        <v>n2</v>
      </c>
      <c r="M1340" s="14" t="str">
        <f>IF(AND(ISNUMBER(Base_IFData!L1341),ISNUMBER(Base_IFData!W1341)),IF(Base_IFData!L1341&gt;$B$4,Base_IFData!W1341,""),"")</f>
        <v/>
      </c>
      <c r="N1340" s="51">
        <f>IF(AND(ISNUMBER(Base_IFData!O1341),ISNUMBER(Base_IFData!Q1341)),IF(Base_IFData!Q1341&gt;0,Base_IFData!O1341/Base_IFData!Q1341,"PL ≤ 0"),"NI")</f>
        <v>0.21741467347487234</v>
      </c>
      <c r="O1340" s="110">
        <f>IF(AND(ISNUMBER(Base_IFData!M1341),ISNUMBER(Base_IFData!Q1341)),IF(Base_IFData!Q1341&gt;0,Base_IFData!M1341/Base_IFData!Q1341,"PL ≤ 0"),"NI")</f>
        <v>0</v>
      </c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</row>
    <row r="1341" spans="1:30" ht="15" customHeight="1" x14ac:dyDescent="0.2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15" t="str">
        <f>Base_IFData!A1342</f>
        <v>CRETOVALE - COOPERATIVA DE ECONOMIA E CRÉDITO MÚTUO DOS TRABALHADORES DA VALE</v>
      </c>
      <c r="L1341" s="15" t="str">
        <f>Base_IFData!F1342</f>
        <v>b3S</v>
      </c>
      <c r="M1341" s="17" t="str">
        <f>IF(AND(ISNUMBER(Base_IFData!L1342),ISNUMBER(Base_IFData!W1342)),IF(Base_IFData!L1342&gt;$B$4,Base_IFData!W1342,""),"")</f>
        <v/>
      </c>
      <c r="N1341" s="50">
        <f>IF(AND(ISNUMBER(Base_IFData!O1342),ISNUMBER(Base_IFData!Q1342)),IF(Base_IFData!Q1342&gt;0,Base_IFData!O1342/Base_IFData!Q1342,"PL ≤ 0"),"NI")</f>
        <v>0.15132585415604283</v>
      </c>
      <c r="O1341" s="107">
        <f>IF(AND(ISNUMBER(Base_IFData!M1342),ISNUMBER(Base_IFData!Q1342)),IF(Base_IFData!Q1342&gt;0,Base_IFData!M1342/Base_IFData!Q1342,"PL ≤ 0"),"NI")</f>
        <v>0.17962774094849568</v>
      </c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</row>
    <row r="1342" spans="1:30" ht="15" customHeight="1" x14ac:dyDescent="0.2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12" t="str">
        <f>Base_IFData!A1343</f>
        <v>TRANSFERO INSTITUICAO DE PAGAMENTO LTDA.</v>
      </c>
      <c r="L1342" s="12" t="str">
        <f>Base_IFData!F1343</f>
        <v>n4</v>
      </c>
      <c r="M1342" s="14" t="str">
        <f>IF(AND(ISNUMBER(Base_IFData!L1343),ISNUMBER(Base_IFData!W1343)),IF(Base_IFData!L1343&gt;$B$4,Base_IFData!W1343,""),"")</f>
        <v/>
      </c>
      <c r="N1342" s="51">
        <f>IF(AND(ISNUMBER(Base_IFData!O1343),ISNUMBER(Base_IFData!Q1343)),IF(Base_IFData!Q1343&gt;0,Base_IFData!O1343/Base_IFData!Q1343,"PL ≤ 0"),"NI")</f>
        <v>0.69240936555891242</v>
      </c>
      <c r="O1342" s="110">
        <f>IF(AND(ISNUMBER(Base_IFData!M1343),ISNUMBER(Base_IFData!Q1343)),IF(Base_IFData!Q1343&gt;0,Base_IFData!M1343/Base_IFData!Q1343,"PL ≤ 0"),"NI")</f>
        <v>0</v>
      </c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</row>
    <row r="1343" spans="1:30" ht="15" customHeight="1" x14ac:dyDescent="0.2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15" t="str">
        <f>Base_IFData!A1344</f>
        <v>COOPERATIVA DE ECONOMIA E CRÉDITO MÚTUO DOS SERVIDORES DA FACULDADE DE ENGENHARIA DE ILHA SOLTEIRA - COOPERFEIS</v>
      </c>
      <c r="L1343" s="15" t="str">
        <f>Base_IFData!F1344</f>
        <v>b3S</v>
      </c>
      <c r="M1343" s="17" t="str">
        <f>IF(AND(ISNUMBER(Base_IFData!L1344),ISNUMBER(Base_IFData!W1344)),IF(Base_IFData!L1344&gt;$B$4,Base_IFData!W1344,""),"")</f>
        <v/>
      </c>
      <c r="N1343" s="50">
        <f>IF(AND(ISNUMBER(Base_IFData!O1344),ISNUMBER(Base_IFData!Q1344)),IF(Base_IFData!Q1344&gt;0,Base_IFData!O1344/Base_IFData!Q1344,"PL ≤ 0"),"NI")</f>
        <v>1.9775644732277092E-2</v>
      </c>
      <c r="O1343" s="107">
        <f>IF(AND(ISNUMBER(Base_IFData!M1344),ISNUMBER(Base_IFData!Q1344)),IF(Base_IFData!Q1344&gt;0,Base_IFData!M1344/Base_IFData!Q1344,"PL ≤ 0"),"NI")</f>
        <v>0.74256967734474388</v>
      </c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</row>
    <row r="1344" spans="1:30" ht="15" customHeight="1" x14ac:dyDescent="0.2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12" t="str">
        <f>Base_IFData!A1345</f>
        <v>NOSSA TERRA BRASIL COOPERATIVA DE CRÉDITO</v>
      </c>
      <c r="L1344" s="12" t="str">
        <f>Base_IFData!F1345</f>
        <v>b3S</v>
      </c>
      <c r="M1344" s="14" t="str">
        <f>IF(AND(ISNUMBER(Base_IFData!L1345),ISNUMBER(Base_IFData!W1345)),IF(Base_IFData!L1345&gt;$B$4,Base_IFData!W1345,""),"")</f>
        <v/>
      </c>
      <c r="N1344" s="51">
        <f>IF(AND(ISNUMBER(Base_IFData!O1345),ISNUMBER(Base_IFData!Q1345)),IF(Base_IFData!Q1345&gt;0,Base_IFData!O1345/Base_IFData!Q1345,"PL ≤ 0"),"NI")</f>
        <v>6.3474791439970979E-2</v>
      </c>
      <c r="O1344" s="110">
        <f>IF(AND(ISNUMBER(Base_IFData!M1345),ISNUMBER(Base_IFData!Q1345)),IF(Base_IFData!Q1345&gt;0,Base_IFData!M1345/Base_IFData!Q1345,"PL ≤ 0"),"NI")</f>
        <v>0.56256800870511425</v>
      </c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</row>
    <row r="1345" spans="1:30" ht="15" customHeight="1" x14ac:dyDescent="0.2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15" t="str">
        <f>Base_IFData!A1346</f>
        <v>COOPERATIVA DE ECONOMIA E CRÉDITO MÚTUO DOS FUNCIONÁRIOS DO GRUPO LORENZETTI</v>
      </c>
      <c r="L1345" s="15" t="str">
        <f>Base_IFData!F1346</f>
        <v>b3S</v>
      </c>
      <c r="M1345" s="17" t="str">
        <f>IF(AND(ISNUMBER(Base_IFData!L1346),ISNUMBER(Base_IFData!W1346)),IF(Base_IFData!L1346&gt;$B$4,Base_IFData!W1346,""),"")</f>
        <v/>
      </c>
      <c r="N1345" s="50">
        <f>IF(AND(ISNUMBER(Base_IFData!O1346),ISNUMBER(Base_IFData!Q1346)),IF(Base_IFData!Q1346&gt;0,Base_IFData!O1346/Base_IFData!Q1346,"PL ≤ 0"),"NI")</f>
        <v>4.3061053136619884E-2</v>
      </c>
      <c r="O1345" s="107">
        <f>IF(AND(ISNUMBER(Base_IFData!M1346),ISNUMBER(Base_IFData!Q1346)),IF(Base_IFData!Q1346&gt;0,Base_IFData!M1346/Base_IFData!Q1346,"PL ≤ 0"),"NI")</f>
        <v>0.27803766342809166</v>
      </c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</row>
    <row r="1346" spans="1:30" ht="15" customHeight="1" x14ac:dyDescent="0.2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12" t="str">
        <f>Base_IFData!A1347</f>
        <v>KLAVI INSTITUIÇÃO DE PAGAMENTO E GESTÃO DE DADOS LTDA.</v>
      </c>
      <c r="L1346" s="12" t="str">
        <f>Base_IFData!F1347</f>
        <v>n4</v>
      </c>
      <c r="M1346" s="14" t="str">
        <f>IF(AND(ISNUMBER(Base_IFData!L1347),ISNUMBER(Base_IFData!W1347)),IF(Base_IFData!L1347&gt;$B$4,Base_IFData!W1347,""),"")</f>
        <v/>
      </c>
      <c r="N1346" s="51">
        <f>IF(AND(ISNUMBER(Base_IFData!O1347),ISNUMBER(Base_IFData!Q1347)),IF(Base_IFData!Q1347&gt;0,Base_IFData!O1347/Base_IFData!Q1347,"PL ≤ 0"),"NI")</f>
        <v>1.7945109078114006E-2</v>
      </c>
      <c r="O1346" s="110">
        <f>IF(AND(ISNUMBER(Base_IFData!M1347),ISNUMBER(Base_IFData!Q1347)),IF(Base_IFData!Q1347&gt;0,Base_IFData!M1347/Base_IFData!Q1347,"PL ≤ 0"),"NI")</f>
        <v>0</v>
      </c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</row>
    <row r="1347" spans="1:30" ht="15" customHeight="1" x14ac:dyDescent="0.2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15" t="str">
        <f>Base_IFData!A1348</f>
        <v>COOPERATIVA DE ECONOMIA E CRÉDITO MÚTUO DOS EMPREGADOS DA SAINT-GOBAIN DO BRASIL PRODUTOS INDUSTRIAIS E PARA CONSTRUÇÃO - DIVISÃO VIDRO PLANO</v>
      </c>
      <c r="L1347" s="15" t="str">
        <f>Base_IFData!F1348</f>
        <v>b3S</v>
      </c>
      <c r="M1347" s="17" t="str">
        <f>IF(AND(ISNUMBER(Base_IFData!L1348),ISNUMBER(Base_IFData!W1348)),IF(Base_IFData!L1348&gt;$B$4,Base_IFData!W1348,""),"")</f>
        <v/>
      </c>
      <c r="N1347" s="50">
        <f>IF(AND(ISNUMBER(Base_IFData!O1348),ISNUMBER(Base_IFData!Q1348)),IF(Base_IFData!Q1348&gt;0,Base_IFData!O1348/Base_IFData!Q1348,"PL ≤ 0"),"NI")</f>
        <v>7.1348524467687705E-2</v>
      </c>
      <c r="O1347" s="107">
        <f>IF(AND(ISNUMBER(Base_IFData!M1348),ISNUMBER(Base_IFData!Q1348)),IF(Base_IFData!Q1348&gt;0,Base_IFData!M1348/Base_IFData!Q1348,"PL ≤ 0"),"NI")</f>
        <v>0.57178433569916576</v>
      </c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</row>
    <row r="1348" spans="1:30" ht="15" customHeight="1" x14ac:dyDescent="0.2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12" t="str">
        <f>Base_IFData!A1349</f>
        <v>COOPERATIVA DE ECONOMIA E CRÉDITO MÚTUO ALIANÇA - COOPERNITRO</v>
      </c>
      <c r="L1348" s="12" t="str">
        <f>Base_IFData!F1349</f>
        <v>b3S</v>
      </c>
      <c r="M1348" s="14" t="str">
        <f>IF(AND(ISNUMBER(Base_IFData!L1349),ISNUMBER(Base_IFData!W1349)),IF(Base_IFData!L1349&gt;$B$4,Base_IFData!W1349,""),"")</f>
        <v/>
      </c>
      <c r="N1348" s="51">
        <f>IF(AND(ISNUMBER(Base_IFData!O1349),ISNUMBER(Base_IFData!Q1349)),IF(Base_IFData!Q1349&gt;0,Base_IFData!O1349/Base_IFData!Q1349,"PL ≤ 0"),"NI")</f>
        <v>1.9089926761916197E-2</v>
      </c>
      <c r="O1348" s="110">
        <f>IF(AND(ISNUMBER(Base_IFData!M1349),ISNUMBER(Base_IFData!Q1349)),IF(Base_IFData!Q1349&gt;0,Base_IFData!M1349/Base_IFData!Q1349,"PL ≤ 0"),"NI")</f>
        <v>0.74474726857966145</v>
      </c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</row>
    <row r="1349" spans="1:30" ht="15" customHeight="1" x14ac:dyDescent="0.2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15" t="str">
        <f>Base_IFData!A1350</f>
        <v>GET MONEY SOCIEDADE CORRETORA DE CÂMBIO S.A.</v>
      </c>
      <c r="L1349" s="15" t="str">
        <f>Base_IFData!F1350</f>
        <v>n2</v>
      </c>
      <c r="M1349" s="17" t="str">
        <f>IF(AND(ISNUMBER(Base_IFData!L1350),ISNUMBER(Base_IFData!W1350)),IF(Base_IFData!L1350&gt;$B$4,Base_IFData!W1350,""),"")</f>
        <v/>
      </c>
      <c r="N1349" s="50">
        <f>IF(AND(ISNUMBER(Base_IFData!O1350),ISNUMBER(Base_IFData!Q1350)),IF(Base_IFData!Q1350&gt;0,Base_IFData!O1350/Base_IFData!Q1350,"PL ≤ 0"),"NI")</f>
        <v>0.2221740387395201</v>
      </c>
      <c r="O1349" s="107">
        <f>IF(AND(ISNUMBER(Base_IFData!M1350),ISNUMBER(Base_IFData!Q1350)),IF(Base_IFData!Q1350&gt;0,Base_IFData!M1350/Base_IFData!Q1350,"PL ≤ 0"),"NI")</f>
        <v>0</v>
      </c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</row>
    <row r="1350" spans="1:30" ht="15" customHeight="1" x14ac:dyDescent="0.2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12" t="str">
        <f>Base_IFData!A1351</f>
        <v>GO SOCIEDADE DE CRÉDITO DIRETO S.A.</v>
      </c>
      <c r="L1350" s="12" t="str">
        <f>Base_IFData!F1351</f>
        <v>n1</v>
      </c>
      <c r="M1350" s="14" t="str">
        <f>IF(AND(ISNUMBER(Base_IFData!L1351),ISNUMBER(Base_IFData!W1351)),IF(Base_IFData!L1351&gt;$B$4,Base_IFData!W1351,""),"")</f>
        <v/>
      </c>
      <c r="N1350" s="51">
        <f>IF(AND(ISNUMBER(Base_IFData!O1351),ISNUMBER(Base_IFData!Q1351)),IF(Base_IFData!Q1351&gt;0,Base_IFData!O1351/Base_IFData!Q1351,"PL ≤ 0"),"NI")</f>
        <v>4.2908224076281289E-3</v>
      </c>
      <c r="O1350" s="110">
        <f>IF(AND(ISNUMBER(Base_IFData!M1351),ISNUMBER(Base_IFData!Q1351)),IF(Base_IFData!Q1351&gt;0,Base_IFData!M1351/Base_IFData!Q1351,"PL ≤ 0"),"NI")</f>
        <v>0.399284862932062</v>
      </c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</row>
    <row r="1351" spans="1:30" ht="15" customHeight="1" x14ac:dyDescent="0.2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15" t="str">
        <f>Base_IFData!A1352</f>
        <v>PENTAGONO S/A DISTRIBUIDORA DE TITULOS E VALORES MOBILIARIOS</v>
      </c>
      <c r="L1351" s="15" t="str">
        <f>Base_IFData!F1352</f>
        <v>n2</v>
      </c>
      <c r="M1351" s="17" t="str">
        <f>IF(AND(ISNUMBER(Base_IFData!L1352),ISNUMBER(Base_IFData!W1352)),IF(Base_IFData!L1352&gt;$B$4,Base_IFData!W1352,""),"")</f>
        <v/>
      </c>
      <c r="N1351" s="50">
        <f>IF(AND(ISNUMBER(Base_IFData!O1352),ISNUMBER(Base_IFData!Q1352)),IF(Base_IFData!Q1352&gt;0,Base_IFData!O1352/Base_IFData!Q1352,"PL ≤ 0"),"NI")</f>
        <v>0.69148498560263261</v>
      </c>
      <c r="O1351" s="107">
        <f>IF(AND(ISNUMBER(Base_IFData!M1352),ISNUMBER(Base_IFData!Q1352)),IF(Base_IFData!Q1352&gt;0,Base_IFData!M1352/Base_IFData!Q1352,"PL ≤ 0"),"NI")</f>
        <v>0</v>
      </c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</row>
    <row r="1352" spans="1:30" ht="15" customHeight="1" x14ac:dyDescent="0.2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12" t="str">
        <f>Base_IFData!A1353</f>
        <v>DAPPER - SOCIEDADE DE CRÉDITO DIRETO S/A</v>
      </c>
      <c r="L1352" s="12" t="str">
        <f>Base_IFData!F1353</f>
        <v>n1</v>
      </c>
      <c r="M1352" s="14" t="str">
        <f>IF(AND(ISNUMBER(Base_IFData!L1353),ISNUMBER(Base_IFData!W1353)),IF(Base_IFData!L1353&gt;$B$4,Base_IFData!W1353,""),"")</f>
        <v/>
      </c>
      <c r="N1352" s="51">
        <f>IF(AND(ISNUMBER(Base_IFData!O1353),ISNUMBER(Base_IFData!Q1353)),IF(Base_IFData!Q1353&gt;0,Base_IFData!O1353/Base_IFData!Q1353,"PL ≤ 0"),"NI")</f>
        <v>0.26726263871763256</v>
      </c>
      <c r="O1352" s="110">
        <f>IF(AND(ISNUMBER(Base_IFData!M1353),ISNUMBER(Base_IFData!Q1353)),IF(Base_IFData!Q1353&gt;0,Base_IFData!M1353/Base_IFData!Q1353,"PL ≤ 0"),"NI")</f>
        <v>0.92093094944512943</v>
      </c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</row>
    <row r="1353" spans="1:30" ht="15" customHeight="1" x14ac:dyDescent="0.2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15" t="str">
        <f>Base_IFData!A1354</f>
        <v>LB PAY INSTITUIÇÃO DE PAGAMENTO LTDA</v>
      </c>
      <c r="L1353" s="15" t="str">
        <f>Base_IFData!F1354</f>
        <v>n4</v>
      </c>
      <c r="M1353" s="17" t="str">
        <f>IF(AND(ISNUMBER(Base_IFData!L1354),ISNUMBER(Base_IFData!W1354)),IF(Base_IFData!L1354&gt;$B$4,Base_IFData!W1354,""),"")</f>
        <v/>
      </c>
      <c r="N1353" s="50">
        <f>IF(AND(ISNUMBER(Base_IFData!O1354),ISNUMBER(Base_IFData!Q1354)),IF(Base_IFData!Q1354&gt;0,Base_IFData!O1354/Base_IFData!Q1354,"PL ≤ 0"),"NI")</f>
        <v>0.94377224199288257</v>
      </c>
      <c r="O1353" s="107">
        <f>IF(AND(ISNUMBER(Base_IFData!M1354),ISNUMBER(Base_IFData!Q1354)),IF(Base_IFData!Q1354&gt;0,Base_IFData!M1354/Base_IFData!Q1354,"PL ≤ 0"),"NI")</f>
        <v>0</v>
      </c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</row>
    <row r="1354" spans="1:30" ht="15" customHeight="1" x14ac:dyDescent="0.2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12" t="str">
        <f>Base_IFData!A1355</f>
        <v>COOPSEBRAE - COOPERATIVA DE CRÉDITO MÚTUO DOS EMPREGADOS DO SEBRAE/PB, SEBRAE/RN, SESC/PB, SENAC/PB, SENAR/PB, SENAR/RN E FAEPA/PB</v>
      </c>
      <c r="L1354" s="12" t="str">
        <f>Base_IFData!F1355</f>
        <v>b3S</v>
      </c>
      <c r="M1354" s="14" t="str">
        <f>IF(AND(ISNUMBER(Base_IFData!L1355),ISNUMBER(Base_IFData!W1355)),IF(Base_IFData!L1355&gt;$B$4,Base_IFData!W1355,""),"")</f>
        <v/>
      </c>
      <c r="N1354" s="51">
        <f>IF(AND(ISNUMBER(Base_IFData!O1355),ISNUMBER(Base_IFData!Q1355)),IF(Base_IFData!Q1355&gt;0,Base_IFData!O1355/Base_IFData!Q1355,"PL ≤ 0"),"NI")</f>
        <v>0.62200198216055502</v>
      </c>
      <c r="O1354" s="110">
        <f>IF(AND(ISNUMBER(Base_IFData!M1355),ISNUMBER(Base_IFData!Q1355)),IF(Base_IFData!Q1355&gt;0,Base_IFData!M1355/Base_IFData!Q1355,"PL ≤ 0"),"NI")</f>
        <v>0.7954410307234886</v>
      </c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</row>
    <row r="1355" spans="1:30" ht="15" customHeight="1" x14ac:dyDescent="0.2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15" t="str">
        <f>Base_IFData!A1356</f>
        <v>COOPERATIVA DE ECONOMIA E CRÉDITO MÚTUO DOS EMPREGADOS DO GRUPO TELEFÔNICA</v>
      </c>
      <c r="L1355" s="15" t="str">
        <f>Base_IFData!F1356</f>
        <v>b3S</v>
      </c>
      <c r="M1355" s="17" t="str">
        <f>IF(AND(ISNUMBER(Base_IFData!L1356),ISNUMBER(Base_IFData!W1356)),IF(Base_IFData!L1356&gt;$B$4,Base_IFData!W1356,""),"")</f>
        <v/>
      </c>
      <c r="N1355" s="50">
        <f>IF(AND(ISNUMBER(Base_IFData!O1356),ISNUMBER(Base_IFData!Q1356)),IF(Base_IFData!Q1356&gt;0,Base_IFData!O1356/Base_IFData!Q1356,"PL ≤ 0"),"NI")</f>
        <v>4.5291709314227227E-2</v>
      </c>
      <c r="O1355" s="107">
        <f>IF(AND(ISNUMBER(Base_IFData!M1356),ISNUMBER(Base_IFData!Q1356)),IF(Base_IFData!Q1356&gt;0,Base_IFData!M1356/Base_IFData!Q1356,"PL ≤ 0"),"NI")</f>
        <v>0.65519447287615151</v>
      </c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</row>
    <row r="1356" spans="1:30" ht="15" customHeight="1" x14ac:dyDescent="0.2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12" t="str">
        <f>Base_IFData!A1357</f>
        <v>SQUID SOCIEDADE DE CRÉDITO DIRETO S.A.</v>
      </c>
      <c r="L1356" s="12" t="str">
        <f>Base_IFData!F1357</f>
        <v>n1</v>
      </c>
      <c r="M1356" s="14" t="str">
        <f>IF(AND(ISNUMBER(Base_IFData!L1357),ISNUMBER(Base_IFData!W1357)),IF(Base_IFData!L1357&gt;$B$4,Base_IFData!W1357,""),"")</f>
        <v/>
      </c>
      <c r="N1356" s="51">
        <f>IF(AND(ISNUMBER(Base_IFData!O1357),ISNUMBER(Base_IFData!Q1357)),IF(Base_IFData!Q1357&gt;0,Base_IFData!O1357/Base_IFData!Q1357,"PL ≤ 0"),"NI")</f>
        <v>0.49516908212560384</v>
      </c>
      <c r="O1356" s="110">
        <f>IF(AND(ISNUMBER(Base_IFData!M1357),ISNUMBER(Base_IFData!Q1357)),IF(Base_IFData!Q1357&gt;0,Base_IFData!M1357/Base_IFData!Q1357,"PL ≤ 0"),"NI")</f>
        <v>0</v>
      </c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</row>
    <row r="1357" spans="1:30" ht="15" customHeight="1" x14ac:dyDescent="0.2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15" t="str">
        <f>Base_IFData!A1358</f>
        <v>COOPERATIVA DE ECONOMIA E CRÉDITO MÚTUO DOS FUNCIONÁRIOS DAS EMPRESAS DO GRUPO DANA - COOPDANA</v>
      </c>
      <c r="L1357" s="15" t="str">
        <f>Base_IFData!F1358</f>
        <v>b3S</v>
      </c>
      <c r="M1357" s="17" t="str">
        <f>IF(AND(ISNUMBER(Base_IFData!L1358),ISNUMBER(Base_IFData!W1358)),IF(Base_IFData!L1358&gt;$B$4,Base_IFData!W1358,""),"")</f>
        <v/>
      </c>
      <c r="N1357" s="50">
        <f>IF(AND(ISNUMBER(Base_IFData!O1358),ISNUMBER(Base_IFData!Q1358)),IF(Base_IFData!Q1358&gt;0,Base_IFData!O1358/Base_IFData!Q1358,"PL ≤ 0"),"NI")</f>
        <v>3.8066779264648562E-2</v>
      </c>
      <c r="O1357" s="107">
        <f>IF(AND(ISNUMBER(Base_IFData!M1358),ISNUMBER(Base_IFData!Q1358)),IF(Base_IFData!Q1358&gt;0,Base_IFData!M1358/Base_IFData!Q1358,"PL ≤ 0"),"NI")</f>
        <v>0.86111472002078737</v>
      </c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</row>
    <row r="1358" spans="1:30" ht="15" customHeight="1" x14ac:dyDescent="0.2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12" t="str">
        <f>Base_IFData!A1359</f>
        <v>ÓTIMO SOCIEDADE DE CRÉDITO DIRETO S.A.</v>
      </c>
      <c r="L1358" s="12" t="str">
        <f>Base_IFData!F1359</f>
        <v>n1</v>
      </c>
      <c r="M1358" s="14" t="str">
        <f>IF(AND(ISNUMBER(Base_IFData!L1359),ISNUMBER(Base_IFData!W1359)),IF(Base_IFData!L1359&gt;$B$4,Base_IFData!W1359,""),"")</f>
        <v/>
      </c>
      <c r="N1358" s="51">
        <f>IF(AND(ISNUMBER(Base_IFData!O1359),ISNUMBER(Base_IFData!Q1359)),IF(Base_IFData!Q1359&gt;0,Base_IFData!O1359/Base_IFData!Q1359,"PL ≤ 0"),"NI")</f>
        <v>1.8362662586074982E-2</v>
      </c>
      <c r="O1358" s="110">
        <f>IF(AND(ISNUMBER(Base_IFData!M1359),ISNUMBER(Base_IFData!Q1359)),IF(Base_IFData!Q1359&gt;0,Base_IFData!M1359/Base_IFData!Q1359,"PL ≤ 0"),"NI")</f>
        <v>0</v>
      </c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</row>
    <row r="1359" spans="1:30" ht="15" customHeight="1" x14ac:dyDescent="0.2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15" t="str">
        <f>Base_IFData!A1360</f>
        <v>NUMBRS SOCIEDADE DE CRÉDITO DIRETO S.A.</v>
      </c>
      <c r="L1359" s="15" t="str">
        <f>Base_IFData!F1360</f>
        <v>n1</v>
      </c>
      <c r="M1359" s="17" t="str">
        <f>IF(AND(ISNUMBER(Base_IFData!L1360),ISNUMBER(Base_IFData!W1360)),IF(Base_IFData!L1360&gt;$B$4,Base_IFData!W1360,""),"")</f>
        <v/>
      </c>
      <c r="N1359" s="50">
        <f>IF(AND(ISNUMBER(Base_IFData!O1360),ISNUMBER(Base_IFData!Q1360)),IF(Base_IFData!Q1360&gt;0,Base_IFData!O1360/Base_IFData!Q1360,"PL ≤ 0"),"NI")</f>
        <v>0.52565343659244923</v>
      </c>
      <c r="O1359" s="107">
        <f>IF(AND(ISNUMBER(Base_IFData!M1360),ISNUMBER(Base_IFData!Q1360)),IF(Base_IFData!Q1360&gt;0,Base_IFData!M1360/Base_IFData!Q1360,"PL ≤ 0"),"NI")</f>
        <v>0</v>
      </c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</row>
    <row r="1360" spans="1:30" ht="15" customHeight="1" x14ac:dyDescent="0.2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12" t="str">
        <f>Base_IFData!A1361</f>
        <v>INTRA INVESTIMENTOS DISTRIBUIDORA DE TÍTULOS E VALORES MOBILIÁRIOS LTDA</v>
      </c>
      <c r="L1360" s="12" t="str">
        <f>Base_IFData!F1361</f>
        <v>n2</v>
      </c>
      <c r="M1360" s="14" t="str">
        <f>IF(AND(ISNUMBER(Base_IFData!L1361),ISNUMBER(Base_IFData!W1361)),IF(Base_IFData!L1361&gt;$B$4,Base_IFData!W1361,""),"")</f>
        <v/>
      </c>
      <c r="N1360" s="51">
        <f>IF(AND(ISNUMBER(Base_IFData!O1361),ISNUMBER(Base_IFData!Q1361)),IF(Base_IFData!Q1361&gt;0,Base_IFData!O1361/Base_IFData!Q1361,"PL ≤ 0"),"NI")</f>
        <v>0.89468599033816421</v>
      </c>
      <c r="O1360" s="110">
        <f>IF(AND(ISNUMBER(Base_IFData!M1361),ISNUMBER(Base_IFData!Q1361)),IF(Base_IFData!Q1361&gt;0,Base_IFData!M1361/Base_IFData!Q1361,"PL ≤ 0"),"NI")</f>
        <v>0</v>
      </c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</row>
    <row r="1361" spans="1:30" ht="15" customHeight="1" x14ac:dyDescent="0.2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15" t="str">
        <f>Base_IFData!A1362</f>
        <v>BCP SECURITIES DISTRIBUIDORA DE TÍTULOS E VALORES MOBILIÁRIOS LTDA.</v>
      </c>
      <c r="L1361" s="15" t="str">
        <f>Base_IFData!F1362</f>
        <v>n2</v>
      </c>
      <c r="M1361" s="17" t="str">
        <f>IF(AND(ISNUMBER(Base_IFData!L1362),ISNUMBER(Base_IFData!W1362)),IF(Base_IFData!L1362&gt;$B$4,Base_IFData!W1362,""),"")</f>
        <v/>
      </c>
      <c r="N1361" s="50">
        <f>IF(AND(ISNUMBER(Base_IFData!O1362),ISNUMBER(Base_IFData!Q1362)),IF(Base_IFData!Q1362&gt;0,Base_IFData!O1362/Base_IFData!Q1362,"PL ≤ 0"),"NI")</f>
        <v>2.3553610503282276</v>
      </c>
      <c r="O1361" s="107">
        <f>IF(AND(ISNUMBER(Base_IFData!M1362),ISNUMBER(Base_IFData!Q1362)),IF(Base_IFData!Q1362&gt;0,Base_IFData!M1362/Base_IFData!Q1362,"PL ≤ 0"),"NI")</f>
        <v>0</v>
      </c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</row>
    <row r="1362" spans="1:30" ht="15" customHeight="1" x14ac:dyDescent="0.2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12" t="str">
        <f>Base_IFData!A1363</f>
        <v>SENSO CORRETORA DE CAMBIO E VALORES MOBILIARIOS S.A</v>
      </c>
      <c r="L1362" s="12" t="str">
        <f>Base_IFData!F1363</f>
        <v>n2</v>
      </c>
      <c r="M1362" s="14" t="str">
        <f>IF(AND(ISNUMBER(Base_IFData!L1363),ISNUMBER(Base_IFData!W1363)),IF(Base_IFData!L1363&gt;$B$4,Base_IFData!W1363,""),"")</f>
        <v/>
      </c>
      <c r="N1362" s="51" t="str">
        <f>IF(AND(ISNUMBER(Base_IFData!O1363),ISNUMBER(Base_IFData!Q1363)),IF(Base_IFData!Q1363&gt;0,Base_IFData!O1363/Base_IFData!Q1363,"PL ≤ 0"),"NI")</f>
        <v>PL ≤ 0</v>
      </c>
      <c r="O1362" s="110" t="str">
        <f>IF(AND(ISNUMBER(Base_IFData!M1363),ISNUMBER(Base_IFData!Q1363)),IF(Base_IFData!Q1363&gt;0,Base_IFData!M1363/Base_IFData!Q1363,"PL ≤ 0"),"NI")</f>
        <v>PL ≤ 0</v>
      </c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</row>
    <row r="1363" spans="1:30" ht="15" customHeight="1" x14ac:dyDescent="0.2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15" t="str">
        <f>Base_IFData!A1364</f>
        <v>COOPERATIVA DE ECONOMIA E CRÉDITO MÚTUO DOS FUNCIONÁRIOS DAS EMPRESAS DE CERÂMICA - COOPASPACER</v>
      </c>
      <c r="L1363" s="15" t="str">
        <f>Base_IFData!F1364</f>
        <v>b3S</v>
      </c>
      <c r="M1363" s="17" t="str">
        <f>IF(AND(ISNUMBER(Base_IFData!L1364),ISNUMBER(Base_IFData!W1364)),IF(Base_IFData!L1364&gt;$B$4,Base_IFData!W1364,""),"")</f>
        <v/>
      </c>
      <c r="N1363" s="50">
        <f>IF(AND(ISNUMBER(Base_IFData!O1364),ISNUMBER(Base_IFData!Q1364)),IF(Base_IFData!Q1364&gt;0,Base_IFData!O1364/Base_IFData!Q1364,"PL ≤ 0"),"NI")</f>
        <v>0.21642637291430422</v>
      </c>
      <c r="O1363" s="107">
        <f>IF(AND(ISNUMBER(Base_IFData!M1364),ISNUMBER(Base_IFData!Q1364)),IF(Base_IFData!Q1364&gt;0,Base_IFData!M1364/Base_IFData!Q1364,"PL ≤ 0"),"NI")</f>
        <v>0.57395107727199091</v>
      </c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</row>
    <row r="1364" spans="1:30" ht="15" customHeight="1" x14ac:dyDescent="0.2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12" t="str">
        <f>Base_IFData!A1365</f>
        <v>EXECUTIVE SOCIEDADE CORRETORA DE CÂMBIO LTDA.</v>
      </c>
      <c r="L1364" s="12" t="str">
        <f>Base_IFData!F1365</f>
        <v>n2</v>
      </c>
      <c r="M1364" s="14" t="str">
        <f>IF(AND(ISNUMBER(Base_IFData!L1365),ISNUMBER(Base_IFData!W1365)),IF(Base_IFData!L1365&gt;$B$4,Base_IFData!W1365,""),"")</f>
        <v/>
      </c>
      <c r="N1364" s="51">
        <f>IF(AND(ISNUMBER(Base_IFData!O1365),ISNUMBER(Base_IFData!Q1365)),IF(Base_IFData!Q1365&gt;0,Base_IFData!O1365/Base_IFData!Q1365,"PL ≤ 0"),"NI")</f>
        <v>0.75746091899573664</v>
      </c>
      <c r="O1364" s="110">
        <f>IF(AND(ISNUMBER(Base_IFData!M1365),ISNUMBER(Base_IFData!Q1365)),IF(Base_IFData!Q1365&gt;0,Base_IFData!M1365/Base_IFData!Q1365,"PL ≤ 0"),"NI")</f>
        <v>0</v>
      </c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</row>
    <row r="1365" spans="1:30" ht="15" customHeight="1" x14ac:dyDescent="0.2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15" t="str">
        <f>Base_IFData!A1366</f>
        <v>BRX SOCIEDADE CORRETORA DE CÂMBIO LTDA.</v>
      </c>
      <c r="L1365" s="15" t="str">
        <f>Base_IFData!F1366</f>
        <v>n2</v>
      </c>
      <c r="M1365" s="17" t="str">
        <f>IF(AND(ISNUMBER(Base_IFData!L1366),ISNUMBER(Base_IFData!W1366)),IF(Base_IFData!L1366&gt;$B$4,Base_IFData!W1366,""),"")</f>
        <v/>
      </c>
      <c r="N1365" s="50">
        <f>IF(AND(ISNUMBER(Base_IFData!O1366),ISNUMBER(Base_IFData!Q1366)),IF(Base_IFData!Q1366&gt;0,Base_IFData!O1366/Base_IFData!Q1366,"PL ≤ 0"),"NI")</f>
        <v>2.3415077202543144</v>
      </c>
      <c r="O1365" s="107">
        <f>IF(AND(ISNUMBER(Base_IFData!M1366),ISNUMBER(Base_IFData!Q1366)),IF(Base_IFData!Q1366&gt;0,Base_IFData!M1366/Base_IFData!Q1366,"PL ≤ 0"),"NI")</f>
        <v>0</v>
      </c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</row>
    <row r="1366" spans="1:30" ht="15" customHeight="1" x14ac:dyDescent="0.2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12" t="str">
        <f>Base_IFData!A1367</f>
        <v>FIDEM SOCIEDADE DE CRÉDITO DIRETO S/A</v>
      </c>
      <c r="L1366" s="12" t="str">
        <f>Base_IFData!F1367</f>
        <v>n1</v>
      </c>
      <c r="M1366" s="14" t="str">
        <f>IF(AND(ISNUMBER(Base_IFData!L1367),ISNUMBER(Base_IFData!W1367)),IF(Base_IFData!L1367&gt;$B$4,Base_IFData!W1367,""),"")</f>
        <v/>
      </c>
      <c r="N1366" s="51">
        <f>IF(AND(ISNUMBER(Base_IFData!O1367),ISNUMBER(Base_IFData!Q1367)),IF(Base_IFData!Q1367&gt;0,Base_IFData!O1367/Base_IFData!Q1367,"PL ≤ 0"),"NI")</f>
        <v>0.45564596150029768</v>
      </c>
      <c r="O1366" s="110">
        <f>IF(AND(ISNUMBER(Base_IFData!M1367),ISNUMBER(Base_IFData!Q1367)),IF(Base_IFData!Q1367&gt;0,Base_IFData!M1367/Base_IFData!Q1367,"PL ≤ 0"),"NI")</f>
        <v>9.1287953959118873E-2</v>
      </c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</row>
    <row r="1367" spans="1:30" ht="15" customHeight="1" x14ac:dyDescent="0.2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15" t="str">
        <f>Base_IFData!A1368</f>
        <v>ATLANTA SOCIEDADE DE CRÉDITO AO MICROEMPREENDEDOR LTDA</v>
      </c>
      <c r="L1367" s="15" t="str">
        <f>Base_IFData!F1368</f>
        <v>n1</v>
      </c>
      <c r="M1367" s="17" t="str">
        <f>IF(AND(ISNUMBER(Base_IFData!L1368),ISNUMBER(Base_IFData!W1368)),IF(Base_IFData!L1368&gt;$B$4,Base_IFData!W1368,""),"")</f>
        <v/>
      </c>
      <c r="N1367" s="50">
        <f>IF(AND(ISNUMBER(Base_IFData!O1368),ISNUMBER(Base_IFData!Q1368)),IF(Base_IFData!Q1368&gt;0,Base_IFData!O1368/Base_IFData!Q1368,"PL ≤ 0"),"NI")</f>
        <v>3.7373211963589075</v>
      </c>
      <c r="O1367" s="107">
        <f>IF(AND(ISNUMBER(Base_IFData!M1368),ISNUMBER(Base_IFData!Q1368)),IF(Base_IFData!Q1368&gt;0,Base_IFData!M1368/Base_IFData!Q1368,"PL ≤ 0"),"NI")</f>
        <v>0</v>
      </c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</row>
    <row r="1368" spans="1:30" ht="15" customHeight="1" x14ac:dyDescent="0.2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12" t="str">
        <f>Base_IFData!A1369</f>
        <v>NEON CORRETORA DE TÍTULOS E VALORES MOBILIÁRIOS S.A.</v>
      </c>
      <c r="L1368" s="12" t="str">
        <f>Base_IFData!F1369</f>
        <v>n2</v>
      </c>
      <c r="M1368" s="14" t="str">
        <f>IF(AND(ISNUMBER(Base_IFData!L1369),ISNUMBER(Base_IFData!W1369)),IF(Base_IFData!L1369&gt;$B$4,Base_IFData!W1369,""),"")</f>
        <v/>
      </c>
      <c r="N1368" s="51">
        <f>IF(AND(ISNUMBER(Base_IFData!O1369),ISNUMBER(Base_IFData!Q1369)),IF(Base_IFData!Q1369&gt;0,Base_IFData!O1369/Base_IFData!Q1369,"PL ≤ 0"),"NI")</f>
        <v>1.3638920134983128E-2</v>
      </c>
      <c r="O1368" s="110">
        <f>IF(AND(ISNUMBER(Base_IFData!M1369),ISNUMBER(Base_IFData!Q1369)),IF(Base_IFData!Q1369&gt;0,Base_IFData!M1369/Base_IFData!Q1369,"PL ≤ 0"),"NI")</f>
        <v>0</v>
      </c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</row>
    <row r="1369" spans="1:30" ht="15" customHeight="1" x14ac:dyDescent="0.2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15" t="str">
        <f>Base_IFData!A1370</f>
        <v>COOPERATIVA DE ECONOMIA E CRÉDITO MÚTUO DOS EMPREGADOS DA MOSAIC FERTILIZANTES DE UBERABA - COPERURA LTDA.</v>
      </c>
      <c r="L1369" s="15" t="str">
        <f>Base_IFData!F1370</f>
        <v>b3S</v>
      </c>
      <c r="M1369" s="17" t="str">
        <f>IF(AND(ISNUMBER(Base_IFData!L1370),ISNUMBER(Base_IFData!W1370)),IF(Base_IFData!L1370&gt;$B$4,Base_IFData!W1370,""),"")</f>
        <v/>
      </c>
      <c r="N1369" s="50">
        <f>IF(AND(ISNUMBER(Base_IFData!O1370),ISNUMBER(Base_IFData!Q1370)),IF(Base_IFData!Q1370&gt;0,Base_IFData!O1370/Base_IFData!Q1370,"PL ≤ 0"),"NI")</f>
        <v>4.8166472642607684E-2</v>
      </c>
      <c r="O1369" s="107">
        <f>IF(AND(ISNUMBER(Base_IFData!M1370),ISNUMBER(Base_IFData!Q1370)),IF(Base_IFData!Q1370&gt;0,Base_IFData!M1370/Base_IFData!Q1370,"PL ≤ 0"),"NI")</f>
        <v>0.42942374854481957</v>
      </c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</row>
    <row r="1370" spans="1:30" ht="15" customHeight="1" x14ac:dyDescent="0.2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12" t="str">
        <f>Base_IFData!A1371</f>
        <v>COOPERATIVA DE ECONOMIA E CRÉDITO MÚTUO DOS EMPREGADOS DA EATON</v>
      </c>
      <c r="L1370" s="12" t="str">
        <f>Base_IFData!F1371</f>
        <v>b3S</v>
      </c>
      <c r="M1370" s="14" t="str">
        <f>IF(AND(ISNUMBER(Base_IFData!L1371),ISNUMBER(Base_IFData!W1371)),IF(Base_IFData!L1371&gt;$B$4,Base_IFData!W1371,""),"")</f>
        <v/>
      </c>
      <c r="N1370" s="51">
        <f>IF(AND(ISNUMBER(Base_IFData!O1371),ISNUMBER(Base_IFData!Q1371)),IF(Base_IFData!Q1371&gt;0,Base_IFData!O1371/Base_IFData!Q1371,"PL ≤ 0"),"NI")</f>
        <v>5.9613398258816584E-2</v>
      </c>
      <c r="O1370" s="110">
        <f>IF(AND(ISNUMBER(Base_IFData!M1371),ISNUMBER(Base_IFData!Q1371)),IF(Base_IFData!Q1371&gt;0,Base_IFData!M1371/Base_IFData!Q1371,"PL ≤ 0"),"NI")</f>
        <v>0.57768924302788849</v>
      </c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</row>
    <row r="1371" spans="1:30" ht="15" customHeight="1" x14ac:dyDescent="0.2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15" t="str">
        <f>Base_IFData!A1372</f>
        <v>BANSUR JM SOCIEDADE DE CRÉDITO DIRETO S/A</v>
      </c>
      <c r="L1371" s="15" t="str">
        <f>Base_IFData!F1372</f>
        <v>n1</v>
      </c>
      <c r="M1371" s="17" t="str">
        <f>IF(AND(ISNUMBER(Base_IFData!L1372),ISNUMBER(Base_IFData!W1372)),IF(Base_IFData!L1372&gt;$B$4,Base_IFData!W1372,""),"")</f>
        <v/>
      </c>
      <c r="N1371" s="50">
        <f>IF(AND(ISNUMBER(Base_IFData!O1372),ISNUMBER(Base_IFData!Q1372)),IF(Base_IFData!Q1372&gt;0,Base_IFData!O1372/Base_IFData!Q1372,"PL ≤ 0"),"NI")</f>
        <v>2.1352313167259787E-2</v>
      </c>
      <c r="O1371" s="107">
        <f>IF(AND(ISNUMBER(Base_IFData!M1372),ISNUMBER(Base_IFData!Q1372)),IF(Base_IFData!Q1372&gt;0,Base_IFData!M1372/Base_IFData!Q1372,"PL ≤ 0"),"NI")</f>
        <v>0.73807829181494666</v>
      </c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</row>
    <row r="1372" spans="1:30" ht="15" customHeight="1" x14ac:dyDescent="0.2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12" t="str">
        <f>Base_IFData!A1373</f>
        <v>TROCKA CORRETORA DE CAMBIO LTDA.</v>
      </c>
      <c r="L1372" s="12" t="str">
        <f>Base_IFData!F1373</f>
        <v>n2</v>
      </c>
      <c r="M1372" s="14" t="str">
        <f>IF(AND(ISNUMBER(Base_IFData!L1373),ISNUMBER(Base_IFData!W1373)),IF(Base_IFData!L1373&gt;$B$4,Base_IFData!W1373,""),"")</f>
        <v/>
      </c>
      <c r="N1372" s="51">
        <f>IF(AND(ISNUMBER(Base_IFData!O1373),ISNUMBER(Base_IFData!Q1373)),IF(Base_IFData!Q1373&gt;0,Base_IFData!O1373/Base_IFData!Q1373,"PL ≤ 0"),"NI")</f>
        <v>1.2156985871271586</v>
      </c>
      <c r="O1372" s="110">
        <f>IF(AND(ISNUMBER(Base_IFData!M1373),ISNUMBER(Base_IFData!Q1373)),IF(Base_IFData!Q1373&gt;0,Base_IFData!M1373/Base_IFData!Q1373,"PL ≤ 0"),"NI")</f>
        <v>0</v>
      </c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</row>
    <row r="1373" spans="1:30" ht="15" customHeight="1" x14ac:dyDescent="0.2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15" t="str">
        <f>Base_IFData!A1374</f>
        <v>COOPERATIVA DE ECONOMIA E CREDITO MUTUO DOS EMPREGADOS DAS EMPRESAS DE TRANSPORTES COLETIVOS RODOVIÁRIOS DE PASSAGEIROS DO GRANDE RIO LTDA</v>
      </c>
      <c r="L1373" s="15" t="str">
        <f>Base_IFData!F1374</f>
        <v>b3S</v>
      </c>
      <c r="M1373" s="17" t="str">
        <f>IF(AND(ISNUMBER(Base_IFData!L1374),ISNUMBER(Base_IFData!W1374)),IF(Base_IFData!L1374&gt;$B$4,Base_IFData!W1374,""),"")</f>
        <v/>
      </c>
      <c r="N1373" s="50">
        <f>IF(AND(ISNUMBER(Base_IFData!O1374),ISNUMBER(Base_IFData!Q1374)),IF(Base_IFData!Q1374&gt;0,Base_IFData!O1374/Base_IFData!Q1374,"PL ≤ 0"),"NI")</f>
        <v>9.0494176896443179E-2</v>
      </c>
      <c r="O1373" s="107">
        <f>IF(AND(ISNUMBER(Base_IFData!M1374),ISNUMBER(Base_IFData!Q1374)),IF(Base_IFData!Q1374&gt;0,Base_IFData!M1374/Base_IFData!Q1374,"PL ≤ 0"),"NI")</f>
        <v>0.30925401322001889</v>
      </c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</row>
    <row r="1374" spans="1:30" ht="15" customHeight="1" x14ac:dyDescent="0.2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12" t="str">
        <f>Base_IFData!A1375</f>
        <v>GLOBAL INVESTMENT SERVICES DISTRIBUIDORA DE TÍTULOS E VALORES MOBILIÁRIOS LTDA.</v>
      </c>
      <c r="L1374" s="12" t="str">
        <f>Base_IFData!F1375</f>
        <v>n2</v>
      </c>
      <c r="M1374" s="14" t="str">
        <f>IF(AND(ISNUMBER(Base_IFData!L1375),ISNUMBER(Base_IFData!W1375)),IF(Base_IFData!L1375&gt;$B$4,Base_IFData!W1375,""),"")</f>
        <v/>
      </c>
      <c r="N1374" s="51">
        <f>IF(AND(ISNUMBER(Base_IFData!O1375),ISNUMBER(Base_IFData!Q1375)),IF(Base_IFData!Q1375&gt;0,Base_IFData!O1375/Base_IFData!Q1375,"PL ≤ 0"),"NI")</f>
        <v>0.14278639815120503</v>
      </c>
      <c r="O1374" s="110">
        <f>IF(AND(ISNUMBER(Base_IFData!M1375),ISNUMBER(Base_IFData!Q1375)),IF(Base_IFData!Q1375&gt;0,Base_IFData!M1375/Base_IFData!Q1375,"PL ≤ 0"),"NI")</f>
        <v>0</v>
      </c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</row>
    <row r="1375" spans="1:30" ht="15" customHeight="1" x14ac:dyDescent="0.2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15" t="str">
        <f>Base_IFData!A1376</f>
        <v>COOPERATIVA DE ECONOMIA E CREDITO MÚTUO DOS PROFESSORES ESTADUAIS DA REGIÃO METROPOLITANA DE PORTO ALEGRE - EDUCREDI</v>
      </c>
      <c r="L1375" s="15" t="str">
        <f>Base_IFData!F1376</f>
        <v>b3S</v>
      </c>
      <c r="M1375" s="17" t="str">
        <f>IF(AND(ISNUMBER(Base_IFData!L1376),ISNUMBER(Base_IFData!W1376)),IF(Base_IFData!L1376&gt;$B$4,Base_IFData!W1376,""),"")</f>
        <v/>
      </c>
      <c r="N1375" s="50">
        <f>IF(AND(ISNUMBER(Base_IFData!O1376),ISNUMBER(Base_IFData!Q1376)),IF(Base_IFData!Q1376&gt;0,Base_IFData!O1376/Base_IFData!Q1376,"PL ≤ 0"),"NI")</f>
        <v>0.14134742404227213</v>
      </c>
      <c r="O1375" s="107">
        <f>IF(AND(ISNUMBER(Base_IFData!M1376),ISNUMBER(Base_IFData!Q1376)),IF(Base_IFData!Q1376&gt;0,Base_IFData!M1376/Base_IFData!Q1376,"PL ≤ 0"),"NI")</f>
        <v>0.14844782034346102</v>
      </c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</row>
    <row r="1376" spans="1:30" ht="15" customHeight="1" x14ac:dyDescent="0.2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12" t="str">
        <f>Base_IFData!A1377</f>
        <v>FOURTRADE CORRETORA DE CÂMBIO LTDA.</v>
      </c>
      <c r="L1376" s="12" t="str">
        <f>Base_IFData!F1377</f>
        <v>n2</v>
      </c>
      <c r="M1376" s="14" t="str">
        <f>IF(AND(ISNUMBER(Base_IFData!L1377),ISNUMBER(Base_IFData!W1377)),IF(Base_IFData!L1377&gt;$B$4,Base_IFData!W1377,""),"")</f>
        <v/>
      </c>
      <c r="N1376" s="51">
        <f>IF(AND(ISNUMBER(Base_IFData!O1377),ISNUMBER(Base_IFData!Q1377)),IF(Base_IFData!Q1377&gt;0,Base_IFData!O1377/Base_IFData!Q1377,"PL ≤ 0"),"NI")</f>
        <v>0.4054164121360212</v>
      </c>
      <c r="O1376" s="110">
        <f>IF(AND(ISNUMBER(Base_IFData!M1377),ISNUMBER(Base_IFData!Q1377)),IF(Base_IFData!Q1377&gt;0,Base_IFData!M1377/Base_IFData!Q1377,"PL ≤ 0"),"NI")</f>
        <v>0</v>
      </c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</row>
    <row r="1377" spans="1:30" ht="15" customHeight="1" x14ac:dyDescent="0.2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15" t="str">
        <f>Base_IFData!A1378</f>
        <v>COOPERATIVA DE CRÉDITO DOS EMPREGADOS DA COMPANHIA INDUSTRIAL CATAGUASES E DA BAUMINAS - COOPECIC</v>
      </c>
      <c r="L1377" s="15" t="str">
        <f>Base_IFData!F1378</f>
        <v>b3S</v>
      </c>
      <c r="M1377" s="17" t="str">
        <f>IF(AND(ISNUMBER(Base_IFData!L1378),ISNUMBER(Base_IFData!W1378)),IF(Base_IFData!L1378&gt;$B$4,Base_IFData!W1378,""),"")</f>
        <v/>
      </c>
      <c r="N1377" s="50">
        <f>IF(AND(ISNUMBER(Base_IFData!O1378),ISNUMBER(Base_IFData!Q1378)),IF(Base_IFData!Q1378&gt;0,Base_IFData!O1378/Base_IFData!Q1378,"PL ≤ 0"),"NI")</f>
        <v>0.19874147876245413</v>
      </c>
      <c r="O1377" s="107">
        <f>IF(AND(ISNUMBER(Base_IFData!M1378),ISNUMBER(Base_IFData!Q1378)),IF(Base_IFData!Q1378&gt;0,Base_IFData!M1378/Base_IFData!Q1378,"PL ≤ 0"),"NI")</f>
        <v>0.75144205558468802</v>
      </c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</row>
    <row r="1378" spans="1:30" ht="15" customHeight="1" x14ac:dyDescent="0.2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12" t="str">
        <f>Base_IFData!A1379</f>
        <v>VR DISTRIBUIDORA DE TÍTULOS E VALORES MOBILIÁRIOS LTDA.</v>
      </c>
      <c r="L1378" s="12" t="str">
        <f>Base_IFData!F1379</f>
        <v>n2</v>
      </c>
      <c r="M1378" s="14" t="str">
        <f>IF(AND(ISNUMBER(Base_IFData!L1379),ISNUMBER(Base_IFData!W1379)),IF(Base_IFData!L1379&gt;$B$4,Base_IFData!W1379,""),"")</f>
        <v/>
      </c>
      <c r="N1378" s="51">
        <f>IF(AND(ISNUMBER(Base_IFData!O1379),ISNUMBER(Base_IFData!Q1379)),IF(Base_IFData!Q1379&gt;0,Base_IFData!O1379/Base_IFData!Q1379,"PL ≤ 0"),"NI")</f>
        <v>1.7032720753025549E-2</v>
      </c>
      <c r="O1378" s="110">
        <f>IF(AND(ISNUMBER(Base_IFData!M1379),ISNUMBER(Base_IFData!Q1379)),IF(Base_IFData!Q1379&gt;0,Base_IFData!M1379/Base_IFData!Q1379,"PL ≤ 0"),"NI")</f>
        <v>0</v>
      </c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</row>
    <row r="1379" spans="1:30" ht="15" customHeight="1" x14ac:dyDescent="0.2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15" t="str">
        <f>Base_IFData!A1380</f>
        <v>VÓRTX SOCIEDADE DE CRÉDITO DIRETO S.A.</v>
      </c>
      <c r="L1379" s="15" t="str">
        <f>Base_IFData!F1380</f>
        <v>n1</v>
      </c>
      <c r="M1379" s="17" t="str">
        <f>IF(AND(ISNUMBER(Base_IFData!L1380),ISNUMBER(Base_IFData!W1380)),IF(Base_IFData!L1380&gt;$B$4,Base_IFData!W1380,""),"")</f>
        <v/>
      </c>
      <c r="N1379" s="50">
        <f>IF(AND(ISNUMBER(Base_IFData!O1380),ISNUMBER(Base_IFData!Q1380)),IF(Base_IFData!Q1380&gt;0,Base_IFData!O1380/Base_IFData!Q1380,"PL ≤ 0"),"NI")</f>
        <v>5.0674105067410505E-2</v>
      </c>
      <c r="O1379" s="107">
        <f>IF(AND(ISNUMBER(Base_IFData!M1380),ISNUMBER(Base_IFData!Q1380)),IF(Base_IFData!Q1380&gt;0,Base_IFData!M1380/Base_IFData!Q1380,"PL ≤ 0"),"NI")</f>
        <v>0</v>
      </c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</row>
    <row r="1380" spans="1:30" ht="15" customHeight="1" x14ac:dyDescent="0.2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12" t="str">
        <f>Base_IFData!A1381</f>
        <v>COOPERATIVA DE ECONOMIA E CRÉDITO MÚTUO DOS EMPREGADOS DAS INDÚSTRIAS UNILEVER DO BRASIL</v>
      </c>
      <c r="L1380" s="12" t="str">
        <f>Base_IFData!F1381</f>
        <v>b3S</v>
      </c>
      <c r="M1380" s="14" t="str">
        <f>IF(AND(ISNUMBER(Base_IFData!L1381),ISNUMBER(Base_IFData!W1381)),IF(Base_IFData!L1381&gt;$B$4,Base_IFData!W1381,""),"")</f>
        <v/>
      </c>
      <c r="N1380" s="51">
        <f>IF(AND(ISNUMBER(Base_IFData!O1381),ISNUMBER(Base_IFData!Q1381)),IF(Base_IFData!Q1381&gt;0,Base_IFData!O1381/Base_IFData!Q1381,"PL ≤ 0"),"NI")</f>
        <v>9.6620734908136482E-2</v>
      </c>
      <c r="O1380" s="110">
        <f>IF(AND(ISNUMBER(Base_IFData!M1381),ISNUMBER(Base_IFData!Q1381)),IF(Base_IFData!Q1381&gt;0,Base_IFData!M1381/Base_IFData!Q1381,"PL ≤ 0"),"NI")</f>
        <v>0.57463910761154857</v>
      </c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</row>
    <row r="1381" spans="1:30" ht="15" customHeight="1" x14ac:dyDescent="0.2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15" t="str">
        <f>Base_IFData!A1382</f>
        <v>COOPERATIVA DE ECONOMIA E CRÉDITO MÚTUO DOS EMPREGADOS DA MAGNESITA REFRATÁRIOS S.A. LTDA. - CECREM</v>
      </c>
      <c r="L1381" s="15" t="str">
        <f>Base_IFData!F1382</f>
        <v>b3S</v>
      </c>
      <c r="M1381" s="17" t="str">
        <f>IF(AND(ISNUMBER(Base_IFData!L1382),ISNUMBER(Base_IFData!W1382)),IF(Base_IFData!L1382&gt;$B$4,Base_IFData!W1382,""),"")</f>
        <v/>
      </c>
      <c r="N1381" s="50">
        <f>IF(AND(ISNUMBER(Base_IFData!O1382),ISNUMBER(Base_IFData!Q1382)),IF(Base_IFData!Q1382&gt;0,Base_IFData!O1382/Base_IFData!Q1382,"PL ≤ 0"),"NI")</f>
        <v>8.9486552567237157E-2</v>
      </c>
      <c r="O1381" s="107">
        <f>IF(AND(ISNUMBER(Base_IFData!M1382),ISNUMBER(Base_IFData!Q1382)),IF(Base_IFData!Q1382&gt;0,Base_IFData!M1382/Base_IFData!Q1382,"PL ≤ 0"),"NI")</f>
        <v>0.26682966585167073</v>
      </c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</row>
    <row r="1382" spans="1:30" ht="15" customHeight="1" x14ac:dyDescent="0.2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12" t="str">
        <f>Base_IFData!A1383</f>
        <v>PALMA SOCIEDADE DE CRÉDITO DIRETO S.A.</v>
      </c>
      <c r="L1382" s="12" t="str">
        <f>Base_IFData!F1383</f>
        <v>n1</v>
      </c>
      <c r="M1382" s="14" t="str">
        <f>IF(AND(ISNUMBER(Base_IFData!L1383),ISNUMBER(Base_IFData!W1383)),IF(Base_IFData!L1383&gt;$B$4,Base_IFData!W1383,""),"")</f>
        <v/>
      </c>
      <c r="N1382" s="51">
        <f>IF(AND(ISNUMBER(Base_IFData!O1383),ISNUMBER(Base_IFData!Q1383)),IF(Base_IFData!Q1383&gt;0,Base_IFData!O1383/Base_IFData!Q1383,"PL ≤ 0"),"NI")</f>
        <v>3.5680751173708919E-2</v>
      </c>
      <c r="O1382" s="110">
        <f>IF(AND(ISNUMBER(Base_IFData!M1383),ISNUMBER(Base_IFData!Q1383)),IF(Base_IFData!Q1383&gt;0,Base_IFData!M1383/Base_IFData!Q1383,"PL ≤ 0"),"NI")</f>
        <v>1.8153364632237871E-2</v>
      </c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</row>
    <row r="1383" spans="1:30" ht="15" customHeight="1" x14ac:dyDescent="0.2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15" t="str">
        <f>Base_IFData!A1384</f>
        <v>COOPERATIVA DE CRÉDITO MÚTUO DOS FUNCIONÁRIOS DA RICLAN</v>
      </c>
      <c r="L1383" s="15" t="str">
        <f>Base_IFData!F1384</f>
        <v>b3S</v>
      </c>
      <c r="M1383" s="17" t="str">
        <f>IF(AND(ISNUMBER(Base_IFData!L1384),ISNUMBER(Base_IFData!W1384)),IF(Base_IFData!L1384&gt;$B$4,Base_IFData!W1384,""),"")</f>
        <v/>
      </c>
      <c r="N1383" s="50">
        <f>IF(AND(ISNUMBER(Base_IFData!O1384),ISNUMBER(Base_IFData!Q1384)),IF(Base_IFData!Q1384&gt;0,Base_IFData!O1384/Base_IFData!Q1384,"PL ≤ 0"),"NI")</f>
        <v>8.6235216819973717E-2</v>
      </c>
      <c r="O1383" s="107">
        <f>IF(AND(ISNUMBER(Base_IFData!M1384),ISNUMBER(Base_IFData!Q1384)),IF(Base_IFData!Q1384&gt;0,Base_IFData!M1384/Base_IFData!Q1384,"PL ≤ 0"),"NI")</f>
        <v>0.47076215505913271</v>
      </c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</row>
    <row r="1384" spans="1:30" ht="15" customHeight="1" x14ac:dyDescent="0.2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12" t="str">
        <f>Base_IFData!A1385</f>
        <v>TURCÂMBIO - SOCIEDADE CORRETORA DE CÂMBIO LTDA.</v>
      </c>
      <c r="L1384" s="12" t="str">
        <f>Base_IFData!F1385</f>
        <v>n2</v>
      </c>
      <c r="M1384" s="14" t="str">
        <f>IF(AND(ISNUMBER(Base_IFData!L1385),ISNUMBER(Base_IFData!W1385)),IF(Base_IFData!L1385&gt;$B$4,Base_IFData!W1385,""),"")</f>
        <v/>
      </c>
      <c r="N1384" s="51">
        <f>IF(AND(ISNUMBER(Base_IFData!O1385),ISNUMBER(Base_IFData!Q1385)),IF(Base_IFData!Q1385&gt;0,Base_IFData!O1385/Base_IFData!Q1385,"PL ≤ 0"),"NI")</f>
        <v>0.28305621536025338</v>
      </c>
      <c r="O1384" s="110">
        <f>IF(AND(ISNUMBER(Base_IFData!M1385),ISNUMBER(Base_IFData!Q1385)),IF(Base_IFData!Q1385&gt;0,Base_IFData!M1385/Base_IFData!Q1385,"PL ≤ 0"),"NI")</f>
        <v>0</v>
      </c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</row>
    <row r="1385" spans="1:30" ht="15" customHeight="1" x14ac:dyDescent="0.2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15" t="str">
        <f>Base_IFData!A1386</f>
        <v>MONOPÓLIO CORRETORA DE CÂMBIO LTDA.</v>
      </c>
      <c r="L1385" s="15" t="str">
        <f>Base_IFData!F1386</f>
        <v>n2</v>
      </c>
      <c r="M1385" s="17" t="str">
        <f>IF(AND(ISNUMBER(Base_IFData!L1386),ISNUMBER(Base_IFData!W1386)),IF(Base_IFData!L1386&gt;$B$4,Base_IFData!W1386,""),"")</f>
        <v/>
      </c>
      <c r="N1385" s="50">
        <f>IF(AND(ISNUMBER(Base_IFData!O1386),ISNUMBER(Base_IFData!Q1386)),IF(Base_IFData!Q1386&gt;0,Base_IFData!O1386/Base_IFData!Q1386,"PL ≤ 0"),"NI")</f>
        <v>0.32602853008062849</v>
      </c>
      <c r="O1385" s="107">
        <f>IF(AND(ISNUMBER(Base_IFData!M1386),ISNUMBER(Base_IFData!Q1386)),IF(Base_IFData!Q1386&gt;0,Base_IFData!M1386/Base_IFData!Q1386,"PL ≤ 0"),"NI")</f>
        <v>0</v>
      </c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</row>
    <row r="1386" spans="1:30" ht="15" customHeight="1" x14ac:dyDescent="0.2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12" t="str">
        <f>Base_IFData!A1387</f>
        <v>COOPERATIVA DE ECONOMIA E CRÉDITO MÚTUO DOS FUNCIONÁRIOS DAS EMPRESAS ITAÚ</v>
      </c>
      <c r="L1386" s="12" t="str">
        <f>Base_IFData!F1387</f>
        <v>b3S</v>
      </c>
      <c r="M1386" s="14" t="str">
        <f>IF(AND(ISNUMBER(Base_IFData!L1387),ISNUMBER(Base_IFData!W1387)),IF(Base_IFData!L1387&gt;$B$4,Base_IFData!W1387,""),"")</f>
        <v/>
      </c>
      <c r="N1386" s="51">
        <f>IF(AND(ISNUMBER(Base_IFData!O1387),ISNUMBER(Base_IFData!Q1387)),IF(Base_IFData!Q1387&gt;0,Base_IFData!O1387/Base_IFData!Q1387,"PL ≤ 0"),"NI")</f>
        <v>0.11581330546847789</v>
      </c>
      <c r="O1386" s="110">
        <f>IF(AND(ISNUMBER(Base_IFData!M1387),ISNUMBER(Base_IFData!Q1387)),IF(Base_IFData!Q1387&gt;0,Base_IFData!M1387/Base_IFData!Q1387,"PL ≤ 0"),"NI")</f>
        <v>0.28213166144200624</v>
      </c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</row>
    <row r="1387" spans="1:30" ht="15" customHeight="1" x14ac:dyDescent="0.2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15" t="str">
        <f>Base_IFData!A1388</f>
        <v>TINO SOCIEDADE DE CRÉDITO DIRETO S.A.</v>
      </c>
      <c r="L1387" s="15" t="str">
        <f>Base_IFData!F1388</f>
        <v>n1</v>
      </c>
      <c r="M1387" s="17" t="str">
        <f>IF(AND(ISNUMBER(Base_IFData!L1388),ISNUMBER(Base_IFData!W1388)),IF(Base_IFData!L1388&gt;$B$4,Base_IFData!W1388,""),"")</f>
        <v/>
      </c>
      <c r="N1387" s="50">
        <f>IF(AND(ISNUMBER(Base_IFData!O1388),ISNUMBER(Base_IFData!Q1388)),IF(Base_IFData!Q1388&gt;0,Base_IFData!O1388/Base_IFData!Q1388,"PL ≤ 0"),"NI")</f>
        <v>6.2804207881928084E-4</v>
      </c>
      <c r="O1387" s="107">
        <f>IF(AND(ISNUMBER(Base_IFData!M1388),ISNUMBER(Base_IFData!Q1388)),IF(Base_IFData!Q1388&gt;0,Base_IFData!M1388/Base_IFData!Q1388,"PL ≤ 0"),"NI")</f>
        <v>0</v>
      </c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</row>
    <row r="1388" spans="1:30" ht="15" customHeight="1" x14ac:dyDescent="0.2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12" t="str">
        <f>Base_IFData!A1389</f>
        <v>NIKOS DISTRIBUIDORA DE TÍTULOS E VALORES MOBILIÁRIOS LTDA.</v>
      </c>
      <c r="L1388" s="12" t="str">
        <f>Base_IFData!F1389</f>
        <v>n2</v>
      </c>
      <c r="M1388" s="14" t="str">
        <f>IF(AND(ISNUMBER(Base_IFData!L1389),ISNUMBER(Base_IFData!W1389)),IF(Base_IFData!L1389&gt;$B$4,Base_IFData!W1389,""),"")</f>
        <v/>
      </c>
      <c r="N1388" s="51">
        <f>IF(AND(ISNUMBER(Base_IFData!O1389),ISNUMBER(Base_IFData!Q1389)),IF(Base_IFData!Q1389&gt;0,Base_IFData!O1389/Base_IFData!Q1389,"PL ≤ 0"),"NI")</f>
        <v>0.56380857427716846</v>
      </c>
      <c r="O1388" s="110">
        <f>IF(AND(ISNUMBER(Base_IFData!M1389),ISNUMBER(Base_IFData!Q1389)),IF(Base_IFData!Q1389&gt;0,Base_IFData!M1389/Base_IFData!Q1389,"PL ≤ 0"),"NI")</f>
        <v>0</v>
      </c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</row>
    <row r="1389" spans="1:30" ht="15" customHeight="1" x14ac:dyDescent="0.2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15" t="str">
        <f>Base_IFData!A1390</f>
        <v>4UM DISTRIBUIDORA DE TÍTULOS E VALORES MOBILIÁRIOS S.A.</v>
      </c>
      <c r="L1389" s="15" t="str">
        <f>Base_IFData!F1390</f>
        <v>n2</v>
      </c>
      <c r="M1389" s="17" t="str">
        <f>IF(AND(ISNUMBER(Base_IFData!L1390),ISNUMBER(Base_IFData!W1390)),IF(Base_IFData!L1390&gt;$B$4,Base_IFData!W1390,""),"")</f>
        <v/>
      </c>
      <c r="N1389" s="50">
        <f>IF(AND(ISNUMBER(Base_IFData!O1390),ISNUMBER(Base_IFData!Q1390)),IF(Base_IFData!Q1390&gt;0,Base_IFData!O1390/Base_IFData!Q1390,"PL ≤ 0"),"NI")</f>
        <v>8.0461750516884908E-2</v>
      </c>
      <c r="O1389" s="107">
        <f>IF(AND(ISNUMBER(Base_IFData!M1390),ISNUMBER(Base_IFData!Q1390)),IF(Base_IFData!Q1390&gt;0,Base_IFData!M1390/Base_IFData!Q1390,"PL ≤ 0"),"NI")</f>
        <v>0</v>
      </c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</row>
    <row r="1390" spans="1:30" ht="15" customHeight="1" x14ac:dyDescent="0.2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12" t="str">
        <f>Base_IFData!A1391</f>
        <v>RAPIDIUM SOCIEDADE DE CRÉDITO AO MICROEMPREENDEDOR E À EMPRESA DE PEQUENO PORTE S.A.</v>
      </c>
      <c r="L1390" s="12" t="str">
        <f>Base_IFData!F1391</f>
        <v>n1</v>
      </c>
      <c r="M1390" s="14" t="str">
        <f>IF(AND(ISNUMBER(Base_IFData!L1391),ISNUMBER(Base_IFData!W1391)),IF(Base_IFData!L1391&gt;$B$4,Base_IFData!W1391,""),"")</f>
        <v/>
      </c>
      <c r="N1390" s="51">
        <f>IF(AND(ISNUMBER(Base_IFData!O1391),ISNUMBER(Base_IFData!Q1391)),IF(Base_IFData!Q1391&gt;0,Base_IFData!O1391/Base_IFData!Q1391,"PL ≤ 0"),"NI")</f>
        <v>2.3278427205100956</v>
      </c>
      <c r="O1390" s="110">
        <f>IF(AND(ISNUMBER(Base_IFData!M1391),ISNUMBER(Base_IFData!Q1391)),IF(Base_IFData!Q1391&gt;0,Base_IFData!M1391/Base_IFData!Q1391,"PL ≤ 0"),"NI")</f>
        <v>1.7980871413390012</v>
      </c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</row>
    <row r="1391" spans="1:30" ht="15" customHeight="1" x14ac:dyDescent="0.2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15" t="str">
        <f>Base_IFData!A1392</f>
        <v>COOPERATIVA DE ECONOMIA E CRÉDITO MÚTUO DOS FUNCIONÁRIOS DO GRUPO MAUÁ E EMPRESAS COLIGADAS LTDA. - COOPMAUÁ</v>
      </c>
      <c r="L1391" s="15" t="str">
        <f>Base_IFData!F1392</f>
        <v>b3S</v>
      </c>
      <c r="M1391" s="17" t="str">
        <f>IF(AND(ISNUMBER(Base_IFData!L1392),ISNUMBER(Base_IFData!W1392)),IF(Base_IFData!L1392&gt;$B$4,Base_IFData!W1392,""),"")</f>
        <v/>
      </c>
      <c r="N1391" s="50">
        <f>IF(AND(ISNUMBER(Base_IFData!O1392),ISNUMBER(Base_IFData!Q1392)),IF(Base_IFData!Q1392&gt;0,Base_IFData!O1392/Base_IFData!Q1392,"PL ≤ 0"),"NI")</f>
        <v>0.16103896103896104</v>
      </c>
      <c r="O1391" s="107">
        <f>IF(AND(ISNUMBER(Base_IFData!M1392),ISNUMBER(Base_IFData!Q1392)),IF(Base_IFData!Q1392&gt;0,Base_IFData!M1392/Base_IFData!Q1392,"PL ≤ 0"),"NI")</f>
        <v>0.22467532467532467</v>
      </c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</row>
    <row r="1392" spans="1:30" ht="15" customHeight="1" x14ac:dyDescent="0.2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12" t="str">
        <f>Base_IFData!A1393</f>
        <v>BOA VIAGEM SOCIEDADE CORRETORA DE CÂMBIO LTDA.</v>
      </c>
      <c r="L1392" s="12" t="str">
        <f>Base_IFData!F1393</f>
        <v>n2</v>
      </c>
      <c r="M1392" s="14" t="str">
        <f>IF(AND(ISNUMBER(Base_IFData!L1393),ISNUMBER(Base_IFData!W1393)),IF(Base_IFData!L1393&gt;$B$4,Base_IFData!W1393,""),"")</f>
        <v/>
      </c>
      <c r="N1392" s="51">
        <f>IF(AND(ISNUMBER(Base_IFData!O1393),ISNUMBER(Base_IFData!Q1393)),IF(Base_IFData!Q1393&gt;0,Base_IFData!O1393/Base_IFData!Q1393,"PL ≤ 0"),"NI")</f>
        <v>0.21303501945525291</v>
      </c>
      <c r="O1392" s="110">
        <f>IF(AND(ISNUMBER(Base_IFData!M1393),ISNUMBER(Base_IFData!Q1393)),IF(Base_IFData!Q1393&gt;0,Base_IFData!M1393/Base_IFData!Q1393,"PL ≤ 0"),"NI")</f>
        <v>0</v>
      </c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</row>
    <row r="1393" spans="1:30" ht="15" customHeight="1" x14ac:dyDescent="0.2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15" t="str">
        <f>Base_IFData!A1394</f>
        <v>COOPERATIVA DE CRÉDITO MÚTUO DOS EMPREGADOS DA FIAÇÃO ALPINA - COOPERALPINA</v>
      </c>
      <c r="L1393" s="15" t="str">
        <f>Base_IFData!F1394</f>
        <v>b3S</v>
      </c>
      <c r="M1393" s="17" t="str">
        <f>IF(AND(ISNUMBER(Base_IFData!L1394),ISNUMBER(Base_IFData!W1394)),IF(Base_IFData!L1394&gt;$B$4,Base_IFData!W1394,""),"")</f>
        <v/>
      </c>
      <c r="N1393" s="50">
        <f>IF(AND(ISNUMBER(Base_IFData!O1394),ISNUMBER(Base_IFData!Q1394)),IF(Base_IFData!Q1394&gt;0,Base_IFData!O1394/Base_IFData!Q1394,"PL ≤ 0"),"NI")</f>
        <v>1.8007599537419462E-2</v>
      </c>
      <c r="O1393" s="107">
        <f>IF(AND(ISNUMBER(Base_IFData!M1394),ISNUMBER(Base_IFData!Q1394)),IF(Base_IFData!Q1394&gt;0,Base_IFData!M1394/Base_IFData!Q1394,"PL ≤ 0"),"NI")</f>
        <v>0.481744589459772</v>
      </c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</row>
    <row r="1394" spans="1:30" ht="15" customHeight="1" x14ac:dyDescent="0.2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12" t="str">
        <f>Base_IFData!A1395</f>
        <v>XP DISTRIBUIDORA DE TÍTULOS E VALORES MOBILIÁRIOS LTDA.</v>
      </c>
      <c r="L1394" s="12" t="str">
        <f>Base_IFData!F1395</f>
        <v>n2</v>
      </c>
      <c r="M1394" s="14" t="str">
        <f>IF(AND(ISNUMBER(Base_IFData!L1395),ISNUMBER(Base_IFData!W1395)),IF(Base_IFData!L1395&gt;$B$4,Base_IFData!W1395,""),"")</f>
        <v/>
      </c>
      <c r="N1394" s="51">
        <f>IF(AND(ISNUMBER(Base_IFData!O1395),ISNUMBER(Base_IFData!Q1395)),IF(Base_IFData!Q1395&gt;0,Base_IFData!O1395/Base_IFData!Q1395,"PL ≤ 0"),"NI")</f>
        <v>9.5836087243886311E-3</v>
      </c>
      <c r="O1394" s="110">
        <f>IF(AND(ISNUMBER(Base_IFData!M1395),ISNUMBER(Base_IFData!Q1395)),IF(Base_IFData!Q1395&gt;0,Base_IFData!M1395/Base_IFData!Q1395,"PL ≤ 0"),"NI")</f>
        <v>0</v>
      </c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</row>
    <row r="1395" spans="1:30" ht="15" customHeight="1" x14ac:dyDescent="0.2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15" t="str">
        <f>Base_IFData!A1396</f>
        <v>LEND INSTITUICAO DE PAGAMENTO LTDA</v>
      </c>
      <c r="L1395" s="15" t="str">
        <f>Base_IFData!F1396</f>
        <v>n4</v>
      </c>
      <c r="M1395" s="17" t="str">
        <f>IF(AND(ISNUMBER(Base_IFData!L1396),ISNUMBER(Base_IFData!W1396)),IF(Base_IFData!L1396&gt;$B$4,Base_IFData!W1396,""),"")</f>
        <v/>
      </c>
      <c r="N1395" s="50">
        <f>IF(AND(ISNUMBER(Base_IFData!O1396),ISNUMBER(Base_IFData!Q1396)),IF(Base_IFData!Q1396&gt;0,Base_IFData!O1396/Base_IFData!Q1396,"PL ≤ 0"),"NI")</f>
        <v>1.4665856622114217</v>
      </c>
      <c r="O1395" s="107">
        <f>IF(AND(ISNUMBER(Base_IFData!M1396),ISNUMBER(Base_IFData!Q1396)),IF(Base_IFData!Q1396&gt;0,Base_IFData!M1396/Base_IFData!Q1396,"PL ≤ 0"),"NI")</f>
        <v>0</v>
      </c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</row>
    <row r="1396" spans="1:30" ht="15" customHeight="1" x14ac:dyDescent="0.2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12" t="str">
        <f>Base_IFData!A1397</f>
        <v>WX INSTITUICAO DE PAGAMENTO LTDA</v>
      </c>
      <c r="L1396" s="12" t="str">
        <f>Base_IFData!F1397</f>
        <v>n4</v>
      </c>
      <c r="M1396" s="14" t="str">
        <f>IF(AND(ISNUMBER(Base_IFData!L1397),ISNUMBER(Base_IFData!W1397)),IF(Base_IFData!L1397&gt;$B$4,Base_IFData!W1397,""),"")</f>
        <v/>
      </c>
      <c r="N1396" s="51">
        <f>IF(AND(ISNUMBER(Base_IFData!O1397),ISNUMBER(Base_IFData!Q1397)),IF(Base_IFData!Q1397&gt;0,Base_IFData!O1397/Base_IFData!Q1397,"PL ≤ 0"),"NI")</f>
        <v>7.6247306481021047E-3</v>
      </c>
      <c r="O1396" s="110">
        <f>IF(AND(ISNUMBER(Base_IFData!M1397),ISNUMBER(Base_IFData!Q1397)),IF(Base_IFData!Q1397&gt;0,Base_IFData!M1397/Base_IFData!Q1397,"PL ≤ 0"),"NI")</f>
        <v>0</v>
      </c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</row>
    <row r="1397" spans="1:30" ht="15" customHeight="1" x14ac:dyDescent="0.2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15" t="str">
        <f>Base_IFData!A1398</f>
        <v>MONERY INSTITUICAO DE PAGAMENTO S.A.</v>
      </c>
      <c r="L1397" s="15" t="str">
        <f>Base_IFData!F1398</f>
        <v>n4</v>
      </c>
      <c r="M1397" s="17" t="str">
        <f>IF(AND(ISNUMBER(Base_IFData!L1398),ISNUMBER(Base_IFData!W1398)),IF(Base_IFData!L1398&gt;$B$4,Base_IFData!W1398,""),"")</f>
        <v/>
      </c>
      <c r="N1397" s="50">
        <f>IF(AND(ISNUMBER(Base_IFData!O1398),ISNUMBER(Base_IFData!Q1398)),IF(Base_IFData!Q1398&gt;0,Base_IFData!O1398/Base_IFData!Q1398,"PL ≤ 0"),"NI")</f>
        <v>3.3390410958904111E-2</v>
      </c>
      <c r="O1397" s="107">
        <f>IF(AND(ISNUMBER(Base_IFData!M1398),ISNUMBER(Base_IFData!Q1398)),IF(Base_IFData!Q1398&gt;0,Base_IFData!M1398/Base_IFData!Q1398,"PL ≤ 0"),"NI")</f>
        <v>0</v>
      </c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</row>
    <row r="1398" spans="1:30" ht="15" customHeight="1" x14ac:dyDescent="0.2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12" t="str">
        <f>Base_IFData!A1399</f>
        <v>ATUAL SOCIEDADE CORRETORA DE CÂMBIO LTDA</v>
      </c>
      <c r="L1398" s="12" t="str">
        <f>Base_IFData!F1399</f>
        <v>n2</v>
      </c>
      <c r="M1398" s="14" t="str">
        <f>IF(AND(ISNUMBER(Base_IFData!L1399),ISNUMBER(Base_IFData!W1399)),IF(Base_IFData!L1399&gt;$B$4,Base_IFData!W1399,""),"")</f>
        <v/>
      </c>
      <c r="N1398" s="51">
        <f>IF(AND(ISNUMBER(Base_IFData!O1399),ISNUMBER(Base_IFData!Q1399)),IF(Base_IFData!Q1399&gt;0,Base_IFData!O1399/Base_IFData!Q1399,"PL ≤ 0"),"NI")</f>
        <v>3.5253654342218402E-2</v>
      </c>
      <c r="O1398" s="110">
        <f>IF(AND(ISNUMBER(Base_IFData!M1399),ISNUMBER(Base_IFData!Q1399)),IF(Base_IFData!Q1399&gt;0,Base_IFData!M1399/Base_IFData!Q1399,"PL ≤ 0"),"NI")</f>
        <v>0</v>
      </c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</row>
    <row r="1399" spans="1:30" ht="15" customHeight="1" x14ac:dyDescent="0.2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15" t="str">
        <f>Base_IFData!A1400</f>
        <v>VUE INSTITUIÇÃO DE PAGAMENTO S.A.</v>
      </c>
      <c r="L1399" s="15" t="str">
        <f>Base_IFData!F1400</f>
        <v>n4</v>
      </c>
      <c r="M1399" s="17" t="str">
        <f>IF(AND(ISNUMBER(Base_IFData!L1400),ISNUMBER(Base_IFData!W1400)),IF(Base_IFData!L1400&gt;$B$4,Base_IFData!W1400,""),"")</f>
        <v/>
      </c>
      <c r="N1399" s="50">
        <f>IF(AND(ISNUMBER(Base_IFData!O1400),ISNUMBER(Base_IFData!Q1400)),IF(Base_IFData!Q1400&gt;0,Base_IFData!O1400/Base_IFData!Q1400,"PL ≤ 0"),"NI")</f>
        <v>2.6436977656489852E-2</v>
      </c>
      <c r="O1399" s="107">
        <f>IF(AND(ISNUMBER(Base_IFData!M1400),ISNUMBER(Base_IFData!Q1400)),IF(Base_IFData!Q1400&gt;0,Base_IFData!M1400/Base_IFData!Q1400,"PL ≤ 0"),"NI")</f>
        <v>0</v>
      </c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</row>
    <row r="1400" spans="1:30" ht="15" customHeight="1" x14ac:dyDescent="0.2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12" t="str">
        <f>Base_IFData!A1401</f>
        <v>MONETARIE SOCIEDADE DE CRÉDITO DIRETO S.A.</v>
      </c>
      <c r="L1400" s="12" t="str">
        <f>Base_IFData!F1401</f>
        <v>n1</v>
      </c>
      <c r="M1400" s="14" t="str">
        <f>IF(AND(ISNUMBER(Base_IFData!L1401),ISNUMBER(Base_IFData!W1401)),IF(Base_IFData!L1401&gt;$B$4,Base_IFData!W1401,""),"")</f>
        <v/>
      </c>
      <c r="N1400" s="51">
        <f>IF(AND(ISNUMBER(Base_IFData!O1401),ISNUMBER(Base_IFData!Q1401)),IF(Base_IFData!Q1401&gt;0,Base_IFData!O1401/Base_IFData!Q1401,"PL ≤ 0"),"NI")</f>
        <v>0.18730221518987342</v>
      </c>
      <c r="O1400" s="110">
        <f>IF(AND(ISNUMBER(Base_IFData!M1401),ISNUMBER(Base_IFData!Q1401)),IF(Base_IFData!Q1401&gt;0,Base_IFData!M1401/Base_IFData!Q1401,"PL ≤ 0"),"NI")</f>
        <v>0.18829113924050633</v>
      </c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</row>
    <row r="1401" spans="1:30" ht="15" customHeight="1" x14ac:dyDescent="0.2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15" t="str">
        <f>Base_IFData!A1402</f>
        <v>A COOPERATIVA DE ECONOMIA E CRÉDITO MÚTUO DOS FUNCIONÁRIOS DA BRAZIL GR LTDA.</v>
      </c>
      <c r="L1401" s="15" t="str">
        <f>Base_IFData!F1402</f>
        <v>b3S</v>
      </c>
      <c r="M1401" s="17" t="str">
        <f>IF(AND(ISNUMBER(Base_IFData!L1402),ISNUMBER(Base_IFData!W1402)),IF(Base_IFData!L1402&gt;$B$4,Base_IFData!W1402,""),"")</f>
        <v/>
      </c>
      <c r="N1401" s="50">
        <f>IF(AND(ISNUMBER(Base_IFData!O1402),ISNUMBER(Base_IFData!Q1402)),IF(Base_IFData!Q1402&gt;0,Base_IFData!O1402/Base_IFData!Q1402,"PL ≤ 0"),"NI")</f>
        <v>0.13947719900782293</v>
      </c>
      <c r="O1401" s="107">
        <f>IF(AND(ISNUMBER(Base_IFData!M1402),ISNUMBER(Base_IFData!Q1402)),IF(Base_IFData!Q1402&gt;0,Base_IFData!M1402/Base_IFData!Q1402,"PL ≤ 0"),"NI")</f>
        <v>0.5731730585766075</v>
      </c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</row>
    <row r="1402" spans="1:30" ht="15" customHeight="1" x14ac:dyDescent="0.2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12" t="str">
        <f>Base_IFData!A1403</f>
        <v>ARC CORRETORA DE CAMBIO, ASSOCIADOS GOUVEIA, CAMPEDELLI S.A.</v>
      </c>
      <c r="L1402" s="12" t="str">
        <f>Base_IFData!F1403</f>
        <v>n2</v>
      </c>
      <c r="M1402" s="14" t="str">
        <f>IF(AND(ISNUMBER(Base_IFData!L1403),ISNUMBER(Base_IFData!W1403)),IF(Base_IFData!L1403&gt;$B$4,Base_IFData!W1403,""),"")</f>
        <v/>
      </c>
      <c r="N1402" s="51">
        <f>IF(AND(ISNUMBER(Base_IFData!O1403),ISNUMBER(Base_IFData!Q1403)),IF(Base_IFData!Q1403&gt;0,Base_IFData!O1403/Base_IFData!Q1403,"PL ≤ 0"),"NI")</f>
        <v>0.26855198809270681</v>
      </c>
      <c r="O1402" s="110">
        <f>IF(AND(ISNUMBER(Base_IFData!M1403),ISNUMBER(Base_IFData!Q1403)),IF(Base_IFData!Q1403&gt;0,Base_IFData!M1403/Base_IFData!Q1403,"PL ≤ 0"),"NI")</f>
        <v>0</v>
      </c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</row>
    <row r="1403" spans="1:30" ht="15" customHeight="1" x14ac:dyDescent="0.2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15" t="str">
        <f>Base_IFData!A1404</f>
        <v>LASTRO RDV DISTRIBUIDORA DE TÍTULOS E VALORES MOBILIÁRIOS LTDA.</v>
      </c>
      <c r="L1403" s="15" t="str">
        <f>Base_IFData!F1404</f>
        <v>n2</v>
      </c>
      <c r="M1403" s="17" t="str">
        <f>IF(AND(ISNUMBER(Base_IFData!L1404),ISNUMBER(Base_IFData!W1404)),IF(Base_IFData!L1404&gt;$B$4,Base_IFData!W1404,""),"")</f>
        <v/>
      </c>
      <c r="N1403" s="50">
        <f>IF(AND(ISNUMBER(Base_IFData!O1404),ISNUMBER(Base_IFData!Q1404)),IF(Base_IFData!Q1404&gt;0,Base_IFData!O1404/Base_IFData!Q1404,"PL ≤ 0"),"NI")</f>
        <v>4.4166813302833008E-2</v>
      </c>
      <c r="O1403" s="107">
        <f>IF(AND(ISNUMBER(Base_IFData!M1404),ISNUMBER(Base_IFData!Q1404)),IF(Base_IFData!Q1404&gt;0,Base_IFData!M1404/Base_IFData!Q1404,"PL ≤ 0"),"NI")</f>
        <v>0</v>
      </c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</row>
    <row r="1404" spans="1:30" ht="15" customHeight="1" x14ac:dyDescent="0.2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12" t="str">
        <f>Base_IFData!A1405</f>
        <v>PERCAPITAL SOCIEDADE DE CRÉDITO DIRETO S.A.</v>
      </c>
      <c r="L1404" s="12" t="str">
        <f>Base_IFData!F1405</f>
        <v>n1</v>
      </c>
      <c r="M1404" s="14" t="str">
        <f>IF(AND(ISNUMBER(Base_IFData!L1405),ISNUMBER(Base_IFData!W1405)),IF(Base_IFData!L1405&gt;$B$4,Base_IFData!W1405,""),"")</f>
        <v/>
      </c>
      <c r="N1404" s="51">
        <f>IF(AND(ISNUMBER(Base_IFData!O1405),ISNUMBER(Base_IFData!Q1405)),IF(Base_IFData!Q1405&gt;0,Base_IFData!O1405/Base_IFData!Q1405,"PL ≤ 0"),"NI")</f>
        <v>1.1005309734513273</v>
      </c>
      <c r="O1404" s="110">
        <f>IF(AND(ISNUMBER(Base_IFData!M1405),ISNUMBER(Base_IFData!Q1405)),IF(Base_IFData!Q1405&gt;0,Base_IFData!M1405/Base_IFData!Q1405,"PL ≤ 0"),"NI")</f>
        <v>0.17840707964601771</v>
      </c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</row>
    <row r="1405" spans="1:30" ht="15" customHeight="1" x14ac:dyDescent="0.2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15" t="str">
        <f>Base_IFData!A1406</f>
        <v>CATÁLISE DISTRIBUIDORA DE TÍTULOS E VALORES MOBILIÁRIOS LTDA</v>
      </c>
      <c r="L1405" s="15" t="str">
        <f>Base_IFData!F1406</f>
        <v>n2</v>
      </c>
      <c r="M1405" s="17" t="str">
        <f>IF(AND(ISNUMBER(Base_IFData!L1406),ISNUMBER(Base_IFData!W1406)),IF(Base_IFData!L1406&gt;$B$4,Base_IFData!W1406,""),"")</f>
        <v/>
      </c>
      <c r="N1405" s="50">
        <f>IF(AND(ISNUMBER(Base_IFData!O1406),ISNUMBER(Base_IFData!Q1406)),IF(Base_IFData!Q1406&gt;0,Base_IFData!O1406/Base_IFData!Q1406,"PL ≤ 0"),"NI")</f>
        <v>0.1743863816310372</v>
      </c>
      <c r="O1405" s="107">
        <f>IF(AND(ISNUMBER(Base_IFData!M1406),ISNUMBER(Base_IFData!Q1406)),IF(Base_IFData!Q1406&gt;0,Base_IFData!M1406/Base_IFData!Q1406,"PL ≤ 0"),"NI")</f>
        <v>0</v>
      </c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</row>
    <row r="1406" spans="1:30" ht="15" customHeight="1" x14ac:dyDescent="0.2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12" t="str">
        <f>Base_IFData!A1407</f>
        <v>COOPERATIVA DE CRÉDITO MÚTUO DOS FUNCIONÁRIOS DAS EMPRESAS FERROVIÁRIAS NO ESTADO DE SÃO PAULO</v>
      </c>
      <c r="L1406" s="12" t="str">
        <f>Base_IFData!F1407</f>
        <v>b3S</v>
      </c>
      <c r="M1406" s="14" t="str">
        <f>IF(AND(ISNUMBER(Base_IFData!L1407),ISNUMBER(Base_IFData!W1407)),IF(Base_IFData!L1407&gt;$B$4,Base_IFData!W1407,""),"")</f>
        <v/>
      </c>
      <c r="N1406" s="51">
        <f>IF(AND(ISNUMBER(Base_IFData!O1407),ISNUMBER(Base_IFData!Q1407)),IF(Base_IFData!Q1407&gt;0,Base_IFData!O1407/Base_IFData!Q1407,"PL ≤ 0"),"NI")</f>
        <v>3.1326139923424992E-2</v>
      </c>
      <c r="O1406" s="110">
        <f>IF(AND(ISNUMBER(Base_IFData!M1407),ISNUMBER(Base_IFData!Q1407)),IF(Base_IFData!Q1407&gt;0,Base_IFData!M1407/Base_IFData!Q1407,"PL ≤ 0"),"NI")</f>
        <v>0.6754263835711799</v>
      </c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</row>
    <row r="1407" spans="1:30" ht="15" customHeight="1" x14ac:dyDescent="0.2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15" t="str">
        <f>Base_IFData!A1408</f>
        <v>COOPERATIVA DE ECONOMIA E CREDITO MUTUO DOS SERVIDORES MUNICIPAIS DO SUL FLUMINENSE LTDA.</v>
      </c>
      <c r="L1407" s="15" t="str">
        <f>Base_IFData!F1408</f>
        <v>b3S</v>
      </c>
      <c r="M1407" s="17" t="str">
        <f>IF(AND(ISNUMBER(Base_IFData!L1408),ISNUMBER(Base_IFData!W1408)),IF(Base_IFData!L1408&gt;$B$4,Base_IFData!W1408,""),"")</f>
        <v/>
      </c>
      <c r="N1407" s="50">
        <f>IF(AND(ISNUMBER(Base_IFData!O1408),ISNUMBER(Base_IFData!Q1408)),IF(Base_IFData!Q1408&gt;0,Base_IFData!O1408/Base_IFData!Q1408,"PL ≤ 0"),"NI")</f>
        <v>0.12343572241183162</v>
      </c>
      <c r="O1407" s="107">
        <f>IF(AND(ISNUMBER(Base_IFData!M1408),ISNUMBER(Base_IFData!Q1408)),IF(Base_IFData!Q1408&gt;0,Base_IFData!M1408/Base_IFData!Q1408,"PL ≤ 0"),"NI")</f>
        <v>0.49317406143344711</v>
      </c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</row>
    <row r="1408" spans="1:30" ht="15" customHeight="1" x14ac:dyDescent="0.2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12" t="str">
        <f>Base_IFData!A1409</f>
        <v>COOPERATIVA DE ECONOMIA E CRÉDITO MÚTUO DOS EMPREGADOS DA CNC, SESC E SENAC ADMINISTRAÇÕES NACIONAIS LTDA.</v>
      </c>
      <c r="L1408" s="12" t="str">
        <f>Base_IFData!F1409</f>
        <v>b3S</v>
      </c>
      <c r="M1408" s="14" t="str">
        <f>IF(AND(ISNUMBER(Base_IFData!L1409),ISNUMBER(Base_IFData!W1409)),IF(Base_IFData!L1409&gt;$B$4,Base_IFData!W1409,""),"")</f>
        <v/>
      </c>
      <c r="N1408" s="51">
        <f>IF(AND(ISNUMBER(Base_IFData!O1409),ISNUMBER(Base_IFData!Q1409)),IF(Base_IFData!Q1409&gt;0,Base_IFData!O1409/Base_IFData!Q1409,"PL ≤ 0"),"NI")</f>
        <v>8.383894098179813E-2</v>
      </c>
      <c r="O1408" s="110">
        <f>IF(AND(ISNUMBER(Base_IFData!M1409),ISNUMBER(Base_IFData!Q1409)),IF(Base_IFData!Q1409&gt;0,Base_IFData!M1409/Base_IFData!Q1409,"PL ≤ 0"),"NI")</f>
        <v>0.65820922963780104</v>
      </c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</row>
    <row r="1409" spans="1:30" ht="15" customHeight="1" x14ac:dyDescent="0.2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15" t="str">
        <f>Base_IFData!A1410</f>
        <v>COOPERATIVA DE ECONOMIA E CRÉDITO MÚTUO DOS FUNCIONÁRIOS DAS EMPRESAS MELHORAMENTOS DE SÃO PAULO - COOPERMEL</v>
      </c>
      <c r="L1409" s="15" t="str">
        <f>Base_IFData!F1410</f>
        <v>b3S</v>
      </c>
      <c r="M1409" s="17" t="str">
        <f>IF(AND(ISNUMBER(Base_IFData!L1410),ISNUMBER(Base_IFData!W1410)),IF(Base_IFData!L1410&gt;$B$4,Base_IFData!W1410,""),"")</f>
        <v/>
      </c>
      <c r="N1409" s="50">
        <f>IF(AND(ISNUMBER(Base_IFData!O1410),ISNUMBER(Base_IFData!Q1410)),IF(Base_IFData!Q1410&gt;0,Base_IFData!O1410/Base_IFData!Q1410,"PL ≤ 0"),"NI")</f>
        <v>0.11830824919032197</v>
      </c>
      <c r="O1409" s="107">
        <f>IF(AND(ISNUMBER(Base_IFData!M1410),ISNUMBER(Base_IFData!Q1410)),IF(Base_IFData!Q1410&gt;0,Base_IFData!M1410/Base_IFData!Q1410,"PL ≤ 0"),"NI")</f>
        <v>0.52276624118879789</v>
      </c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</row>
    <row r="1410" spans="1:30" ht="15" customHeight="1" x14ac:dyDescent="0.2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12" t="str">
        <f>Base_IFData!A1411</f>
        <v>SRM DISTRIBUIDORA DE TÍTULOS E VALORES MOBILIÁRIOS LTDA.</v>
      </c>
      <c r="L1410" s="12" t="str">
        <f>Base_IFData!F1411</f>
        <v>n2</v>
      </c>
      <c r="M1410" s="14" t="str">
        <f>IF(AND(ISNUMBER(Base_IFData!L1411),ISNUMBER(Base_IFData!W1411)),IF(Base_IFData!L1411&gt;$B$4,Base_IFData!W1411,""),"")</f>
        <v/>
      </c>
      <c r="N1410" s="51">
        <f>IF(AND(ISNUMBER(Base_IFData!O1411),ISNUMBER(Base_IFData!Q1411)),IF(Base_IFData!Q1411&gt;0,Base_IFData!O1411/Base_IFData!Q1411,"PL ≤ 0"),"NI")</f>
        <v>3.5031847133757961E-2</v>
      </c>
      <c r="O1410" s="110">
        <f>IF(AND(ISNUMBER(Base_IFData!M1411),ISNUMBER(Base_IFData!Q1411)),IF(Base_IFData!Q1411&gt;0,Base_IFData!M1411/Base_IFData!Q1411,"PL ≤ 0"),"NI")</f>
        <v>0</v>
      </c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</row>
    <row r="1411" spans="1:30" ht="15" customHeight="1" x14ac:dyDescent="0.2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15" t="str">
        <f>Base_IFData!A1412</f>
        <v>COOPERATIVA DE ECONOMIA E CREDITO MUTUO DOS EMPREGADOS DOS LABORATORIOS B.BRAUN LTDA</v>
      </c>
      <c r="L1411" s="15" t="str">
        <f>Base_IFData!F1412</f>
        <v>b3S</v>
      </c>
      <c r="M1411" s="17" t="str">
        <f>IF(AND(ISNUMBER(Base_IFData!L1412),ISNUMBER(Base_IFData!W1412)),IF(Base_IFData!L1412&gt;$B$4,Base_IFData!W1412,""),"")</f>
        <v/>
      </c>
      <c r="N1411" s="50">
        <f>IF(AND(ISNUMBER(Base_IFData!O1412),ISNUMBER(Base_IFData!Q1412)),IF(Base_IFData!Q1412&gt;0,Base_IFData!O1412/Base_IFData!Q1412,"PL ≤ 0"),"NI")</f>
        <v>8.1865867366054695E-2</v>
      </c>
      <c r="O1411" s="107">
        <f>IF(AND(ISNUMBER(Base_IFData!M1412),ISNUMBER(Base_IFData!Q1412)),IF(Base_IFData!Q1412&gt;0,Base_IFData!M1412/Base_IFData!Q1412,"PL ≤ 0"),"NI")</f>
        <v>0.58336455601348824</v>
      </c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</row>
    <row r="1412" spans="1:30" ht="15" customHeight="1" x14ac:dyDescent="0.2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12" t="str">
        <f>Base_IFData!A1413</f>
        <v>GUARDIAN SOCIEDADE DE CRÉDITO DIRETO S.A.</v>
      </c>
      <c r="L1412" s="12" t="str">
        <f>Base_IFData!F1413</f>
        <v>n1</v>
      </c>
      <c r="M1412" s="14" t="str">
        <f>IF(AND(ISNUMBER(Base_IFData!L1413),ISNUMBER(Base_IFData!W1413)),IF(Base_IFData!L1413&gt;$B$4,Base_IFData!W1413,""),"")</f>
        <v/>
      </c>
      <c r="N1412" s="51">
        <f>IF(AND(ISNUMBER(Base_IFData!O1413),ISNUMBER(Base_IFData!Q1413)),IF(Base_IFData!Q1413&gt;0,Base_IFData!O1413/Base_IFData!Q1413,"PL ≤ 0"),"NI")</f>
        <v>1.8831562974203337</v>
      </c>
      <c r="O1412" s="110">
        <f>IF(AND(ISNUMBER(Base_IFData!M1413),ISNUMBER(Base_IFData!Q1413)),IF(Base_IFData!Q1413&gt;0,Base_IFData!M1413/Base_IFData!Q1413,"PL ≤ 0"),"NI")</f>
        <v>2.1259484066767831</v>
      </c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</row>
    <row r="1413" spans="1:30" ht="15" customHeight="1" x14ac:dyDescent="0.2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15" t="str">
        <f>Base_IFData!A1414</f>
        <v>CUMBUCA INSTITUIÇÃO DE PAGAMENTO LTDA.</v>
      </c>
      <c r="L1413" s="15" t="str">
        <f>Base_IFData!F1414</f>
        <v>n4</v>
      </c>
      <c r="M1413" s="17" t="str">
        <f>IF(AND(ISNUMBER(Base_IFData!L1414),ISNUMBER(Base_IFData!W1414)),IF(Base_IFData!L1414&gt;$B$4,Base_IFData!W1414,""),"")</f>
        <v/>
      </c>
      <c r="N1413" s="50">
        <f>IF(AND(ISNUMBER(Base_IFData!O1414),ISNUMBER(Base_IFData!Q1414)),IF(Base_IFData!Q1414&gt;0,Base_IFData!O1414/Base_IFData!Q1414,"PL ≤ 0"),"NI")</f>
        <v>0.16475878986099754</v>
      </c>
      <c r="O1413" s="107">
        <f>IF(AND(ISNUMBER(Base_IFData!M1414),ISNUMBER(Base_IFData!Q1414)),IF(Base_IFData!Q1414&gt;0,Base_IFData!M1414/Base_IFData!Q1414,"PL ≤ 0"),"NI")</f>
        <v>0</v>
      </c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</row>
    <row r="1414" spans="1:30" ht="15" customHeight="1" x14ac:dyDescent="0.2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12" t="str">
        <f>Base_IFData!A1415</f>
        <v>EFX CORRETORA DE CÂMBIO LTDA.</v>
      </c>
      <c r="L1414" s="12" t="str">
        <f>Base_IFData!F1415</f>
        <v>n2</v>
      </c>
      <c r="M1414" s="14" t="str">
        <f>IF(AND(ISNUMBER(Base_IFData!L1415),ISNUMBER(Base_IFData!W1415)),IF(Base_IFData!L1415&gt;$B$4,Base_IFData!W1415,""),"")</f>
        <v/>
      </c>
      <c r="N1414" s="51">
        <f>IF(AND(ISNUMBER(Base_IFData!O1415),ISNUMBER(Base_IFData!Q1415)),IF(Base_IFData!Q1415&gt;0,Base_IFData!O1415/Base_IFData!Q1415,"PL ≤ 0"),"NI")</f>
        <v>4.1861313868613141</v>
      </c>
      <c r="O1414" s="110">
        <f>IF(AND(ISNUMBER(Base_IFData!M1415),ISNUMBER(Base_IFData!Q1415)),IF(Base_IFData!Q1415&gt;0,Base_IFData!M1415/Base_IFData!Q1415,"PL ≤ 0"),"NI")</f>
        <v>0</v>
      </c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</row>
    <row r="1415" spans="1:30" ht="15" customHeight="1" x14ac:dyDescent="0.2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15" t="str">
        <f>Base_IFData!A1416</f>
        <v>DASCAM SOCIEDADE CORRETORA DE CÂMBIO LTDA.</v>
      </c>
      <c r="L1415" s="15" t="str">
        <f>Base_IFData!F1416</f>
        <v>n2</v>
      </c>
      <c r="M1415" s="17" t="str">
        <f>IF(AND(ISNUMBER(Base_IFData!L1416),ISNUMBER(Base_IFData!W1416)),IF(Base_IFData!L1416&gt;$B$4,Base_IFData!W1416,""),"")</f>
        <v/>
      </c>
      <c r="N1415" s="50">
        <f>IF(AND(ISNUMBER(Base_IFData!O1416),ISNUMBER(Base_IFData!Q1416)),IF(Base_IFData!Q1416&gt;0,Base_IFData!O1416/Base_IFData!Q1416,"PL ≤ 0"),"NI")</f>
        <v>0.42209775967413443</v>
      </c>
      <c r="O1415" s="107">
        <f>IF(AND(ISNUMBER(Base_IFData!M1416),ISNUMBER(Base_IFData!Q1416)),IF(Base_IFData!Q1416&gt;0,Base_IFData!M1416/Base_IFData!Q1416,"PL ≤ 0"),"NI")</f>
        <v>0</v>
      </c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</row>
    <row r="1416" spans="1:30" ht="15" customHeight="1" x14ac:dyDescent="0.2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12" t="str">
        <f>Base_IFData!A1417</f>
        <v>COOPERATIVA DE ECONOMIA E CRÉDITO MÚTUO DOS EMPREGADOS DA RECKITT BENCKISER</v>
      </c>
      <c r="L1416" s="12" t="str">
        <f>Base_IFData!F1417</f>
        <v>b3S</v>
      </c>
      <c r="M1416" s="14" t="str">
        <f>IF(AND(ISNUMBER(Base_IFData!L1417),ISNUMBER(Base_IFData!W1417)),IF(Base_IFData!L1417&gt;$B$4,Base_IFData!W1417,""),"")</f>
        <v/>
      </c>
      <c r="N1416" s="51">
        <f>IF(AND(ISNUMBER(Base_IFData!O1417),ISNUMBER(Base_IFData!Q1417)),IF(Base_IFData!Q1417&gt;0,Base_IFData!O1417/Base_IFData!Q1417,"PL ≤ 0"),"NI")</f>
        <v>1.0545454545454545E-2</v>
      </c>
      <c r="O1416" s="110">
        <f>IF(AND(ISNUMBER(Base_IFData!M1417),ISNUMBER(Base_IFData!Q1417)),IF(Base_IFData!Q1417&gt;0,Base_IFData!M1417/Base_IFData!Q1417,"PL ≤ 0"),"NI")</f>
        <v>0.77618181818181819</v>
      </c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</row>
    <row r="1417" spans="1:30" ht="15" customHeight="1" x14ac:dyDescent="0.2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15" t="str">
        <f>Base_IFData!A1418</f>
        <v>APUSDIGITAL INSTITUICAO DE PAGAMENTO LTDA</v>
      </c>
      <c r="L1417" s="15" t="str">
        <f>Base_IFData!F1418</f>
        <v>n4</v>
      </c>
      <c r="M1417" s="17" t="str">
        <f>IF(AND(ISNUMBER(Base_IFData!L1418),ISNUMBER(Base_IFData!W1418)),IF(Base_IFData!L1418&gt;$B$4,Base_IFData!W1418,""),"")</f>
        <v/>
      </c>
      <c r="N1417" s="50">
        <f>IF(AND(ISNUMBER(Base_IFData!O1418),ISNUMBER(Base_IFData!Q1418)),IF(Base_IFData!Q1418&gt;0,Base_IFData!O1418/Base_IFData!Q1418,"PL ≤ 0"),"NI")</f>
        <v>5.4907212550220012E-2</v>
      </c>
      <c r="O1417" s="107">
        <f>IF(AND(ISNUMBER(Base_IFData!M1418),ISNUMBER(Base_IFData!Q1418)),IF(Base_IFData!Q1418&gt;0,Base_IFData!M1418/Base_IFData!Q1418,"PL ≤ 0"),"NI")</f>
        <v>0</v>
      </c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</row>
    <row r="1418" spans="1:30" ht="15" customHeight="1" x14ac:dyDescent="0.2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12" t="str">
        <f>Base_IFData!A1419</f>
        <v>INDUSTRIAL DO BRASIL DISTRIBUIDORA DE TÍTULOS E VALORES MOBILIÁRIOS LTDA.</v>
      </c>
      <c r="L1418" s="12" t="str">
        <f>Base_IFData!F1419</f>
        <v>n2</v>
      </c>
      <c r="M1418" s="14" t="str">
        <f>IF(AND(ISNUMBER(Base_IFData!L1419),ISNUMBER(Base_IFData!W1419)),IF(Base_IFData!L1419&gt;$B$4,Base_IFData!W1419,""),"")</f>
        <v/>
      </c>
      <c r="N1418" s="51">
        <f>IF(AND(ISNUMBER(Base_IFData!O1419),ISNUMBER(Base_IFData!Q1419)),IF(Base_IFData!Q1419&gt;0,Base_IFData!O1419/Base_IFData!Q1419,"PL ≤ 0"),"NI")</f>
        <v>1.1758221568987691E-2</v>
      </c>
      <c r="O1418" s="110">
        <f>IF(AND(ISNUMBER(Base_IFData!M1419),ISNUMBER(Base_IFData!Q1419)),IF(Base_IFData!Q1419&gt;0,Base_IFData!M1419/Base_IFData!Q1419,"PL ≤ 0"),"NI")</f>
        <v>0</v>
      </c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</row>
    <row r="1419" spans="1:30" ht="15" customHeight="1" x14ac:dyDescent="0.2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15" t="str">
        <f>Base_IFData!A1420</f>
        <v>BRCONDOS SOCIEDADE DE CRÉDITO DIRETO S.A.</v>
      </c>
      <c r="L1419" s="15" t="str">
        <f>Base_IFData!F1420</f>
        <v>n1</v>
      </c>
      <c r="M1419" s="17" t="str">
        <f>IF(AND(ISNUMBER(Base_IFData!L1420),ISNUMBER(Base_IFData!W1420)),IF(Base_IFData!L1420&gt;$B$4,Base_IFData!W1420,""),"")</f>
        <v/>
      </c>
      <c r="N1419" s="50">
        <f>IF(AND(ISNUMBER(Base_IFData!O1420),ISNUMBER(Base_IFData!Q1420)),IF(Base_IFData!Q1420&gt;0,Base_IFData!O1420/Base_IFData!Q1420,"PL ≤ 0"),"NI")</f>
        <v>1.2695492180312788E-2</v>
      </c>
      <c r="O1419" s="107">
        <f>IF(AND(ISNUMBER(Base_IFData!M1420),ISNUMBER(Base_IFData!Q1420)),IF(Base_IFData!Q1420&gt;0,Base_IFData!M1420/Base_IFData!Q1420,"PL ≤ 0"),"NI")</f>
        <v>0</v>
      </c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</row>
    <row r="1420" spans="1:30" ht="15" customHeight="1" x14ac:dyDescent="0.2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12" t="str">
        <f>Base_IFData!A1421</f>
        <v>COOPERATIVA DE CRÉDITO DOS BANCÁRIOS DE SÃO PAULO E MUNICÍPIOS LIMÍTROFES</v>
      </c>
      <c r="L1420" s="12" t="str">
        <f>Base_IFData!F1421</f>
        <v>b3S</v>
      </c>
      <c r="M1420" s="14" t="str">
        <f>IF(AND(ISNUMBER(Base_IFData!L1421),ISNUMBER(Base_IFData!W1421)),IF(Base_IFData!L1421&gt;$B$4,Base_IFData!W1421,""),"")</f>
        <v/>
      </c>
      <c r="N1420" s="51">
        <f>IF(AND(ISNUMBER(Base_IFData!O1421),ISNUMBER(Base_IFData!Q1421)),IF(Base_IFData!Q1421&gt;0,Base_IFData!O1421/Base_IFData!Q1421,"PL ≤ 0"),"NI")</f>
        <v>1.8399581589958158</v>
      </c>
      <c r="O1420" s="110">
        <f>IF(AND(ISNUMBER(Base_IFData!M1421),ISNUMBER(Base_IFData!Q1421)),IF(Base_IFData!Q1421&gt;0,Base_IFData!M1421/Base_IFData!Q1421,"PL ≤ 0"),"NI")</f>
        <v>1.2698744769874477</v>
      </c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</row>
    <row r="1421" spans="1:30" ht="15" customHeight="1" x14ac:dyDescent="0.2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15" t="str">
        <f>Base_IFData!A1422</f>
        <v>GURU CORRETORA DE TÍTULOS E VALORES MOBILIÁRIOS LTDA.</v>
      </c>
      <c r="L1421" s="15" t="str">
        <f>Base_IFData!F1422</f>
        <v>n2</v>
      </c>
      <c r="M1421" s="17" t="str">
        <f>IF(AND(ISNUMBER(Base_IFData!L1422),ISNUMBER(Base_IFData!W1422)),IF(Base_IFData!L1422&gt;$B$4,Base_IFData!W1422,""),"")</f>
        <v/>
      </c>
      <c r="N1421" s="50">
        <f>IF(AND(ISNUMBER(Base_IFData!O1422),ISNUMBER(Base_IFData!Q1422)),IF(Base_IFData!Q1422&gt;0,Base_IFData!O1422/Base_IFData!Q1422,"PL ≤ 0"),"NI")</f>
        <v>0.58759871307399825</v>
      </c>
      <c r="O1421" s="107">
        <f>IF(AND(ISNUMBER(Base_IFData!M1422),ISNUMBER(Base_IFData!Q1422)),IF(Base_IFData!Q1422&gt;0,Base_IFData!M1422/Base_IFData!Q1422,"PL ≤ 0"),"NI")</f>
        <v>0</v>
      </c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</row>
    <row r="1422" spans="1:30" ht="15" customHeight="1" x14ac:dyDescent="0.2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12" t="str">
        <f>Base_IFData!A1423</f>
        <v>COOPERATIVA DE CRÉDITO DOS METALÚRGICOS DO ABC - CREDABC</v>
      </c>
      <c r="L1422" s="12" t="str">
        <f>Base_IFData!F1423</f>
        <v>b3S</v>
      </c>
      <c r="M1422" s="14" t="str">
        <f>IF(AND(ISNUMBER(Base_IFData!L1423),ISNUMBER(Base_IFData!W1423)),IF(Base_IFData!L1423&gt;$B$4,Base_IFData!W1423,""),"")</f>
        <v/>
      </c>
      <c r="N1422" s="51">
        <f>IF(AND(ISNUMBER(Base_IFData!O1423),ISNUMBER(Base_IFData!Q1423)),IF(Base_IFData!Q1423&gt;0,Base_IFData!O1423/Base_IFData!Q1423,"PL ≤ 0"),"NI")</f>
        <v>0.191306266548985</v>
      </c>
      <c r="O1422" s="110">
        <f>IF(AND(ISNUMBER(Base_IFData!M1423),ISNUMBER(Base_IFData!Q1423)),IF(Base_IFData!Q1423&gt;0,Base_IFData!M1423/Base_IFData!Q1423,"PL ≤ 0"),"NI")</f>
        <v>2.6478375992939102E-3</v>
      </c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</row>
    <row r="1423" spans="1:30" ht="15" customHeight="1" x14ac:dyDescent="0.2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15" t="str">
        <f>Base_IFData!A1424</f>
        <v>COOPERATIVA DE ECONOMIA E CRÉDITO MÚTUO DOS FUNCIONÁRIOS DO GRUPO GERDAU - AÇOS FINOS PIRATINI</v>
      </c>
      <c r="L1423" s="15" t="str">
        <f>Base_IFData!F1424</f>
        <v>b3S</v>
      </c>
      <c r="M1423" s="17" t="str">
        <f>IF(AND(ISNUMBER(Base_IFData!L1424),ISNUMBER(Base_IFData!W1424)),IF(Base_IFData!L1424&gt;$B$4,Base_IFData!W1424,""),"")</f>
        <v/>
      </c>
      <c r="N1423" s="50">
        <f>IF(AND(ISNUMBER(Base_IFData!O1424),ISNUMBER(Base_IFData!Q1424)),IF(Base_IFData!Q1424&gt;0,Base_IFData!O1424/Base_IFData!Q1424,"PL ≤ 0"),"NI")</f>
        <v>2.3516025033187938E-2</v>
      </c>
      <c r="O1423" s="107">
        <f>IF(AND(ISNUMBER(Base_IFData!M1424),ISNUMBER(Base_IFData!Q1424)),IF(Base_IFData!Q1424&gt;0,Base_IFData!M1424/Base_IFData!Q1424,"PL ≤ 0"),"NI")</f>
        <v>0.35786080030343259</v>
      </c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</row>
    <row r="1424" spans="1:30" ht="15" customHeight="1" x14ac:dyDescent="0.2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12" t="str">
        <f>Base_IFData!A1425</f>
        <v>SAYGO CORRETORA DE CÂMBIO S.A.</v>
      </c>
      <c r="L1424" s="12" t="str">
        <f>Base_IFData!F1425</f>
        <v>n2</v>
      </c>
      <c r="M1424" s="14" t="str">
        <f>IF(AND(ISNUMBER(Base_IFData!L1425),ISNUMBER(Base_IFData!W1425)),IF(Base_IFData!L1425&gt;$B$4,Base_IFData!W1425,""),"")</f>
        <v/>
      </c>
      <c r="N1424" s="51">
        <f>IF(AND(ISNUMBER(Base_IFData!O1425),ISNUMBER(Base_IFData!Q1425)),IF(Base_IFData!Q1425&gt;0,Base_IFData!O1425/Base_IFData!Q1425,"PL ≤ 0"),"NI")</f>
        <v>2.9585798816568047</v>
      </c>
      <c r="O1424" s="110">
        <f>IF(AND(ISNUMBER(Base_IFData!M1425),ISNUMBER(Base_IFData!Q1425)),IF(Base_IFData!Q1425&gt;0,Base_IFData!M1425/Base_IFData!Q1425,"PL ≤ 0"),"NI")</f>
        <v>0</v>
      </c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</row>
    <row r="1425" spans="1:30" ht="15" customHeight="1" x14ac:dyDescent="0.2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15" t="str">
        <f>Base_IFData!A1426</f>
        <v>IUPI INSTITUICAO DE PAGAMENTO S.A.</v>
      </c>
      <c r="L1425" s="15" t="str">
        <f>Base_IFData!F1426</f>
        <v>n4</v>
      </c>
      <c r="M1425" s="17" t="str">
        <f>IF(AND(ISNUMBER(Base_IFData!L1426),ISNUMBER(Base_IFData!W1426)),IF(Base_IFData!L1426&gt;$B$4,Base_IFData!W1426,""),"")</f>
        <v/>
      </c>
      <c r="N1425" s="50">
        <f>IF(AND(ISNUMBER(Base_IFData!O1426),ISNUMBER(Base_IFData!Q1426)),IF(Base_IFData!Q1426&gt;0,Base_IFData!O1426/Base_IFData!Q1426,"PL ≤ 0"),"NI")</f>
        <v>1.4055080721747389E-2</v>
      </c>
      <c r="O1425" s="107">
        <f>IF(AND(ISNUMBER(Base_IFData!M1426),ISNUMBER(Base_IFData!Q1426)),IF(Base_IFData!Q1426&gt;0,Base_IFData!M1426/Base_IFData!Q1426,"PL ≤ 0"),"NI")</f>
        <v>0</v>
      </c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</row>
    <row r="1426" spans="1:30" ht="15" customHeight="1" x14ac:dyDescent="0.2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12" t="str">
        <f>Base_IFData!A1427</f>
        <v>QORE DISTRIBUIDORA DE TITULOS E VALORES MOBILIÁRIOS LTDA</v>
      </c>
      <c r="L1426" s="12" t="str">
        <f>Base_IFData!F1427</f>
        <v>n2</v>
      </c>
      <c r="M1426" s="14" t="str">
        <f>IF(AND(ISNUMBER(Base_IFData!L1427),ISNUMBER(Base_IFData!W1427)),IF(Base_IFData!L1427&gt;$B$4,Base_IFData!W1427,""),"")</f>
        <v/>
      </c>
      <c r="N1426" s="51">
        <f>IF(AND(ISNUMBER(Base_IFData!O1427),ISNUMBER(Base_IFData!Q1427)),IF(Base_IFData!Q1427&gt;0,Base_IFData!O1427/Base_IFData!Q1427,"PL ≤ 0"),"NI")</f>
        <v>0.84805285118219753</v>
      </c>
      <c r="O1426" s="110">
        <f>IF(AND(ISNUMBER(Base_IFData!M1427),ISNUMBER(Base_IFData!Q1427)),IF(Base_IFData!Q1427&gt;0,Base_IFData!M1427/Base_IFData!Q1427,"PL ≤ 0"),"NI")</f>
        <v>0</v>
      </c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</row>
    <row r="1427" spans="1:30" ht="15" customHeight="1" x14ac:dyDescent="0.2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15" t="str">
        <f>Base_IFData!A1428</f>
        <v>FINLEV SOCIEDADE DE CRÉDITO DIRETO S.A.</v>
      </c>
      <c r="L1427" s="15" t="str">
        <f>Base_IFData!F1428</f>
        <v>n1</v>
      </c>
      <c r="M1427" s="17" t="str">
        <f>IF(AND(ISNUMBER(Base_IFData!L1428),ISNUMBER(Base_IFData!W1428)),IF(Base_IFData!L1428&gt;$B$4,Base_IFData!W1428,""),"")</f>
        <v/>
      </c>
      <c r="N1427" s="50">
        <f>IF(AND(ISNUMBER(Base_IFData!O1428),ISNUMBER(Base_IFData!Q1428)),IF(Base_IFData!Q1428&gt;0,Base_IFData!O1428/Base_IFData!Q1428,"PL ≤ 0"),"NI")</f>
        <v>0.20812299219825608</v>
      </c>
      <c r="O1427" s="107">
        <f>IF(AND(ISNUMBER(Base_IFData!M1428),ISNUMBER(Base_IFData!Q1428)),IF(Base_IFData!Q1428&gt;0,Base_IFData!M1428/Base_IFData!Q1428,"PL ≤ 0"),"NI")</f>
        <v>0.7156952730610372</v>
      </c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</row>
    <row r="1428" spans="1:30" ht="15" customHeight="1" x14ac:dyDescent="0.2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12" t="str">
        <f>Base_IFData!A1429</f>
        <v>COOPERATIVA DE ECONOMIA E CREDITO MUTUO DOS SERVIDORES PUBLICOS MUNICIPAIS DE PORTO ALEGRE</v>
      </c>
      <c r="L1428" s="12" t="str">
        <f>Base_IFData!F1429</f>
        <v>b3S</v>
      </c>
      <c r="M1428" s="14" t="str">
        <f>IF(AND(ISNUMBER(Base_IFData!L1429),ISNUMBER(Base_IFData!W1429)),IF(Base_IFData!L1429&gt;$B$4,Base_IFData!W1429,""),"")</f>
        <v/>
      </c>
      <c r="N1428" s="51">
        <f>IF(AND(ISNUMBER(Base_IFData!O1429),ISNUMBER(Base_IFData!Q1429)),IF(Base_IFData!Q1429&gt;0,Base_IFData!O1429/Base_IFData!Q1429,"PL ≤ 0"),"NI")</f>
        <v>0.12004287245444802</v>
      </c>
      <c r="O1428" s="110">
        <f>IF(AND(ISNUMBER(Base_IFData!M1429),ISNUMBER(Base_IFData!Q1429)),IF(Base_IFData!Q1429&gt;0,Base_IFData!M1429/Base_IFData!Q1429,"PL ≤ 0"),"NI")</f>
        <v>0.6906752411575563</v>
      </c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</row>
    <row r="1429" spans="1:30" ht="15" customHeight="1" x14ac:dyDescent="0.2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15" t="str">
        <f>Base_IFData!A1430</f>
        <v>COOPERATIVA DE ECONOMIA E CRÉDITO MÚTUO DOS SERVIDORES DA UNESP - COOPUNESP</v>
      </c>
      <c r="L1429" s="15" t="str">
        <f>Base_IFData!F1430</f>
        <v>b3S</v>
      </c>
      <c r="M1429" s="17" t="str">
        <f>IF(AND(ISNUMBER(Base_IFData!L1430),ISNUMBER(Base_IFData!W1430)),IF(Base_IFData!L1430&gt;$B$4,Base_IFData!W1430,""),"")</f>
        <v/>
      </c>
      <c r="N1429" s="50">
        <f>IF(AND(ISNUMBER(Base_IFData!O1430),ISNUMBER(Base_IFData!Q1430)),IF(Base_IFData!Q1430&gt;0,Base_IFData!O1430/Base_IFData!Q1430,"PL ≤ 0"),"NI")</f>
        <v>0.20522906062008328</v>
      </c>
      <c r="O1429" s="107">
        <f>IF(AND(ISNUMBER(Base_IFData!M1430),ISNUMBER(Base_IFData!Q1430)),IF(Base_IFData!Q1430&gt;0,Base_IFData!M1430/Base_IFData!Q1430,"PL ≤ 0"),"NI")</f>
        <v>0.52198056455344743</v>
      </c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</row>
    <row r="1430" spans="1:30" ht="15" customHeight="1" x14ac:dyDescent="0.2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12" t="str">
        <f>Base_IFData!A1431</f>
        <v>OXY DISTRIBUIDORA DE TÍTULOS E VALORES MOBILIÁRIOS S.A.</v>
      </c>
      <c r="L1430" s="12" t="str">
        <f>Base_IFData!F1431</f>
        <v>n2</v>
      </c>
      <c r="M1430" s="14" t="str">
        <f>IF(AND(ISNUMBER(Base_IFData!L1431),ISNUMBER(Base_IFData!W1431)),IF(Base_IFData!L1431&gt;$B$4,Base_IFData!W1431,""),"")</f>
        <v/>
      </c>
      <c r="N1430" s="51">
        <f>IF(AND(ISNUMBER(Base_IFData!O1431),ISNUMBER(Base_IFData!Q1431)),IF(Base_IFData!Q1431&gt;0,Base_IFData!O1431/Base_IFData!Q1431,"PL ≤ 0"),"NI")</f>
        <v>1.4453125000000001E-2</v>
      </c>
      <c r="O1430" s="110">
        <f>IF(AND(ISNUMBER(Base_IFData!M1431),ISNUMBER(Base_IFData!Q1431)),IF(Base_IFData!Q1431&gt;0,Base_IFData!M1431/Base_IFData!Q1431,"PL ≤ 0"),"NI")</f>
        <v>0</v>
      </c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</row>
    <row r="1431" spans="1:30" ht="15" customHeight="1" x14ac:dyDescent="0.2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15" t="str">
        <f>Base_IFData!A1432</f>
        <v>COOPERATIVA DE ECONOMIA E CRÉDITO MÚTUO DOS FUNCIONÁRIOS DA SELENE</v>
      </c>
      <c r="L1431" s="15" t="str">
        <f>Base_IFData!F1432</f>
        <v>b3S</v>
      </c>
      <c r="M1431" s="17" t="str">
        <f>IF(AND(ISNUMBER(Base_IFData!L1432),ISNUMBER(Base_IFData!W1432)),IF(Base_IFData!L1432&gt;$B$4,Base_IFData!W1432,""),"")</f>
        <v/>
      </c>
      <c r="N1431" s="50">
        <f>IF(AND(ISNUMBER(Base_IFData!O1432),ISNUMBER(Base_IFData!Q1432)),IF(Base_IFData!Q1432&gt;0,Base_IFData!O1432/Base_IFData!Q1432,"PL ≤ 0"),"NI")</f>
        <v>5.2927693269431128E-2</v>
      </c>
      <c r="O1431" s="107">
        <f>IF(AND(ISNUMBER(Base_IFData!M1432),ISNUMBER(Base_IFData!Q1432)),IF(Base_IFData!Q1432&gt;0,Base_IFData!M1432/Base_IFData!Q1432,"PL ≤ 0"),"NI")</f>
        <v>0.52677641175244838</v>
      </c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</row>
    <row r="1432" spans="1:30" ht="15" customHeight="1" x14ac:dyDescent="0.2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12" t="str">
        <f>Base_IFData!A1433</f>
        <v>CV INVESTIMENTOS DISTRIBUIDORA DE TÍTULOS E VALORES MOBILIÁRIOS LTDA.</v>
      </c>
      <c r="L1432" s="12" t="str">
        <f>Base_IFData!F1433</f>
        <v>n2</v>
      </c>
      <c r="M1432" s="14" t="str">
        <f>IF(AND(ISNUMBER(Base_IFData!L1433),ISNUMBER(Base_IFData!W1433)),IF(Base_IFData!L1433&gt;$B$4,Base_IFData!W1433,""),"")</f>
        <v/>
      </c>
      <c r="N1432" s="51">
        <f>IF(AND(ISNUMBER(Base_IFData!O1433),ISNUMBER(Base_IFData!Q1433)),IF(Base_IFData!Q1433&gt;0,Base_IFData!O1433/Base_IFData!Q1433,"PL ≤ 0"),"NI")</f>
        <v>0.2079136690647482</v>
      </c>
      <c r="O1432" s="110">
        <f>IF(AND(ISNUMBER(Base_IFData!M1433),ISNUMBER(Base_IFData!Q1433)),IF(Base_IFData!Q1433&gt;0,Base_IFData!M1433/Base_IFData!Q1433,"PL ≤ 0"),"NI")</f>
        <v>0</v>
      </c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</row>
    <row r="1433" spans="1:30" ht="15" customHeight="1" x14ac:dyDescent="0.2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15" t="str">
        <f>Base_IFData!A1434</f>
        <v>COOPERATIVA DE CRÉDITO DOS EMPREGADOS DO GRUPO AKZO NOBEL BRASIL - COOP AKZONOBEL</v>
      </c>
      <c r="L1433" s="15" t="str">
        <f>Base_IFData!F1434</f>
        <v>b3S</v>
      </c>
      <c r="M1433" s="17" t="str">
        <f>IF(AND(ISNUMBER(Base_IFData!L1434),ISNUMBER(Base_IFData!W1434)),IF(Base_IFData!L1434&gt;$B$4,Base_IFData!W1434,""),"")</f>
        <v/>
      </c>
      <c r="N1433" s="50">
        <f>IF(AND(ISNUMBER(Base_IFData!O1434),ISNUMBER(Base_IFData!Q1434)),IF(Base_IFData!Q1434&gt;0,Base_IFData!O1434/Base_IFData!Q1434,"PL ≤ 0"),"NI")</f>
        <v>0.14053559166857404</v>
      </c>
      <c r="O1433" s="107">
        <f>IF(AND(ISNUMBER(Base_IFData!M1434),ISNUMBER(Base_IFData!Q1434)),IF(Base_IFData!Q1434&gt;0,Base_IFData!M1434/Base_IFData!Q1434,"PL ≤ 0"),"NI")</f>
        <v>0.48088807507438774</v>
      </c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</row>
    <row r="1434" spans="1:30" ht="15" customHeight="1" x14ac:dyDescent="0.2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12" t="str">
        <f>Base_IFData!A1435</f>
        <v>COOPERATIVA DE CRÉDITO DOS SERVIDORES DO MUNICIPIO DE SANTO ANDRÉ - SP - CECRESA</v>
      </c>
      <c r="L1434" s="12" t="str">
        <f>Base_IFData!F1435</f>
        <v>b3S</v>
      </c>
      <c r="M1434" s="14" t="str">
        <f>IF(AND(ISNUMBER(Base_IFData!L1435),ISNUMBER(Base_IFData!W1435)),IF(Base_IFData!L1435&gt;$B$4,Base_IFData!W1435,""),"")</f>
        <v/>
      </c>
      <c r="N1434" s="51">
        <f>IF(AND(ISNUMBER(Base_IFData!O1435),ISNUMBER(Base_IFData!Q1435)),IF(Base_IFData!Q1435&gt;0,Base_IFData!O1435/Base_IFData!Q1435,"PL ≤ 0"),"NI")</f>
        <v>1.028360049321825</v>
      </c>
      <c r="O1434" s="110">
        <f>IF(AND(ISNUMBER(Base_IFData!M1435),ISNUMBER(Base_IFData!Q1435)),IF(Base_IFData!Q1435&gt;0,Base_IFData!M1435/Base_IFData!Q1435,"PL ≤ 0"),"NI")</f>
        <v>1.7394163584052611</v>
      </c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</row>
    <row r="1435" spans="1:30" ht="15" customHeight="1" x14ac:dyDescent="0.2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15" t="str">
        <f>Base_IFData!A1436</f>
        <v>VUON SOCIEDADE DE CRÉDITO DIRETO S.A.</v>
      </c>
      <c r="L1435" s="15" t="str">
        <f>Base_IFData!F1436</f>
        <v>n1</v>
      </c>
      <c r="M1435" s="17" t="str">
        <f>IF(AND(ISNUMBER(Base_IFData!L1436),ISNUMBER(Base_IFData!W1436)),IF(Base_IFData!L1436&gt;$B$4,Base_IFData!W1436,""),"")</f>
        <v/>
      </c>
      <c r="N1435" s="50">
        <f>IF(AND(ISNUMBER(Base_IFData!O1436),ISNUMBER(Base_IFData!Q1436)),IF(Base_IFData!Q1436&gt;0,Base_IFData!O1436/Base_IFData!Q1436,"PL ≤ 0"),"NI")</f>
        <v>3.9845758354755782E-2</v>
      </c>
      <c r="O1435" s="107">
        <f>IF(AND(ISNUMBER(Base_IFData!M1436),ISNUMBER(Base_IFData!Q1436)),IF(Base_IFData!Q1436&gt;0,Base_IFData!M1436/Base_IFData!Q1436,"PL ≤ 0"),"NI")</f>
        <v>4.605826906598115E-2</v>
      </c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</row>
    <row r="1436" spans="1:30" ht="15" customHeight="1" x14ac:dyDescent="0.2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12" t="str">
        <f>Base_IFData!A1437</f>
        <v>PÓLOCRED   SOCIEDADE DE CRÉDITO AO MICROEMPREENDEDOR E À EMPRESA DE PEQUENO PORTE LTDA.</v>
      </c>
      <c r="L1436" s="12" t="str">
        <f>Base_IFData!F1437</f>
        <v>n1</v>
      </c>
      <c r="M1436" s="14" t="str">
        <f>IF(AND(ISNUMBER(Base_IFData!L1437),ISNUMBER(Base_IFData!W1437)),IF(Base_IFData!L1437&gt;$B$4,Base_IFData!W1437,""),"")</f>
        <v/>
      </c>
      <c r="N1436" s="51">
        <f>IF(AND(ISNUMBER(Base_IFData!O1437),ISNUMBER(Base_IFData!Q1437)),IF(Base_IFData!Q1437&gt;0,Base_IFData!O1437/Base_IFData!Q1437,"PL ≤ 0"),"NI")</f>
        <v>6.7683067683067685E-2</v>
      </c>
      <c r="O1436" s="110">
        <f>IF(AND(ISNUMBER(Base_IFData!M1437),ISNUMBER(Base_IFData!Q1437)),IF(Base_IFData!Q1437&gt;0,Base_IFData!M1437/Base_IFData!Q1437,"PL ≤ 0"),"NI")</f>
        <v>2.3562023562023561E-2</v>
      </c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</row>
    <row r="1437" spans="1:30" ht="15" customHeight="1" x14ac:dyDescent="0.2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15" t="str">
        <f>Base_IFData!A1438</f>
        <v>NVIO BRASIL SOCIEDADE DE CRÉDITO DIRETO S.A.</v>
      </c>
      <c r="L1437" s="15" t="str">
        <f>Base_IFData!F1438</f>
        <v>n1</v>
      </c>
      <c r="M1437" s="17" t="str">
        <f>IF(AND(ISNUMBER(Base_IFData!L1438),ISNUMBER(Base_IFData!W1438)),IF(Base_IFData!L1438&gt;$B$4,Base_IFData!W1438,""),"")</f>
        <v/>
      </c>
      <c r="N1437" s="50">
        <f>IF(AND(ISNUMBER(Base_IFData!O1438),ISNUMBER(Base_IFData!Q1438)),IF(Base_IFData!Q1438&gt;0,Base_IFData!O1438/Base_IFData!Q1438,"PL ≤ 0"),"NI")</f>
        <v>1.026098594691055E-2</v>
      </c>
      <c r="O1437" s="107">
        <f>IF(AND(ISNUMBER(Base_IFData!M1438),ISNUMBER(Base_IFData!Q1438)),IF(Base_IFData!Q1438&gt;0,Base_IFData!M1438/Base_IFData!Q1438,"PL ≤ 0"),"NI")</f>
        <v>0</v>
      </c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</row>
    <row r="1438" spans="1:30" ht="15" customHeight="1" x14ac:dyDescent="0.2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12" t="str">
        <f>Base_IFData!A1439</f>
        <v>FIRST SOCIEDADE DE CRÉDITO DIRETO S.A.</v>
      </c>
      <c r="L1438" s="12" t="str">
        <f>Base_IFData!F1439</f>
        <v>n1</v>
      </c>
      <c r="M1438" s="14" t="str">
        <f>IF(AND(ISNUMBER(Base_IFData!L1439),ISNUMBER(Base_IFData!W1439)),IF(Base_IFData!L1439&gt;$B$4,Base_IFData!W1439,""),"")</f>
        <v/>
      </c>
      <c r="N1438" s="51">
        <f>IF(AND(ISNUMBER(Base_IFData!O1439),ISNUMBER(Base_IFData!Q1439)),IF(Base_IFData!Q1439&gt;0,Base_IFData!O1439/Base_IFData!Q1439,"PL ≤ 0"),"NI")</f>
        <v>3.2221206581352836E-2</v>
      </c>
      <c r="O1438" s="110">
        <f>IF(AND(ISNUMBER(Base_IFData!M1439),ISNUMBER(Base_IFData!Q1439)),IF(Base_IFData!Q1439&gt;0,Base_IFData!M1439/Base_IFData!Q1439,"PL ≤ 0"),"NI")</f>
        <v>0</v>
      </c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</row>
    <row r="1439" spans="1:30" ht="15" customHeight="1" x14ac:dyDescent="0.2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15" t="str">
        <f>Base_IFData!A1440</f>
        <v>RV2 SOCIEDADE DE EMPRÉSTIMO ENTRE PESSOAS S.A.</v>
      </c>
      <c r="L1439" s="15" t="str">
        <f>Base_IFData!F1440</f>
        <v>n1</v>
      </c>
      <c r="M1439" s="17" t="str">
        <f>IF(AND(ISNUMBER(Base_IFData!L1440),ISNUMBER(Base_IFData!W1440)),IF(Base_IFData!L1440&gt;$B$4,Base_IFData!W1440,""),"")</f>
        <v/>
      </c>
      <c r="N1439" s="50">
        <f>IF(AND(ISNUMBER(Base_IFData!O1440),ISNUMBER(Base_IFData!Q1440)),IF(Base_IFData!Q1440&gt;0,Base_IFData!O1440/Base_IFData!Q1440,"PL ≤ 0"),"NI")</f>
        <v>7.1684587813620072E-3</v>
      </c>
      <c r="O1439" s="107">
        <f>IF(AND(ISNUMBER(Base_IFData!M1440),ISNUMBER(Base_IFData!Q1440)),IF(Base_IFData!Q1440&gt;0,Base_IFData!M1440/Base_IFData!Q1440,"PL ≤ 0"),"NI")</f>
        <v>0</v>
      </c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</row>
    <row r="1440" spans="1:30" ht="15" customHeight="1" x14ac:dyDescent="0.2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12" t="str">
        <f>Base_IFData!A1441</f>
        <v>JV BTG SENIOR SOCIEDADE DE CRÉDITO DIRETO S.A.</v>
      </c>
      <c r="L1440" s="12" t="str">
        <f>Base_IFData!F1441</f>
        <v>n1</v>
      </c>
      <c r="M1440" s="14" t="str">
        <f>IF(AND(ISNUMBER(Base_IFData!L1441),ISNUMBER(Base_IFData!W1441)),IF(Base_IFData!L1441&gt;$B$4,Base_IFData!W1441,""),"")</f>
        <v/>
      </c>
      <c r="N1440" s="51">
        <f>IF(AND(ISNUMBER(Base_IFData!O1441),ISNUMBER(Base_IFData!Q1441)),IF(Base_IFData!Q1441&gt;0,Base_IFData!O1441/Base_IFData!Q1441,"PL ≤ 0"),"NI")</f>
        <v>1.5649452269170579E-3</v>
      </c>
      <c r="O1440" s="110">
        <f>IF(AND(ISNUMBER(Base_IFData!M1441),ISNUMBER(Base_IFData!Q1441)),IF(Base_IFData!Q1441&gt;0,Base_IFData!M1441/Base_IFData!Q1441,"PL ≤ 0"),"NI")</f>
        <v>0</v>
      </c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</row>
    <row r="1441" spans="1:30" ht="15" customHeight="1" x14ac:dyDescent="0.2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15" t="str">
        <f>Base_IFData!A1442</f>
        <v>COOPERATIVA DE ECONOMIA E CRÉDITO MÚTUO DOS COLABORADORES DA COOPEDER LTDA - COOPCREDER</v>
      </c>
      <c r="L1441" s="15" t="str">
        <f>Base_IFData!F1442</f>
        <v>b3S</v>
      </c>
      <c r="M1441" s="17" t="str">
        <f>IF(AND(ISNUMBER(Base_IFData!L1442),ISNUMBER(Base_IFData!W1442)),IF(Base_IFData!L1442&gt;$B$4,Base_IFData!W1442,""),"")</f>
        <v/>
      </c>
      <c r="N1441" s="50">
        <f>IF(AND(ISNUMBER(Base_IFData!O1442),ISNUMBER(Base_IFData!Q1442)),IF(Base_IFData!Q1442&gt;0,Base_IFData!O1442/Base_IFData!Q1442,"PL ≤ 0"),"NI")</f>
        <v>0.20202850877192982</v>
      </c>
      <c r="O1441" s="107">
        <f>IF(AND(ISNUMBER(Base_IFData!M1442),ISNUMBER(Base_IFData!Q1442)),IF(Base_IFData!Q1442&gt;0,Base_IFData!M1442/Base_IFData!Q1442,"PL ≤ 0"),"NI")</f>
        <v>0.21573464912280702</v>
      </c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</row>
    <row r="1442" spans="1:30" ht="15" customHeight="1" x14ac:dyDescent="0.2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12" t="str">
        <f>Base_IFData!A1443</f>
        <v>FINAZO SOCIEDADE DE CRÉDITO DIRETO S.A.</v>
      </c>
      <c r="L1442" s="12" t="str">
        <f>Base_IFData!F1443</f>
        <v>n1</v>
      </c>
      <c r="M1442" s="14" t="str">
        <f>IF(AND(ISNUMBER(Base_IFData!L1443),ISNUMBER(Base_IFData!W1443)),IF(Base_IFData!L1443&gt;$B$4,Base_IFData!W1443,""),"")</f>
        <v/>
      </c>
      <c r="N1442" s="51">
        <f>IF(AND(ISNUMBER(Base_IFData!O1443),ISNUMBER(Base_IFData!Q1443)),IF(Base_IFData!Q1443&gt;0,Base_IFData!O1443/Base_IFData!Q1443,"PL ≤ 0"),"NI")</f>
        <v>7.7590607452782026E-2</v>
      </c>
      <c r="O1442" s="110">
        <f>IF(AND(ISNUMBER(Base_IFData!M1443),ISNUMBER(Base_IFData!Q1443)),IF(Base_IFData!Q1443&gt;0,Base_IFData!M1443/Base_IFData!Q1443,"PL ≤ 0"),"NI")</f>
        <v>0</v>
      </c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</row>
    <row r="1443" spans="1:30" ht="15" customHeight="1" x14ac:dyDescent="0.2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15" t="str">
        <f>Base_IFData!A1444</f>
        <v>COOPERATIVA DE ECONOMIA E CRÉDITO MÚTUO DOS EMPREGADOS DE ESTABELECIMENTOS HOSPITALARES DO SUL DO ESTADO DO ESPÍRITO SANTO</v>
      </c>
      <c r="L1443" s="15" t="str">
        <f>Base_IFData!F1444</f>
        <v>b3S</v>
      </c>
      <c r="M1443" s="17" t="str">
        <f>IF(AND(ISNUMBER(Base_IFData!L1444),ISNUMBER(Base_IFData!W1444)),IF(Base_IFData!L1444&gt;$B$4,Base_IFData!W1444,""),"")</f>
        <v/>
      </c>
      <c r="N1443" s="50">
        <f>IF(AND(ISNUMBER(Base_IFData!O1444),ISNUMBER(Base_IFData!Q1444)),IF(Base_IFData!Q1444&gt;0,Base_IFData!O1444/Base_IFData!Q1444,"PL ≤ 0"),"NI")</f>
        <v>5.1698301698301696E-2</v>
      </c>
      <c r="O1443" s="107">
        <f>IF(AND(ISNUMBER(Base_IFData!M1444),ISNUMBER(Base_IFData!Q1444)),IF(Base_IFData!Q1444&gt;0,Base_IFData!M1444/Base_IFData!Q1444,"PL ≤ 0"),"NI")</f>
        <v>0.97977022977022976</v>
      </c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</row>
    <row r="1444" spans="1:30" ht="15" customHeight="1" x14ac:dyDescent="0.2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12" t="str">
        <f>Base_IFData!A1445</f>
        <v>CREDPAR - SOCIEDADE DE CRÉDITO DIRETO S/A</v>
      </c>
      <c r="L1444" s="12" t="str">
        <f>Base_IFData!F1445</f>
        <v>n1</v>
      </c>
      <c r="M1444" s="14" t="str">
        <f>IF(AND(ISNUMBER(Base_IFData!L1445),ISNUMBER(Base_IFData!W1445)),IF(Base_IFData!L1445&gt;$B$4,Base_IFData!W1445,""),"")</f>
        <v/>
      </c>
      <c r="N1444" s="51">
        <f>IF(AND(ISNUMBER(Base_IFData!O1445),ISNUMBER(Base_IFData!Q1445)),IF(Base_IFData!Q1445&gt;0,Base_IFData!O1445/Base_IFData!Q1445,"PL ≤ 0"),"NI")</f>
        <v>8.2838709677419353E-2</v>
      </c>
      <c r="O1444" s="110">
        <f>IF(AND(ISNUMBER(Base_IFData!M1445),ISNUMBER(Base_IFData!Q1445)),IF(Base_IFData!Q1445&gt;0,Base_IFData!M1445/Base_IFData!Q1445,"PL ≤ 0"),"NI")</f>
        <v>4.9032258064516127E-3</v>
      </c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</row>
    <row r="1445" spans="1:30" ht="15" customHeight="1" x14ac:dyDescent="0.2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15" t="str">
        <f>Base_IFData!A1446</f>
        <v>COOPERATIVA DE ECONOMIA E CRÉDITO MÚTUO DOS EMPREGADOS DA PRODAM/SP - CREDIPRODAM</v>
      </c>
      <c r="L1445" s="15" t="str">
        <f>Base_IFData!F1446</f>
        <v>b3S</v>
      </c>
      <c r="M1445" s="17" t="str">
        <f>IF(AND(ISNUMBER(Base_IFData!L1446),ISNUMBER(Base_IFData!W1446)),IF(Base_IFData!L1446&gt;$B$4,Base_IFData!W1446,""),"")</f>
        <v/>
      </c>
      <c r="N1445" s="50">
        <f>IF(AND(ISNUMBER(Base_IFData!O1446),ISNUMBER(Base_IFData!Q1446)),IF(Base_IFData!Q1446&gt;0,Base_IFData!O1446/Base_IFData!Q1446,"PL ≤ 0"),"NI")</f>
        <v>4.9698795180722892E-2</v>
      </c>
      <c r="O1445" s="107">
        <f>IF(AND(ISNUMBER(Base_IFData!M1446),ISNUMBER(Base_IFData!Q1446)),IF(Base_IFData!Q1446&gt;0,Base_IFData!M1446/Base_IFData!Q1446,"PL ≤ 0"),"NI")</f>
        <v>0.11244979919678715</v>
      </c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</row>
    <row r="1446" spans="1:30" ht="15" customHeight="1" x14ac:dyDescent="0.2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12" t="str">
        <f>Base_IFData!A1447</f>
        <v>PAGBRASIL TECNOLOGIA INSTITUIÇÃO DE PAGAMENTO LTDA.</v>
      </c>
      <c r="L1446" s="12" t="str">
        <f>Base_IFData!F1447</f>
        <v>n4</v>
      </c>
      <c r="M1446" s="14" t="str">
        <f>IF(AND(ISNUMBER(Base_IFData!L1447),ISNUMBER(Base_IFData!W1447)),IF(Base_IFData!L1447&gt;$B$4,Base_IFData!W1447,""),"")</f>
        <v/>
      </c>
      <c r="N1446" s="51">
        <f>IF(AND(ISNUMBER(Base_IFData!O1447),ISNUMBER(Base_IFData!Q1447)),IF(Base_IFData!Q1447&gt;0,Base_IFData!O1447/Base_IFData!Q1447,"PL ≤ 0"),"NI")</f>
        <v>1.6895969104513638E-3</v>
      </c>
      <c r="O1446" s="110">
        <f>IF(AND(ISNUMBER(Base_IFData!M1447),ISNUMBER(Base_IFData!Q1447)),IF(Base_IFData!Q1447&gt;0,Base_IFData!M1447/Base_IFData!Q1447,"PL ≤ 0"),"NI")</f>
        <v>0</v>
      </c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</row>
    <row r="1447" spans="1:30" ht="15" customHeight="1" x14ac:dyDescent="0.2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15" t="str">
        <f>Base_IFData!A1448</f>
        <v>BEZZ SOCIEDADE DE CRÉDITO DIRETO S.A.</v>
      </c>
      <c r="L1447" s="15" t="str">
        <f>Base_IFData!F1448</f>
        <v>n1</v>
      </c>
      <c r="M1447" s="17" t="str">
        <f>IF(AND(ISNUMBER(Base_IFData!L1448),ISNUMBER(Base_IFData!W1448)),IF(Base_IFData!L1448&gt;$B$4,Base_IFData!W1448,""),"")</f>
        <v/>
      </c>
      <c r="N1447" s="50">
        <f>IF(AND(ISNUMBER(Base_IFData!O1448),ISNUMBER(Base_IFData!Q1448)),IF(Base_IFData!Q1448&gt;0,Base_IFData!O1448/Base_IFData!Q1448,"PL ≤ 0"),"NI")</f>
        <v>1.6001969473165928E-2</v>
      </c>
      <c r="O1447" s="107">
        <f>IF(AND(ISNUMBER(Base_IFData!M1448),ISNUMBER(Base_IFData!Q1448)),IF(Base_IFData!Q1448&gt;0,Base_IFData!M1448/Base_IFData!Q1448,"PL ≤ 0"),"NI")</f>
        <v>0.1533727227966519</v>
      </c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</row>
    <row r="1448" spans="1:30" ht="15" customHeight="1" x14ac:dyDescent="0.2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12" t="str">
        <f>Base_IFData!A1449</f>
        <v>MH SOCIEDADE DE CRÉDITO DIRETO S.A.</v>
      </c>
      <c r="L1448" s="12" t="str">
        <f>Base_IFData!F1449</f>
        <v>n1</v>
      </c>
      <c r="M1448" s="14" t="str">
        <f>IF(AND(ISNUMBER(Base_IFData!L1449),ISNUMBER(Base_IFData!W1449)),IF(Base_IFData!L1449&gt;$B$4,Base_IFData!W1449,""),"")</f>
        <v/>
      </c>
      <c r="N1448" s="51">
        <f>IF(AND(ISNUMBER(Base_IFData!O1449),ISNUMBER(Base_IFData!Q1449)),IF(Base_IFData!Q1449&gt;0,Base_IFData!O1449/Base_IFData!Q1449,"PL ≤ 0"),"NI")</f>
        <v>9.7158124848190433E-4</v>
      </c>
      <c r="O1448" s="110">
        <f>IF(AND(ISNUMBER(Base_IFData!M1449),ISNUMBER(Base_IFData!Q1449)),IF(Base_IFData!Q1449&gt;0,Base_IFData!M1449/Base_IFData!Q1449,"PL ≤ 0"),"NI")</f>
        <v>3.3033762448384747E-2</v>
      </c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</row>
    <row r="1449" spans="1:30" ht="15" customHeight="1" x14ac:dyDescent="0.2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15" t="str">
        <f>Base_IFData!A1450</f>
        <v>QUEROCRED SOCIEDADE DE CRÉDITO DIRETO S.A.</v>
      </c>
      <c r="L1449" s="15" t="str">
        <f>Base_IFData!F1450</f>
        <v>n1</v>
      </c>
      <c r="M1449" s="17" t="str">
        <f>IF(AND(ISNUMBER(Base_IFData!L1450),ISNUMBER(Base_IFData!W1450)),IF(Base_IFData!L1450&gt;$B$4,Base_IFData!W1450,""),"")</f>
        <v/>
      </c>
      <c r="N1449" s="50">
        <f>IF(AND(ISNUMBER(Base_IFData!O1450),ISNUMBER(Base_IFData!Q1450)),IF(Base_IFData!Q1450&gt;0,Base_IFData!O1450/Base_IFData!Q1450,"PL ≤ 0"),"NI")</f>
        <v>1.211372064276885E-2</v>
      </c>
      <c r="O1449" s="107">
        <f>IF(AND(ISNUMBER(Base_IFData!M1450),ISNUMBER(Base_IFData!Q1450)),IF(Base_IFData!Q1450&gt;0,Base_IFData!M1450/Base_IFData!Q1450,"PL ≤ 0"),"NI")</f>
        <v>0.1377008652657602</v>
      </c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</row>
    <row r="1450" spans="1:30" ht="15" customHeight="1" x14ac:dyDescent="0.2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12" t="str">
        <f>Base_IFData!A1451</f>
        <v>P R DO BRASIL INSTITUICAO DE PAGAMENTOS LTDA</v>
      </c>
      <c r="L1450" s="12" t="str">
        <f>Base_IFData!F1451</f>
        <v>n4</v>
      </c>
      <c r="M1450" s="14" t="str">
        <f>IF(AND(ISNUMBER(Base_IFData!L1451),ISNUMBER(Base_IFData!W1451)),IF(Base_IFData!L1451&gt;$B$4,Base_IFData!W1451,""),"")</f>
        <v/>
      </c>
      <c r="N1450" s="51">
        <f>IF(AND(ISNUMBER(Base_IFData!O1451),ISNUMBER(Base_IFData!Q1451)),IF(Base_IFData!Q1451&gt;0,Base_IFData!O1451/Base_IFData!Q1451,"PL ≤ 0"),"NI")</f>
        <v>1.9588146659969864E-2</v>
      </c>
      <c r="O1450" s="110">
        <f>IF(AND(ISNUMBER(Base_IFData!M1451),ISNUMBER(Base_IFData!Q1451)),IF(Base_IFData!Q1451&gt;0,Base_IFData!M1451/Base_IFData!Q1451,"PL ≤ 0"),"NI")</f>
        <v>0</v>
      </c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</row>
    <row r="1451" spans="1:30" ht="15" customHeight="1" x14ac:dyDescent="0.2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15" t="str">
        <f>Base_IFData!A1452</f>
        <v>CAROL DISTRIBUIDORA DE TITULOS E VALORES MOBILIARIOS LTDA.</v>
      </c>
      <c r="L1451" s="15" t="str">
        <f>Base_IFData!F1452</f>
        <v>n2</v>
      </c>
      <c r="M1451" s="17" t="str">
        <f>IF(AND(ISNUMBER(Base_IFData!L1452),ISNUMBER(Base_IFData!W1452)),IF(Base_IFData!L1452&gt;$B$4,Base_IFData!W1452,""),"")</f>
        <v/>
      </c>
      <c r="N1451" s="50">
        <f>IF(AND(ISNUMBER(Base_IFData!O1452),ISNUMBER(Base_IFData!Q1452)),IF(Base_IFData!Q1452&gt;0,Base_IFData!O1452/Base_IFData!Q1452,"PL ≤ 0"),"NI")</f>
        <v>2.766497461928934E-2</v>
      </c>
      <c r="O1451" s="107">
        <f>IF(AND(ISNUMBER(Base_IFData!M1452),ISNUMBER(Base_IFData!Q1452)),IF(Base_IFData!Q1452&gt;0,Base_IFData!M1452/Base_IFData!Q1452,"PL ≤ 0"),"NI")</f>
        <v>0</v>
      </c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</row>
    <row r="1452" spans="1:30" ht="15" customHeight="1" x14ac:dyDescent="0.2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12" t="str">
        <f>Base_IFData!A1453</f>
        <v>ANDBANK DISTRIBUIDORA DE TÍTULOS E VALORES MOBILIÁRIOS LTDA.</v>
      </c>
      <c r="L1452" s="12" t="str">
        <f>Base_IFData!F1453</f>
        <v>n2</v>
      </c>
      <c r="M1452" s="14" t="str">
        <f>IF(AND(ISNUMBER(Base_IFData!L1453),ISNUMBER(Base_IFData!W1453)),IF(Base_IFData!L1453&gt;$B$4,Base_IFData!W1453,""),"")</f>
        <v/>
      </c>
      <c r="N1452" s="51">
        <f>IF(AND(ISNUMBER(Base_IFData!O1453),ISNUMBER(Base_IFData!Q1453)),IF(Base_IFData!Q1453&gt;0,Base_IFData!O1453/Base_IFData!Q1453,"PL ≤ 0"),"NI")</f>
        <v>4.0778251599147122E-2</v>
      </c>
      <c r="O1452" s="110">
        <f>IF(AND(ISNUMBER(Base_IFData!M1453),ISNUMBER(Base_IFData!Q1453)),IF(Base_IFData!Q1453&gt;0,Base_IFData!M1453/Base_IFData!Q1453,"PL ≤ 0"),"NI")</f>
        <v>0</v>
      </c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</row>
    <row r="1453" spans="1:30" ht="15" customHeight="1" x14ac:dyDescent="0.2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15" t="str">
        <f>Base_IFData!A1454</f>
        <v>TBANKS INSTITUICAO DE PAGAMENTO SA</v>
      </c>
      <c r="L1453" s="15" t="str">
        <f>Base_IFData!F1454</f>
        <v>n4</v>
      </c>
      <c r="M1453" s="17" t="str">
        <f>IF(AND(ISNUMBER(Base_IFData!L1454),ISNUMBER(Base_IFData!W1454)),IF(Base_IFData!L1454&gt;$B$4,Base_IFData!W1454,""),"")</f>
        <v/>
      </c>
      <c r="N1453" s="50">
        <f>IF(AND(ISNUMBER(Base_IFData!O1454),ISNUMBER(Base_IFData!Q1454)),IF(Base_IFData!Q1454&gt;0,Base_IFData!O1454/Base_IFData!Q1454,"PL ≤ 0"),"NI")</f>
        <v>4.1509433962264149E-2</v>
      </c>
      <c r="O1453" s="107">
        <f>IF(AND(ISNUMBER(Base_IFData!M1454),ISNUMBER(Base_IFData!Q1454)),IF(Base_IFData!Q1454&gt;0,Base_IFData!M1454/Base_IFData!Q1454,"PL ≤ 0"),"NI")</f>
        <v>0</v>
      </c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</row>
    <row r="1454" spans="1:30" ht="15" customHeight="1" x14ac:dyDescent="0.2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12" t="str">
        <f>Base_IFData!A1455</f>
        <v>GIRO - SOCIEDADE DE CRÉDITO DIRETO S/A</v>
      </c>
      <c r="L1454" s="12" t="str">
        <f>Base_IFData!F1455</f>
        <v>n1</v>
      </c>
      <c r="M1454" s="14" t="str">
        <f>IF(AND(ISNUMBER(Base_IFData!L1455),ISNUMBER(Base_IFData!W1455)),IF(Base_IFData!L1455&gt;$B$4,Base_IFData!W1455,""),"")</f>
        <v/>
      </c>
      <c r="N1454" s="51">
        <f>IF(AND(ISNUMBER(Base_IFData!O1455),ISNUMBER(Base_IFData!Q1455)),IF(Base_IFData!Q1455&gt;0,Base_IFData!O1455/Base_IFData!Q1455,"PL ≤ 0"),"NI")</f>
        <v>2.0590111642743221</v>
      </c>
      <c r="O1454" s="110">
        <f>IF(AND(ISNUMBER(Base_IFData!M1455),ISNUMBER(Base_IFData!Q1455)),IF(Base_IFData!Q1455&gt;0,Base_IFData!M1455/Base_IFData!Q1455,"PL ≤ 0"),"NI")</f>
        <v>0</v>
      </c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</row>
    <row r="1455" spans="1:30" ht="15" customHeight="1" x14ac:dyDescent="0.2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15" t="str">
        <f>Base_IFData!A1456</f>
        <v>CASA DO CRÉDITO S.A. SOCIEDADE DE CRÉDITO AO MICROEMPREENDEDOR</v>
      </c>
      <c r="L1455" s="15" t="str">
        <f>Base_IFData!F1456</f>
        <v>n1</v>
      </c>
      <c r="M1455" s="17" t="str">
        <f>IF(AND(ISNUMBER(Base_IFData!L1456),ISNUMBER(Base_IFData!W1456)),IF(Base_IFData!L1456&gt;$B$4,Base_IFData!W1456,""),"")</f>
        <v/>
      </c>
      <c r="N1455" s="50">
        <f>IF(AND(ISNUMBER(Base_IFData!O1456),ISNUMBER(Base_IFData!Q1456)),IF(Base_IFData!Q1456&gt;0,Base_IFData!O1456/Base_IFData!Q1456,"PL ≤ 0"),"NI")</f>
        <v>2.9885416666666669</v>
      </c>
      <c r="O1455" s="107">
        <f>IF(AND(ISNUMBER(Base_IFData!M1456),ISNUMBER(Base_IFData!Q1456)),IF(Base_IFData!Q1456&gt;0,Base_IFData!M1456/Base_IFData!Q1456,"PL ≤ 0"),"NI")</f>
        <v>6.25E-2</v>
      </c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</row>
    <row r="1456" spans="1:30" ht="15" customHeight="1" x14ac:dyDescent="0.2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12" t="str">
        <f>Base_IFData!A1457</f>
        <v>BRCARD SOCIEDADE DE CRÉDITO DIRETO S/A</v>
      </c>
      <c r="L1456" s="12" t="str">
        <f>Base_IFData!F1457</f>
        <v>n1</v>
      </c>
      <c r="M1456" s="14" t="str">
        <f>IF(AND(ISNUMBER(Base_IFData!L1457),ISNUMBER(Base_IFData!W1457)),IF(Base_IFData!L1457&gt;$B$4,Base_IFData!W1457,""),"")</f>
        <v/>
      </c>
      <c r="N1456" s="51">
        <f>IF(AND(ISNUMBER(Base_IFData!O1457),ISNUMBER(Base_IFData!Q1457)),IF(Base_IFData!Q1457&gt;0,Base_IFData!O1457/Base_IFData!Q1457,"PL ≤ 0"),"NI")</f>
        <v>5.1575132422637303E-2</v>
      </c>
      <c r="O1456" s="110">
        <f>IF(AND(ISNUMBER(Base_IFData!M1457),ISNUMBER(Base_IFData!Q1457)),IF(Base_IFData!Q1457&gt;0,Base_IFData!M1457/Base_IFData!Q1457,"PL ≤ 0"),"NI")</f>
        <v>0.27599665458600503</v>
      </c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</row>
    <row r="1457" spans="1:30" ht="15" customHeight="1" x14ac:dyDescent="0.2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15" t="str">
        <f>Base_IFData!A1458</f>
        <v>BAMAQ CAPITAL - SOCIEDADE DE CRÉDITO DIRETO S/A</v>
      </c>
      <c r="L1457" s="15" t="str">
        <f>Base_IFData!F1458</f>
        <v>n1</v>
      </c>
      <c r="M1457" s="17" t="str">
        <f>IF(AND(ISNUMBER(Base_IFData!L1458),ISNUMBER(Base_IFData!W1458)),IF(Base_IFData!L1458&gt;$B$4,Base_IFData!W1458,""),"")</f>
        <v/>
      </c>
      <c r="N1457" s="50">
        <f>IF(AND(ISNUMBER(Base_IFData!O1458),ISNUMBER(Base_IFData!Q1458)),IF(Base_IFData!Q1458&gt;0,Base_IFData!O1458/Base_IFData!Q1458,"PL ≤ 0"),"NI")</f>
        <v>1.4808831448572967E-2</v>
      </c>
      <c r="O1457" s="107">
        <f>IF(AND(ISNUMBER(Base_IFData!M1458),ISNUMBER(Base_IFData!Q1458)),IF(Base_IFData!Q1458&gt;0,Base_IFData!M1458/Base_IFData!Q1458,"PL ≤ 0"),"NI")</f>
        <v>5.3850296176628971E-4</v>
      </c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</row>
    <row r="1458" spans="1:30" ht="15" customHeight="1" x14ac:dyDescent="0.2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12" t="str">
        <f>Base_IFData!A1459</f>
        <v>PERSONAL SOCIEDADE DE CRÉDITO DIRETO S.A.</v>
      </c>
      <c r="L1458" s="12" t="str">
        <f>Base_IFData!F1459</f>
        <v>n1</v>
      </c>
      <c r="M1458" s="14" t="str">
        <f>IF(AND(ISNUMBER(Base_IFData!L1459),ISNUMBER(Base_IFData!W1459)),IF(Base_IFData!L1459&gt;$B$4,Base_IFData!W1459,""),"")</f>
        <v/>
      </c>
      <c r="N1458" s="51">
        <f>IF(AND(ISNUMBER(Base_IFData!O1459),ISNUMBER(Base_IFData!Q1459)),IF(Base_IFData!Q1459&gt;0,Base_IFData!O1459/Base_IFData!Q1459,"PL ≤ 0"),"NI")</f>
        <v>7.6712328767123287E-3</v>
      </c>
      <c r="O1458" s="110">
        <f>IF(AND(ISNUMBER(Base_IFData!M1459),ISNUMBER(Base_IFData!Q1459)),IF(Base_IFData!Q1459&gt;0,Base_IFData!M1459/Base_IFData!Q1459,"PL ≤ 0"),"NI")</f>
        <v>1.8082191780821918E-2</v>
      </c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</row>
    <row r="1459" spans="1:30" ht="15" customHeight="1" x14ac:dyDescent="0.2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15" t="str">
        <f>Base_IFData!A1460</f>
        <v>PROFITTO - SOCIEDADE DE CRÉDITO AO MICROEMPREENDEDOR E À EMPRESA DE PEQUENO PORTE LTDA.</v>
      </c>
      <c r="L1459" s="15" t="str">
        <f>Base_IFData!F1460</f>
        <v>n1</v>
      </c>
      <c r="M1459" s="17" t="str">
        <f>IF(AND(ISNUMBER(Base_IFData!L1460),ISNUMBER(Base_IFData!W1460)),IF(Base_IFData!L1460&gt;$B$4,Base_IFData!W1460,""),"")</f>
        <v/>
      </c>
      <c r="N1459" s="50">
        <f>IF(AND(ISNUMBER(Base_IFData!O1460),ISNUMBER(Base_IFData!Q1460)),IF(Base_IFData!Q1460&gt;0,Base_IFData!O1460/Base_IFData!Q1460,"PL ≤ 0"),"NI")</f>
        <v>8.1766148814390845E-4</v>
      </c>
      <c r="O1459" s="107">
        <f>IF(AND(ISNUMBER(Base_IFData!M1460),ISNUMBER(Base_IFData!Q1460)),IF(Base_IFData!Q1460&gt;0,Base_IFData!M1460/Base_IFData!Q1460,"PL ≤ 0"),"NI")</f>
        <v>0.16325974379940039</v>
      </c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</row>
    <row r="1460" spans="1:30" ht="15" customHeight="1" x14ac:dyDescent="0.2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12" t="str">
        <f>Base_IFData!A1461</f>
        <v>COOPERATIVA DE ECONOMIA E CRÉDITO MÚTUO DOS FUNCIONÁRIOS DA ACUMENT BRASIL</v>
      </c>
      <c r="L1460" s="12" t="str">
        <f>Base_IFData!F1461</f>
        <v>b3S</v>
      </c>
      <c r="M1460" s="14" t="str">
        <f>IF(AND(ISNUMBER(Base_IFData!L1461),ISNUMBER(Base_IFData!W1461)),IF(Base_IFData!L1461&gt;$B$4,Base_IFData!W1461,""),"")</f>
        <v/>
      </c>
      <c r="N1460" s="51">
        <f>IF(AND(ISNUMBER(Base_IFData!O1461),ISNUMBER(Base_IFData!Q1461)),IF(Base_IFData!Q1461&gt;0,Base_IFData!O1461/Base_IFData!Q1461,"PL ≤ 0"),"NI")</f>
        <v>6.6588785046728965E-2</v>
      </c>
      <c r="O1460" s="110">
        <f>IF(AND(ISNUMBER(Base_IFData!M1461),ISNUMBER(Base_IFData!Q1461)),IF(Base_IFData!Q1461&gt;0,Base_IFData!M1461/Base_IFData!Q1461,"PL ≤ 0"),"NI")</f>
        <v>0.73831775700934577</v>
      </c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</row>
    <row r="1461" spans="1:30" ht="15" customHeight="1" x14ac:dyDescent="0.2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15" t="str">
        <f>Base_IFData!A1462</f>
        <v>COOPERATIVA DE ECONOMIA E CREDITO MUTUO DOS FUNCIONARIOS DO EXPRESSO PRINCESA DOS CAMPOS</v>
      </c>
      <c r="L1461" s="15" t="str">
        <f>Base_IFData!F1462</f>
        <v>b3S</v>
      </c>
      <c r="M1461" s="17" t="str">
        <f>IF(AND(ISNUMBER(Base_IFData!L1462),ISNUMBER(Base_IFData!W1462)),IF(Base_IFData!L1462&gt;$B$4,Base_IFData!W1462,""),"")</f>
        <v/>
      </c>
      <c r="N1461" s="50">
        <f>IF(AND(ISNUMBER(Base_IFData!O1462),ISNUMBER(Base_IFData!Q1462)),IF(Base_IFData!Q1462&gt;0,Base_IFData!O1462/Base_IFData!Q1462,"PL ≤ 0"),"NI")</f>
        <v>1.8181818181818181E-2</v>
      </c>
      <c r="O1461" s="107">
        <f>IF(AND(ISNUMBER(Base_IFData!M1462),ISNUMBER(Base_IFData!Q1462)),IF(Base_IFData!Q1462&gt;0,Base_IFData!M1462/Base_IFData!Q1462,"PL ≤ 0"),"NI")</f>
        <v>0.88238636363636369</v>
      </c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</row>
    <row r="1462" spans="1:30" ht="15" customHeight="1" x14ac:dyDescent="0.2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12" t="str">
        <f>Base_IFData!A1463</f>
        <v>COOPERATIVA DE CRÉDITO MÚTUO DOS SERVIDORES DE ÓRGAOS GESTORES DE RECURSOS HÍDRICOS DO ESTADO DE SÃO PAULO - COOPERHIDRO</v>
      </c>
      <c r="L1462" s="12" t="str">
        <f>Base_IFData!F1463</f>
        <v>b3S</v>
      </c>
      <c r="M1462" s="14" t="str">
        <f>IF(AND(ISNUMBER(Base_IFData!L1463),ISNUMBER(Base_IFData!W1463)),IF(Base_IFData!L1463&gt;$B$4,Base_IFData!W1463,""),"")</f>
        <v/>
      </c>
      <c r="N1462" s="51">
        <f>IF(AND(ISNUMBER(Base_IFData!O1463),ISNUMBER(Base_IFData!Q1463)),IF(Base_IFData!Q1463&gt;0,Base_IFData!O1463/Base_IFData!Q1463,"PL ≤ 0"),"NI")</f>
        <v>0.27771797631862216</v>
      </c>
      <c r="O1462" s="110">
        <f>IF(AND(ISNUMBER(Base_IFData!M1463),ISNUMBER(Base_IFData!Q1463)),IF(Base_IFData!Q1463&gt;0,Base_IFData!M1463/Base_IFData!Q1463,"PL ≤ 0"),"NI")</f>
        <v>0.71115895227843562</v>
      </c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</row>
    <row r="1463" spans="1:30" ht="15" customHeight="1" x14ac:dyDescent="0.2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15" t="str">
        <f>Base_IFData!A1464</f>
        <v>COOPERATIVA DE ECONOMIA E CREDITO MUTUO DOS SERVIDORES DA ASCAR/EMATER-RS LTDA-CRESAL</v>
      </c>
      <c r="L1463" s="15" t="str">
        <f>Base_IFData!F1464</f>
        <v>b3S</v>
      </c>
      <c r="M1463" s="17" t="str">
        <f>IF(AND(ISNUMBER(Base_IFData!L1464),ISNUMBER(Base_IFData!W1464)),IF(Base_IFData!L1464&gt;$B$4,Base_IFData!W1464,""),"")</f>
        <v/>
      </c>
      <c r="N1463" s="50">
        <f>IF(AND(ISNUMBER(Base_IFData!O1464),ISNUMBER(Base_IFData!Q1464)),IF(Base_IFData!Q1464&gt;0,Base_IFData!O1464/Base_IFData!Q1464,"PL ≤ 0"),"NI")</f>
        <v>8.4322678843226792E-2</v>
      </c>
      <c r="O1463" s="107">
        <f>IF(AND(ISNUMBER(Base_IFData!M1464),ISNUMBER(Base_IFData!Q1464)),IF(Base_IFData!Q1464&gt;0,Base_IFData!M1464/Base_IFData!Q1464,"PL ≤ 0"),"NI")</f>
        <v>0.52237442922374433</v>
      </c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</row>
    <row r="1464" spans="1:30" ht="15" customHeight="1" x14ac:dyDescent="0.2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12" t="str">
        <f>Base_IFData!A1465</f>
        <v>COOPERATIVA DE CRÉDITO MÚTUO DOS FUNCIONÁRIOS DA FIEPB, SESI, SENAI, IEL E DO CONDOMÍNIO EDIFÍCIO AGOSTINHO VELLOSO DA SILVEIRA (CEAVS  - CREDFISP LTDA.</v>
      </c>
      <c r="L1464" s="12" t="str">
        <f>Base_IFData!F1465</f>
        <v>b3S</v>
      </c>
      <c r="M1464" s="14" t="str">
        <f>IF(AND(ISNUMBER(Base_IFData!L1465),ISNUMBER(Base_IFData!W1465)),IF(Base_IFData!L1465&gt;$B$4,Base_IFData!W1465,""),"")</f>
        <v/>
      </c>
      <c r="N1464" s="51">
        <f>IF(AND(ISNUMBER(Base_IFData!O1465),ISNUMBER(Base_IFData!Q1465)),IF(Base_IFData!Q1465&gt;0,Base_IFData!O1465/Base_IFData!Q1465,"PL ≤ 0"),"NI")</f>
        <v>0.11458985597996243</v>
      </c>
      <c r="O1464" s="110">
        <f>IF(AND(ISNUMBER(Base_IFData!M1465),ISNUMBER(Base_IFData!Q1465)),IF(Base_IFData!Q1465&gt;0,Base_IFData!M1465/Base_IFData!Q1465,"PL ≤ 0"),"NI")</f>
        <v>0.33343769567939885</v>
      </c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</row>
    <row r="1465" spans="1:30" ht="15" customHeight="1" x14ac:dyDescent="0.2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15" t="str">
        <f>Base_IFData!A1466</f>
        <v>COOPERATIVA DE ECONOMIA E CREDITO MUTUO DOS SERVIDORES DA UERJ LTDA. - COOPUERJ</v>
      </c>
      <c r="L1465" s="15" t="str">
        <f>Base_IFData!F1466</f>
        <v>b3S</v>
      </c>
      <c r="M1465" s="17" t="str">
        <f>IF(AND(ISNUMBER(Base_IFData!L1466),ISNUMBER(Base_IFData!W1466)),IF(Base_IFData!L1466&gt;$B$4,Base_IFData!W1466,""),"")</f>
        <v/>
      </c>
      <c r="N1465" s="50">
        <f>IF(AND(ISNUMBER(Base_IFData!O1466),ISNUMBER(Base_IFData!Q1466)),IF(Base_IFData!Q1466&gt;0,Base_IFData!O1466/Base_IFData!Q1466,"PL ≤ 0"),"NI")</f>
        <v>0.38584831899921812</v>
      </c>
      <c r="O1465" s="107">
        <f>IF(AND(ISNUMBER(Base_IFData!M1466),ISNUMBER(Base_IFData!Q1466)),IF(Base_IFData!Q1466&gt;0,Base_IFData!M1466/Base_IFData!Q1466,"PL ≤ 0"),"NI")</f>
        <v>0.79867083659108684</v>
      </c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</row>
    <row r="1466" spans="1:30" ht="15" customHeight="1" x14ac:dyDescent="0.2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12" t="str">
        <f>Base_IFData!A1467</f>
        <v>DOURADA CORRETORA DE CÂMBIO LTDA.</v>
      </c>
      <c r="L1466" s="12" t="str">
        <f>Base_IFData!F1467</f>
        <v>n2</v>
      </c>
      <c r="M1466" s="14" t="str">
        <f>IF(AND(ISNUMBER(Base_IFData!L1467),ISNUMBER(Base_IFData!W1467)),IF(Base_IFData!L1467&gt;$B$4,Base_IFData!W1467,""),"")</f>
        <v/>
      </c>
      <c r="N1466" s="51">
        <f>IF(AND(ISNUMBER(Base_IFData!O1467),ISNUMBER(Base_IFData!Q1467)),IF(Base_IFData!Q1467&gt;0,Base_IFData!O1467/Base_IFData!Q1467,"PL ≤ 0"),"NI")</f>
        <v>0.28141977544367985</v>
      </c>
      <c r="O1466" s="110">
        <f>IF(AND(ISNUMBER(Base_IFData!M1467),ISNUMBER(Base_IFData!Q1467)),IF(Base_IFData!Q1467&gt;0,Base_IFData!M1467/Base_IFData!Q1467,"PL ≤ 0"),"NI")</f>
        <v>0</v>
      </c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</row>
    <row r="1467" spans="1:30" ht="15" customHeight="1" x14ac:dyDescent="0.2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15" t="str">
        <f>Base_IFData!A1468</f>
        <v>MUEVY INSTITUICAO DE PAGAMENTO SA</v>
      </c>
      <c r="L1467" s="15" t="str">
        <f>Base_IFData!F1468</f>
        <v>n4</v>
      </c>
      <c r="M1467" s="17" t="str">
        <f>IF(AND(ISNUMBER(Base_IFData!L1468),ISNUMBER(Base_IFData!W1468)),IF(Base_IFData!L1468&gt;$B$4,Base_IFData!W1468,""),"")</f>
        <v/>
      </c>
      <c r="N1467" s="50">
        <f>IF(AND(ISNUMBER(Base_IFData!O1468),ISNUMBER(Base_IFData!Q1468)),IF(Base_IFData!Q1468&gt;0,Base_IFData!O1468/Base_IFData!Q1468,"PL ≤ 0"),"NI")</f>
        <v>4.1346721795629059E-2</v>
      </c>
      <c r="O1467" s="107">
        <f>IF(AND(ISNUMBER(Base_IFData!M1468),ISNUMBER(Base_IFData!Q1468)),IF(Base_IFData!Q1468&gt;0,Base_IFData!M1468/Base_IFData!Q1468,"PL ≤ 0"),"NI")</f>
        <v>0</v>
      </c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</row>
    <row r="1468" spans="1:30" ht="15" customHeight="1" x14ac:dyDescent="0.2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12" t="str">
        <f>Base_IFData!A1469</f>
        <v>VIPS CORRETORA DE CÂMBIO S.A.</v>
      </c>
      <c r="L1468" s="12" t="str">
        <f>Base_IFData!F1469</f>
        <v>n2</v>
      </c>
      <c r="M1468" s="14" t="str">
        <f>IF(AND(ISNUMBER(Base_IFData!L1469),ISNUMBER(Base_IFData!W1469)),IF(Base_IFData!L1469&gt;$B$4,Base_IFData!W1469,""),"")</f>
        <v/>
      </c>
      <c r="N1468" s="51">
        <f>IF(AND(ISNUMBER(Base_IFData!O1469),ISNUMBER(Base_IFData!Q1469)),IF(Base_IFData!Q1469&gt;0,Base_IFData!O1469/Base_IFData!Q1469,"PL ≤ 0"),"NI")</f>
        <v>0.21421071053552679</v>
      </c>
      <c r="O1468" s="110">
        <f>IF(AND(ISNUMBER(Base_IFData!M1469),ISNUMBER(Base_IFData!Q1469)),IF(Base_IFData!Q1469&gt;0,Base_IFData!M1469/Base_IFData!Q1469,"PL ≤ 0"),"NI")</f>
        <v>0</v>
      </c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</row>
    <row r="1469" spans="1:30" ht="15" customHeight="1" x14ac:dyDescent="0.2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15" t="str">
        <f>Base_IFData!A1470</f>
        <v>COOPERATIVA DE ECONOMIA E CRÉDITO MÚTUO DOS FUNCIONÁRIOS DA USINA SANTA MARIA - PILONCRED</v>
      </c>
      <c r="L1469" s="15" t="str">
        <f>Base_IFData!F1470</f>
        <v>b3S</v>
      </c>
      <c r="M1469" s="17" t="str">
        <f>IF(AND(ISNUMBER(Base_IFData!L1470),ISNUMBER(Base_IFData!W1470)),IF(Base_IFData!L1470&gt;$B$4,Base_IFData!W1470,""),"")</f>
        <v/>
      </c>
      <c r="N1469" s="50">
        <f>IF(AND(ISNUMBER(Base_IFData!O1470),ISNUMBER(Base_IFData!Q1470)),IF(Base_IFData!Q1470&gt;0,Base_IFData!O1470/Base_IFData!Q1470,"PL ≤ 0"),"NI")</f>
        <v>3.2469466785820675E-2</v>
      </c>
      <c r="O1469" s="107">
        <f>IF(AND(ISNUMBER(Base_IFData!M1470),ISNUMBER(Base_IFData!Q1470)),IF(Base_IFData!Q1470&gt;0,Base_IFData!M1470/Base_IFData!Q1470,"PL ≤ 0"),"NI")</f>
        <v>0.32499255287459039</v>
      </c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</row>
    <row r="1470" spans="1:30" ht="15" customHeight="1" x14ac:dyDescent="0.2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12" t="str">
        <f>Base_IFData!A1471</f>
        <v>HR SOCIEDADE DE CRÉDITO AO MICROEMPREENDEDOR E À EMPRESA DE PEQUENO PORTE LTDA.</v>
      </c>
      <c r="L1470" s="12" t="str">
        <f>Base_IFData!F1471</f>
        <v>n1</v>
      </c>
      <c r="M1470" s="14" t="str">
        <f>IF(AND(ISNUMBER(Base_IFData!L1471),ISNUMBER(Base_IFData!W1471)),IF(Base_IFData!L1471&gt;$B$4,Base_IFData!W1471,""),"")</f>
        <v/>
      </c>
      <c r="N1470" s="51">
        <f>IF(AND(ISNUMBER(Base_IFData!O1471),ISNUMBER(Base_IFData!Q1471)),IF(Base_IFData!Q1471&gt;0,Base_IFData!O1471/Base_IFData!Q1471,"PL ≤ 0"),"NI")</f>
        <v>1.8128559804719284</v>
      </c>
      <c r="O1470" s="110">
        <f>IF(AND(ISNUMBER(Base_IFData!M1471),ISNUMBER(Base_IFData!Q1471)),IF(Base_IFData!Q1471&gt;0,Base_IFData!M1471/Base_IFData!Q1471,"PL ≤ 0"),"NI")</f>
        <v>5.5329536208299432E-2</v>
      </c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</row>
    <row r="1471" spans="1:30" ht="15" customHeight="1" x14ac:dyDescent="0.2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15" t="str">
        <f>Base_IFData!A1472</f>
        <v>DM SOCIEDADE DE CRÉDITO DIRETO S.A.</v>
      </c>
      <c r="L1471" s="15" t="str">
        <f>Base_IFData!F1472</f>
        <v>n1</v>
      </c>
      <c r="M1471" s="17" t="str">
        <f>IF(AND(ISNUMBER(Base_IFData!L1472),ISNUMBER(Base_IFData!W1472)),IF(Base_IFData!L1472&gt;$B$4,Base_IFData!W1472,""),"")</f>
        <v/>
      </c>
      <c r="N1471" s="50">
        <f>IF(AND(ISNUMBER(Base_IFData!O1472),ISNUMBER(Base_IFData!Q1472)),IF(Base_IFData!Q1472&gt;0,Base_IFData!O1472/Base_IFData!Q1472,"PL ≤ 0"),"NI")</f>
        <v>7.9062957540263542E-3</v>
      </c>
      <c r="O1471" s="107">
        <f>IF(AND(ISNUMBER(Base_IFData!M1472),ISNUMBER(Base_IFData!Q1472)),IF(Base_IFData!Q1472&gt;0,Base_IFData!M1472/Base_IFData!Q1472,"PL ≤ 0"),"NI")</f>
        <v>5.856515373352855E-4</v>
      </c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</row>
    <row r="1472" spans="1:30" ht="15" customHeight="1" x14ac:dyDescent="0.2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12" t="str">
        <f>Base_IFData!A1473</f>
        <v>BIT SOCIEDADE DE CRÉDITO DIRETO S.A.</v>
      </c>
      <c r="L1472" s="12" t="str">
        <f>Base_IFData!F1473</f>
        <v>n1</v>
      </c>
      <c r="M1472" s="14" t="str">
        <f>IF(AND(ISNUMBER(Base_IFData!L1473),ISNUMBER(Base_IFData!W1473)),IF(Base_IFData!L1473&gt;$B$4,Base_IFData!W1473,""),"")</f>
        <v/>
      </c>
      <c r="N1472" s="51">
        <f>IF(AND(ISNUMBER(Base_IFData!O1473),ISNUMBER(Base_IFData!Q1473)),IF(Base_IFData!Q1473&gt;0,Base_IFData!O1473/Base_IFData!Q1473,"PL ≤ 0"),"NI")</f>
        <v>2.9507229271171437E-3</v>
      </c>
      <c r="O1472" s="110">
        <f>IF(AND(ISNUMBER(Base_IFData!M1473),ISNUMBER(Base_IFData!Q1473)),IF(Base_IFData!Q1473&gt;0,Base_IFData!M1473/Base_IFData!Q1473,"PL ≤ 0"),"NI")</f>
        <v>0</v>
      </c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</row>
    <row r="1473" spans="1:30" ht="15" customHeight="1" x14ac:dyDescent="0.2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15" t="str">
        <f>Base_IFData!A1474</f>
        <v>COOPSERJ - COOPERATIVA DE CRÉDITO MÚTUO DOS SERVIDORES PÚBLICOS DO PODER EXECUTIVO DO ESTADO DO RIO DE JANEIRO LTDA.</v>
      </c>
      <c r="L1473" s="15" t="str">
        <f>Base_IFData!F1474</f>
        <v>b3S</v>
      </c>
      <c r="M1473" s="17" t="str">
        <f>IF(AND(ISNUMBER(Base_IFData!L1474),ISNUMBER(Base_IFData!W1474)),IF(Base_IFData!L1474&gt;$B$4,Base_IFData!W1474,""),"")</f>
        <v/>
      </c>
      <c r="N1473" s="50">
        <f>IF(AND(ISNUMBER(Base_IFData!O1474),ISNUMBER(Base_IFData!Q1474)),IF(Base_IFData!Q1474&gt;0,Base_IFData!O1474/Base_IFData!Q1474,"PL ≤ 0"),"NI")</f>
        <v>0.19499294781382229</v>
      </c>
      <c r="O1473" s="107">
        <f>IF(AND(ISNUMBER(Base_IFData!M1474),ISNUMBER(Base_IFData!Q1474)),IF(Base_IFData!Q1474&gt;0,Base_IFData!M1474/Base_IFData!Q1474,"PL ≤ 0"),"NI")</f>
        <v>0.65232722143864597</v>
      </c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</row>
    <row r="1474" spans="1:30" ht="15" customHeight="1" x14ac:dyDescent="0.2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12" t="str">
        <f>Base_IFData!A1475</f>
        <v>COOPERATIVA DE ECONOMIA E CRÉDITO MÚTUO DOS EMPREGADOS DA BECTON DICKINSON INDÚSTRIAS CIRÚRGICAS LTDA., LTDA.</v>
      </c>
      <c r="L1474" s="12" t="str">
        <f>Base_IFData!F1475</f>
        <v>b3S</v>
      </c>
      <c r="M1474" s="14" t="str">
        <f>IF(AND(ISNUMBER(Base_IFData!L1475),ISNUMBER(Base_IFData!W1475)),IF(Base_IFData!L1475&gt;$B$4,Base_IFData!W1475,""),"")</f>
        <v/>
      </c>
      <c r="N1474" s="51">
        <f>IF(AND(ISNUMBER(Base_IFData!O1475),ISNUMBER(Base_IFData!Q1475)),IF(Base_IFData!Q1475&gt;0,Base_IFData!O1475/Base_IFData!Q1475,"PL ≤ 0"),"NI")</f>
        <v>0.21200143729787999</v>
      </c>
      <c r="O1474" s="110">
        <f>IF(AND(ISNUMBER(Base_IFData!M1475),ISNUMBER(Base_IFData!Q1475)),IF(Base_IFData!Q1475&gt;0,Base_IFData!M1475/Base_IFData!Q1475,"PL ≤ 0"),"NI")</f>
        <v>0.48544735896514551</v>
      </c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</row>
    <row r="1475" spans="1:30" ht="15" customHeight="1" x14ac:dyDescent="0.2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15" t="str">
        <f>Base_IFData!A1476</f>
        <v>GREEN ALTERNATIVE INVESTMENTS DISTRIBUIDORA DE TÍTULOS E VALORES MOBILIÁRIOS S.A.</v>
      </c>
      <c r="L1475" s="15" t="str">
        <f>Base_IFData!F1476</f>
        <v>n2</v>
      </c>
      <c r="M1475" s="17" t="str">
        <f>IF(AND(ISNUMBER(Base_IFData!L1476),ISNUMBER(Base_IFData!W1476)),IF(Base_IFData!L1476&gt;$B$4,Base_IFData!W1476,""),"")</f>
        <v/>
      </c>
      <c r="N1475" s="50">
        <f>IF(AND(ISNUMBER(Base_IFData!O1476),ISNUMBER(Base_IFData!Q1476)),IF(Base_IFData!Q1476&gt;0,Base_IFData!O1476/Base_IFData!Q1476,"PL ≤ 0"),"NI")</f>
        <v>5.400313971742543E-2</v>
      </c>
      <c r="O1475" s="107">
        <f>IF(AND(ISNUMBER(Base_IFData!M1476),ISNUMBER(Base_IFData!Q1476)),IF(Base_IFData!Q1476&gt;0,Base_IFData!M1476/Base_IFData!Q1476,"PL ≤ 0"),"NI")</f>
        <v>0</v>
      </c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</row>
    <row r="1476" spans="1:30" ht="15" customHeight="1" x14ac:dyDescent="0.2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12" t="str">
        <f>Base_IFData!A1477</f>
        <v>LIQUIDO INSTITUICAO DE PAGAMENTO LTDA</v>
      </c>
      <c r="L1476" s="12" t="str">
        <f>Base_IFData!F1477</f>
        <v>n4</v>
      </c>
      <c r="M1476" s="14" t="str">
        <f>IF(AND(ISNUMBER(Base_IFData!L1477),ISNUMBER(Base_IFData!W1477)),IF(Base_IFData!L1477&gt;$B$4,Base_IFData!W1477,""),"")</f>
        <v/>
      </c>
      <c r="N1476" s="51">
        <f>IF(AND(ISNUMBER(Base_IFData!O1477),ISNUMBER(Base_IFData!Q1477)),IF(Base_IFData!Q1477&gt;0,Base_IFData!O1477/Base_IFData!Q1477,"PL ≤ 0"),"NI")</f>
        <v>1.7826086956521738</v>
      </c>
      <c r="O1476" s="110">
        <f>IF(AND(ISNUMBER(Base_IFData!M1477),ISNUMBER(Base_IFData!Q1477)),IF(Base_IFData!Q1477&gt;0,Base_IFData!M1477/Base_IFData!Q1477,"PL ≤ 0"),"NI")</f>
        <v>0</v>
      </c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</row>
    <row r="1477" spans="1:30" ht="15" customHeight="1" x14ac:dyDescent="0.2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15" t="str">
        <f>Base_IFData!A1478</f>
        <v>COOPERATIVA DE ECONOMIA E CRÉDITO MUTUO DOS FUNCIONÁRIOS DE INSTITUIÇÕES FINANCEIRAS PUBLICAS E PRIVADAS NO TERRITÓRIO NACIONAL - CREDBRASIL</v>
      </c>
      <c r="L1477" s="15" t="str">
        <f>Base_IFData!F1478</f>
        <v>b3S</v>
      </c>
      <c r="M1477" s="17" t="str">
        <f>IF(AND(ISNUMBER(Base_IFData!L1478),ISNUMBER(Base_IFData!W1478)),IF(Base_IFData!L1478&gt;$B$4,Base_IFData!W1478,""),"")</f>
        <v/>
      </c>
      <c r="N1477" s="50">
        <f>IF(AND(ISNUMBER(Base_IFData!O1478),ISNUMBER(Base_IFData!Q1478)),IF(Base_IFData!Q1478&gt;0,Base_IFData!O1478/Base_IFData!Q1478,"PL ≤ 0"),"NI")</f>
        <v>0.22099853157121879</v>
      </c>
      <c r="O1477" s="107">
        <f>IF(AND(ISNUMBER(Base_IFData!M1478),ISNUMBER(Base_IFData!Q1478)),IF(Base_IFData!Q1478&gt;0,Base_IFData!M1478/Base_IFData!Q1478,"PL ≤ 0"),"NI")</f>
        <v>0.51945668135095446</v>
      </c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</row>
    <row r="1478" spans="1:30" ht="15" customHeight="1" x14ac:dyDescent="0.2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12" t="str">
        <f>Base_IFData!A1479</f>
        <v>DATANOMIK BRASIL INSTITUICAO DE PAGAMENTO LTDA</v>
      </c>
      <c r="L1478" s="12" t="str">
        <f>Base_IFData!F1479</f>
        <v>n4</v>
      </c>
      <c r="M1478" s="14" t="str">
        <f>IF(AND(ISNUMBER(Base_IFData!L1479),ISNUMBER(Base_IFData!W1479)),IF(Base_IFData!L1479&gt;$B$4,Base_IFData!W1479,""),"")</f>
        <v/>
      </c>
      <c r="N1478" s="51">
        <f>IF(AND(ISNUMBER(Base_IFData!O1479),ISNUMBER(Base_IFData!Q1479)),IF(Base_IFData!Q1479&gt;0,Base_IFData!O1479/Base_IFData!Q1479,"PL ≤ 0"),"NI")</f>
        <v>0.47090182141270548</v>
      </c>
      <c r="O1478" s="110">
        <f>IF(AND(ISNUMBER(Base_IFData!M1479),ISNUMBER(Base_IFData!Q1479)),IF(Base_IFData!Q1479&gt;0,Base_IFData!M1479/Base_IFData!Q1479,"PL ≤ 0"),"NI")</f>
        <v>0</v>
      </c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</row>
    <row r="1479" spans="1:30" ht="15" customHeight="1" x14ac:dyDescent="0.2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15" t="str">
        <f>Base_IFData!A1480</f>
        <v>NAGRO SOCIEDADE DE CRÉDITO DIRETO S.A.</v>
      </c>
      <c r="L1479" s="15" t="str">
        <f>Base_IFData!F1480</f>
        <v>n1</v>
      </c>
      <c r="M1479" s="17" t="str">
        <f>IF(AND(ISNUMBER(Base_IFData!L1480),ISNUMBER(Base_IFData!W1480)),IF(Base_IFData!L1480&gt;$B$4,Base_IFData!W1480,""),"")</f>
        <v/>
      </c>
      <c r="N1479" s="50">
        <f>IF(AND(ISNUMBER(Base_IFData!O1480),ISNUMBER(Base_IFData!Q1480)),IF(Base_IFData!Q1480&gt;0,Base_IFData!O1480/Base_IFData!Q1480,"PL ≤ 0"),"NI")</f>
        <v>0.1361111111111111</v>
      </c>
      <c r="O1479" s="107">
        <f>IF(AND(ISNUMBER(Base_IFData!M1480),ISNUMBER(Base_IFData!Q1480)),IF(Base_IFData!Q1480&gt;0,Base_IFData!M1480/Base_IFData!Q1480,"PL ≤ 0"),"NI")</f>
        <v>0</v>
      </c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</row>
    <row r="1480" spans="1:30" ht="15" customHeight="1" x14ac:dyDescent="0.2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12" t="str">
        <f>Base_IFData!A1481</f>
        <v>COOPESTADO - COOPERATIVA DE ECONOMIA E CRÉDITO MÚTUO DOS SERVIDORES PÚBLICOS NA REGIÃO METROPOLITANA DO ESTADO DO RIO DE JANEIRO LIMITADA</v>
      </c>
      <c r="L1480" s="12" t="str">
        <f>Base_IFData!F1481</f>
        <v>b3S</v>
      </c>
      <c r="M1480" s="14" t="str">
        <f>IF(AND(ISNUMBER(Base_IFData!L1481),ISNUMBER(Base_IFData!W1481)),IF(Base_IFData!L1481&gt;$B$4,Base_IFData!W1481,""),"")</f>
        <v/>
      </c>
      <c r="N1480" s="51">
        <f>IF(AND(ISNUMBER(Base_IFData!O1481),ISNUMBER(Base_IFData!Q1481)),IF(Base_IFData!Q1481&gt;0,Base_IFData!O1481/Base_IFData!Q1481,"PL ≤ 0"),"NI")</f>
        <v>0.12916666666666668</v>
      </c>
      <c r="O1480" s="110">
        <f>IF(AND(ISNUMBER(Base_IFData!M1481),ISNUMBER(Base_IFData!Q1481)),IF(Base_IFData!Q1481&gt;0,Base_IFData!M1481/Base_IFData!Q1481,"PL ≤ 0"),"NI")</f>
        <v>0.55798611111111107</v>
      </c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</row>
    <row r="1481" spans="1:30" ht="15" customHeight="1" x14ac:dyDescent="0.2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15" t="str">
        <f>Base_IFData!A1482</f>
        <v>MOMENTO DISTRIBUIDORA DE TITULOS E VALORES MOBILIARIOS LTDA</v>
      </c>
      <c r="L1481" s="15" t="str">
        <f>Base_IFData!F1482</f>
        <v>n2</v>
      </c>
      <c r="M1481" s="17" t="str">
        <f>IF(AND(ISNUMBER(Base_IFData!L1482),ISNUMBER(Base_IFData!W1482)),IF(Base_IFData!L1482&gt;$B$4,Base_IFData!W1482,""),"")</f>
        <v/>
      </c>
      <c r="N1481" s="50">
        <f>IF(AND(ISNUMBER(Base_IFData!O1482),ISNUMBER(Base_IFData!Q1482)),IF(Base_IFData!Q1482&gt;0,Base_IFData!O1482/Base_IFData!Q1482,"PL ≤ 0"),"NI")</f>
        <v>0.17133382461311716</v>
      </c>
      <c r="O1481" s="107">
        <f>IF(AND(ISNUMBER(Base_IFData!M1482),ISNUMBER(Base_IFData!Q1482)),IF(Base_IFData!Q1482&gt;0,Base_IFData!M1482/Base_IFData!Q1482,"PL ≤ 0"),"NI")</f>
        <v>0</v>
      </c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</row>
    <row r="1482" spans="1:30" ht="15" customHeight="1" x14ac:dyDescent="0.2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12" t="str">
        <f>Base_IFData!A1483</f>
        <v>COOPERATIVA DE ECONOMIA E CRÉDITO MÚTUO DOS EMPREGADOS DO SEBRAE BAHIA LTDA.</v>
      </c>
      <c r="L1482" s="12" t="str">
        <f>Base_IFData!F1483</f>
        <v>b3S</v>
      </c>
      <c r="M1482" s="14" t="str">
        <f>IF(AND(ISNUMBER(Base_IFData!L1483),ISNUMBER(Base_IFData!W1483)),IF(Base_IFData!L1483&gt;$B$4,Base_IFData!W1483,""),"")</f>
        <v/>
      </c>
      <c r="N1482" s="51">
        <f>IF(AND(ISNUMBER(Base_IFData!O1483),ISNUMBER(Base_IFData!Q1483)),IF(Base_IFData!Q1483&gt;0,Base_IFData!O1483/Base_IFData!Q1483,"PL ≤ 0"),"NI")</f>
        <v>2.075900097307817E-2</v>
      </c>
      <c r="O1482" s="110">
        <f>IF(AND(ISNUMBER(Base_IFData!M1483),ISNUMBER(Base_IFData!Q1483)),IF(Base_IFData!Q1483&gt;0,Base_IFData!M1483/Base_IFData!Q1483,"PL ≤ 0"),"NI")</f>
        <v>0.28673370094064221</v>
      </c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</row>
    <row r="1483" spans="1:30" ht="15" customHeight="1" x14ac:dyDescent="0.2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15" t="str">
        <f>Base_IFData!A1484</f>
        <v>COOPERATIVA DE ECONOMIA E CRÉDITO MÚTUO DOS EMPREGADOS DAS EMPRESAS SIDERÚRGICAS, METALÚRGICAS E ELETRO-MECÂNICAS DE JOÃO MONLEVADE LTDA. - CREDIBELGO</v>
      </c>
      <c r="L1483" s="15" t="str">
        <f>Base_IFData!F1484</f>
        <v>b3S</v>
      </c>
      <c r="M1483" s="17" t="str">
        <f>IF(AND(ISNUMBER(Base_IFData!L1484),ISNUMBER(Base_IFData!W1484)),IF(Base_IFData!L1484&gt;$B$4,Base_IFData!W1484,""),"")</f>
        <v/>
      </c>
      <c r="N1483" s="50">
        <f>IF(AND(ISNUMBER(Base_IFData!O1484),ISNUMBER(Base_IFData!Q1484)),IF(Base_IFData!Q1484&gt;0,Base_IFData!O1484/Base_IFData!Q1484,"PL ≤ 0"),"NI")</f>
        <v>0.15339233038348082</v>
      </c>
      <c r="O1483" s="107">
        <f>IF(AND(ISNUMBER(Base_IFData!M1484),ISNUMBER(Base_IFData!Q1484)),IF(Base_IFData!Q1484&gt;0,Base_IFData!M1484/Base_IFData!Q1484,"PL ≤ 0"),"NI")</f>
        <v>0.55899705014749268</v>
      </c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</row>
    <row r="1484" spans="1:30" ht="15" customHeight="1" x14ac:dyDescent="0.2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12" t="str">
        <f>Base_IFData!A1485</f>
        <v>AVS CORRETORA DE CÂMBIO LTDA.</v>
      </c>
      <c r="L1484" s="12" t="str">
        <f>Base_IFData!F1485</f>
        <v>n2</v>
      </c>
      <c r="M1484" s="14" t="str">
        <f>IF(AND(ISNUMBER(Base_IFData!L1485),ISNUMBER(Base_IFData!W1485)),IF(Base_IFData!L1485&gt;$B$4,Base_IFData!W1485,""),"")</f>
        <v/>
      </c>
      <c r="N1484" s="51">
        <f>IF(AND(ISNUMBER(Base_IFData!O1485),ISNUMBER(Base_IFData!Q1485)),IF(Base_IFData!Q1485&gt;0,Base_IFData!O1485/Base_IFData!Q1485,"PL ≤ 0"),"NI")</f>
        <v>0.27220863895680519</v>
      </c>
      <c r="O1484" s="110">
        <f>IF(AND(ISNUMBER(Base_IFData!M1485),ISNUMBER(Base_IFData!Q1485)),IF(Base_IFData!Q1485&gt;0,Base_IFData!M1485/Base_IFData!Q1485,"PL ≤ 0"),"NI")</f>
        <v>0</v>
      </c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</row>
    <row r="1485" spans="1:30" ht="15" customHeight="1" x14ac:dyDescent="0.2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15" t="str">
        <f>Base_IFData!A1486</f>
        <v>COOPERATIVA DE ECONOMIA E CRÉDITO MÚTUO DOS EMPREGADOS DA JOLIMODE ROUPAS E EMPRESAS COLIGADAS LTDA</v>
      </c>
      <c r="L1485" s="15" t="str">
        <f>Base_IFData!F1486</f>
        <v>b3S</v>
      </c>
      <c r="M1485" s="17" t="str">
        <f>IF(AND(ISNUMBER(Base_IFData!L1486),ISNUMBER(Base_IFData!W1486)),IF(Base_IFData!L1486&gt;$B$4,Base_IFData!W1486,""),"")</f>
        <v/>
      </c>
      <c r="N1485" s="50">
        <f>IF(AND(ISNUMBER(Base_IFData!O1486),ISNUMBER(Base_IFData!Q1486)),IF(Base_IFData!Q1486&gt;0,Base_IFData!O1486/Base_IFData!Q1486,"PL ≤ 0"),"NI")</f>
        <v>5.2203389830508477E-2</v>
      </c>
      <c r="O1485" s="107">
        <f>IF(AND(ISNUMBER(Base_IFData!M1486),ISNUMBER(Base_IFData!Q1486)),IF(Base_IFData!Q1486&gt;0,Base_IFData!M1486/Base_IFData!Q1486,"PL ≤ 0"),"NI")</f>
        <v>0.32271186440677968</v>
      </c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</row>
    <row r="1486" spans="1:30" ht="15" customHeight="1" x14ac:dyDescent="0.2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12" t="str">
        <f>Base_IFData!A1487</f>
        <v>INFINIA BRASIL INSTITUICAO DE PAGAMENTO LTDA</v>
      </c>
      <c r="L1486" s="12" t="str">
        <f>Base_IFData!F1487</f>
        <v>n4</v>
      </c>
      <c r="M1486" s="14" t="str">
        <f>IF(AND(ISNUMBER(Base_IFData!L1487),ISNUMBER(Base_IFData!W1487)),IF(Base_IFData!L1487&gt;$B$4,Base_IFData!W1487,""),"")</f>
        <v/>
      </c>
      <c r="N1486" s="51">
        <f>IF(AND(ISNUMBER(Base_IFData!O1487),ISNUMBER(Base_IFData!Q1487)),IF(Base_IFData!Q1487&gt;0,Base_IFData!O1487/Base_IFData!Q1487,"PL ≤ 0"),"NI")</f>
        <v>1.0437051532941943E-2</v>
      </c>
      <c r="O1486" s="110">
        <f>IF(AND(ISNUMBER(Base_IFData!M1487),ISNUMBER(Base_IFData!Q1487)),IF(Base_IFData!Q1487&gt;0,Base_IFData!M1487/Base_IFData!Q1487,"PL ≤ 0"),"NI")</f>
        <v>0</v>
      </c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</row>
    <row r="1487" spans="1:30" ht="15" customHeight="1" x14ac:dyDescent="0.2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15" t="str">
        <f>Base_IFData!A1488</f>
        <v>LAMARA SOCIEDADE DE CRÉDITO DIRETO S.A.</v>
      </c>
      <c r="L1487" s="15" t="str">
        <f>Base_IFData!F1488</f>
        <v>n1</v>
      </c>
      <c r="M1487" s="17" t="str">
        <f>IF(AND(ISNUMBER(Base_IFData!L1488),ISNUMBER(Base_IFData!W1488)),IF(Base_IFData!L1488&gt;$B$4,Base_IFData!W1488,""),"")</f>
        <v/>
      </c>
      <c r="N1487" s="50">
        <f>IF(AND(ISNUMBER(Base_IFData!O1488),ISNUMBER(Base_IFData!Q1488)),IF(Base_IFData!Q1488&gt;0,Base_IFData!O1488/Base_IFData!Q1488,"PL ≤ 0"),"NI")</f>
        <v>1.3275804845668768E-2</v>
      </c>
      <c r="O1487" s="107">
        <f>IF(AND(ISNUMBER(Base_IFData!M1488),ISNUMBER(Base_IFData!Q1488)),IF(Base_IFData!Q1488&gt;0,Base_IFData!M1488/Base_IFData!Q1488,"PL ≤ 0"),"NI")</f>
        <v>0.19117158977763027</v>
      </c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</row>
    <row r="1488" spans="1:30" ht="15" customHeight="1" x14ac:dyDescent="0.2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12" t="str">
        <f>Base_IFData!A1489</f>
        <v>E.SIGA SOCIEDADE DE CRÉDITO DIRETO S.A.</v>
      </c>
      <c r="L1488" s="12" t="str">
        <f>Base_IFData!F1489</f>
        <v>n1</v>
      </c>
      <c r="M1488" s="14" t="str">
        <f>IF(AND(ISNUMBER(Base_IFData!L1489),ISNUMBER(Base_IFData!W1489)),IF(Base_IFData!L1489&gt;$B$4,Base_IFData!W1489,""),"")</f>
        <v/>
      </c>
      <c r="N1488" s="51">
        <f>IF(AND(ISNUMBER(Base_IFData!O1489),ISNUMBER(Base_IFData!Q1489)),IF(Base_IFData!Q1489&gt;0,Base_IFData!O1489/Base_IFData!Q1489,"PL ≤ 0"),"NI")</f>
        <v>1.2329223592135955E-2</v>
      </c>
      <c r="O1488" s="110">
        <f>IF(AND(ISNUMBER(Base_IFData!M1489),ISNUMBER(Base_IFData!Q1489)),IF(Base_IFData!Q1489&gt;0,Base_IFData!M1489/Base_IFData!Q1489,"PL ≤ 0"),"NI")</f>
        <v>0.96667777407530819</v>
      </c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</row>
    <row r="1489" spans="1:30" ht="15" customHeight="1" x14ac:dyDescent="0.2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15" t="str">
        <f>Base_IFData!A1490</f>
        <v>COOPERATIVA DE ECONOMIA E CREDITO MUTUO DOS FUNCIONARIOS DA VIACAO NOSSA SENHORA DO AMPARO LTDA. - COPERFAMP</v>
      </c>
      <c r="L1489" s="15" t="str">
        <f>Base_IFData!F1490</f>
        <v>b3S</v>
      </c>
      <c r="M1489" s="17" t="str">
        <f>IF(AND(ISNUMBER(Base_IFData!L1490),ISNUMBER(Base_IFData!W1490)),IF(Base_IFData!L1490&gt;$B$4,Base_IFData!W1490,""),"")</f>
        <v/>
      </c>
      <c r="N1489" s="50">
        <f>IF(AND(ISNUMBER(Base_IFData!O1490),ISNUMBER(Base_IFData!Q1490)),IF(Base_IFData!Q1490&gt;0,Base_IFData!O1490/Base_IFData!Q1490,"PL ≤ 0"),"NI")</f>
        <v>9.7101449275362323E-2</v>
      </c>
      <c r="O1489" s="107">
        <f>IF(AND(ISNUMBER(Base_IFData!M1490),ISNUMBER(Base_IFData!Q1490)),IF(Base_IFData!Q1490&gt;0,Base_IFData!M1490/Base_IFData!Q1490,"PL ≤ 0"),"NI")</f>
        <v>0.44021739130434784</v>
      </c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</row>
    <row r="1490" spans="1:30" ht="15" customHeight="1" x14ac:dyDescent="0.2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12" t="str">
        <f>Base_IFData!A1491</f>
        <v>CREDILON SOCIEDADE DE CRÉDITO AO MICROEMPREENDEDOR DA REGIÃO DE LONDRINA LTDA.</v>
      </c>
      <c r="L1490" s="12" t="str">
        <f>Base_IFData!F1491</f>
        <v>n1</v>
      </c>
      <c r="M1490" s="14" t="str">
        <f>IF(AND(ISNUMBER(Base_IFData!L1491),ISNUMBER(Base_IFData!W1491)),IF(Base_IFData!L1491&gt;$B$4,Base_IFData!W1491,""),"")</f>
        <v/>
      </c>
      <c r="N1490" s="51">
        <f>IF(AND(ISNUMBER(Base_IFData!O1491),ISNUMBER(Base_IFData!Q1491)),IF(Base_IFData!Q1491&gt;0,Base_IFData!O1491/Base_IFData!Q1491,"PL ≤ 0"),"NI")</f>
        <v>0.10192023633677991</v>
      </c>
      <c r="O1490" s="110">
        <f>IF(AND(ISNUMBER(Base_IFData!M1491),ISNUMBER(Base_IFData!Q1491)),IF(Base_IFData!Q1491&gt;0,Base_IFData!M1491/Base_IFData!Q1491,"PL ≤ 0"),"NI")</f>
        <v>0.39069423929098968</v>
      </c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</row>
    <row r="1491" spans="1:30" ht="15" customHeight="1" x14ac:dyDescent="0.2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15" t="str">
        <f>Base_IFData!A1492</f>
        <v>FREEX SOCIEDADE CORRETORA DE CÂMBIO S.A.</v>
      </c>
      <c r="L1491" s="15" t="str">
        <f>Base_IFData!F1492</f>
        <v>n2</v>
      </c>
      <c r="M1491" s="17" t="str">
        <f>IF(AND(ISNUMBER(Base_IFData!L1492),ISNUMBER(Base_IFData!W1492)),IF(Base_IFData!L1492&gt;$B$4,Base_IFData!W1492,""),"")</f>
        <v/>
      </c>
      <c r="N1491" s="50">
        <f>IF(AND(ISNUMBER(Base_IFData!O1492),ISNUMBER(Base_IFData!Q1492)),IF(Base_IFData!Q1492&gt;0,Base_IFData!O1492/Base_IFData!Q1492,"PL ≤ 0"),"NI")</f>
        <v>4.6718972895863055E-2</v>
      </c>
      <c r="O1491" s="107">
        <f>IF(AND(ISNUMBER(Base_IFData!M1492),ISNUMBER(Base_IFData!Q1492)),IF(Base_IFData!Q1492&gt;0,Base_IFData!M1492/Base_IFData!Q1492,"PL ≤ 0"),"NI")</f>
        <v>0</v>
      </c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</row>
    <row r="1492" spans="1:30" ht="15" customHeight="1" x14ac:dyDescent="0.2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12" t="str">
        <f>Base_IFData!A1493</f>
        <v>NUMBER ONE SOCIEDADE CORRETORA DE CAMBIO LTDA.</v>
      </c>
      <c r="L1492" s="12" t="str">
        <f>Base_IFData!F1493</f>
        <v>n2</v>
      </c>
      <c r="M1492" s="14" t="str">
        <f>IF(AND(ISNUMBER(Base_IFData!L1493),ISNUMBER(Base_IFData!W1493)),IF(Base_IFData!L1493&gt;$B$4,Base_IFData!W1493,""),"")</f>
        <v/>
      </c>
      <c r="N1492" s="51">
        <f>IF(AND(ISNUMBER(Base_IFData!O1493),ISNUMBER(Base_IFData!Q1493)),IF(Base_IFData!Q1493&gt;0,Base_IFData!O1493/Base_IFData!Q1493,"PL ≤ 0"),"NI")</f>
        <v>0.3668081093823668</v>
      </c>
      <c r="O1492" s="110">
        <f>IF(AND(ISNUMBER(Base_IFData!M1493),ISNUMBER(Base_IFData!Q1493)),IF(Base_IFData!Q1493&gt;0,Base_IFData!M1493/Base_IFData!Q1493,"PL ≤ 0"),"NI")</f>
        <v>0</v>
      </c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</row>
    <row r="1493" spans="1:30" ht="15" customHeight="1" x14ac:dyDescent="0.2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15" t="str">
        <f>Base_IFData!A1494</f>
        <v>CONLIFE SOCIEDADE DE CRÉDITO DIRETO S/A</v>
      </c>
      <c r="L1493" s="15" t="str">
        <f>Base_IFData!F1494</f>
        <v>n1</v>
      </c>
      <c r="M1493" s="17" t="str">
        <f>IF(AND(ISNUMBER(Base_IFData!L1494),ISNUMBER(Base_IFData!W1494)),IF(Base_IFData!L1494&gt;$B$4,Base_IFData!W1494,""),"")</f>
        <v/>
      </c>
      <c r="N1493" s="50">
        <f>IF(AND(ISNUMBER(Base_IFData!O1494),ISNUMBER(Base_IFData!Q1494)),IF(Base_IFData!Q1494&gt;0,Base_IFData!O1494/Base_IFData!Q1494,"PL ≤ 0"),"NI")</f>
        <v>1.7760617760617761</v>
      </c>
      <c r="O1493" s="107">
        <f>IF(AND(ISNUMBER(Base_IFData!M1494),ISNUMBER(Base_IFData!Q1494)),IF(Base_IFData!Q1494&gt;0,Base_IFData!M1494/Base_IFData!Q1494,"PL ≤ 0"),"NI")</f>
        <v>5.7915057915057917E-2</v>
      </c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</row>
    <row r="1494" spans="1:30" ht="15" customHeight="1" x14ac:dyDescent="0.2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12" t="str">
        <f>Base_IFData!A1495</f>
        <v>COOPERATIVA DE ECONOMIA E CREDITO MUTUO DOS FUNCIONARIOS DA GKN DO BRASIL LTDA</v>
      </c>
      <c r="L1494" s="12" t="str">
        <f>Base_IFData!F1495</f>
        <v>b3S</v>
      </c>
      <c r="M1494" s="14" t="str">
        <f>IF(AND(ISNUMBER(Base_IFData!L1495),ISNUMBER(Base_IFData!W1495)),IF(Base_IFData!L1495&gt;$B$4,Base_IFData!W1495,""),"")</f>
        <v/>
      </c>
      <c r="N1494" s="51">
        <f>IF(AND(ISNUMBER(Base_IFData!O1495),ISNUMBER(Base_IFData!Q1495)),IF(Base_IFData!Q1495&gt;0,Base_IFData!O1495/Base_IFData!Q1495,"PL ≤ 0"),"NI")</f>
        <v>0.11084624553039332</v>
      </c>
      <c r="O1494" s="110">
        <f>IF(AND(ISNUMBER(Base_IFData!M1495),ISNUMBER(Base_IFData!Q1495)),IF(Base_IFData!Q1495&gt;0,Base_IFData!M1495/Base_IFData!Q1495,"PL ≤ 0"),"NI")</f>
        <v>2.7016289233214145E-2</v>
      </c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</row>
    <row r="1495" spans="1:30" ht="15" customHeight="1" x14ac:dyDescent="0.2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15" t="str">
        <f>Base_IFData!A1496</f>
        <v>COOPERATIVA DE ECONOMIA E CREDITO MUTUO DOS SERVIDORES DO COLEGIO PEDRO II</v>
      </c>
      <c r="L1495" s="15" t="str">
        <f>Base_IFData!F1496</f>
        <v>b3S</v>
      </c>
      <c r="M1495" s="17" t="str">
        <f>IF(AND(ISNUMBER(Base_IFData!L1496),ISNUMBER(Base_IFData!W1496)),IF(Base_IFData!L1496&gt;$B$4,Base_IFData!W1496,""),"")</f>
        <v/>
      </c>
      <c r="N1495" s="50">
        <f>IF(AND(ISNUMBER(Base_IFData!O1496),ISNUMBER(Base_IFData!Q1496)),IF(Base_IFData!Q1496&gt;0,Base_IFData!O1496/Base_IFData!Q1496,"PL ≤ 0"),"NI")</f>
        <v>2.4353690520794304E-2</v>
      </c>
      <c r="O1495" s="107">
        <f>IF(AND(ISNUMBER(Base_IFData!M1496),ISNUMBER(Base_IFData!Q1496)),IF(Base_IFData!Q1496&gt;0,Base_IFData!M1496/Base_IFData!Q1496,"PL ≤ 0"),"NI")</f>
        <v>0.46759085799925065</v>
      </c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</row>
    <row r="1496" spans="1:30" ht="15" customHeight="1" x14ac:dyDescent="0.2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12" t="str">
        <f>Base_IFData!A1497</f>
        <v>NUMATUR CORRETORA DE CÂMBIO LTDA.</v>
      </c>
      <c r="L1496" s="12" t="str">
        <f>Base_IFData!F1497</f>
        <v>n2</v>
      </c>
      <c r="M1496" s="14" t="str">
        <f>IF(AND(ISNUMBER(Base_IFData!L1497),ISNUMBER(Base_IFData!W1497)),IF(Base_IFData!L1497&gt;$B$4,Base_IFData!W1497,""),"")</f>
        <v/>
      </c>
      <c r="N1496" s="51">
        <f>IF(AND(ISNUMBER(Base_IFData!O1497),ISNUMBER(Base_IFData!Q1497)),IF(Base_IFData!Q1497&gt;0,Base_IFData!O1497/Base_IFData!Q1497,"PL ≤ 0"),"NI")</f>
        <v>2.1108179419525065E-2</v>
      </c>
      <c r="O1496" s="110">
        <f>IF(AND(ISNUMBER(Base_IFData!M1497),ISNUMBER(Base_IFData!Q1497)),IF(Base_IFData!Q1497&gt;0,Base_IFData!M1497/Base_IFData!Q1497,"PL ≤ 0"),"NI")</f>
        <v>0</v>
      </c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</row>
    <row r="1497" spans="1:30" ht="15" customHeight="1" x14ac:dyDescent="0.2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15" t="str">
        <f>Base_IFData!A1498</f>
        <v>GOOD SOCIEDADE CORRETORA DE CÂMBIO LTDA.</v>
      </c>
      <c r="L1497" s="15" t="str">
        <f>Base_IFData!F1498</f>
        <v>n2</v>
      </c>
      <c r="M1497" s="17" t="str">
        <f>IF(AND(ISNUMBER(Base_IFData!L1498),ISNUMBER(Base_IFData!W1498)),IF(Base_IFData!L1498&gt;$B$4,Base_IFData!W1498,""),"")</f>
        <v/>
      </c>
      <c r="N1497" s="50">
        <f>IF(AND(ISNUMBER(Base_IFData!O1498),ISNUMBER(Base_IFData!Q1498)),IF(Base_IFData!Q1498&gt;0,Base_IFData!O1498/Base_IFData!Q1498,"PL ≤ 0"),"NI")</f>
        <v>0.1388888888888889</v>
      </c>
      <c r="O1497" s="107">
        <f>IF(AND(ISNUMBER(Base_IFData!M1498),ISNUMBER(Base_IFData!Q1498)),IF(Base_IFData!Q1498&gt;0,Base_IFData!M1498/Base_IFData!Q1498,"PL ≤ 0"),"NI")</f>
        <v>0</v>
      </c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</row>
    <row r="1498" spans="1:30" ht="15" customHeight="1" x14ac:dyDescent="0.2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12" t="str">
        <f>Base_IFData!A1499</f>
        <v>COOPERATIVA DE ECONOMIA E CRÉDITO MÚTUO DOS EMPREGADOS DE KYN COMÉRCIO VAREJISTA E ATACADISTA - COOPER KYN</v>
      </c>
      <c r="L1498" s="12" t="str">
        <f>Base_IFData!F1499</f>
        <v>b3S</v>
      </c>
      <c r="M1498" s="14" t="str">
        <f>IF(AND(ISNUMBER(Base_IFData!L1499),ISNUMBER(Base_IFData!W1499)),IF(Base_IFData!L1499&gt;$B$4,Base_IFData!W1499,""),"")</f>
        <v/>
      </c>
      <c r="N1498" s="51">
        <f>IF(AND(ISNUMBER(Base_IFData!O1499),ISNUMBER(Base_IFData!Q1499)),IF(Base_IFData!Q1499&gt;0,Base_IFData!O1499/Base_IFData!Q1499,"PL ≤ 0"),"NI")</f>
        <v>0.18355555555555556</v>
      </c>
      <c r="O1498" s="110">
        <f>IF(AND(ISNUMBER(Base_IFData!M1499),ISNUMBER(Base_IFData!Q1499)),IF(Base_IFData!Q1499&gt;0,Base_IFData!M1499/Base_IFData!Q1499,"PL ≤ 0"),"NI")</f>
        <v>0.66444444444444439</v>
      </c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</row>
    <row r="1499" spans="1:30" ht="15" customHeight="1" x14ac:dyDescent="0.2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15" t="str">
        <f>Base_IFData!A1500</f>
        <v>EUROINVEST S.A. CORRETORA DE CÂMBIO, TÍTULOS E VALORES MOBILIÁRIOS</v>
      </c>
      <c r="L1499" s="15" t="str">
        <f>Base_IFData!F1500</f>
        <v>n2</v>
      </c>
      <c r="M1499" s="17" t="str">
        <f>IF(AND(ISNUMBER(Base_IFData!L1500),ISNUMBER(Base_IFData!W1500)),IF(Base_IFData!L1500&gt;$B$4,Base_IFData!W1500,""),"")</f>
        <v/>
      </c>
      <c r="N1499" s="50">
        <f>IF(AND(ISNUMBER(Base_IFData!O1500),ISNUMBER(Base_IFData!Q1500)),IF(Base_IFData!Q1500&gt;0,Base_IFData!O1500/Base_IFData!Q1500,"PL ≤ 0"),"NI")</f>
        <v>0.15008650519031141</v>
      </c>
      <c r="O1499" s="107">
        <f>IF(AND(ISNUMBER(Base_IFData!M1500),ISNUMBER(Base_IFData!Q1500)),IF(Base_IFData!Q1500&gt;0,Base_IFData!M1500/Base_IFData!Q1500,"PL ≤ 0"),"NI")</f>
        <v>0</v>
      </c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</row>
    <row r="1500" spans="1:30" ht="15" customHeight="1" x14ac:dyDescent="0.2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12" t="str">
        <f>Base_IFData!A1501</f>
        <v>PACIFIC INVEST DISTRIBUIDORA DE TITULOS E VALORES MOBILIARIOS LTDA</v>
      </c>
      <c r="L1500" s="12" t="str">
        <f>Base_IFData!F1501</f>
        <v>n2</v>
      </c>
      <c r="M1500" s="14" t="str">
        <f>IF(AND(ISNUMBER(Base_IFData!L1501),ISNUMBER(Base_IFData!W1501)),IF(Base_IFData!L1501&gt;$B$4,Base_IFData!W1501,""),"")</f>
        <v/>
      </c>
      <c r="N1500" s="51">
        <f>IF(AND(ISNUMBER(Base_IFData!O1501),ISNUMBER(Base_IFData!Q1501)),IF(Base_IFData!Q1501&gt;0,Base_IFData!O1501/Base_IFData!Q1501,"PL ≤ 0"),"NI")</f>
        <v>0.38318254390633316</v>
      </c>
      <c r="O1500" s="110">
        <f>IF(AND(ISNUMBER(Base_IFData!M1501),ISNUMBER(Base_IFData!Q1501)),IF(Base_IFData!Q1501&gt;0,Base_IFData!M1501/Base_IFData!Q1501,"PL ≤ 0"),"NI")</f>
        <v>0</v>
      </c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</row>
    <row r="1501" spans="1:30" ht="15" customHeight="1" x14ac:dyDescent="0.2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15" t="str">
        <f>Base_IFData!A1502</f>
        <v>COOPERATIVA DE ECONOMIA E CRÉDITO MÚTUO DOS EMPREGADOS DA PONTIFÍCIA UNIVERSIDADE CATÓLICA DO RIO DE JANEIRO E EMPREGADOS EM ESTABELECIMENTOS PRIVADOS DE ENSINO DO MUNICÍPIO DO RIO DE JANEIRO LTDA.</v>
      </c>
      <c r="L1501" s="15" t="str">
        <f>Base_IFData!F1502</f>
        <v>b3S</v>
      </c>
      <c r="M1501" s="17" t="str">
        <f>IF(AND(ISNUMBER(Base_IFData!L1502),ISNUMBER(Base_IFData!W1502)),IF(Base_IFData!L1502&gt;$B$4,Base_IFData!W1502,""),"")</f>
        <v/>
      </c>
      <c r="N1501" s="50">
        <f>IF(AND(ISNUMBER(Base_IFData!O1502),ISNUMBER(Base_IFData!Q1502)),IF(Base_IFData!Q1502&gt;0,Base_IFData!O1502/Base_IFData!Q1502,"PL ≤ 0"),"NI")</f>
        <v>0.78496868475991655</v>
      </c>
      <c r="O1501" s="107">
        <f>IF(AND(ISNUMBER(Base_IFData!M1502),ISNUMBER(Base_IFData!Q1502)),IF(Base_IFData!Q1502&gt;0,Base_IFData!M1502/Base_IFData!Q1502,"PL ≤ 0"),"NI")</f>
        <v>0.82602644398051495</v>
      </c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</row>
    <row r="1502" spans="1:30" ht="15" customHeight="1" x14ac:dyDescent="0.2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12" t="str">
        <f>Base_IFData!A1503</f>
        <v>PB SOCIEDADE DE CREDITO DIRETO S.A.</v>
      </c>
      <c r="L1502" s="12" t="str">
        <f>Base_IFData!F1503</f>
        <v>n1</v>
      </c>
      <c r="M1502" s="14" t="str">
        <f>IF(AND(ISNUMBER(Base_IFData!L1503),ISNUMBER(Base_IFData!W1503)),IF(Base_IFData!L1503&gt;$B$4,Base_IFData!W1503,""),"")</f>
        <v/>
      </c>
      <c r="N1502" s="51">
        <f>IF(AND(ISNUMBER(Base_IFData!O1503),ISNUMBER(Base_IFData!Q1503)),IF(Base_IFData!Q1503&gt;0,Base_IFData!O1503/Base_IFData!Q1503,"PL ≤ 0"),"NI")</f>
        <v>0.42517006802721086</v>
      </c>
      <c r="O1502" s="110">
        <f>IF(AND(ISNUMBER(Base_IFData!M1503),ISNUMBER(Base_IFData!Q1503)),IF(Base_IFData!Q1503&gt;0,Base_IFData!M1503/Base_IFData!Q1503,"PL ≤ 0"),"NI")</f>
        <v>7.4829931972789115E-2</v>
      </c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</row>
    <row r="1503" spans="1:30" ht="15" customHeight="1" x14ac:dyDescent="0.2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15" t="str">
        <f>Base_IFData!A1504</f>
        <v>RED SOCIEDADE DE CRÉDITO DIRETO S.A.</v>
      </c>
      <c r="L1503" s="15" t="str">
        <f>Base_IFData!F1504</f>
        <v>n1</v>
      </c>
      <c r="M1503" s="17" t="str">
        <f>IF(AND(ISNUMBER(Base_IFData!L1504),ISNUMBER(Base_IFData!W1504)),IF(Base_IFData!L1504&gt;$B$4,Base_IFData!W1504,""),"")</f>
        <v/>
      </c>
      <c r="N1503" s="50">
        <f>IF(AND(ISNUMBER(Base_IFData!O1504),ISNUMBER(Base_IFData!Q1504)),IF(Base_IFData!Q1504&gt;0,Base_IFData!O1504/Base_IFData!Q1504,"PL ≤ 0"),"NI")</f>
        <v>3.5846724351050678E-2</v>
      </c>
      <c r="O1503" s="107">
        <f>IF(AND(ISNUMBER(Base_IFData!M1504),ISNUMBER(Base_IFData!Q1504)),IF(Base_IFData!Q1504&gt;0,Base_IFData!M1504/Base_IFData!Q1504,"PL ≤ 0"),"NI")</f>
        <v>0</v>
      </c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</row>
    <row r="1504" spans="1:30" ht="15" customHeight="1" x14ac:dyDescent="0.2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12" t="str">
        <f>Base_IFData!A1505</f>
        <v>SADOC SOCIEDADE CORRETORA DE CÂMBIO LTDA.</v>
      </c>
      <c r="L1504" s="12" t="str">
        <f>Base_IFData!F1505</f>
        <v>n2</v>
      </c>
      <c r="M1504" s="14" t="str">
        <f>IF(AND(ISNUMBER(Base_IFData!L1505),ISNUMBER(Base_IFData!W1505)),IF(Base_IFData!L1505&gt;$B$4,Base_IFData!W1505,""),"")</f>
        <v/>
      </c>
      <c r="N1504" s="51">
        <f>IF(AND(ISNUMBER(Base_IFData!O1505),ISNUMBER(Base_IFData!Q1505)),IF(Base_IFData!Q1505&gt;0,Base_IFData!O1505/Base_IFData!Q1505,"PL ≤ 0"),"NI")</f>
        <v>0.14018264840182648</v>
      </c>
      <c r="O1504" s="110">
        <f>IF(AND(ISNUMBER(Base_IFData!M1505),ISNUMBER(Base_IFData!Q1505)),IF(Base_IFData!Q1505&gt;0,Base_IFData!M1505/Base_IFData!Q1505,"PL ≤ 0"),"NI")</f>
        <v>0</v>
      </c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</row>
    <row r="1505" spans="1:30" ht="15" customHeight="1" x14ac:dyDescent="0.2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15" t="str">
        <f>Base_IFData!A1506</f>
        <v>LA FINTECA INSTITUICAO DE PAGAMENTO LTDA</v>
      </c>
      <c r="L1505" s="15" t="str">
        <f>Base_IFData!F1506</f>
        <v>n4</v>
      </c>
      <c r="M1505" s="17" t="str">
        <f>IF(AND(ISNUMBER(Base_IFData!L1506),ISNUMBER(Base_IFData!W1506)),IF(Base_IFData!L1506&gt;$B$4,Base_IFData!W1506,""),"")</f>
        <v/>
      </c>
      <c r="N1505" s="50">
        <f>IF(AND(ISNUMBER(Base_IFData!O1506),ISNUMBER(Base_IFData!Q1506)),IF(Base_IFData!Q1506&gt;0,Base_IFData!O1506/Base_IFData!Q1506,"PL ≤ 0"),"NI")</f>
        <v>2.689075630252101E-2</v>
      </c>
      <c r="O1505" s="107">
        <f>IF(AND(ISNUMBER(Base_IFData!M1506),ISNUMBER(Base_IFData!Q1506)),IF(Base_IFData!Q1506&gt;0,Base_IFData!M1506/Base_IFData!Q1506,"PL ≤ 0"),"NI")</f>
        <v>0</v>
      </c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</row>
    <row r="1506" spans="1:30" ht="15" customHeight="1" x14ac:dyDescent="0.2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12" t="str">
        <f>Base_IFData!A1507</f>
        <v>EASY MONEY SOCIEDADE DE CRÉDITO DIRETO S.A.</v>
      </c>
      <c r="L1506" s="12" t="str">
        <f>Base_IFData!F1507</f>
        <v>n1</v>
      </c>
      <c r="M1506" s="14" t="str">
        <f>IF(AND(ISNUMBER(Base_IFData!L1507),ISNUMBER(Base_IFData!W1507)),IF(Base_IFData!L1507&gt;$B$4,Base_IFData!W1507,""),"")</f>
        <v/>
      </c>
      <c r="N1506" s="51">
        <f>IF(AND(ISNUMBER(Base_IFData!O1507),ISNUMBER(Base_IFData!Q1507)),IF(Base_IFData!Q1507&gt;0,Base_IFData!O1507/Base_IFData!Q1507,"PL ≤ 0"),"NI")</f>
        <v>0.76787030213706708</v>
      </c>
      <c r="O1506" s="110">
        <f>IF(AND(ISNUMBER(Base_IFData!M1507),ISNUMBER(Base_IFData!Q1507)),IF(Base_IFData!Q1507&gt;0,Base_IFData!M1507/Base_IFData!Q1507,"PL ≤ 0"),"NI")</f>
        <v>1.4966838614591009</v>
      </c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</row>
    <row r="1507" spans="1:30" ht="15" customHeight="1" x14ac:dyDescent="0.2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15" t="str">
        <f>Base_IFData!A1508</f>
        <v>COOPERATIVA DE ECONOMIA E CRÉDITO MÚTUO DOS FUNCIONÁRIOS DO PODER JUDICIÁRIO E SERVIDORES PÚBLICOS DO ESTADO DE SÃO PAULO - SPCRED</v>
      </c>
      <c r="L1507" s="15" t="str">
        <f>Base_IFData!F1508</f>
        <v>b3S</v>
      </c>
      <c r="M1507" s="17" t="str">
        <f>IF(AND(ISNUMBER(Base_IFData!L1508),ISNUMBER(Base_IFData!W1508)),IF(Base_IFData!L1508&gt;$B$4,Base_IFData!W1508,""),"")</f>
        <v/>
      </c>
      <c r="N1507" s="50">
        <f>IF(AND(ISNUMBER(Base_IFData!O1508),ISNUMBER(Base_IFData!Q1508)),IF(Base_IFData!Q1508&gt;0,Base_IFData!O1508/Base_IFData!Q1508,"PL ≤ 0"),"NI")</f>
        <v>0.51997463538363986</v>
      </c>
      <c r="O1507" s="107">
        <f>IF(AND(ISNUMBER(Base_IFData!M1508),ISNUMBER(Base_IFData!Q1508)),IF(Base_IFData!Q1508&gt;0,Base_IFData!M1508/Base_IFData!Q1508,"PL ≤ 0"),"NI")</f>
        <v>1.1616994292961318</v>
      </c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</row>
    <row r="1508" spans="1:30" ht="15" customHeight="1" x14ac:dyDescent="0.2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12" t="str">
        <f>Base_IFData!A1509</f>
        <v>PLUGGY BRASIL INSTITUICAO DE PAGAMENTO LTDA</v>
      </c>
      <c r="L1508" s="12" t="str">
        <f>Base_IFData!F1509</f>
        <v>n4</v>
      </c>
      <c r="M1508" s="14" t="str">
        <f>IF(AND(ISNUMBER(Base_IFData!L1509),ISNUMBER(Base_IFData!W1509)),IF(Base_IFData!L1509&gt;$B$4,Base_IFData!W1509,""),"")</f>
        <v/>
      </c>
      <c r="N1508" s="51">
        <f>IF(AND(ISNUMBER(Base_IFData!O1509),ISNUMBER(Base_IFData!Q1509)),IF(Base_IFData!Q1509&gt;0,Base_IFData!O1509/Base_IFData!Q1509,"PL ≤ 0"),"NI")</f>
        <v>0.1792220580994584</v>
      </c>
      <c r="O1508" s="110">
        <f>IF(AND(ISNUMBER(Base_IFData!M1509),ISNUMBER(Base_IFData!Q1509)),IF(Base_IFData!Q1509&gt;0,Base_IFData!M1509/Base_IFData!Q1509,"PL ≤ 0"),"NI")</f>
        <v>0</v>
      </c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</row>
    <row r="1509" spans="1:30" ht="15" customHeight="1" x14ac:dyDescent="0.2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15" t="str">
        <f>Base_IFData!A1510</f>
        <v>TRINUS CAPITAL DISTRIBUIDORA DE TÍTULOS E VALORES MOBILIÁRIOS S.A.</v>
      </c>
      <c r="L1509" s="15" t="str">
        <f>Base_IFData!F1510</f>
        <v>n2</v>
      </c>
      <c r="M1509" s="17" t="str">
        <f>IF(AND(ISNUMBER(Base_IFData!L1510),ISNUMBER(Base_IFData!W1510)),IF(Base_IFData!L1510&gt;$B$4,Base_IFData!W1510,""),"")</f>
        <v/>
      </c>
      <c r="N1509" s="50">
        <f>IF(AND(ISNUMBER(Base_IFData!O1510),ISNUMBER(Base_IFData!Q1510)),IF(Base_IFData!Q1510&gt;0,Base_IFData!O1510/Base_IFData!Q1510,"PL ≤ 0"),"NI")</f>
        <v>0.21457905544147843</v>
      </c>
      <c r="O1509" s="107">
        <f>IF(AND(ISNUMBER(Base_IFData!M1510),ISNUMBER(Base_IFData!Q1510)),IF(Base_IFData!Q1510&gt;0,Base_IFData!M1510/Base_IFData!Q1510,"PL ≤ 0"),"NI")</f>
        <v>0</v>
      </c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</row>
    <row r="1510" spans="1:30" ht="15" customHeight="1" x14ac:dyDescent="0.2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12" t="str">
        <f>Base_IFData!A1511</f>
        <v>VNK SOCIEDADE DE CRÉDITO AO MICROEMPREENDEDOR E À EMPRESA DE PEQUENO PORTE LTDA.</v>
      </c>
      <c r="L1510" s="12" t="str">
        <f>Base_IFData!F1511</f>
        <v>n1</v>
      </c>
      <c r="M1510" s="14" t="str">
        <f>IF(AND(ISNUMBER(Base_IFData!L1511),ISNUMBER(Base_IFData!W1511)),IF(Base_IFData!L1511&gt;$B$4,Base_IFData!W1511,""),"")</f>
        <v/>
      </c>
      <c r="N1510" s="51">
        <f>IF(AND(ISNUMBER(Base_IFData!O1511),ISNUMBER(Base_IFData!Q1511)),IF(Base_IFData!Q1511&gt;0,Base_IFData!O1511/Base_IFData!Q1511,"PL ≤ 0"),"NI")</f>
        <v>0.59985734664764623</v>
      </c>
      <c r="O1510" s="110">
        <f>IF(AND(ISNUMBER(Base_IFData!M1511),ISNUMBER(Base_IFData!Q1511)),IF(Base_IFData!Q1511&gt;0,Base_IFData!M1511/Base_IFData!Q1511,"PL ≤ 0"),"NI")</f>
        <v>0.53352353780313833</v>
      </c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</row>
    <row r="1511" spans="1:30" ht="15" customHeight="1" x14ac:dyDescent="0.2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15" t="str">
        <f>Base_IFData!A1512</f>
        <v>COOPERATIVA DE ECONOMIA E CREDITO MUTUO DOS TRABALHADORES EM CONSELHOS DE FISCALIZACAO PROFISSIONAL NO MUNICIPIO DO RIO DE JANEIRO LTDA.</v>
      </c>
      <c r="L1511" s="15" t="str">
        <f>Base_IFData!F1512</f>
        <v>b3S</v>
      </c>
      <c r="M1511" s="17" t="str">
        <f>IF(AND(ISNUMBER(Base_IFData!L1512),ISNUMBER(Base_IFData!W1512)),IF(Base_IFData!L1512&gt;$B$4,Base_IFData!W1512,""),"")</f>
        <v/>
      </c>
      <c r="N1511" s="50">
        <f>IF(AND(ISNUMBER(Base_IFData!O1512),ISNUMBER(Base_IFData!Q1512)),IF(Base_IFData!Q1512&gt;0,Base_IFData!O1512/Base_IFData!Q1512,"PL ≤ 0"),"NI")</f>
        <v>5.5688910225636101E-2</v>
      </c>
      <c r="O1511" s="107">
        <f>IF(AND(ISNUMBER(Base_IFData!M1512),ISNUMBER(Base_IFData!Q1512)),IF(Base_IFData!Q1512&gt;0,Base_IFData!M1512/Base_IFData!Q1512,"PL ≤ 0"),"NI")</f>
        <v>0.53864618338934234</v>
      </c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</row>
    <row r="1512" spans="1:30" ht="15" customHeight="1" x14ac:dyDescent="0.2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12" t="str">
        <f>Base_IFData!A1513</f>
        <v>COOPERATIVA DE CRÉDITO MÚTUO DOS EMPREGADOS EM INSTITUIÇÕES DO SISTEMA FINANCEIRO NAS REGIÕES DE SÃO PAULO E CAMPINAS (SP) - CREDISCOOP</v>
      </c>
      <c r="L1512" s="12" t="str">
        <f>Base_IFData!F1513</f>
        <v>b3S</v>
      </c>
      <c r="M1512" s="14" t="str">
        <f>IF(AND(ISNUMBER(Base_IFData!L1513),ISNUMBER(Base_IFData!W1513)),IF(Base_IFData!L1513&gt;$B$4,Base_IFData!W1513,""),"")</f>
        <v/>
      </c>
      <c r="N1512" s="51">
        <f>IF(AND(ISNUMBER(Base_IFData!O1513),ISNUMBER(Base_IFData!Q1513)),IF(Base_IFData!Q1513&gt;0,Base_IFData!O1513/Base_IFData!Q1513,"PL ≤ 0"),"NI")</f>
        <v>1.8649006622516557</v>
      </c>
      <c r="O1512" s="110">
        <f>IF(AND(ISNUMBER(Base_IFData!M1513),ISNUMBER(Base_IFData!Q1513)),IF(Base_IFData!Q1513&gt;0,Base_IFData!M1513/Base_IFData!Q1513,"PL ≤ 0"),"NI")</f>
        <v>1.2741721854304635</v>
      </c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</row>
    <row r="1513" spans="1:30" ht="15" customHeight="1" x14ac:dyDescent="0.2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15" t="str">
        <f>Base_IFData!A1514</f>
        <v>COOPERATIVA DE ECONOMIA E CRÉDITO MÚTUO DOS EMPREGADOS DAS EMPRESAS DE DIVERSÕES DO ESTADO DE SÃO PAULO</v>
      </c>
      <c r="L1513" s="15" t="str">
        <f>Base_IFData!F1514</f>
        <v>b3S</v>
      </c>
      <c r="M1513" s="17" t="str">
        <f>IF(AND(ISNUMBER(Base_IFData!L1514),ISNUMBER(Base_IFData!W1514)),IF(Base_IFData!L1514&gt;$B$4,Base_IFData!W1514,""),"")</f>
        <v/>
      </c>
      <c r="N1513" s="50">
        <f>IF(AND(ISNUMBER(Base_IFData!O1514),ISNUMBER(Base_IFData!Q1514)),IF(Base_IFData!Q1514&gt;0,Base_IFData!O1514/Base_IFData!Q1514,"PL ≤ 0"),"NI")</f>
        <v>0.10915675116399379</v>
      </c>
      <c r="O1513" s="107">
        <f>IF(AND(ISNUMBER(Base_IFData!M1514),ISNUMBER(Base_IFData!Q1514)),IF(Base_IFData!Q1514&gt;0,Base_IFData!M1514/Base_IFData!Q1514,"PL ≤ 0"),"NI")</f>
        <v>0.88515261251939992</v>
      </c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</row>
    <row r="1514" spans="1:30" ht="15" customHeight="1" x14ac:dyDescent="0.2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12" t="str">
        <f>Base_IFData!A1515</f>
        <v>DEBONI DISTRIBUIDORA DE TITULOS E VALORES MOBILIARIOS LTDA</v>
      </c>
      <c r="L1514" s="12" t="str">
        <f>Base_IFData!F1515</f>
        <v>n2</v>
      </c>
      <c r="M1514" s="14" t="str">
        <f>IF(AND(ISNUMBER(Base_IFData!L1515),ISNUMBER(Base_IFData!W1515)),IF(Base_IFData!L1515&gt;$B$4,Base_IFData!W1515,""),"")</f>
        <v/>
      </c>
      <c r="N1514" s="51">
        <f>IF(AND(ISNUMBER(Base_IFData!O1515),ISNUMBER(Base_IFData!Q1515)),IF(Base_IFData!Q1515&gt;0,Base_IFData!O1515/Base_IFData!Q1515,"PL ≤ 0"),"NI")</f>
        <v>2.3152173913043477</v>
      </c>
      <c r="O1514" s="110">
        <f>IF(AND(ISNUMBER(Base_IFData!M1515),ISNUMBER(Base_IFData!Q1515)),IF(Base_IFData!Q1515&gt;0,Base_IFData!M1515/Base_IFData!Q1515,"PL ≤ 0"),"NI")</f>
        <v>0</v>
      </c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</row>
    <row r="1515" spans="1:30" ht="15" customHeight="1" x14ac:dyDescent="0.2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15" t="str">
        <f>Base_IFData!A1516</f>
        <v>COOPERATIVA DE ECONOMIA E CRÉDITO MÚTUO DOS EMPREGADOS DA FUNDAÇÃO ARTHUR BERNARDES LTDA. - COOFAB</v>
      </c>
      <c r="L1515" s="15" t="str">
        <f>Base_IFData!F1516</f>
        <v>b3S</v>
      </c>
      <c r="M1515" s="17" t="str">
        <f>IF(AND(ISNUMBER(Base_IFData!L1516),ISNUMBER(Base_IFData!W1516)),IF(Base_IFData!L1516&gt;$B$4,Base_IFData!W1516,""),"")</f>
        <v/>
      </c>
      <c r="N1515" s="50">
        <f>IF(AND(ISNUMBER(Base_IFData!O1516),ISNUMBER(Base_IFData!Q1516)),IF(Base_IFData!Q1516&gt;0,Base_IFData!O1516/Base_IFData!Q1516,"PL ≤ 0"),"NI")</f>
        <v>7.9041305456399799E-2</v>
      </c>
      <c r="O1515" s="107">
        <f>IF(AND(ISNUMBER(Base_IFData!M1516),ISNUMBER(Base_IFData!Q1516)),IF(Base_IFData!Q1516&gt;0,Base_IFData!M1516/Base_IFData!Q1516,"PL ≤ 0"),"NI")</f>
        <v>0.80316165221825597</v>
      </c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</row>
    <row r="1516" spans="1:30" ht="15" customHeight="1" x14ac:dyDescent="0.2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12" t="str">
        <f>Base_IFData!A1517</f>
        <v>DIVI SOCIEDADE DE CREDITO DIRETO S.A.</v>
      </c>
      <c r="L1516" s="12" t="str">
        <f>Base_IFData!F1517</f>
        <v>n1</v>
      </c>
      <c r="M1516" s="14" t="str">
        <f>IF(AND(ISNUMBER(Base_IFData!L1517),ISNUMBER(Base_IFData!W1517)),IF(Base_IFData!L1517&gt;$B$4,Base_IFData!W1517,""),"")</f>
        <v/>
      </c>
      <c r="N1516" s="51">
        <f>IF(AND(ISNUMBER(Base_IFData!O1517),ISNUMBER(Base_IFData!Q1517)),IF(Base_IFData!Q1517&gt;0,Base_IFData!O1517/Base_IFData!Q1517,"PL ≤ 0"),"NI")</f>
        <v>0.28562577447335813</v>
      </c>
      <c r="O1516" s="110">
        <f>IF(AND(ISNUMBER(Base_IFData!M1517),ISNUMBER(Base_IFData!Q1517)),IF(Base_IFData!Q1517&gt;0,Base_IFData!M1517/Base_IFData!Q1517,"PL ≤ 0"),"NI")</f>
        <v>0</v>
      </c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</row>
    <row r="1517" spans="1:30" ht="15" customHeight="1" x14ac:dyDescent="0.2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15" t="str">
        <f>Base_IFData!A1518</f>
        <v>GDC PARTNERS SERVIÇOS FIDUCIÁRIOS DISTRIBUIDORA DE TÍTULOS E VALORES MOBILIÁRIOS LTDA.</v>
      </c>
      <c r="L1517" s="15" t="str">
        <f>Base_IFData!F1518</f>
        <v>n2</v>
      </c>
      <c r="M1517" s="17" t="str">
        <f>IF(AND(ISNUMBER(Base_IFData!L1518),ISNUMBER(Base_IFData!W1518)),IF(Base_IFData!L1518&gt;$B$4,Base_IFData!W1518,""),"")</f>
        <v/>
      </c>
      <c r="N1517" s="50">
        <f>IF(AND(ISNUMBER(Base_IFData!O1518),ISNUMBER(Base_IFData!Q1518)),IF(Base_IFData!Q1518&gt;0,Base_IFData!O1518/Base_IFData!Q1518,"PL ≤ 0"),"NI")</f>
        <v>0.88218923933209648</v>
      </c>
      <c r="O1517" s="107">
        <f>IF(AND(ISNUMBER(Base_IFData!M1518),ISNUMBER(Base_IFData!Q1518)),IF(Base_IFData!Q1518&gt;0,Base_IFData!M1518/Base_IFData!Q1518,"PL ≤ 0"),"NI")</f>
        <v>0</v>
      </c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</row>
    <row r="1518" spans="1:30" ht="15" customHeight="1" x14ac:dyDescent="0.2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12" t="str">
        <f>Base_IFData!A1519</f>
        <v>COOPERATIVA DE ECONOMIA E CRÉDITO MÚTUO DOS EMPREGADOS DA PROLEC GE BRASIL TRANSMISSÃO DE ENERGIA S.A.</v>
      </c>
      <c r="L1518" s="12" t="str">
        <f>Base_IFData!F1519</f>
        <v>b3S</v>
      </c>
      <c r="M1518" s="14" t="str">
        <f>IF(AND(ISNUMBER(Base_IFData!L1519),ISNUMBER(Base_IFData!W1519)),IF(Base_IFData!L1519&gt;$B$4,Base_IFData!W1519,""),"")</f>
        <v/>
      </c>
      <c r="N1518" s="51">
        <f>IF(AND(ISNUMBER(Base_IFData!O1519),ISNUMBER(Base_IFData!Q1519)),IF(Base_IFData!Q1519&gt;0,Base_IFData!O1519/Base_IFData!Q1519,"PL ≤ 0"),"NI")</f>
        <v>0.24354940213971052</v>
      </c>
      <c r="O1518" s="110">
        <f>IF(AND(ISNUMBER(Base_IFData!M1519),ISNUMBER(Base_IFData!Q1519)),IF(Base_IFData!Q1519&gt;0,Base_IFData!M1519/Base_IFData!Q1519,"PL ≤ 0"),"NI")</f>
        <v>0.855254877281309</v>
      </c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</row>
    <row r="1519" spans="1:30" ht="15" customHeight="1" x14ac:dyDescent="0.2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15" t="str">
        <f>Base_IFData!A1520</f>
        <v>CORPORE SOCIEDADE DE CRÉDITO DIRETO S.A.</v>
      </c>
      <c r="L1519" s="15" t="str">
        <f>Base_IFData!F1520</f>
        <v>n1</v>
      </c>
      <c r="M1519" s="17" t="str">
        <f>IF(AND(ISNUMBER(Base_IFData!L1520),ISNUMBER(Base_IFData!W1520)),IF(Base_IFData!L1520&gt;$B$4,Base_IFData!W1520,""),"")</f>
        <v/>
      </c>
      <c r="N1519" s="50">
        <f>IF(AND(ISNUMBER(Base_IFData!O1520),ISNUMBER(Base_IFData!Q1520)),IF(Base_IFData!Q1520&gt;0,Base_IFData!O1520/Base_IFData!Q1520,"PL ≤ 0"),"NI")</f>
        <v>3.2873806998939555E-2</v>
      </c>
      <c r="O1519" s="107">
        <f>IF(AND(ISNUMBER(Base_IFData!M1520),ISNUMBER(Base_IFData!Q1520)),IF(Base_IFData!Q1520&gt;0,Base_IFData!M1520/Base_IFData!Q1520,"PL ≤ 0"),"NI")</f>
        <v>0.78154825026511132</v>
      </c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</row>
    <row r="1520" spans="1:30" ht="15" customHeight="1" x14ac:dyDescent="0.2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12" t="str">
        <f>Base_IFData!A1521</f>
        <v>COOPERATIVA DE CRÉDITO MÚTUO DOS TRABALHADORES DO SISTEMA FINANCEIRO DE CURITIBA E REGIÃO - COOPCREFI</v>
      </c>
      <c r="L1520" s="12" t="str">
        <f>Base_IFData!F1521</f>
        <v>b3S</v>
      </c>
      <c r="M1520" s="14" t="str">
        <f>IF(AND(ISNUMBER(Base_IFData!L1521),ISNUMBER(Base_IFData!W1521)),IF(Base_IFData!L1521&gt;$B$4,Base_IFData!W1521,""),"")</f>
        <v/>
      </c>
      <c r="N1520" s="51">
        <f>IF(AND(ISNUMBER(Base_IFData!O1521),ISNUMBER(Base_IFData!Q1521)),IF(Base_IFData!Q1521&gt;0,Base_IFData!O1521/Base_IFData!Q1521,"PL ≤ 0"),"NI")</f>
        <v>4.1919470490899065E-2</v>
      </c>
      <c r="O1520" s="110">
        <f>IF(AND(ISNUMBER(Base_IFData!M1521),ISNUMBER(Base_IFData!Q1521)),IF(Base_IFData!Q1521&gt;0,Base_IFData!M1521/Base_IFData!Q1521,"PL ≤ 0"),"NI")</f>
        <v>0.35135135135135137</v>
      </c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</row>
    <row r="1521" spans="1:30" ht="15" customHeight="1" x14ac:dyDescent="0.2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15" t="str">
        <f>Base_IFData!A1522</f>
        <v>BARU DISTRIBUIDORA DE TÍTULOS E VALORES MOBILIÁRIOS LTDA.</v>
      </c>
      <c r="L1521" s="15" t="str">
        <f>Base_IFData!F1522</f>
        <v>n2</v>
      </c>
      <c r="M1521" s="17" t="str">
        <f>IF(AND(ISNUMBER(Base_IFData!L1522),ISNUMBER(Base_IFData!W1522)),IF(Base_IFData!L1522&gt;$B$4,Base_IFData!W1522,""),"")</f>
        <v/>
      </c>
      <c r="N1521" s="50">
        <f>IF(AND(ISNUMBER(Base_IFData!O1522),ISNUMBER(Base_IFData!Q1522)),IF(Base_IFData!Q1522&gt;0,Base_IFData!O1522/Base_IFData!Q1522,"PL ≤ 0"),"NI")</f>
        <v>0.22042663219133807</v>
      </c>
      <c r="O1521" s="107">
        <f>IF(AND(ISNUMBER(Base_IFData!M1522),ISNUMBER(Base_IFData!Q1522)),IF(Base_IFData!Q1522&gt;0,Base_IFData!M1522/Base_IFData!Q1522,"PL ≤ 0"),"NI")</f>
        <v>0</v>
      </c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</row>
    <row r="1522" spans="1:30" ht="15" customHeight="1" x14ac:dyDescent="0.2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12" t="str">
        <f>Base_IFData!A1523</f>
        <v>COOPERATIVA DE ECONOMIA E CRÉDITO MÚTUO DOS EMPREGADOS DA INDÚSTRIA DE PAPÉIS SUDESTE LTDA . - CREDESTE</v>
      </c>
      <c r="L1522" s="12" t="str">
        <f>Base_IFData!F1523</f>
        <v>b3S</v>
      </c>
      <c r="M1522" s="14" t="str">
        <f>IF(AND(ISNUMBER(Base_IFData!L1523),ISNUMBER(Base_IFData!W1523)),IF(Base_IFData!L1523&gt;$B$4,Base_IFData!W1523,""),"")</f>
        <v/>
      </c>
      <c r="N1522" s="51">
        <f>IF(AND(ISNUMBER(Base_IFData!O1523),ISNUMBER(Base_IFData!Q1523)),IF(Base_IFData!Q1523&gt;0,Base_IFData!O1523/Base_IFData!Q1523,"PL ≤ 0"),"NI")</f>
        <v>0.11474435196195006</v>
      </c>
      <c r="O1522" s="110">
        <f>IF(AND(ISNUMBER(Base_IFData!M1523),ISNUMBER(Base_IFData!Q1523)),IF(Base_IFData!Q1523&gt;0,Base_IFData!M1523/Base_IFData!Q1523,"PL ≤ 0"),"NI")</f>
        <v>0.79904875148632581</v>
      </c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</row>
    <row r="1523" spans="1:30" ht="15" customHeight="1" x14ac:dyDescent="0.2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15" t="str">
        <f>Base_IFData!A1524</f>
        <v>COOPERATIVA DE ECONOMIA E CRÉDITO MÚTUO DOS SERVIDORES DA PREFEITURA MUNICIPAL DE VOTORANTIM</v>
      </c>
      <c r="L1523" s="15" t="str">
        <f>Base_IFData!F1524</f>
        <v>b3S</v>
      </c>
      <c r="M1523" s="17" t="str">
        <f>IF(AND(ISNUMBER(Base_IFData!L1524),ISNUMBER(Base_IFData!W1524)),IF(Base_IFData!L1524&gt;$B$4,Base_IFData!W1524,""),"")</f>
        <v/>
      </c>
      <c r="N1523" s="50">
        <f>IF(AND(ISNUMBER(Base_IFData!O1524),ISNUMBER(Base_IFData!Q1524)),IF(Base_IFData!Q1524&gt;0,Base_IFData!O1524/Base_IFData!Q1524,"PL ≤ 0"),"NI")</f>
        <v>2.7487630566245189E-2</v>
      </c>
      <c r="O1523" s="107">
        <f>IF(AND(ISNUMBER(Base_IFData!M1524),ISNUMBER(Base_IFData!Q1524)),IF(Base_IFData!Q1524&gt;0,Base_IFData!M1524/Base_IFData!Q1524,"PL ≤ 0"),"NI")</f>
        <v>0.82572842221000553</v>
      </c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</row>
    <row r="1524" spans="1:30" ht="15" customHeight="1" x14ac:dyDescent="0.2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12" t="str">
        <f>Base_IFData!A1525</f>
        <v>EFEX INSTITUIÇÃO DE PAGAMENTO S.A.</v>
      </c>
      <c r="L1524" s="12" t="str">
        <f>Base_IFData!F1525</f>
        <v>n4</v>
      </c>
      <c r="M1524" s="14" t="str">
        <f>IF(AND(ISNUMBER(Base_IFData!L1525),ISNUMBER(Base_IFData!W1525)),IF(Base_IFData!L1525&gt;$B$4,Base_IFData!W1525,""),"")</f>
        <v/>
      </c>
      <c r="N1524" s="51">
        <f>IF(AND(ISNUMBER(Base_IFData!O1525),ISNUMBER(Base_IFData!Q1525)),IF(Base_IFData!Q1525&gt;0,Base_IFData!O1525/Base_IFData!Q1525,"PL ≤ 0"),"NI")</f>
        <v>0.53505843071786308</v>
      </c>
      <c r="O1524" s="110">
        <f>IF(AND(ISNUMBER(Base_IFData!M1525),ISNUMBER(Base_IFData!Q1525)),IF(Base_IFData!Q1525&gt;0,Base_IFData!M1525/Base_IFData!Q1525,"PL ≤ 0"),"NI")</f>
        <v>0</v>
      </c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</row>
    <row r="1525" spans="1:30" ht="15" customHeight="1" x14ac:dyDescent="0.2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15" t="str">
        <f>Base_IFData!A1526</f>
        <v>EMCASH SERVIÇOS FINANCEIROS SOCIEDADE DE EMPRÉSTIMO ENTRE PESSOAS S.A.</v>
      </c>
      <c r="L1525" s="15" t="str">
        <f>Base_IFData!F1526</f>
        <v>n1</v>
      </c>
      <c r="M1525" s="17" t="str">
        <f>IF(AND(ISNUMBER(Base_IFData!L1526),ISNUMBER(Base_IFData!W1526)),IF(Base_IFData!L1526&gt;$B$4,Base_IFData!W1526,""),"")</f>
        <v/>
      </c>
      <c r="N1525" s="50">
        <f>IF(AND(ISNUMBER(Base_IFData!O1526),ISNUMBER(Base_IFData!Q1526)),IF(Base_IFData!Q1526&gt;0,Base_IFData!O1526/Base_IFData!Q1526,"PL ≤ 0"),"NI")</f>
        <v>0.12492153170119272</v>
      </c>
      <c r="O1525" s="107">
        <f>IF(AND(ISNUMBER(Base_IFData!M1526),ISNUMBER(Base_IFData!Q1526)),IF(Base_IFData!Q1526&gt;0,Base_IFData!M1526/Base_IFData!Q1526,"PL ≤ 0"),"NI")</f>
        <v>0</v>
      </c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</row>
    <row r="1526" spans="1:30" ht="15" customHeight="1" x14ac:dyDescent="0.2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12" t="str">
        <f>Base_IFData!A1527</f>
        <v>COOPERATIVA DE ECONOMIA E CRÉDITO MÚTUO DOS SERVIDORES DA POLÍCIA MILITAR DO ESTADO DE SÃO PAULO DA REGIÃO CENTRO-OESTE PAULISTA - CREDMIL</v>
      </c>
      <c r="L1526" s="12" t="str">
        <f>Base_IFData!F1527</f>
        <v>b3S</v>
      </c>
      <c r="M1526" s="14" t="str">
        <f>IF(AND(ISNUMBER(Base_IFData!L1527),ISNUMBER(Base_IFData!W1527)),IF(Base_IFData!L1527&gt;$B$4,Base_IFData!W1527,""),"")</f>
        <v/>
      </c>
      <c r="N1526" s="51">
        <f>IF(AND(ISNUMBER(Base_IFData!O1527),ISNUMBER(Base_IFData!Q1527)),IF(Base_IFData!Q1527&gt;0,Base_IFData!O1527/Base_IFData!Q1527,"PL ≤ 0"),"NI")</f>
        <v>0.57941437444543031</v>
      </c>
      <c r="O1526" s="110">
        <f>IF(AND(ISNUMBER(Base_IFData!M1527),ISNUMBER(Base_IFData!Q1527)),IF(Base_IFData!Q1527&gt;0,Base_IFData!M1527/Base_IFData!Q1527,"PL ≤ 0"),"NI")</f>
        <v>0.96539485359361132</v>
      </c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</row>
    <row r="1527" spans="1:30" ht="15" customHeight="1" x14ac:dyDescent="0.2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15" t="str">
        <f>Base_IFData!A1528</f>
        <v>COOPERATIVA DE CRÉDITO DE SERVIDORES DA UESC - UESCOOP</v>
      </c>
      <c r="L1527" s="15" t="str">
        <f>Base_IFData!F1528</f>
        <v>b3S</v>
      </c>
      <c r="M1527" s="17" t="str">
        <f>IF(AND(ISNUMBER(Base_IFData!L1528),ISNUMBER(Base_IFData!W1528)),IF(Base_IFData!L1528&gt;$B$4,Base_IFData!W1528,""),"")</f>
        <v/>
      </c>
      <c r="N1527" s="50">
        <f>IF(AND(ISNUMBER(Base_IFData!O1528),ISNUMBER(Base_IFData!Q1528)),IF(Base_IFData!Q1528&gt;0,Base_IFData!O1528/Base_IFData!Q1528,"PL ≤ 0"),"NI")</f>
        <v>1.9879518072289156E-2</v>
      </c>
      <c r="O1527" s="107">
        <f>IF(AND(ISNUMBER(Base_IFData!M1528),ISNUMBER(Base_IFData!Q1528)),IF(Base_IFData!Q1528&gt;0,Base_IFData!M1528/Base_IFData!Q1528,"PL ≤ 0"),"NI")</f>
        <v>0.78915662650602414</v>
      </c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</row>
    <row r="1528" spans="1:30" ht="15" customHeight="1" x14ac:dyDescent="0.2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12" t="str">
        <f>Base_IFData!A1529</f>
        <v>FIDO SOCIEDADE DE EMPRÉSTIMO ENTRE PESSOAS S.A.</v>
      </c>
      <c r="L1528" s="12" t="str">
        <f>Base_IFData!F1529</f>
        <v>n1</v>
      </c>
      <c r="M1528" s="14" t="str">
        <f>IF(AND(ISNUMBER(Base_IFData!L1529),ISNUMBER(Base_IFData!W1529)),IF(Base_IFData!L1529&gt;$B$4,Base_IFData!W1529,""),"")</f>
        <v/>
      </c>
      <c r="N1528" s="51" t="str">
        <f>IF(AND(ISNUMBER(Base_IFData!O1529),ISNUMBER(Base_IFData!Q1529)),IF(Base_IFData!Q1529&gt;0,Base_IFData!O1529/Base_IFData!Q1529,"PL ≤ 0"),"NI")</f>
        <v>PL ≤ 0</v>
      </c>
      <c r="O1528" s="110" t="str">
        <f>IF(AND(ISNUMBER(Base_IFData!M1529),ISNUMBER(Base_IFData!Q1529)),IF(Base_IFData!Q1529&gt;0,Base_IFData!M1529/Base_IFData!Q1529,"PL ≤ 0"),"NI")</f>
        <v>PL ≤ 0</v>
      </c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</row>
    <row r="1529" spans="1:30" ht="15" customHeight="1" x14ac:dyDescent="0.2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15" t="str">
        <f>Base_IFData!A1530</f>
        <v>DELEND INSTITUICAO DE PAGAMENTO LTDA</v>
      </c>
      <c r="L1529" s="15" t="str">
        <f>Base_IFData!F1530</f>
        <v>n4</v>
      </c>
      <c r="M1529" s="17" t="str">
        <f>IF(AND(ISNUMBER(Base_IFData!L1530),ISNUMBER(Base_IFData!W1530)),IF(Base_IFData!L1530&gt;$B$4,Base_IFData!W1530,""),"")</f>
        <v/>
      </c>
      <c r="N1529" s="50">
        <f>IF(AND(ISNUMBER(Base_IFData!O1530),ISNUMBER(Base_IFData!Q1530)),IF(Base_IFData!Q1530&gt;0,Base_IFData!O1530/Base_IFData!Q1530,"PL ≤ 0"),"NI")</f>
        <v>3.1036623215394167E-3</v>
      </c>
      <c r="O1529" s="107">
        <f>IF(AND(ISNUMBER(Base_IFData!M1530),ISNUMBER(Base_IFData!Q1530)),IF(Base_IFData!Q1530&gt;0,Base_IFData!M1530/Base_IFData!Q1530,"PL ≤ 0"),"NI")</f>
        <v>0</v>
      </c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</row>
    <row r="1530" spans="1:30" ht="15" customHeight="1" x14ac:dyDescent="0.2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12" t="str">
        <f>Base_IFData!A1531</f>
        <v>SINGRATUR CORRETORA DE CÂMBIO LTDA</v>
      </c>
      <c r="L1530" s="12" t="str">
        <f>Base_IFData!F1531</f>
        <v>n2</v>
      </c>
      <c r="M1530" s="14" t="str">
        <f>IF(AND(ISNUMBER(Base_IFData!L1531),ISNUMBER(Base_IFData!W1531)),IF(Base_IFData!L1531&gt;$B$4,Base_IFData!W1531,""),"")</f>
        <v/>
      </c>
      <c r="N1530" s="51">
        <f>IF(AND(ISNUMBER(Base_IFData!O1531),ISNUMBER(Base_IFData!Q1531)),IF(Base_IFData!Q1531&gt;0,Base_IFData!O1531/Base_IFData!Q1531,"PL ≤ 0"),"NI")</f>
        <v>0.10877192982456141</v>
      </c>
      <c r="O1530" s="110">
        <f>IF(AND(ISNUMBER(Base_IFData!M1531),ISNUMBER(Base_IFData!Q1531)),IF(Base_IFData!Q1531&gt;0,Base_IFData!M1531/Base_IFData!Q1531,"PL ≤ 0"),"NI")</f>
        <v>0</v>
      </c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</row>
    <row r="1531" spans="1:30" ht="15" customHeight="1" x14ac:dyDescent="0.2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15" t="str">
        <f>Base_IFData!A1532</f>
        <v>KINEL FOREIGN EXCHANGE CORRETORA DE CÂMBIO LTDA.</v>
      </c>
      <c r="L1531" s="15" t="str">
        <f>Base_IFData!F1532</f>
        <v>n2</v>
      </c>
      <c r="M1531" s="17" t="str">
        <f>IF(AND(ISNUMBER(Base_IFData!L1532),ISNUMBER(Base_IFData!W1532)),IF(Base_IFData!L1532&gt;$B$4,Base_IFData!W1532,""),"")</f>
        <v/>
      </c>
      <c r="N1531" s="50">
        <f>IF(AND(ISNUMBER(Base_IFData!O1532),ISNUMBER(Base_IFData!Q1532)),IF(Base_IFData!Q1532&gt;0,Base_IFData!O1532/Base_IFData!Q1532,"PL ≤ 0"),"NI")</f>
        <v>0.95750000000000002</v>
      </c>
      <c r="O1531" s="107">
        <f>IF(AND(ISNUMBER(Base_IFData!M1532),ISNUMBER(Base_IFData!Q1532)),IF(Base_IFData!Q1532&gt;0,Base_IFData!M1532/Base_IFData!Q1532,"PL ≤ 0"),"NI")</f>
        <v>0</v>
      </c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</row>
    <row r="1532" spans="1:30" ht="15" customHeight="1" x14ac:dyDescent="0.2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12" t="str">
        <f>Base_IFData!A1533</f>
        <v>FINANCRED - SOCIEDADE DE CRÉDITO AO MICROEMPREENDEDOR E A EMPRESA DE PEQUENO PORTE LTDA.</v>
      </c>
      <c r="L1532" s="12" t="str">
        <f>Base_IFData!F1533</f>
        <v>n1</v>
      </c>
      <c r="M1532" s="14" t="str">
        <f>IF(AND(ISNUMBER(Base_IFData!L1533),ISNUMBER(Base_IFData!W1533)),IF(Base_IFData!L1533&gt;$B$4,Base_IFData!W1533,""),"")</f>
        <v/>
      </c>
      <c r="N1532" s="51">
        <f>IF(AND(ISNUMBER(Base_IFData!O1533),ISNUMBER(Base_IFData!Q1533)),IF(Base_IFData!Q1533&gt;0,Base_IFData!O1533/Base_IFData!Q1533,"PL ≤ 0"),"NI")</f>
        <v>5.1877133105802047E-2</v>
      </c>
      <c r="O1532" s="110">
        <f>IF(AND(ISNUMBER(Base_IFData!M1533),ISNUMBER(Base_IFData!Q1533)),IF(Base_IFData!Q1533&gt;0,Base_IFData!M1533/Base_IFData!Q1533,"PL ≤ 0"),"NI")</f>
        <v>0.89010238907849826</v>
      </c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</row>
    <row r="1533" spans="1:30" ht="15" customHeight="1" x14ac:dyDescent="0.2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15" t="str">
        <f>Base_IFData!A1534</f>
        <v>COOPERATIVA DE ECONOMIA E CREDITO MUTUO DOS TRABALHADORES DO GRUPO EMPRESARIAL ITATIAIA LTDA. - COOPERITA</v>
      </c>
      <c r="L1533" s="15" t="str">
        <f>Base_IFData!F1534</f>
        <v>b3S</v>
      </c>
      <c r="M1533" s="17" t="str">
        <f>IF(AND(ISNUMBER(Base_IFData!L1534),ISNUMBER(Base_IFData!W1534)),IF(Base_IFData!L1534&gt;$B$4,Base_IFData!W1534,""),"")</f>
        <v/>
      </c>
      <c r="N1533" s="50">
        <f>IF(AND(ISNUMBER(Base_IFData!O1534),ISNUMBER(Base_IFData!Q1534)),IF(Base_IFData!Q1534&gt;0,Base_IFData!O1534/Base_IFData!Q1534,"PL ≤ 0"),"NI")</f>
        <v>0.12900820283370618</v>
      </c>
      <c r="O1533" s="107">
        <f>IF(AND(ISNUMBER(Base_IFData!M1534),ISNUMBER(Base_IFData!Q1534)),IF(Base_IFData!Q1534&gt;0,Base_IFData!M1534/Base_IFData!Q1534,"PL ≤ 0"),"NI")</f>
        <v>0.66964951528709915</v>
      </c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</row>
    <row r="1534" spans="1:30" ht="15" customHeight="1" x14ac:dyDescent="0.2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12" t="str">
        <f>Base_IFData!A1535</f>
        <v>COOPERATIVA DE CRÉDITO DOS EMPREGADOS DA CBA ITAPISSUMA E EMPREGADOS DE EMPRESAS PRESTADORA DE SERVIÇOS INDUSTRIAIS, NO ESTADO DE PERNAMBUCO - CREDCOOPE</v>
      </c>
      <c r="L1534" s="12" t="str">
        <f>Base_IFData!F1535</f>
        <v>b3S</v>
      </c>
      <c r="M1534" s="14" t="str">
        <f>IF(AND(ISNUMBER(Base_IFData!L1535),ISNUMBER(Base_IFData!W1535)),IF(Base_IFData!L1535&gt;$B$4,Base_IFData!W1535,""),"")</f>
        <v/>
      </c>
      <c r="N1534" s="51">
        <f>IF(AND(ISNUMBER(Base_IFData!O1535),ISNUMBER(Base_IFData!Q1535)),IF(Base_IFData!Q1535&gt;0,Base_IFData!O1535/Base_IFData!Q1535,"PL ≤ 0"),"NI")</f>
        <v>2.9861111111111113E-2</v>
      </c>
      <c r="O1534" s="110">
        <f>IF(AND(ISNUMBER(Base_IFData!M1535),ISNUMBER(Base_IFData!Q1535)),IF(Base_IFData!Q1535&gt;0,Base_IFData!M1535/Base_IFData!Q1535,"PL ≤ 0"),"NI")</f>
        <v>0.39791666666666664</v>
      </c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</row>
    <row r="1535" spans="1:30" ht="15" customHeight="1" x14ac:dyDescent="0.2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15" t="str">
        <f>Base_IFData!A1536</f>
        <v>COOPERATIVA DE CRÉDITO DOS EMPREGADOS DO GRUPO NEFFA E DEMAIS ESTABELECIMENTOS DO SETOR DE ALIMENTOS DA GRANDE VITÓRIA.</v>
      </c>
      <c r="L1535" s="15" t="str">
        <f>Base_IFData!F1536</f>
        <v>b3S</v>
      </c>
      <c r="M1535" s="17" t="str">
        <f>IF(AND(ISNUMBER(Base_IFData!L1536),ISNUMBER(Base_IFData!W1536)),IF(Base_IFData!L1536&gt;$B$4,Base_IFData!W1536,""),"")</f>
        <v/>
      </c>
      <c r="N1535" s="50">
        <f>IF(AND(ISNUMBER(Base_IFData!O1536),ISNUMBER(Base_IFData!Q1536)),IF(Base_IFData!Q1536&gt;0,Base_IFData!O1536/Base_IFData!Q1536,"PL ≤ 0"),"NI")</f>
        <v>1.5416958654519973E-2</v>
      </c>
      <c r="O1535" s="107">
        <f>IF(AND(ISNUMBER(Base_IFData!M1536),ISNUMBER(Base_IFData!Q1536)),IF(Base_IFData!Q1536&gt;0,Base_IFData!M1536/Base_IFData!Q1536,"PL ≤ 0"),"NI")</f>
        <v>0.41906096706377016</v>
      </c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</row>
    <row r="1536" spans="1:30" ht="15" customHeight="1" x14ac:dyDescent="0.2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12" t="str">
        <f>Base_IFData!A1537</f>
        <v>COOPERATIVA DE CRÉDITO MÚTUO DOS EMPREGADOS DAS INDÚSTRIAS DO PAPEL, PAPELÃO E CORTIÇA DE OTACÍLIO COSTA, LAGES E CORREA PINTO - PAPELCREDI</v>
      </c>
      <c r="L1536" s="12" t="str">
        <f>Base_IFData!F1537</f>
        <v>b3S</v>
      </c>
      <c r="M1536" s="14" t="str">
        <f>IF(AND(ISNUMBER(Base_IFData!L1537),ISNUMBER(Base_IFData!W1537)),IF(Base_IFData!L1537&gt;$B$4,Base_IFData!W1537,""),"")</f>
        <v/>
      </c>
      <c r="N1536" s="51">
        <f>IF(AND(ISNUMBER(Base_IFData!O1537),ISNUMBER(Base_IFData!Q1537)),IF(Base_IFData!Q1537&gt;0,Base_IFData!O1537/Base_IFData!Q1537,"PL ≤ 0"),"NI")</f>
        <v>0.77149877149877155</v>
      </c>
      <c r="O1536" s="110">
        <f>IF(AND(ISNUMBER(Base_IFData!M1537),ISNUMBER(Base_IFData!Q1537)),IF(Base_IFData!Q1537&gt;0,Base_IFData!M1537/Base_IFData!Q1537,"PL ≤ 0"),"NI")</f>
        <v>1.3009828009828011</v>
      </c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</row>
    <row r="1537" spans="1:30" ht="15" customHeight="1" x14ac:dyDescent="0.2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15" t="str">
        <f>Base_IFData!A1538</f>
        <v>LARCA CAPITAL - SOCIEDADE DE CRÉDITO DIRETO S.A.</v>
      </c>
      <c r="L1537" s="15" t="str">
        <f>Base_IFData!F1538</f>
        <v>n1</v>
      </c>
      <c r="M1537" s="17" t="str">
        <f>IF(AND(ISNUMBER(Base_IFData!L1538),ISNUMBER(Base_IFData!W1538)),IF(Base_IFData!L1538&gt;$B$4,Base_IFData!W1538,""),"")</f>
        <v/>
      </c>
      <c r="N1537" s="50">
        <f>IF(AND(ISNUMBER(Base_IFData!O1538),ISNUMBER(Base_IFData!Q1538)),IF(Base_IFData!Q1538&gt;0,Base_IFData!O1538/Base_IFData!Q1538,"PL ≤ 0"),"NI")</f>
        <v>0.10299769408147579</v>
      </c>
      <c r="O1537" s="107">
        <f>IF(AND(ISNUMBER(Base_IFData!M1538),ISNUMBER(Base_IFData!Q1538)),IF(Base_IFData!Q1538&gt;0,Base_IFData!M1538/Base_IFData!Q1538,"PL ≤ 0"),"NI")</f>
        <v>1.0076863950807071</v>
      </c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</row>
    <row r="1538" spans="1:30" ht="15" customHeight="1" x14ac:dyDescent="0.2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12" t="str">
        <f>Base_IFData!A1539</f>
        <v>COOPERATIVA DE ECONOMIA E CREDITO MUTUO DOS FUNCIONARIOS DA FMC LTDA</v>
      </c>
      <c r="L1538" s="12" t="str">
        <f>Base_IFData!F1539</f>
        <v>b3S</v>
      </c>
      <c r="M1538" s="14" t="str">
        <f>IF(AND(ISNUMBER(Base_IFData!L1539),ISNUMBER(Base_IFData!W1539)),IF(Base_IFData!L1539&gt;$B$4,Base_IFData!W1539,""),"")</f>
        <v/>
      </c>
      <c r="N1538" s="51">
        <f>IF(AND(ISNUMBER(Base_IFData!O1539),ISNUMBER(Base_IFData!Q1539)),IF(Base_IFData!Q1539&gt;0,Base_IFData!O1539/Base_IFData!Q1539,"PL ≤ 0"),"NI")</f>
        <v>2.1398002853067047E-2</v>
      </c>
      <c r="O1538" s="110">
        <f>IF(AND(ISNUMBER(Base_IFData!M1539),ISNUMBER(Base_IFData!Q1539)),IF(Base_IFData!Q1539&gt;0,Base_IFData!M1539/Base_IFData!Q1539,"PL ≤ 0"),"NI")</f>
        <v>0.75249643366619112</v>
      </c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</row>
    <row r="1539" spans="1:30" ht="15" customHeight="1" x14ac:dyDescent="0.2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15" t="str">
        <f>Base_IFData!A1540</f>
        <v>COOPERATIVA DE CRÉDITO DOS FUNCIONÁRIOS DO GRUPO PPG</v>
      </c>
      <c r="L1539" s="15" t="str">
        <f>Base_IFData!F1540</f>
        <v>b3S</v>
      </c>
      <c r="M1539" s="17" t="str">
        <f>IF(AND(ISNUMBER(Base_IFData!L1540),ISNUMBER(Base_IFData!W1540)),IF(Base_IFData!L1540&gt;$B$4,Base_IFData!W1540,""),"")</f>
        <v/>
      </c>
      <c r="N1539" s="50">
        <f>IF(AND(ISNUMBER(Base_IFData!O1540),ISNUMBER(Base_IFData!Q1540)),IF(Base_IFData!Q1540&gt;0,Base_IFData!O1540/Base_IFData!Q1540,"PL ≤ 0"),"NI")</f>
        <v>7.3046018991964941E-3</v>
      </c>
      <c r="O1539" s="107">
        <f>IF(AND(ISNUMBER(Base_IFData!M1540),ISNUMBER(Base_IFData!Q1540)),IF(Base_IFData!Q1540&gt;0,Base_IFData!M1540/Base_IFData!Q1540,"PL ≤ 0"),"NI")</f>
        <v>0.40540540540540543</v>
      </c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</row>
    <row r="1540" spans="1:30" ht="15" customHeight="1" x14ac:dyDescent="0.2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12" t="str">
        <f>Base_IFData!A1541</f>
        <v>CREDFC SOCIEDADE DE CRÉDITO DIRETO S.A.</v>
      </c>
      <c r="L1540" s="12" t="str">
        <f>Base_IFData!F1541</f>
        <v>n1</v>
      </c>
      <c r="M1540" s="14" t="str">
        <f>IF(AND(ISNUMBER(Base_IFData!L1541),ISNUMBER(Base_IFData!W1541)),IF(Base_IFData!L1541&gt;$B$4,Base_IFData!W1541,""),"")</f>
        <v/>
      </c>
      <c r="N1540" s="51">
        <f>IF(AND(ISNUMBER(Base_IFData!O1541),ISNUMBER(Base_IFData!Q1541)),IF(Base_IFData!Q1541&gt;0,Base_IFData!O1541/Base_IFData!Q1541,"PL ≤ 0"),"NI")</f>
        <v>0.30245746691871456</v>
      </c>
      <c r="O1540" s="110">
        <f>IF(AND(ISNUMBER(Base_IFData!M1541),ISNUMBER(Base_IFData!Q1541)),IF(Base_IFData!Q1541&gt;0,Base_IFData!M1541/Base_IFData!Q1541,"PL ≤ 0"),"NI")</f>
        <v>0</v>
      </c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</row>
    <row r="1541" spans="1:30" ht="15" customHeight="1" x14ac:dyDescent="0.2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15" t="str">
        <f>Base_IFData!A1542</f>
        <v>NG CASH SOCIEDADE DE CRÉDITO DIRETO S.A.</v>
      </c>
      <c r="L1541" s="15" t="str">
        <f>Base_IFData!F1542</f>
        <v>n1</v>
      </c>
      <c r="M1541" s="17" t="str">
        <f>IF(AND(ISNUMBER(Base_IFData!L1542),ISNUMBER(Base_IFData!W1542)),IF(Base_IFData!L1542&gt;$B$4,Base_IFData!W1542,""),"")</f>
        <v/>
      </c>
      <c r="N1541" s="50">
        <f>IF(AND(ISNUMBER(Base_IFData!O1542),ISNUMBER(Base_IFData!Q1542)),IF(Base_IFData!Q1542&gt;0,Base_IFData!O1542/Base_IFData!Q1542,"PL ≤ 0"),"NI")</f>
        <v>0.22595281306715065</v>
      </c>
      <c r="O1541" s="107">
        <f>IF(AND(ISNUMBER(Base_IFData!M1542),ISNUMBER(Base_IFData!Q1542)),IF(Base_IFData!Q1542&gt;0,Base_IFData!M1542/Base_IFData!Q1542,"PL ≤ 0"),"NI")</f>
        <v>1.6333938294010888E-2</v>
      </c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</row>
    <row r="1542" spans="1:30" ht="15" customHeight="1" x14ac:dyDescent="0.2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12" t="str">
        <f>Base_IFData!A1543</f>
        <v>EASYCREDITO SOCIEDADE DE CREDITO DIRETO S.A.</v>
      </c>
      <c r="L1542" s="12" t="str">
        <f>Base_IFData!F1543</f>
        <v>n1</v>
      </c>
      <c r="M1542" s="14" t="str">
        <f>IF(AND(ISNUMBER(Base_IFData!L1543),ISNUMBER(Base_IFData!W1543)),IF(Base_IFData!L1543&gt;$B$4,Base_IFData!W1543,""),"")</f>
        <v/>
      </c>
      <c r="N1542" s="51">
        <f>IF(AND(ISNUMBER(Base_IFData!O1543),ISNUMBER(Base_IFData!Q1543)),IF(Base_IFData!Q1543&gt;0,Base_IFData!O1543/Base_IFData!Q1543,"PL ≤ 0"),"NI")</f>
        <v>0</v>
      </c>
      <c r="O1542" s="110">
        <f>IF(AND(ISNUMBER(Base_IFData!M1543),ISNUMBER(Base_IFData!Q1543)),IF(Base_IFData!Q1543&gt;0,Base_IFData!M1543/Base_IFData!Q1543,"PL ≤ 0"),"NI")</f>
        <v>3.06044376434583E-3</v>
      </c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</row>
    <row r="1543" spans="1:30" ht="15" customHeight="1" x14ac:dyDescent="0.2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15" t="str">
        <f>Base_IFData!A1544</f>
        <v>LÚMINA CORRETORA DE CÂMBIO LTDA.</v>
      </c>
      <c r="L1543" s="15" t="str">
        <f>Base_IFData!F1544</f>
        <v>n2</v>
      </c>
      <c r="M1543" s="17" t="str">
        <f>IF(AND(ISNUMBER(Base_IFData!L1544),ISNUMBER(Base_IFData!W1544)),IF(Base_IFData!L1544&gt;$B$4,Base_IFData!W1544,""),"")</f>
        <v/>
      </c>
      <c r="N1543" s="50">
        <f>IF(AND(ISNUMBER(Base_IFData!O1544),ISNUMBER(Base_IFData!Q1544)),IF(Base_IFData!Q1544&gt;0,Base_IFData!O1544/Base_IFData!Q1544,"PL ≤ 0"),"NI")</f>
        <v>0.36462882096069871</v>
      </c>
      <c r="O1543" s="107">
        <f>IF(AND(ISNUMBER(Base_IFData!M1544),ISNUMBER(Base_IFData!Q1544)),IF(Base_IFData!Q1544&gt;0,Base_IFData!M1544/Base_IFData!Q1544,"PL ≤ 0"),"NI")</f>
        <v>0</v>
      </c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</row>
    <row r="1544" spans="1:30" ht="15" customHeight="1" x14ac:dyDescent="0.2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12" t="str">
        <f>Base_IFData!A1545</f>
        <v>BULLLA SOCIEDADE DE EMPRÉSTIMO ENTRE PESSOAS S.A.</v>
      </c>
      <c r="L1544" s="12" t="str">
        <f>Base_IFData!F1545</f>
        <v>n1</v>
      </c>
      <c r="M1544" s="14" t="str">
        <f>IF(AND(ISNUMBER(Base_IFData!L1545),ISNUMBER(Base_IFData!W1545)),IF(Base_IFData!L1545&gt;$B$4,Base_IFData!W1545,""),"")</f>
        <v/>
      </c>
      <c r="N1544" s="51">
        <f>IF(AND(ISNUMBER(Base_IFData!O1545),ISNUMBER(Base_IFData!Q1545)),IF(Base_IFData!Q1545&gt;0,Base_IFData!O1545/Base_IFData!Q1545,"PL ≤ 0"),"NI")</f>
        <v>0.11627906976744186</v>
      </c>
      <c r="O1544" s="110">
        <f>IF(AND(ISNUMBER(Base_IFData!M1545),ISNUMBER(Base_IFData!Q1545)),IF(Base_IFData!Q1545&gt;0,Base_IFData!M1545/Base_IFData!Q1545,"PL ≤ 0"),"NI")</f>
        <v>0</v>
      </c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</row>
    <row r="1545" spans="1:30" ht="15" customHeight="1" x14ac:dyDescent="0.2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15" t="str">
        <f>Base_IFData!A1546</f>
        <v>COOPERATIVA DE ECONOMIA E CRÉDITO MÚTUO DOS FUNCIONÁRIOS DA EDUCAÇÃO E COMUNICAÇÃO</v>
      </c>
      <c r="L1545" s="15" t="str">
        <f>Base_IFData!F1546</f>
        <v>b3S</v>
      </c>
      <c r="M1545" s="17" t="str">
        <f>IF(AND(ISNUMBER(Base_IFData!L1546),ISNUMBER(Base_IFData!W1546)),IF(Base_IFData!L1546&gt;$B$4,Base_IFData!W1546,""),"")</f>
        <v/>
      </c>
      <c r="N1545" s="50">
        <f>IF(AND(ISNUMBER(Base_IFData!O1546),ISNUMBER(Base_IFData!Q1546)),IF(Base_IFData!Q1546&gt;0,Base_IFData!O1546/Base_IFData!Q1546,"PL ≤ 0"),"NI")</f>
        <v>4.854460093896714</v>
      </c>
      <c r="O1545" s="107">
        <f>IF(AND(ISNUMBER(Base_IFData!M1546),ISNUMBER(Base_IFData!Q1546)),IF(Base_IFData!Q1546&gt;0,Base_IFData!M1546/Base_IFData!Q1546,"PL ≤ 0"),"NI")</f>
        <v>5.4741784037558689</v>
      </c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</row>
    <row r="1546" spans="1:30" ht="15" customHeight="1" x14ac:dyDescent="0.2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12" t="str">
        <f>Base_IFData!A1547</f>
        <v>COOPERATIVA DE CRÉDITO DE CAPITAL E EMPRÉSTIMO DOS EMPREGADOS CELETISTAS DE COOPERATIVAS DOS ESTADOS DE SÃO PAULO E MINAS GERAIS - COCREUNI</v>
      </c>
      <c r="L1546" s="12" t="str">
        <f>Base_IFData!F1547</f>
        <v>b3S</v>
      </c>
      <c r="M1546" s="14" t="str">
        <f>IF(AND(ISNUMBER(Base_IFData!L1547),ISNUMBER(Base_IFData!W1547)),IF(Base_IFData!L1547&gt;$B$4,Base_IFData!W1547,""),"")</f>
        <v/>
      </c>
      <c r="N1546" s="51">
        <f>IF(AND(ISNUMBER(Base_IFData!O1547),ISNUMBER(Base_IFData!Q1547)),IF(Base_IFData!Q1547&gt;0,Base_IFData!O1547/Base_IFData!Q1547,"PL ≤ 0"),"NI")</f>
        <v>0.12374886260236578</v>
      </c>
      <c r="O1546" s="110">
        <f>IF(AND(ISNUMBER(Base_IFData!M1547),ISNUMBER(Base_IFData!Q1547)),IF(Base_IFData!Q1547&gt;0,Base_IFData!M1547/Base_IFData!Q1547,"PL ≤ 0"),"NI")</f>
        <v>0.52138307552320295</v>
      </c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</row>
    <row r="1547" spans="1:30" ht="15" customHeight="1" x14ac:dyDescent="0.2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15" t="str">
        <f>Base_IFData!A1548</f>
        <v>COOPERATIVA DE ECONOMIA E CREDITO MUTUO DOS EMPREGADOS DA CIA DE ELETRICIDADE DO ESTADO DO RJ CREDICERJ LTDA</v>
      </c>
      <c r="L1547" s="15" t="str">
        <f>Base_IFData!F1548</f>
        <v>b3S</v>
      </c>
      <c r="M1547" s="17" t="str">
        <f>IF(AND(ISNUMBER(Base_IFData!L1548),ISNUMBER(Base_IFData!W1548)),IF(Base_IFData!L1548&gt;$B$4,Base_IFData!W1548,""),"")</f>
        <v/>
      </c>
      <c r="N1547" s="50">
        <f>IF(AND(ISNUMBER(Base_IFData!O1548),ISNUMBER(Base_IFData!Q1548)),IF(Base_IFData!Q1548&gt;0,Base_IFData!O1548/Base_IFData!Q1548,"PL ≤ 0"),"NI")</f>
        <v>7.1813285457809697E-2</v>
      </c>
      <c r="O1547" s="107">
        <f>IF(AND(ISNUMBER(Base_IFData!M1548),ISNUMBER(Base_IFData!Q1548)),IF(Base_IFData!Q1548&gt;0,Base_IFData!M1548/Base_IFData!Q1548,"PL ≤ 0"),"NI")</f>
        <v>0.82675044883303406</v>
      </c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</row>
    <row r="1548" spans="1:30" ht="15" customHeight="1" x14ac:dyDescent="0.2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12" t="str">
        <f>Base_IFData!A1549</f>
        <v>JM CORRETORA DE CÂMBIO LTDA.</v>
      </c>
      <c r="L1548" s="12" t="str">
        <f>Base_IFData!F1549</f>
        <v>n2</v>
      </c>
      <c r="M1548" s="14" t="str">
        <f>IF(AND(ISNUMBER(Base_IFData!L1549),ISNUMBER(Base_IFData!W1549)),IF(Base_IFData!L1549&gt;$B$4,Base_IFData!W1549,""),"")</f>
        <v/>
      </c>
      <c r="N1548" s="51">
        <f>IF(AND(ISNUMBER(Base_IFData!O1549),ISNUMBER(Base_IFData!Q1549)),IF(Base_IFData!Q1549&gt;0,Base_IFData!O1549/Base_IFData!Q1549,"PL ≤ 0"),"NI")</f>
        <v>0.47869674185463656</v>
      </c>
      <c r="O1548" s="110">
        <f>IF(AND(ISNUMBER(Base_IFData!M1549),ISNUMBER(Base_IFData!Q1549)),IF(Base_IFData!Q1549&gt;0,Base_IFData!M1549/Base_IFData!Q1549,"PL ≤ 0"),"NI")</f>
        <v>0</v>
      </c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</row>
    <row r="1549" spans="1:30" ht="15" customHeight="1" x14ac:dyDescent="0.2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15" t="str">
        <f>Base_IFData!A1550</f>
        <v>COOPERATIVA DE ECONOMIA E CRÉDITO MÚTUO SERVIDORES PÚBLICOS ATIVOS, INATIVOS E PENSIONISTAS DA ADMINISTRAÇÃO DIRETA, INDIRETA E ASSEMBLÉIA LEGISLATIVA DO ESTADO DO RIO GRANDE SUL - COOPSERGS</v>
      </c>
      <c r="L1549" s="15" t="str">
        <f>Base_IFData!F1550</f>
        <v>b3S</v>
      </c>
      <c r="M1549" s="17" t="str">
        <f>IF(AND(ISNUMBER(Base_IFData!L1550),ISNUMBER(Base_IFData!W1550)),IF(Base_IFData!L1550&gt;$B$4,Base_IFData!W1550,""),"")</f>
        <v/>
      </c>
      <c r="N1549" s="50">
        <f>IF(AND(ISNUMBER(Base_IFData!O1550),ISNUMBER(Base_IFData!Q1550)),IF(Base_IFData!Q1550&gt;0,Base_IFData!O1550/Base_IFData!Q1550,"PL ≤ 0"),"NI")</f>
        <v>1.9620253164556962</v>
      </c>
      <c r="O1549" s="107">
        <f>IF(AND(ISNUMBER(Base_IFData!M1550),ISNUMBER(Base_IFData!Q1550)),IF(Base_IFData!Q1550&gt;0,Base_IFData!M1550/Base_IFData!Q1550,"PL ≤ 0"),"NI")</f>
        <v>1.718987341772152</v>
      </c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</row>
    <row r="1550" spans="1:30" ht="15" customHeight="1" x14ac:dyDescent="0.2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12" t="str">
        <f>Base_IFData!A1551</f>
        <v>COOPERATIVA DE CRÉDITO DE CAPITAL E EMPRÉSTIMO DOS TRABALHADORES NAS EMPRESAS DE TECNOLOGIA E INFORMÁTICA DE BELO HORIZONTE E CIDADES LIMÍTROFES LTDA - COOPERINFOR</v>
      </c>
      <c r="L1550" s="12" t="str">
        <f>Base_IFData!F1551</f>
        <v>b3S</v>
      </c>
      <c r="M1550" s="14" t="str">
        <f>IF(AND(ISNUMBER(Base_IFData!L1551),ISNUMBER(Base_IFData!W1551)),IF(Base_IFData!L1551&gt;$B$4,Base_IFData!W1551,""),"")</f>
        <v/>
      </c>
      <c r="N1550" s="51">
        <f>IF(AND(ISNUMBER(Base_IFData!O1551),ISNUMBER(Base_IFData!Q1551)),IF(Base_IFData!Q1551&gt;0,Base_IFData!O1551/Base_IFData!Q1551,"PL ≤ 0"),"NI")</f>
        <v>3.9215686274509803E-2</v>
      </c>
      <c r="O1550" s="110">
        <f>IF(AND(ISNUMBER(Base_IFData!M1551),ISNUMBER(Base_IFData!Q1551)),IF(Base_IFData!Q1551&gt;0,Base_IFData!M1551/Base_IFData!Q1551,"PL ≤ 0"),"NI")</f>
        <v>0.8885918003565062</v>
      </c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</row>
    <row r="1551" spans="1:30" ht="15" customHeight="1" x14ac:dyDescent="0.2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15" t="str">
        <f>Base_IFData!A1552</f>
        <v>EURO17 SOCIEDADE DE CRÉDITO DIRETO S.A.</v>
      </c>
      <c r="L1551" s="15" t="str">
        <f>Base_IFData!F1552</f>
        <v>n1</v>
      </c>
      <c r="M1551" s="17" t="str">
        <f>IF(AND(ISNUMBER(Base_IFData!L1552),ISNUMBER(Base_IFData!W1552)),IF(Base_IFData!L1552&gt;$B$4,Base_IFData!W1552,""),"")</f>
        <v/>
      </c>
      <c r="N1551" s="50">
        <f>IF(AND(ISNUMBER(Base_IFData!O1552),ISNUMBER(Base_IFData!Q1552)),IF(Base_IFData!Q1552&gt;0,Base_IFData!O1552/Base_IFData!Q1552,"PL ≤ 0"),"NI")</f>
        <v>2.6752767527675275E-2</v>
      </c>
      <c r="O1551" s="107">
        <f>IF(AND(ISNUMBER(Base_IFData!M1552),ISNUMBER(Base_IFData!Q1552)),IF(Base_IFData!Q1552&gt;0,Base_IFData!M1552/Base_IFData!Q1552,"PL ≤ 0"),"NI")</f>
        <v>0.60977859778597787</v>
      </c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</row>
    <row r="1552" spans="1:30" ht="15" customHeight="1" x14ac:dyDescent="0.2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12" t="str">
        <f>Base_IFData!A1553</f>
        <v>CREDIMÓVEL SOCIEDADE DE CRÉDITO DIRETO S.A.</v>
      </c>
      <c r="L1552" s="12" t="str">
        <f>Base_IFData!F1553</f>
        <v>n1</v>
      </c>
      <c r="M1552" s="14" t="str">
        <f>IF(AND(ISNUMBER(Base_IFData!L1553),ISNUMBER(Base_IFData!W1553)),IF(Base_IFData!L1553&gt;$B$4,Base_IFData!W1553,""),"")</f>
        <v/>
      </c>
      <c r="N1552" s="51">
        <f>IF(AND(ISNUMBER(Base_IFData!O1553),ISNUMBER(Base_IFData!Q1553)),IF(Base_IFData!Q1553&gt;0,Base_IFData!O1553/Base_IFData!Q1553,"PL ≤ 0"),"NI")</f>
        <v>2.7077497665732961E-2</v>
      </c>
      <c r="O1552" s="110">
        <f>IF(AND(ISNUMBER(Base_IFData!M1553),ISNUMBER(Base_IFData!Q1553)),IF(Base_IFData!Q1553&gt;0,Base_IFData!M1553/Base_IFData!Q1553,"PL ≤ 0"),"NI")</f>
        <v>2.9878618113912233E-2</v>
      </c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</row>
    <row r="1553" spans="1:30" ht="15" customHeight="1" x14ac:dyDescent="0.2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15" t="str">
        <f>Base_IFData!A1554</f>
        <v>PRONANCE SOCIEDADE CORRETORA DE CÂMBIO LTDA</v>
      </c>
      <c r="L1553" s="15" t="str">
        <f>Base_IFData!F1554</f>
        <v>n2</v>
      </c>
      <c r="M1553" s="17" t="str">
        <f>IF(AND(ISNUMBER(Base_IFData!L1554),ISNUMBER(Base_IFData!W1554)),IF(Base_IFData!L1554&gt;$B$4,Base_IFData!W1554,""),"")</f>
        <v/>
      </c>
      <c r="N1553" s="50">
        <f>IF(AND(ISNUMBER(Base_IFData!O1554),ISNUMBER(Base_IFData!Q1554)),IF(Base_IFData!Q1554&gt;0,Base_IFData!O1554/Base_IFData!Q1554,"PL ≤ 0"),"NI")</f>
        <v>8.3487940630797772E-3</v>
      </c>
      <c r="O1553" s="107">
        <f>IF(AND(ISNUMBER(Base_IFData!M1554),ISNUMBER(Base_IFData!Q1554)),IF(Base_IFData!Q1554&gt;0,Base_IFData!M1554/Base_IFData!Q1554,"PL ≤ 0"),"NI")</f>
        <v>0</v>
      </c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</row>
    <row r="1554" spans="1:30" ht="15" customHeight="1" x14ac:dyDescent="0.2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12" t="str">
        <f>Base_IFData!A1555</f>
        <v>COOPERATIVA DE ECONOMIA E CRÉDITO MÚTUO DOS EMPREGADOS DA MOSAIC FERTILIZANTES DO BRASIL - COCRESGO LTDA.</v>
      </c>
      <c r="L1554" s="12" t="str">
        <f>Base_IFData!F1555</f>
        <v>b3S</v>
      </c>
      <c r="M1554" s="14" t="str">
        <f>IF(AND(ISNUMBER(Base_IFData!L1555),ISNUMBER(Base_IFData!W1555)),IF(Base_IFData!L1555&gt;$B$4,Base_IFData!W1555,""),"")</f>
        <v/>
      </c>
      <c r="N1554" s="51">
        <f>IF(AND(ISNUMBER(Base_IFData!O1555),ISNUMBER(Base_IFData!Q1555)),IF(Base_IFData!Q1555&gt;0,Base_IFData!O1555/Base_IFData!Q1555,"PL ≤ 0"),"NI")</f>
        <v>6.1946902654867256E-2</v>
      </c>
      <c r="O1554" s="110">
        <f>IF(AND(ISNUMBER(Base_IFData!M1555),ISNUMBER(Base_IFData!Q1555)),IF(Base_IFData!Q1555&gt;0,Base_IFData!M1555/Base_IFData!Q1555,"PL ≤ 0"),"NI")</f>
        <v>0.54670599803343167</v>
      </c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</row>
    <row r="1555" spans="1:30" ht="15" customHeight="1" x14ac:dyDescent="0.2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15" t="str">
        <f>Base_IFData!A1556</f>
        <v>CF GROUP SOCIEDADE DE EMPRÉSTIMO ENTRE PESSOAS S.A.</v>
      </c>
      <c r="L1555" s="15" t="str">
        <f>Base_IFData!F1556</f>
        <v>n1</v>
      </c>
      <c r="M1555" s="17" t="str">
        <f>IF(AND(ISNUMBER(Base_IFData!L1556),ISNUMBER(Base_IFData!W1556)),IF(Base_IFData!L1556&gt;$B$4,Base_IFData!W1556,""),"")</f>
        <v/>
      </c>
      <c r="N1555" s="50">
        <f>IF(AND(ISNUMBER(Base_IFData!O1556),ISNUMBER(Base_IFData!Q1556)),IF(Base_IFData!Q1556&gt;0,Base_IFData!O1556/Base_IFData!Q1556,"PL ≤ 0"),"NI")</f>
        <v>9.2573753814852486E-2</v>
      </c>
      <c r="O1555" s="107">
        <f>IF(AND(ISNUMBER(Base_IFData!M1556),ISNUMBER(Base_IFData!Q1556)),IF(Base_IFData!Q1556&gt;0,Base_IFData!M1556/Base_IFData!Q1556,"PL ≤ 0"),"NI")</f>
        <v>0</v>
      </c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</row>
    <row r="1556" spans="1:30" ht="15" customHeight="1" x14ac:dyDescent="0.2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12" t="str">
        <f>Base_IFData!A1557</f>
        <v>FIDUCIAL DISTRIBUIDORA DE TÍTULOS E VALORES MOBILIÁRIOS LTDA.</v>
      </c>
      <c r="L1556" s="12" t="str">
        <f>Base_IFData!F1557</f>
        <v>n2</v>
      </c>
      <c r="M1556" s="14" t="str">
        <f>IF(AND(ISNUMBER(Base_IFData!L1557),ISNUMBER(Base_IFData!W1557)),IF(Base_IFData!L1557&gt;$B$4,Base_IFData!W1557,""),"")</f>
        <v/>
      </c>
      <c r="N1556" s="51">
        <f>IF(AND(ISNUMBER(Base_IFData!O1557),ISNUMBER(Base_IFData!Q1557)),IF(Base_IFData!Q1557&gt;0,Base_IFData!O1557/Base_IFData!Q1557,"PL ≤ 0"),"NI")</f>
        <v>0.11562500000000001</v>
      </c>
      <c r="O1556" s="110">
        <f>IF(AND(ISNUMBER(Base_IFData!M1557),ISNUMBER(Base_IFData!Q1557)),IF(Base_IFData!Q1557&gt;0,Base_IFData!M1557/Base_IFData!Q1557,"PL ≤ 0"),"NI")</f>
        <v>0</v>
      </c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</row>
    <row r="1557" spans="1:30" ht="15" customHeight="1" x14ac:dyDescent="0.2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15" t="str">
        <f>Base_IFData!A1558</f>
        <v>CORREPARTI SOCIEDADE CORRETORA DE CÂMBIO LTDA.</v>
      </c>
      <c r="L1557" s="15" t="str">
        <f>Base_IFData!F1558</f>
        <v>n2</v>
      </c>
      <c r="M1557" s="17" t="str">
        <f>IF(AND(ISNUMBER(Base_IFData!L1558),ISNUMBER(Base_IFData!W1558)),IF(Base_IFData!L1558&gt;$B$4,Base_IFData!W1558,""),"")</f>
        <v/>
      </c>
      <c r="N1557" s="50">
        <f>IF(AND(ISNUMBER(Base_IFData!O1558),ISNUMBER(Base_IFData!Q1558)),IF(Base_IFData!Q1558&gt;0,Base_IFData!O1558/Base_IFData!Q1558,"PL ≤ 0"),"NI")</f>
        <v>0.33594771241830068</v>
      </c>
      <c r="O1557" s="107">
        <f>IF(AND(ISNUMBER(Base_IFData!M1558),ISNUMBER(Base_IFData!Q1558)),IF(Base_IFData!Q1558&gt;0,Base_IFData!M1558/Base_IFData!Q1558,"PL ≤ 0"),"NI")</f>
        <v>0</v>
      </c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</row>
    <row r="1558" spans="1:30" ht="15" customHeight="1" x14ac:dyDescent="0.2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12" t="str">
        <f>Base_IFData!A1559</f>
        <v>COOPERATIVA DE ECONOMIA E CRÉDITO MÚTUO DOS FUNCIONÁRIOS DA ASSEMBLÉIA LEGISLATIVA DO ESTADO DA PARAÍBA LTDA. -  COOPERLEGIS</v>
      </c>
      <c r="L1558" s="12" t="str">
        <f>Base_IFData!F1559</f>
        <v>b3S</v>
      </c>
      <c r="M1558" s="14" t="str">
        <f>IF(AND(ISNUMBER(Base_IFData!L1559),ISNUMBER(Base_IFData!W1559)),IF(Base_IFData!L1559&gt;$B$4,Base_IFData!W1559,""),"")</f>
        <v/>
      </c>
      <c r="N1558" s="51" t="str">
        <f>IF(AND(ISNUMBER(Base_IFData!O1559),ISNUMBER(Base_IFData!Q1559)),IF(Base_IFData!Q1559&gt;0,Base_IFData!O1559/Base_IFData!Q1559,"PL ≤ 0"),"NI")</f>
        <v>PL ≤ 0</v>
      </c>
      <c r="O1558" s="110" t="str">
        <f>IF(AND(ISNUMBER(Base_IFData!M1559),ISNUMBER(Base_IFData!Q1559)),IF(Base_IFData!Q1559&gt;0,Base_IFData!M1559/Base_IFData!Q1559,"PL ≤ 0"),"NI")</f>
        <v>PL ≤ 0</v>
      </c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</row>
    <row r="1559" spans="1:30" ht="15" customHeight="1" x14ac:dyDescent="0.2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15" t="str">
        <f>Base_IFData!A1560</f>
        <v>ÓPERA SOCIEDADE DE CRÉDITO DIRETO S.A.</v>
      </c>
      <c r="L1559" s="15" t="str">
        <f>Base_IFData!F1560</f>
        <v>n1</v>
      </c>
      <c r="M1559" s="17" t="str">
        <f>IF(AND(ISNUMBER(Base_IFData!L1560),ISNUMBER(Base_IFData!W1560)),IF(Base_IFData!L1560&gt;$B$4,Base_IFData!W1560,""),"")</f>
        <v/>
      </c>
      <c r="N1559" s="50">
        <f>IF(AND(ISNUMBER(Base_IFData!O1560),ISNUMBER(Base_IFData!Q1560)),IF(Base_IFData!Q1560&gt;0,Base_IFData!O1560/Base_IFData!Q1560,"PL ≤ 0"),"NI")</f>
        <v>1.0111223458038423E-3</v>
      </c>
      <c r="O1559" s="107">
        <f>IF(AND(ISNUMBER(Base_IFData!M1560),ISNUMBER(Base_IFData!Q1560)),IF(Base_IFData!Q1560&gt;0,Base_IFData!M1560/Base_IFData!Q1560,"PL ≤ 0"),"NI")</f>
        <v>0</v>
      </c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</row>
    <row r="1560" spans="1:30" ht="15" customHeight="1" x14ac:dyDescent="0.2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12" t="str">
        <f>Base_IFData!A1561</f>
        <v>FATORI SOCIEDADE DE CRÉDITO AO MICROEMPREENDEDOR E À EMPRESA DE PEQUENO PORTE LTDA.</v>
      </c>
      <c r="L1560" s="12" t="str">
        <f>Base_IFData!F1561</f>
        <v>n1</v>
      </c>
      <c r="M1560" s="14" t="str">
        <f>IF(AND(ISNUMBER(Base_IFData!L1561),ISNUMBER(Base_IFData!W1561)),IF(Base_IFData!L1561&gt;$B$4,Base_IFData!W1561,""),"")</f>
        <v/>
      </c>
      <c r="N1560" s="51">
        <f>IF(AND(ISNUMBER(Base_IFData!O1561),ISNUMBER(Base_IFData!Q1561)),IF(Base_IFData!Q1561&gt;0,Base_IFData!O1561/Base_IFData!Q1561,"PL ≤ 0"),"NI")</f>
        <v>9.6982758620689658E-3</v>
      </c>
      <c r="O1560" s="110">
        <f>IF(AND(ISNUMBER(Base_IFData!M1561),ISNUMBER(Base_IFData!Q1561)),IF(Base_IFData!Q1561&gt;0,Base_IFData!M1561/Base_IFData!Q1561,"PL ≤ 0"),"NI")</f>
        <v>0.49892241379310343</v>
      </c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</row>
    <row r="1561" spans="1:30" ht="15" customHeight="1" x14ac:dyDescent="0.2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15" t="str">
        <f>Base_IFData!A1562</f>
        <v>COOPERATIVA DE ECONOMIA E CRÉDITO MÚTUO DOS TRABALHADORES DAS INDÚSTRIAS METALÚRGICAS DE PORTO ALEGRE E GRANDE PORTO ALEGRE</v>
      </c>
      <c r="L1561" s="15" t="str">
        <f>Base_IFData!F1562</f>
        <v>b3S</v>
      </c>
      <c r="M1561" s="17" t="str">
        <f>IF(AND(ISNUMBER(Base_IFData!L1562),ISNUMBER(Base_IFData!W1562)),IF(Base_IFData!L1562&gt;$B$4,Base_IFData!W1562,""),"")</f>
        <v/>
      </c>
      <c r="N1561" s="50">
        <f>IF(AND(ISNUMBER(Base_IFData!O1562),ISNUMBER(Base_IFData!Q1562)),IF(Base_IFData!Q1562&gt;0,Base_IFData!O1562/Base_IFData!Q1562,"PL ≤ 0"),"NI")</f>
        <v>1.670378619153675E-2</v>
      </c>
      <c r="O1561" s="107">
        <f>IF(AND(ISNUMBER(Base_IFData!M1562),ISNUMBER(Base_IFData!Q1562)),IF(Base_IFData!Q1562&gt;0,Base_IFData!M1562/Base_IFData!Q1562,"PL ≤ 0"),"NI")</f>
        <v>0.82739420935412022</v>
      </c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</row>
    <row r="1562" spans="1:30" ht="15" customHeight="1" x14ac:dyDescent="0.2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12" t="str">
        <f>Base_IFData!A1563</f>
        <v>COOPERATIVA DE ECONOMIA E CRÉDITO MÚTUO DOS EMPREGADOS NAS INDÚSTRIAS, FÁBRICAS, DISTRIBUIDORAS, TRANSPORTADORAS, ENVASADORAS, QUÍMICAS, FARMACÊUTICAS, EMBALAGENS E SIMILARES DO ESTADO DO RIO DE JANEI</v>
      </c>
      <c r="L1562" s="12" t="str">
        <f>Base_IFData!F1563</f>
        <v>b3S</v>
      </c>
      <c r="M1562" s="14" t="str">
        <f>IF(AND(ISNUMBER(Base_IFData!L1563),ISNUMBER(Base_IFData!W1563)),IF(Base_IFData!L1563&gt;$B$4,Base_IFData!W1563,""),"")</f>
        <v/>
      </c>
      <c r="N1562" s="51">
        <f>IF(AND(ISNUMBER(Base_IFData!O1563),ISNUMBER(Base_IFData!Q1563)),IF(Base_IFData!Q1563&gt;0,Base_IFData!O1563/Base_IFData!Q1563,"PL ≤ 0"),"NI")</f>
        <v>2.2113022113022112E-2</v>
      </c>
      <c r="O1562" s="110">
        <f>IF(AND(ISNUMBER(Base_IFData!M1563),ISNUMBER(Base_IFData!Q1563)),IF(Base_IFData!Q1563&gt;0,Base_IFData!M1563/Base_IFData!Q1563,"PL ≤ 0"),"NI")</f>
        <v>0.39434889434889436</v>
      </c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</row>
    <row r="1563" spans="1:30" ht="15" customHeight="1" x14ac:dyDescent="0.2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15" t="str">
        <f>Base_IFData!A1564</f>
        <v>COOPERATIVA DE ECONOMIA E CRÉDITO MÚTUO DOS BANCÁRIOS DE BELO HORIZONTE E REGIÃO METROPOLITANA LTDA. - COOPEB</v>
      </c>
      <c r="L1563" s="15" t="str">
        <f>Base_IFData!F1564</f>
        <v>b3S</v>
      </c>
      <c r="M1563" s="17" t="str">
        <f>IF(AND(ISNUMBER(Base_IFData!L1564),ISNUMBER(Base_IFData!W1564)),IF(Base_IFData!L1564&gt;$B$4,Base_IFData!W1564,""),"")</f>
        <v/>
      </c>
      <c r="N1563" s="50">
        <f>IF(AND(ISNUMBER(Base_IFData!O1564),ISNUMBER(Base_IFData!Q1564)),IF(Base_IFData!Q1564&gt;0,Base_IFData!O1564/Base_IFData!Q1564,"PL ≤ 0"),"NI")</f>
        <v>6.2087186261558784E-2</v>
      </c>
      <c r="O1563" s="107">
        <f>IF(AND(ISNUMBER(Base_IFData!M1564),ISNUMBER(Base_IFData!Q1564)),IF(Base_IFData!Q1564&gt;0,Base_IFData!M1564/Base_IFData!Q1564,"PL ≤ 0"),"NI")</f>
        <v>0.94319682959048878</v>
      </c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</row>
    <row r="1564" spans="1:30" ht="15" customHeight="1" x14ac:dyDescent="0.2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12" t="str">
        <f>Base_IFData!A1565</f>
        <v>CRYSTAL BMC - INSTITUICAO DE PAGAMENTO LTDA.</v>
      </c>
      <c r="L1564" s="12" t="str">
        <f>Base_IFData!F1565</f>
        <v>n4</v>
      </c>
      <c r="M1564" s="14" t="str">
        <f>IF(AND(ISNUMBER(Base_IFData!L1565),ISNUMBER(Base_IFData!W1565)),IF(Base_IFData!L1565&gt;$B$4,Base_IFData!W1565,""),"")</f>
        <v/>
      </c>
      <c r="N1564" s="51">
        <f>IF(AND(ISNUMBER(Base_IFData!O1565),ISNUMBER(Base_IFData!Q1565)),IF(Base_IFData!Q1565&gt;0,Base_IFData!O1565/Base_IFData!Q1565,"PL ≤ 0"),"NI")</f>
        <v>0</v>
      </c>
      <c r="O1564" s="110">
        <f>IF(AND(ISNUMBER(Base_IFData!M1565),ISNUMBER(Base_IFData!Q1565)),IF(Base_IFData!Q1565&gt;0,Base_IFData!M1565/Base_IFData!Q1565,"PL ≤ 0"),"NI")</f>
        <v>0</v>
      </c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</row>
    <row r="1565" spans="1:30" ht="15" customHeight="1" x14ac:dyDescent="0.2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15" t="str">
        <f>Base_IFData!A1566</f>
        <v>COOPERATIVA DE ECONOMIA E CRÉDITO MÚTUO DOS EMPREGADOS DAS EMPRESAS SOMART LTDA.</v>
      </c>
      <c r="L1565" s="15" t="str">
        <f>Base_IFData!F1566</f>
        <v>b3S</v>
      </c>
      <c r="M1565" s="17" t="str">
        <f>IF(AND(ISNUMBER(Base_IFData!L1566),ISNUMBER(Base_IFData!W1566)),IF(Base_IFData!L1566&gt;$B$4,Base_IFData!W1566,""),"")</f>
        <v/>
      </c>
      <c r="N1565" s="50">
        <f>IF(AND(ISNUMBER(Base_IFData!O1566),ISNUMBER(Base_IFData!Q1566)),IF(Base_IFData!Q1566&gt;0,Base_IFData!O1566/Base_IFData!Q1566,"PL ≤ 0"),"NI")</f>
        <v>0.98671096345514953</v>
      </c>
      <c r="O1565" s="107">
        <f>IF(AND(ISNUMBER(Base_IFData!M1566),ISNUMBER(Base_IFData!Q1566)),IF(Base_IFData!Q1566&gt;0,Base_IFData!M1566/Base_IFData!Q1566,"PL ≤ 0"),"NI")</f>
        <v>4.3189368770764118E-2</v>
      </c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</row>
    <row r="1566" spans="1:30" ht="15" customHeight="1" x14ac:dyDescent="0.2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12" t="str">
        <f>Base_IFData!A1567</f>
        <v>COOPERATIVA DE ECONOMIA E CREDITO MUTUO DOS EMPREGADOS DO COLEGIO SANTO INACIO - COESI</v>
      </c>
      <c r="L1566" s="12" t="str">
        <f>Base_IFData!F1567</f>
        <v>b3S</v>
      </c>
      <c r="M1566" s="14" t="str">
        <f>IF(AND(ISNUMBER(Base_IFData!L1567),ISNUMBER(Base_IFData!W1567)),IF(Base_IFData!L1567&gt;$B$4,Base_IFData!W1567,""),"")</f>
        <v/>
      </c>
      <c r="N1566" s="51">
        <f>IF(AND(ISNUMBER(Base_IFData!O1567),ISNUMBER(Base_IFData!Q1567)),IF(Base_IFData!Q1567&gt;0,Base_IFData!O1567/Base_IFData!Q1567,"PL ≤ 0"),"NI")</f>
        <v>0.31567328918322296</v>
      </c>
      <c r="O1566" s="110">
        <f>IF(AND(ISNUMBER(Base_IFData!M1567),ISNUMBER(Base_IFData!Q1567)),IF(Base_IFData!Q1567&gt;0,Base_IFData!M1567/Base_IFData!Q1567,"PL ≤ 0"),"NI")</f>
        <v>0.95584988962472406</v>
      </c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</row>
    <row r="1567" spans="1:30" ht="15" customHeight="1" x14ac:dyDescent="0.2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15" t="str">
        <f>Base_IFData!A1568</f>
        <v>COOPERATIVA DE ECONOMIA E CRÉDITO MÚTUO DOS FUNCIONÁRIOS DO BANESPA DE BOTUCATU E CIDADES LIMÍTROFES</v>
      </c>
      <c r="L1567" s="15" t="str">
        <f>Base_IFData!F1568</f>
        <v>b3S</v>
      </c>
      <c r="M1567" s="17" t="str">
        <f>IF(AND(ISNUMBER(Base_IFData!L1568),ISNUMBER(Base_IFData!W1568)),IF(Base_IFData!L1568&gt;$B$4,Base_IFData!W1568,""),"")</f>
        <v/>
      </c>
      <c r="N1567" s="50">
        <f>IF(AND(ISNUMBER(Base_IFData!O1568),ISNUMBER(Base_IFData!Q1568)),IF(Base_IFData!Q1568&gt;0,Base_IFData!O1568/Base_IFData!Q1568,"PL ≤ 0"),"NI")</f>
        <v>2.185792349726776E-2</v>
      </c>
      <c r="O1567" s="107">
        <f>IF(AND(ISNUMBER(Base_IFData!M1568),ISNUMBER(Base_IFData!Q1568)),IF(Base_IFData!Q1568&gt;0,Base_IFData!M1568/Base_IFData!Q1568,"PL ≤ 0"),"NI")</f>
        <v>0.32058287795992713</v>
      </c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</row>
    <row r="1568" spans="1:30" ht="15" customHeight="1" x14ac:dyDescent="0.2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12" t="str">
        <f>Base_IFData!A1569</f>
        <v>EBADIVAL - E. BAGGIO DISTRIBUIDORA DE TÍTULOS E VALORES MOBILIÁRIOS LTDA.</v>
      </c>
      <c r="L1568" s="12" t="str">
        <f>Base_IFData!F1569</f>
        <v>n2</v>
      </c>
      <c r="M1568" s="14" t="str">
        <f>IF(AND(ISNUMBER(Base_IFData!L1569),ISNUMBER(Base_IFData!W1569)),IF(Base_IFData!L1569&gt;$B$4,Base_IFData!W1569,""),"")</f>
        <v/>
      </c>
      <c r="N1568" s="51">
        <f>IF(AND(ISNUMBER(Base_IFData!O1569),ISNUMBER(Base_IFData!Q1569)),IF(Base_IFData!Q1569&gt;0,Base_IFData!O1569/Base_IFData!Q1569,"PL ≤ 0"),"NI")</f>
        <v>9.057971014492754E-3</v>
      </c>
      <c r="O1568" s="110">
        <f>IF(AND(ISNUMBER(Base_IFData!M1569),ISNUMBER(Base_IFData!Q1569)),IF(Base_IFData!Q1569&gt;0,Base_IFData!M1569/Base_IFData!Q1569,"PL ≤ 0"),"NI")</f>
        <v>0</v>
      </c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</row>
    <row r="1569" spans="1:30" ht="15" customHeight="1" x14ac:dyDescent="0.2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15" t="str">
        <f>Base_IFData!A1570</f>
        <v>AVIPAM CORRETORA DE CAMBIO LTDA</v>
      </c>
      <c r="L1569" s="15" t="str">
        <f>Base_IFData!F1570</f>
        <v>n2</v>
      </c>
      <c r="M1569" s="17" t="str">
        <f>IF(AND(ISNUMBER(Base_IFData!L1570),ISNUMBER(Base_IFData!W1570)),IF(Base_IFData!L1570&gt;$B$4,Base_IFData!W1570,""),"")</f>
        <v/>
      </c>
      <c r="N1569" s="50">
        <f>IF(AND(ISNUMBER(Base_IFData!O1570),ISNUMBER(Base_IFData!Q1570)),IF(Base_IFData!Q1570&gt;0,Base_IFData!O1570/Base_IFData!Q1570,"PL ≤ 0"),"NI")</f>
        <v>1.2727272727272728E-2</v>
      </c>
      <c r="O1569" s="107">
        <f>IF(AND(ISNUMBER(Base_IFData!M1570),ISNUMBER(Base_IFData!Q1570)),IF(Base_IFData!Q1570&gt;0,Base_IFData!M1570/Base_IFData!Q1570,"PL ≤ 0"),"NI")</f>
        <v>0</v>
      </c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</row>
    <row r="1570" spans="1:30" ht="15" customHeight="1" x14ac:dyDescent="0.2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12" t="str">
        <f>Base_IFData!A1571</f>
        <v>COOPERATIVA DE ECONOMIA E CREDITO MUTUO DOS FUNCIONARIOS DA SANEPAR - CREDISANEPAR</v>
      </c>
      <c r="L1570" s="12" t="str">
        <f>Base_IFData!F1571</f>
        <v>b3S</v>
      </c>
      <c r="M1570" s="14" t="str">
        <f>IF(AND(ISNUMBER(Base_IFData!L1571),ISNUMBER(Base_IFData!W1571)),IF(Base_IFData!L1571&gt;$B$4,Base_IFData!W1571,""),"")</f>
        <v/>
      </c>
      <c r="N1570" s="51">
        <f>IF(AND(ISNUMBER(Base_IFData!O1571),ISNUMBER(Base_IFData!Q1571)),IF(Base_IFData!Q1571&gt;0,Base_IFData!O1571/Base_IFData!Q1571,"PL ≤ 0"),"NI")</f>
        <v>6.3745019920318724E-2</v>
      </c>
      <c r="O1570" s="110">
        <f>IF(AND(ISNUMBER(Base_IFData!M1571),ISNUMBER(Base_IFData!Q1571)),IF(Base_IFData!Q1571&gt;0,Base_IFData!M1571/Base_IFData!Q1571,"PL ≤ 0"),"NI")</f>
        <v>0.62151394422310757</v>
      </c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</row>
    <row r="1571" spans="1:30" ht="15" customHeight="1" x14ac:dyDescent="0.2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15" t="str">
        <f>Base_IFData!A1572</f>
        <v>COOPERATIVA DE ECONOMIA E CRÉDITO MÚTUO DOS BANCÁRIOS DE JUIZ DE FORA LTDA. - COCBAN</v>
      </c>
      <c r="L1571" s="15" t="str">
        <f>Base_IFData!F1572</f>
        <v>b3S</v>
      </c>
      <c r="M1571" s="17" t="str">
        <f>IF(AND(ISNUMBER(Base_IFData!L1572),ISNUMBER(Base_IFData!W1572)),IF(Base_IFData!L1572&gt;$B$4,Base_IFData!W1572,""),"")</f>
        <v/>
      </c>
      <c r="N1571" s="50">
        <f>IF(AND(ISNUMBER(Base_IFData!O1572),ISNUMBER(Base_IFData!Q1572)),IF(Base_IFData!Q1572&gt;0,Base_IFData!O1572/Base_IFData!Q1572,"PL ≤ 0"),"NI")</f>
        <v>5.3304904051172705E-2</v>
      </c>
      <c r="O1571" s="107">
        <f>IF(AND(ISNUMBER(Base_IFData!M1572),ISNUMBER(Base_IFData!Q1572)),IF(Base_IFData!Q1572&gt;0,Base_IFData!M1572/Base_IFData!Q1572,"PL ≤ 0"),"NI")</f>
        <v>0.53518123667377404</v>
      </c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</row>
    <row r="1572" spans="1:30" ht="15" customHeight="1" x14ac:dyDescent="0.2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12" t="str">
        <f>Base_IFData!A1573</f>
        <v>COOPERATIVA DE ECONOMIA E CRÉDITO MÚTUO DOS BANCÁRIOS DE SOROCABA E REGIÃO</v>
      </c>
      <c r="L1572" s="12" t="str">
        <f>Base_IFData!F1573</f>
        <v>b3S</v>
      </c>
      <c r="M1572" s="14" t="str">
        <f>IF(AND(ISNUMBER(Base_IFData!L1573),ISNUMBER(Base_IFData!W1573)),IF(Base_IFData!L1573&gt;$B$4,Base_IFData!W1573,""),"")</f>
        <v/>
      </c>
      <c r="N1572" s="51">
        <f>IF(AND(ISNUMBER(Base_IFData!O1573),ISNUMBER(Base_IFData!Q1573)),IF(Base_IFData!Q1573&gt;0,Base_IFData!O1573/Base_IFData!Q1573,"PL ≤ 0"),"NI")</f>
        <v>0.29761904761904762</v>
      </c>
      <c r="O1572" s="110">
        <f>IF(AND(ISNUMBER(Base_IFData!M1573),ISNUMBER(Base_IFData!Q1573)),IF(Base_IFData!Q1573&gt;0,Base_IFData!M1573/Base_IFData!Q1573,"PL ≤ 0"),"NI")</f>
        <v>0.56845238095238093</v>
      </c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</row>
    <row r="1573" spans="1:30" ht="15" customHeight="1" x14ac:dyDescent="0.2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15" t="str">
        <f>Base_IFData!A1574</f>
        <v>ÍCARO CORRETORA DE CÂMBIO LTDA</v>
      </c>
      <c r="L1573" s="15" t="str">
        <f>Base_IFData!F1574</f>
        <v>n2</v>
      </c>
      <c r="M1573" s="17" t="str">
        <f>IF(AND(ISNUMBER(Base_IFData!L1574),ISNUMBER(Base_IFData!W1574)),IF(Base_IFData!L1574&gt;$B$4,Base_IFData!W1574,""),"")</f>
        <v/>
      </c>
      <c r="N1573" s="50">
        <f>IF(AND(ISNUMBER(Base_IFData!O1574),ISNUMBER(Base_IFData!Q1574)),IF(Base_IFData!Q1574&gt;0,Base_IFData!O1574/Base_IFData!Q1574,"PL ≤ 0"),"NI")</f>
        <v>1.2626262626262626E-2</v>
      </c>
      <c r="O1573" s="107">
        <f>IF(AND(ISNUMBER(Base_IFData!M1574),ISNUMBER(Base_IFData!Q1574)),IF(Base_IFData!Q1574&gt;0,Base_IFData!M1574/Base_IFData!Q1574,"PL ≤ 0"),"NI")</f>
        <v>0</v>
      </c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</row>
    <row r="1574" spans="1:30" ht="15" customHeight="1" x14ac:dyDescent="0.2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12" t="str">
        <f>Base_IFData!A1575</f>
        <v>CONSEGTUR CORRETORA DE CÂMBIO LTDA.</v>
      </c>
      <c r="L1574" s="12" t="str">
        <f>Base_IFData!F1575</f>
        <v>n2</v>
      </c>
      <c r="M1574" s="14" t="str">
        <f>IF(AND(ISNUMBER(Base_IFData!L1575),ISNUMBER(Base_IFData!W1575)),IF(Base_IFData!L1575&gt;$B$4,Base_IFData!W1575,""),"")</f>
        <v/>
      </c>
      <c r="N1574" s="51">
        <f>IF(AND(ISNUMBER(Base_IFData!O1575),ISNUMBER(Base_IFData!Q1575)),IF(Base_IFData!Q1575&gt;0,Base_IFData!O1575/Base_IFData!Q1575,"PL ≤ 0"),"NI")</f>
        <v>0.64414414414414412</v>
      </c>
      <c r="O1574" s="110">
        <f>IF(AND(ISNUMBER(Base_IFData!M1575),ISNUMBER(Base_IFData!Q1575)),IF(Base_IFData!Q1575&gt;0,Base_IFData!M1575/Base_IFData!Q1575,"PL ≤ 0"),"NI")</f>
        <v>0</v>
      </c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</row>
    <row r="1575" spans="1:30" ht="15" customHeight="1" x14ac:dyDescent="0.2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15" t="str">
        <f>Base_IFData!A1576</f>
        <v>BRB - BANCO DE BRASILIA S.A.</v>
      </c>
      <c r="L1575" s="15" t="str">
        <f>Base_IFData!F1576</f>
        <v>b1</v>
      </c>
      <c r="M1575" s="17" t="str">
        <f>IF(AND(ISNUMBER(Base_IFData!L1576),ISNUMBER(Base_IFData!W1576)),IF(Base_IFData!L1576&gt;$B$4,Base_IFData!W1576,""),"")</f>
        <v/>
      </c>
      <c r="N1575" s="50" t="str">
        <f>IF(AND(ISNUMBER(Base_IFData!O1576),ISNUMBER(Base_IFData!Q1576)),IF(Base_IFData!Q1576&gt;0,Base_IFData!O1576/Base_IFData!Q1576,"PL ≤ 0"),"NI")</f>
        <v>NI</v>
      </c>
      <c r="O1575" s="107" t="str">
        <f>IF(AND(ISNUMBER(Base_IFData!M1576),ISNUMBER(Base_IFData!Q1576)),IF(Base_IFData!Q1576&gt;0,Base_IFData!M1576/Base_IFData!Q1576,"PL ≤ 0"),"NI")</f>
        <v>NI</v>
      </c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</row>
    <row r="1576" spans="1:30" ht="15" customHeight="1" x14ac:dyDescent="0.2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12" t="str">
        <f>Base_IFData!A1577</f>
        <v>COOPERATIVA DE CREDITO RURAL SEARA - CREDISEARA</v>
      </c>
      <c r="L1576" s="12" t="str">
        <f>Base_IFData!F1577</f>
        <v>b3S</v>
      </c>
      <c r="M1576" s="14" t="str">
        <f>IF(AND(ISNUMBER(Base_IFData!L1577),ISNUMBER(Base_IFData!W1577)),IF(Base_IFData!L1577&gt;$B$4,Base_IFData!W1577,""),"")</f>
        <v/>
      </c>
      <c r="N1576" s="51" t="str">
        <f>IF(AND(ISNUMBER(Base_IFData!O1577),ISNUMBER(Base_IFData!Q1577)),IF(Base_IFData!Q1577&gt;0,Base_IFData!O1577/Base_IFData!Q1577,"PL ≤ 0"),"NI")</f>
        <v>NI</v>
      </c>
      <c r="O1576" s="110" t="str">
        <f>IF(AND(ISNUMBER(Base_IFData!M1577),ISNUMBER(Base_IFData!Q1577)),IF(Base_IFData!Q1577&gt;0,Base_IFData!M1577/Base_IFData!Q1577,"PL ≤ 0"),"NI")</f>
        <v>NI</v>
      </c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</row>
    <row r="1577" spans="1:30" ht="15" customHeight="1" x14ac:dyDescent="0.2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15" t="str">
        <f>Base_IFData!A1578</f>
        <v>COOPERATIVA DE ECONOMIA E CRÉDITO MÚTUO DOS FUNCIONÁRIOS DO GRUPO SUGGAR LTDA.</v>
      </c>
      <c r="L1577" s="15" t="str">
        <f>Base_IFData!F1578</f>
        <v>b3S</v>
      </c>
      <c r="M1577" s="17" t="str">
        <f>IF(AND(ISNUMBER(Base_IFData!L1578),ISNUMBER(Base_IFData!W1578)),IF(Base_IFData!L1578&gt;$B$4,Base_IFData!W1578,""),"")</f>
        <v/>
      </c>
      <c r="N1577" s="50" t="str">
        <f>IF(AND(ISNUMBER(Base_IFData!O1578),ISNUMBER(Base_IFData!Q1578)),IF(Base_IFData!Q1578&gt;0,Base_IFData!O1578/Base_IFData!Q1578,"PL ≤ 0"),"NI")</f>
        <v>NI</v>
      </c>
      <c r="O1577" s="107" t="str">
        <f>IF(AND(ISNUMBER(Base_IFData!M1578),ISNUMBER(Base_IFData!Q1578)),IF(Base_IFData!Q1578&gt;0,Base_IFData!M1578/Base_IFData!Q1578,"PL ≤ 0"),"NI")</f>
        <v>NI</v>
      </c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</row>
    <row r="1578" spans="1:30" ht="15" customHeight="1" x14ac:dyDescent="0.2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12" t="str">
        <f>Base_IFData!A1579</f>
        <v>COOPERATIVA DE ECONOMIA E CRÉDITO MÚTUO DOS BANCÁRIOS DO TRIÂNGULO LTDA.</v>
      </c>
      <c r="L1578" s="12" t="str">
        <f>Base_IFData!F1579</f>
        <v>b3S</v>
      </c>
      <c r="M1578" s="14" t="str">
        <f>IF(AND(ISNUMBER(Base_IFData!L1579),ISNUMBER(Base_IFData!W1579)),IF(Base_IFData!L1579&gt;$B$4,Base_IFData!W1579,""),"")</f>
        <v/>
      </c>
      <c r="N1578" s="51" t="str">
        <f>IF(AND(ISNUMBER(Base_IFData!O1579),ISNUMBER(Base_IFData!Q1579)),IF(Base_IFData!Q1579&gt;0,Base_IFData!O1579/Base_IFData!Q1579,"PL ≤ 0"),"NI")</f>
        <v>NI</v>
      </c>
      <c r="O1578" s="110" t="str">
        <f>IF(AND(ISNUMBER(Base_IFData!M1579),ISNUMBER(Base_IFData!Q1579)),IF(Base_IFData!Q1579&gt;0,Base_IFData!M1579/Base_IFData!Q1579,"PL ≤ 0"),"NI")</f>
        <v>NI</v>
      </c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</row>
    <row r="1579" spans="1:30" ht="15" customHeight="1" x14ac:dyDescent="0.2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15" t="str">
        <f>Base_IFData!A1580</f>
        <v>AGENCIA DE FOMENTO DO ESTADO DE RORAIMA S/A</v>
      </c>
      <c r="L1579" s="15" t="str">
        <f>Base_IFData!F1580</f>
        <v>n1</v>
      </c>
      <c r="M1579" s="17" t="str">
        <f>IF(AND(ISNUMBER(Base_IFData!L1580),ISNUMBER(Base_IFData!W1580)),IF(Base_IFData!L1580&gt;$B$4,Base_IFData!W1580,""),"")</f>
        <v/>
      </c>
      <c r="N1579" s="50" t="str">
        <f>IF(AND(ISNUMBER(Base_IFData!O1580),ISNUMBER(Base_IFData!Q1580)),IF(Base_IFData!Q1580&gt;0,Base_IFData!O1580/Base_IFData!Q1580,"PL ≤ 0"),"NI")</f>
        <v>NI</v>
      </c>
      <c r="O1579" s="107" t="str">
        <f>IF(AND(ISNUMBER(Base_IFData!M1580),ISNUMBER(Base_IFData!Q1580)),IF(Base_IFData!Q1580&gt;0,Base_IFData!M1580/Base_IFData!Q1580,"PL ≤ 0"),"NI")</f>
        <v>NI</v>
      </c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</row>
    <row r="1580" spans="1:30" ht="15" customHeight="1" x14ac:dyDescent="0.2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12" t="str">
        <f>Base_IFData!A1581</f>
        <v>COOPERATIVA DE ECONOMIA E CRÉDITO MÚTUO DOS EMPREGADOS DA EMPRESA SUPERMERCADOS JAU SERVE - COOPERJS</v>
      </c>
      <c r="L1580" s="12" t="str">
        <f>Base_IFData!F1581</f>
        <v>b3S</v>
      </c>
      <c r="M1580" s="14" t="str">
        <f>IF(AND(ISNUMBER(Base_IFData!L1581),ISNUMBER(Base_IFData!W1581)),IF(Base_IFData!L1581&gt;$B$4,Base_IFData!W1581,""),"")</f>
        <v/>
      </c>
      <c r="N1580" s="51" t="str">
        <f>IF(AND(ISNUMBER(Base_IFData!O1581),ISNUMBER(Base_IFData!Q1581)),IF(Base_IFData!Q1581&gt;0,Base_IFData!O1581/Base_IFData!Q1581,"PL ≤ 0"),"NI")</f>
        <v>NI</v>
      </c>
      <c r="O1580" s="110" t="str">
        <f>IF(AND(ISNUMBER(Base_IFData!M1581),ISNUMBER(Base_IFData!Q1581)),IF(Base_IFData!Q1581&gt;0,Base_IFData!M1581/Base_IFData!Q1581,"PL ≤ 0"),"NI")</f>
        <v>NI</v>
      </c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</row>
    <row r="1581" spans="1:30" ht="15" customHeight="1" x14ac:dyDescent="0.2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15" t="str">
        <f>Base_IFData!A1582</f>
        <v>COOPERATIVA DE ECONOMIA E CREDITO MUTUO DOS TRABALHADORES PORTUARIOS DA GRANDE VITORIA - CREDESTIVA.</v>
      </c>
      <c r="L1581" s="15" t="str">
        <f>Base_IFData!F1582</f>
        <v>b3S</v>
      </c>
      <c r="M1581" s="17" t="str">
        <f>IF(AND(ISNUMBER(Base_IFData!L1582),ISNUMBER(Base_IFData!W1582)),IF(Base_IFData!L1582&gt;$B$4,Base_IFData!W1582,""),"")</f>
        <v/>
      </c>
      <c r="N1581" s="50" t="str">
        <f>IF(AND(ISNUMBER(Base_IFData!O1582),ISNUMBER(Base_IFData!Q1582)),IF(Base_IFData!Q1582&gt;0,Base_IFData!O1582/Base_IFData!Q1582,"PL ≤ 0"),"NI")</f>
        <v>NI</v>
      </c>
      <c r="O1581" s="107" t="str">
        <f>IF(AND(ISNUMBER(Base_IFData!M1582),ISNUMBER(Base_IFData!Q1582)),IF(Base_IFData!Q1582&gt;0,Base_IFData!M1582/Base_IFData!Q1582,"PL ≤ 0"),"NI")</f>
        <v>NI</v>
      </c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</row>
    <row r="1582" spans="1:30" ht="15" customHeight="1" x14ac:dyDescent="0.2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12" t="str">
        <f>Base_IFData!A1583</f>
        <v>FINNET S/A - TECNOLOGIA E INSTITUICAO DE PAGAMENTO</v>
      </c>
      <c r="L1582" s="12" t="str">
        <f>Base_IFData!F1583</f>
        <v>n4</v>
      </c>
      <c r="M1582" s="14" t="str">
        <f>IF(AND(ISNUMBER(Base_IFData!L1583),ISNUMBER(Base_IFData!W1583)),IF(Base_IFData!L1583&gt;$B$4,Base_IFData!W1583,""),"")</f>
        <v/>
      </c>
      <c r="N1582" s="51" t="str">
        <f>IF(AND(ISNUMBER(Base_IFData!O1583),ISNUMBER(Base_IFData!Q1583)),IF(Base_IFData!Q1583&gt;0,Base_IFData!O1583/Base_IFData!Q1583,"PL ≤ 0"),"NI")</f>
        <v>NI</v>
      </c>
      <c r="O1582" s="110" t="str">
        <f>IF(AND(ISNUMBER(Base_IFData!M1583),ISNUMBER(Base_IFData!Q1583)),IF(Base_IFData!Q1583&gt;0,Base_IFData!M1583/Base_IFData!Q1583,"PL ≤ 0"),"NI")</f>
        <v>NI</v>
      </c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</row>
    <row r="1583" spans="1:30" ht="15" customHeight="1" x14ac:dyDescent="0.2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15" t="str">
        <f>Base_IFData!A1584</f>
        <v>COOPERATIVA DE CRÉDITO MÚTUO DOS SERVIDORES MUNICIPAIS DE BEBEDOURO - COOCRESB.</v>
      </c>
      <c r="L1583" s="15" t="str">
        <f>Base_IFData!F1584</f>
        <v>b3S</v>
      </c>
      <c r="M1583" s="17" t="str">
        <f>IF(AND(ISNUMBER(Base_IFData!L1584),ISNUMBER(Base_IFData!W1584)),IF(Base_IFData!L1584&gt;$B$4,Base_IFData!W1584,""),"")</f>
        <v/>
      </c>
      <c r="N1583" s="50" t="str">
        <f>IF(AND(ISNUMBER(Base_IFData!O1584),ISNUMBER(Base_IFData!Q1584)),IF(Base_IFData!Q1584&gt;0,Base_IFData!O1584/Base_IFData!Q1584,"PL ≤ 0"),"NI")</f>
        <v>NI</v>
      </c>
      <c r="O1583" s="107" t="str">
        <f>IF(AND(ISNUMBER(Base_IFData!M1584),ISNUMBER(Base_IFData!Q1584)),IF(Base_IFData!Q1584&gt;0,Base_IFData!M1584/Base_IFData!Q1584,"PL ≤ 0"),"NI")</f>
        <v>NI</v>
      </c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</row>
    <row r="1584" spans="1:30" ht="15" customHeight="1" x14ac:dyDescent="0.2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12" t="str">
        <f>Base_IFData!A1585</f>
        <v>ONNIX CORRETORA DE CÂMBIO LTDA.</v>
      </c>
      <c r="L1584" s="12" t="str">
        <f>Base_IFData!F1585</f>
        <v>n2</v>
      </c>
      <c r="M1584" s="14" t="str">
        <f>IF(AND(ISNUMBER(Base_IFData!L1585),ISNUMBER(Base_IFData!W1585)),IF(Base_IFData!L1585&gt;$B$4,Base_IFData!W1585,""),"")</f>
        <v/>
      </c>
      <c r="N1584" s="51" t="str">
        <f>IF(AND(ISNUMBER(Base_IFData!O1585),ISNUMBER(Base_IFData!Q1585)),IF(Base_IFData!Q1585&gt;0,Base_IFData!O1585/Base_IFData!Q1585,"PL ≤ 0"),"NI")</f>
        <v>NI</v>
      </c>
      <c r="O1584" s="110" t="str">
        <f>IF(AND(ISNUMBER(Base_IFData!M1585),ISNUMBER(Base_IFData!Q1585)),IF(Base_IFData!Q1585&gt;0,Base_IFData!M1585/Base_IFData!Q1585,"PL ≤ 0"),"NI")</f>
        <v>NI</v>
      </c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</row>
    <row r="1585" spans="1:30" ht="15" customHeight="1" x14ac:dyDescent="0.2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15" t="str">
        <f>Base_IFData!A1586</f>
        <v>COOPERATIVA DE CRÉDITO RURAL DO AGRESTE ALAGOANO - COOPERAGRE</v>
      </c>
      <c r="L1585" s="15" t="str">
        <f>Base_IFData!F1586</f>
        <v>b3S</v>
      </c>
      <c r="M1585" s="17" t="str">
        <f>IF(AND(ISNUMBER(Base_IFData!L1586),ISNUMBER(Base_IFData!W1586)),IF(Base_IFData!L1586&gt;$B$4,Base_IFData!W1586,""),"")</f>
        <v/>
      </c>
      <c r="N1585" s="50" t="str">
        <f>IF(AND(ISNUMBER(Base_IFData!O1586),ISNUMBER(Base_IFData!Q1586)),IF(Base_IFData!Q1586&gt;0,Base_IFData!O1586/Base_IFData!Q1586,"PL ≤ 0"),"NI")</f>
        <v>NI</v>
      </c>
      <c r="O1585" s="107" t="str">
        <f>IF(AND(ISNUMBER(Base_IFData!M1586),ISNUMBER(Base_IFData!Q1586)),IF(Base_IFData!Q1586&gt;0,Base_IFData!M1586/Base_IFData!Q1586,"PL ≤ 0"),"NI")</f>
        <v>NI</v>
      </c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</row>
    <row r="1586" spans="1:30" ht="15" customHeight="1" x14ac:dyDescent="0.2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12" t="str">
        <f>Base_IFData!A1587</f>
        <v>SOL CORRETORA DE CÂMBIO S.A.</v>
      </c>
      <c r="L1586" s="12" t="str">
        <f>Base_IFData!F1587</f>
        <v>n2</v>
      </c>
      <c r="M1586" s="14" t="str">
        <f>IF(AND(ISNUMBER(Base_IFData!L1587),ISNUMBER(Base_IFData!W1587)),IF(Base_IFData!L1587&gt;$B$4,Base_IFData!W1587,""),"")</f>
        <v/>
      </c>
      <c r="N1586" s="51" t="str">
        <f>IF(AND(ISNUMBER(Base_IFData!O1587),ISNUMBER(Base_IFData!Q1587)),IF(Base_IFData!Q1587&gt;0,Base_IFData!O1587/Base_IFData!Q1587,"PL ≤ 0"),"NI")</f>
        <v>NI</v>
      </c>
      <c r="O1586" s="110" t="str">
        <f>IF(AND(ISNUMBER(Base_IFData!M1587),ISNUMBER(Base_IFData!Q1587)),IF(Base_IFData!Q1587&gt;0,Base_IFData!M1587/Base_IFData!Q1587,"PL ≤ 0"),"NI")</f>
        <v>NI</v>
      </c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</row>
    <row r="1587" spans="1:30" ht="15" customHeight="1" x14ac:dyDescent="0.2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15" t="str">
        <f>Base_IFData!A1588</f>
        <v>COOPERATIVA DE CRÉDITO DOS EMPRESÁRIOS DE MANAUS - SICOOB CREDEMPRESAS-AM</v>
      </c>
      <c r="L1587" s="15" t="str">
        <f>Base_IFData!F1588</f>
        <v>b3S</v>
      </c>
      <c r="M1587" s="17" t="str">
        <f>IF(AND(ISNUMBER(Base_IFData!L1588),ISNUMBER(Base_IFData!W1588)),IF(Base_IFData!L1588&gt;$B$4,Base_IFData!W1588,""),"")</f>
        <v/>
      </c>
      <c r="N1587" s="50" t="str">
        <f>IF(AND(ISNUMBER(Base_IFData!O1588),ISNUMBER(Base_IFData!Q1588)),IF(Base_IFData!Q1588&gt;0,Base_IFData!O1588/Base_IFData!Q1588,"PL ≤ 0"),"NI")</f>
        <v>NI</v>
      </c>
      <c r="O1587" s="107" t="str">
        <f>IF(AND(ISNUMBER(Base_IFData!M1588),ISNUMBER(Base_IFData!Q1588)),IF(Base_IFData!Q1588&gt;0,Base_IFData!M1588/Base_IFData!Q1588,"PL ≤ 0"),"NI")</f>
        <v>NI</v>
      </c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</row>
    <row r="1588" spans="1:30" ht="15" customHeight="1" x14ac:dyDescent="0.2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12" t="str">
        <f>Base_IFData!A1589</f>
        <v>LEBES FINANCEIRA S.A. - SOCIEDADE DE CRÉDITO, FINANCIAMENTO E INVESTIMENTO</v>
      </c>
      <c r="L1588" s="12" t="str">
        <f>Base_IFData!F1589</f>
        <v>n1</v>
      </c>
      <c r="M1588" s="14" t="str">
        <f>IF(AND(ISNUMBER(Base_IFData!L1589),ISNUMBER(Base_IFData!W1589)),IF(Base_IFData!L1589&gt;$B$4,Base_IFData!W1589,""),"")</f>
        <v/>
      </c>
      <c r="N1588" s="51" t="str">
        <f>IF(AND(ISNUMBER(Base_IFData!O1589),ISNUMBER(Base_IFData!Q1589)),IF(Base_IFData!Q1589&gt;0,Base_IFData!O1589/Base_IFData!Q1589,"PL ≤ 0"),"NI")</f>
        <v>NI</v>
      </c>
      <c r="O1588" s="110" t="str">
        <f>IF(AND(ISNUMBER(Base_IFData!M1589),ISNUMBER(Base_IFData!Q1589)),IF(Base_IFData!Q1589&gt;0,Base_IFData!M1589/Base_IFData!Q1589,"PL ≤ 0"),"NI")</f>
        <v>NI</v>
      </c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</row>
    <row r="1589" spans="1:30" ht="15" customHeight="1" x14ac:dyDescent="0.2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15" t="str">
        <f>Base_IFData!A1590</f>
        <v>COOPERATIVA DE CRÉDITO DOS FUNCIONÁRIOS DA PERPART, DO IPA E DA ADAGRO - COOPEMATER</v>
      </c>
      <c r="L1589" s="15" t="str">
        <f>Base_IFData!F1590</f>
        <v>b3S</v>
      </c>
      <c r="M1589" s="17" t="str">
        <f>IF(AND(ISNUMBER(Base_IFData!L1590),ISNUMBER(Base_IFData!W1590)),IF(Base_IFData!L1590&gt;$B$4,Base_IFData!W1590,""),"")</f>
        <v/>
      </c>
      <c r="N1589" s="50" t="str">
        <f>IF(AND(ISNUMBER(Base_IFData!O1590),ISNUMBER(Base_IFData!Q1590)),IF(Base_IFData!Q1590&gt;0,Base_IFData!O1590/Base_IFData!Q1590,"PL ≤ 0"),"NI")</f>
        <v>NI</v>
      </c>
      <c r="O1589" s="107" t="str">
        <f>IF(AND(ISNUMBER(Base_IFData!M1590),ISNUMBER(Base_IFData!Q1590)),IF(Base_IFData!Q1590&gt;0,Base_IFData!M1590/Base_IFData!Q1590,"PL ≤ 0"),"NI")</f>
        <v>NI</v>
      </c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</row>
    <row r="1590" spans="1:30" ht="15" customHeight="1" x14ac:dyDescent="0.2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12" t="str">
        <f>Base_IFData!A1591</f>
        <v>CONTA PRONTA INSTITUICAO DE PAGAMENTO LTDA</v>
      </c>
      <c r="L1590" s="12" t="str">
        <f>Base_IFData!F1591</f>
        <v>n4</v>
      </c>
      <c r="M1590" s="14" t="str">
        <f>IF(AND(ISNUMBER(Base_IFData!L1591),ISNUMBER(Base_IFData!W1591)),IF(Base_IFData!L1591&gt;$B$4,Base_IFData!W1591,""),"")</f>
        <v/>
      </c>
      <c r="N1590" s="51" t="str">
        <f>IF(AND(ISNUMBER(Base_IFData!O1591),ISNUMBER(Base_IFData!Q1591)),IF(Base_IFData!Q1591&gt;0,Base_IFData!O1591/Base_IFData!Q1591,"PL ≤ 0"),"NI")</f>
        <v>NI</v>
      </c>
      <c r="O1590" s="110" t="str">
        <f>IF(AND(ISNUMBER(Base_IFData!M1591),ISNUMBER(Base_IFData!Q1591)),IF(Base_IFData!Q1591&gt;0,Base_IFData!M1591/Base_IFData!Q1591,"PL ≤ 0"),"NI")</f>
        <v>NI</v>
      </c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</row>
    <row r="1591" spans="1:30" ht="15" customHeight="1" x14ac:dyDescent="0.2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15" t="str">
        <f>Base_IFData!A1592</f>
        <v>CELCOIN INSTITUICAO DE PAGAMENTO S.A.</v>
      </c>
      <c r="L1591" s="15" t="str">
        <f>Base_IFData!F1592</f>
        <v>n4</v>
      </c>
      <c r="M1591" s="17" t="str">
        <f>IF(AND(ISNUMBER(Base_IFData!L1592),ISNUMBER(Base_IFData!W1592)),IF(Base_IFData!L1592&gt;$B$4,Base_IFData!W1592,""),"")</f>
        <v/>
      </c>
      <c r="N1591" s="50" t="str">
        <f>IF(AND(ISNUMBER(Base_IFData!O1592),ISNUMBER(Base_IFData!Q1592)),IF(Base_IFData!Q1592&gt;0,Base_IFData!O1592/Base_IFData!Q1592,"PL ≤ 0"),"NI")</f>
        <v>NI</v>
      </c>
      <c r="O1591" s="107" t="str">
        <f>IF(AND(ISNUMBER(Base_IFData!M1592),ISNUMBER(Base_IFData!Q1592)),IF(Base_IFData!Q1592&gt;0,Base_IFData!M1592/Base_IFData!Q1592,"PL ≤ 0"),"NI")</f>
        <v>NI</v>
      </c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</row>
    <row r="1592" spans="1:30" ht="15" customHeight="1" x14ac:dyDescent="0.2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12" t="str">
        <f>Base_IFData!A1593</f>
        <v>COOPERATIVA DE ECONOMIA E CRÉDITO MÚTUO DOS SERVIDORES MUNICIPAIS DE ITABIRA LTDA. - SICOOB COSEMI</v>
      </c>
      <c r="L1592" s="12" t="str">
        <f>Base_IFData!F1593</f>
        <v>b3S</v>
      </c>
      <c r="M1592" s="14" t="str">
        <f>IF(AND(ISNUMBER(Base_IFData!L1593),ISNUMBER(Base_IFData!W1593)),IF(Base_IFData!L1593&gt;$B$4,Base_IFData!W1593,""),"")</f>
        <v/>
      </c>
      <c r="N1592" s="51" t="str">
        <f>IF(AND(ISNUMBER(Base_IFData!O1593),ISNUMBER(Base_IFData!Q1593)),IF(Base_IFData!Q1593&gt;0,Base_IFData!O1593/Base_IFData!Q1593,"PL ≤ 0"),"NI")</f>
        <v>NI</v>
      </c>
      <c r="O1592" s="110" t="str">
        <f>IF(AND(ISNUMBER(Base_IFData!M1593),ISNUMBER(Base_IFData!Q1593)),IF(Base_IFData!Q1593&gt;0,Base_IFData!M1593/Base_IFData!Q1593,"PL ≤ 0"),"NI")</f>
        <v>NI</v>
      </c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</row>
    <row r="1593" spans="1:30" ht="15" customHeight="1" x14ac:dyDescent="0.2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15" t="str">
        <f>Base_IFData!A1594</f>
        <v>CONECTA CORRETORA DE CÂMBIO LTDA.</v>
      </c>
      <c r="L1593" s="15" t="str">
        <f>Base_IFData!F1594</f>
        <v>n2</v>
      </c>
      <c r="M1593" s="17" t="str">
        <f>IF(AND(ISNUMBER(Base_IFData!L1594),ISNUMBER(Base_IFData!W1594)),IF(Base_IFData!L1594&gt;$B$4,Base_IFData!W1594,""),"")</f>
        <v/>
      </c>
      <c r="N1593" s="50" t="str">
        <f>IF(AND(ISNUMBER(Base_IFData!O1594),ISNUMBER(Base_IFData!Q1594)),IF(Base_IFData!Q1594&gt;0,Base_IFData!O1594/Base_IFData!Q1594,"PL ≤ 0"),"NI")</f>
        <v>NI</v>
      </c>
      <c r="O1593" s="107" t="str">
        <f>IF(AND(ISNUMBER(Base_IFData!M1594),ISNUMBER(Base_IFData!Q1594)),IF(Base_IFData!Q1594&gt;0,Base_IFData!M1594/Base_IFData!Q1594,"PL ≤ 0"),"NI")</f>
        <v>NI</v>
      </c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</row>
    <row r="1594" spans="1:30" ht="15" customHeight="1" x14ac:dyDescent="0.2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12" t="str">
        <f>Base_IFData!A1595</f>
        <v>SUDACRED SOCIEDADE DE CRÉDITO DIRETO S.A.</v>
      </c>
      <c r="L1594" s="12" t="str">
        <f>Base_IFData!F1595</f>
        <v>n1</v>
      </c>
      <c r="M1594" s="14" t="str">
        <f>IF(AND(ISNUMBER(Base_IFData!L1595),ISNUMBER(Base_IFData!W1595)),IF(Base_IFData!L1595&gt;$B$4,Base_IFData!W1595,""),"")</f>
        <v/>
      </c>
      <c r="N1594" s="51" t="str">
        <f>IF(AND(ISNUMBER(Base_IFData!O1595),ISNUMBER(Base_IFData!Q1595)),IF(Base_IFData!Q1595&gt;0,Base_IFData!O1595/Base_IFData!Q1595,"PL ≤ 0"),"NI")</f>
        <v>NI</v>
      </c>
      <c r="O1594" s="110" t="str">
        <f>IF(AND(ISNUMBER(Base_IFData!M1595),ISNUMBER(Base_IFData!Q1595)),IF(Base_IFData!Q1595&gt;0,Base_IFData!M1595/Base_IFData!Q1595,"PL ≤ 0"),"NI")</f>
        <v>NI</v>
      </c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</row>
    <row r="1595" spans="1:30" ht="15" customHeight="1" x14ac:dyDescent="0.2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15" t="str">
        <f>Base_IFData!A1596</f>
        <v>BECKER FINANCEIRA S.A. - CRÉDITO, FINANCIAMENTO E INVESTIMENTO</v>
      </c>
      <c r="L1595" s="15" t="str">
        <f>Base_IFData!F1596</f>
        <v>n1</v>
      </c>
      <c r="M1595" s="17" t="str">
        <f>IF(AND(ISNUMBER(Base_IFData!L1596),ISNUMBER(Base_IFData!W1596)),IF(Base_IFData!L1596&gt;$B$4,Base_IFData!W1596,""),"")</f>
        <v/>
      </c>
      <c r="N1595" s="50" t="str">
        <f>IF(AND(ISNUMBER(Base_IFData!O1596),ISNUMBER(Base_IFData!Q1596)),IF(Base_IFData!Q1596&gt;0,Base_IFData!O1596/Base_IFData!Q1596,"PL ≤ 0"),"NI")</f>
        <v>NI</v>
      </c>
      <c r="O1595" s="107" t="str">
        <f>IF(AND(ISNUMBER(Base_IFData!M1596),ISNUMBER(Base_IFData!Q1596)),IF(Base_IFData!Q1596&gt;0,Base_IFData!M1596/Base_IFData!Q1596,"PL ≤ 0"),"NI")</f>
        <v>NI</v>
      </c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</row>
    <row r="1596" spans="1:30" ht="15" customHeight="1" x14ac:dyDescent="0.2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12" t="str">
        <f>Base_IFData!A1597</f>
        <v>COOPERATIVA DE CRÉDITO MÚTUO DOS EMPREGADOS DO CENTRO UNIVERSITÁRIO NEWTON PAIVA LTDA. - CREDIPAIVA</v>
      </c>
      <c r="L1596" s="12" t="str">
        <f>Base_IFData!F1597</f>
        <v>b3S</v>
      </c>
      <c r="M1596" s="14" t="str">
        <f>IF(AND(ISNUMBER(Base_IFData!L1597),ISNUMBER(Base_IFData!W1597)),IF(Base_IFData!L1597&gt;$B$4,Base_IFData!W1597,""),"")</f>
        <v/>
      </c>
      <c r="N1596" s="51" t="str">
        <f>IF(AND(ISNUMBER(Base_IFData!O1597),ISNUMBER(Base_IFData!Q1597)),IF(Base_IFData!Q1597&gt;0,Base_IFData!O1597/Base_IFData!Q1597,"PL ≤ 0"),"NI")</f>
        <v>NI</v>
      </c>
      <c r="O1596" s="110" t="str">
        <f>IF(AND(ISNUMBER(Base_IFData!M1597),ISNUMBER(Base_IFData!Q1597)),IF(Base_IFData!Q1597&gt;0,Base_IFData!M1597/Base_IFData!Q1597,"PL ≤ 0"),"NI")</f>
        <v>NI</v>
      </c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</row>
    <row r="1597" spans="1:30" ht="15" customHeight="1" x14ac:dyDescent="0.2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15" t="str">
        <f>Base_IFData!A1598</f>
        <v>TYCOON TECHNOLOGY INSTITUICAO DE PAGAMENTO S.A</v>
      </c>
      <c r="L1597" s="15" t="str">
        <f>Base_IFData!F1598</f>
        <v>n4</v>
      </c>
      <c r="M1597" s="17" t="str">
        <f>IF(AND(ISNUMBER(Base_IFData!L1598),ISNUMBER(Base_IFData!W1598)),IF(Base_IFData!L1598&gt;$B$4,Base_IFData!W1598,""),"")</f>
        <v/>
      </c>
      <c r="N1597" s="50" t="str">
        <f>IF(AND(ISNUMBER(Base_IFData!O1598),ISNUMBER(Base_IFData!Q1598)),IF(Base_IFData!Q1598&gt;0,Base_IFData!O1598/Base_IFData!Q1598,"PL ≤ 0"),"NI")</f>
        <v>NI</v>
      </c>
      <c r="O1597" s="107" t="str">
        <f>IF(AND(ISNUMBER(Base_IFData!M1598),ISNUMBER(Base_IFData!Q1598)),IF(Base_IFData!Q1598&gt;0,Base_IFData!M1598/Base_IFData!Q1598,"PL ≤ 0"),"NI")</f>
        <v>NI</v>
      </c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</row>
    <row r="1598" spans="1:30" ht="15" customHeight="1" x14ac:dyDescent="0.2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12" t="str">
        <f>Base_IFData!A1599</f>
        <v>COOPERATIVA DE CRÉDITO DOS SERVIDORES DA UNIVERSIDADE FEDERAL DO ESPIRITO SANTO</v>
      </c>
      <c r="L1598" s="12" t="str">
        <f>Base_IFData!F1599</f>
        <v>b3S</v>
      </c>
      <c r="M1598" s="14" t="str">
        <f>IF(AND(ISNUMBER(Base_IFData!L1599),ISNUMBER(Base_IFData!W1599)),IF(Base_IFData!L1599&gt;$B$4,Base_IFData!W1599,""),"")</f>
        <v/>
      </c>
      <c r="N1598" s="51" t="str">
        <f>IF(AND(ISNUMBER(Base_IFData!O1599),ISNUMBER(Base_IFData!Q1599)),IF(Base_IFData!Q1599&gt;0,Base_IFData!O1599/Base_IFData!Q1599,"PL ≤ 0"),"NI")</f>
        <v>NI</v>
      </c>
      <c r="O1598" s="110" t="str">
        <f>IF(AND(ISNUMBER(Base_IFData!M1599),ISNUMBER(Base_IFData!Q1599)),IF(Base_IFData!Q1599&gt;0,Base_IFData!M1599/Base_IFData!Q1599,"PL ≤ 0"),"NI")</f>
        <v>NI</v>
      </c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</row>
    <row r="1599" spans="1:30" ht="15" customHeight="1" x14ac:dyDescent="0.2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15" t="str">
        <f>Base_IFData!A1600</f>
        <v>COOPERATIVA DE ECONOMIA E CREDITO MUTUO DOS SERVIDORES DA COMLURB LTDA</v>
      </c>
      <c r="L1599" s="15" t="str">
        <f>Base_IFData!F1600</f>
        <v>b3S</v>
      </c>
      <c r="M1599" s="17" t="str">
        <f>IF(AND(ISNUMBER(Base_IFData!L1600),ISNUMBER(Base_IFData!W1600)),IF(Base_IFData!L1600&gt;$B$4,Base_IFData!W1600,""),"")</f>
        <v/>
      </c>
      <c r="N1599" s="50" t="str">
        <f>IF(AND(ISNUMBER(Base_IFData!O1600),ISNUMBER(Base_IFData!Q1600)),IF(Base_IFData!Q1600&gt;0,Base_IFData!O1600/Base_IFData!Q1600,"PL ≤ 0"),"NI")</f>
        <v>NI</v>
      </c>
      <c r="O1599" s="107" t="str">
        <f>IF(AND(ISNUMBER(Base_IFData!M1600),ISNUMBER(Base_IFData!Q1600)),IF(Base_IFData!Q1600&gt;0,Base_IFData!M1600/Base_IFData!Q1600,"PL ≤ 0"),"NI")</f>
        <v>NI</v>
      </c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</row>
    <row r="1600" spans="1:30" ht="15" customHeight="1" x14ac:dyDescent="0.2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12" t="str">
        <f>Base_IFData!A1601</f>
        <v>QESH INSTITUICAO DE PAGAMENTO LTDA</v>
      </c>
      <c r="L1600" s="12" t="str">
        <f>Base_IFData!F1601</f>
        <v>n4</v>
      </c>
      <c r="M1600" s="14" t="str">
        <f>IF(AND(ISNUMBER(Base_IFData!L1601),ISNUMBER(Base_IFData!W1601)),IF(Base_IFData!L1601&gt;$B$4,Base_IFData!W1601,""),"")</f>
        <v/>
      </c>
      <c r="N1600" s="51" t="str">
        <f>IF(AND(ISNUMBER(Base_IFData!O1601),ISNUMBER(Base_IFData!Q1601)),IF(Base_IFData!Q1601&gt;0,Base_IFData!O1601/Base_IFData!Q1601,"PL ≤ 0"),"NI")</f>
        <v>NI</v>
      </c>
      <c r="O1600" s="110" t="str">
        <f>IF(AND(ISNUMBER(Base_IFData!M1601),ISNUMBER(Base_IFData!Q1601)),IF(Base_IFData!Q1601&gt;0,Base_IFData!M1601/Base_IFData!Q1601,"PL ≤ 0"),"NI")</f>
        <v>NI</v>
      </c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</row>
    <row r="1601" spans="1:30" ht="15" customHeight="1" x14ac:dyDescent="0.2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15" t="str">
        <f>Base_IFData!A1602</f>
        <v>BANCO GUANABARA S.A.</v>
      </c>
      <c r="L1601" s="15" t="str">
        <f>Base_IFData!F1602</f>
        <v>b1</v>
      </c>
      <c r="M1601" s="17" t="str">
        <f>IF(AND(ISNUMBER(Base_IFData!L1602),ISNUMBER(Base_IFData!W1602)),IF(Base_IFData!L1602&gt;$B$4,Base_IFData!W1602,""),"")</f>
        <v/>
      </c>
      <c r="N1601" s="50" t="str">
        <f>IF(AND(ISNUMBER(Base_IFData!O1602),ISNUMBER(Base_IFData!Q1602)),IF(Base_IFData!Q1602&gt;0,Base_IFData!O1602/Base_IFData!Q1602,"PL ≤ 0"),"NI")</f>
        <v>NI</v>
      </c>
      <c r="O1601" s="107" t="str">
        <f>IF(AND(ISNUMBER(Base_IFData!M1602),ISNUMBER(Base_IFData!Q1602)),IF(Base_IFData!Q1602&gt;0,Base_IFData!M1602/Base_IFData!Q1602,"PL ≤ 0"),"NI")</f>
        <v>NI</v>
      </c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</row>
    <row r="1602" spans="1:30" ht="15" customHeight="1" x14ac:dyDescent="0.2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12" t="str">
        <f>Base_IFData!A1603</f>
        <v>BRB - CREDITO, FINANCIAMENTO E INVESTIMENTO S/A</v>
      </c>
      <c r="L1602" s="12" t="str">
        <f>Base_IFData!F1603</f>
        <v>n1</v>
      </c>
      <c r="M1602" s="14" t="str">
        <f>IF(AND(ISNUMBER(Base_IFData!L1603),ISNUMBER(Base_IFData!W1603)),IF(Base_IFData!L1603&gt;$B$4,Base_IFData!W1603,""),"")</f>
        <v/>
      </c>
      <c r="N1602" s="51" t="str">
        <f>IF(AND(ISNUMBER(Base_IFData!O1603),ISNUMBER(Base_IFData!Q1603)),IF(Base_IFData!Q1603&gt;0,Base_IFData!O1603/Base_IFData!Q1603,"PL ≤ 0"),"NI")</f>
        <v>NI</v>
      </c>
      <c r="O1602" s="110" t="str">
        <f>IF(AND(ISNUMBER(Base_IFData!M1603),ISNUMBER(Base_IFData!Q1603)),IF(Base_IFData!Q1603&gt;0,Base_IFData!M1603/Base_IFData!Q1603,"PL ≤ 0"),"NI")</f>
        <v>NI</v>
      </c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</row>
    <row r="1603" spans="1:30" ht="15" customHeight="1" x14ac:dyDescent="0.2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15" t="str">
        <f>Base_IFData!A1604</f>
        <v>MR S.A INSTITUICAO DE PAGAMENTO</v>
      </c>
      <c r="L1603" s="15" t="str">
        <f>Base_IFData!F1604</f>
        <v>n4</v>
      </c>
      <c r="M1603" s="17" t="str">
        <f>IF(AND(ISNUMBER(Base_IFData!L1604),ISNUMBER(Base_IFData!W1604)),IF(Base_IFData!L1604&gt;$B$4,Base_IFData!W1604,""),"")</f>
        <v/>
      </c>
      <c r="N1603" s="50" t="str">
        <f>IF(AND(ISNUMBER(Base_IFData!O1604),ISNUMBER(Base_IFData!Q1604)),IF(Base_IFData!Q1604&gt;0,Base_IFData!O1604/Base_IFData!Q1604,"PL ≤ 0"),"NI")</f>
        <v>NI</v>
      </c>
      <c r="O1603" s="107" t="str">
        <f>IF(AND(ISNUMBER(Base_IFData!M1604),ISNUMBER(Base_IFData!Q1604)),IF(Base_IFData!Q1604&gt;0,Base_IFData!M1604/Base_IFData!Q1604,"PL ≤ 0"),"NI")</f>
        <v>NI</v>
      </c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</row>
    <row r="1604" spans="1:30" ht="15" customHeight="1" x14ac:dyDescent="0.2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12" t="str">
        <f>Base_IFData!A1605</f>
        <v>NEXOOS SOCIEDADE DE EMPRÉSTIMO ENTRE PESSOAS S.A.</v>
      </c>
      <c r="L1604" s="12" t="str">
        <f>Base_IFData!F1605</f>
        <v>n1</v>
      </c>
      <c r="M1604" s="14" t="str">
        <f>IF(AND(ISNUMBER(Base_IFData!L1605),ISNUMBER(Base_IFData!W1605)),IF(Base_IFData!L1605&gt;$B$4,Base_IFData!W1605,""),"")</f>
        <v/>
      </c>
      <c r="N1604" s="51" t="str">
        <f>IF(AND(ISNUMBER(Base_IFData!O1605),ISNUMBER(Base_IFData!Q1605)),IF(Base_IFData!Q1605&gt;0,Base_IFData!O1605/Base_IFData!Q1605,"PL ≤ 0"),"NI")</f>
        <v>NI</v>
      </c>
      <c r="O1604" s="110" t="str">
        <f>IF(AND(ISNUMBER(Base_IFData!M1605),ISNUMBER(Base_IFData!Q1605)),IF(Base_IFData!Q1605&gt;0,Base_IFData!M1605/Base_IFData!Q1605,"PL ≤ 0"),"NI")</f>
        <v>NI</v>
      </c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</row>
    <row r="1605" spans="1:30" ht="15" customHeight="1" x14ac:dyDescent="0.2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15" t="str">
        <f>Base_IFData!A1606</f>
        <v>LP DO BRASIL INSTITUIÇÃO DE PAGAMENTO LTDA.</v>
      </c>
      <c r="L1605" s="15" t="str">
        <f>Base_IFData!F1606</f>
        <v>n4</v>
      </c>
      <c r="M1605" s="17" t="str">
        <f>IF(AND(ISNUMBER(Base_IFData!L1606),ISNUMBER(Base_IFData!W1606)),IF(Base_IFData!L1606&gt;$B$4,Base_IFData!W1606,""),"")</f>
        <v/>
      </c>
      <c r="N1605" s="50" t="str">
        <f>IF(AND(ISNUMBER(Base_IFData!O1606),ISNUMBER(Base_IFData!Q1606)),IF(Base_IFData!Q1606&gt;0,Base_IFData!O1606/Base_IFData!Q1606,"PL ≤ 0"),"NI")</f>
        <v>NI</v>
      </c>
      <c r="O1605" s="107" t="str">
        <f>IF(AND(ISNUMBER(Base_IFData!M1606),ISNUMBER(Base_IFData!Q1606)),IF(Base_IFData!Q1606&gt;0,Base_IFData!M1606/Base_IFData!Q1606,"PL ≤ 0"),"NI")</f>
        <v>NI</v>
      </c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</row>
    <row r="1606" spans="1:30" ht="15" customHeight="1" x14ac:dyDescent="0.2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12" t="str">
        <f>Base_IFData!A1607</f>
        <v>Z1 INSTITUIÇÃO DE PAGAMENTO LTDA.</v>
      </c>
      <c r="L1606" s="12" t="str">
        <f>Base_IFData!F1607</f>
        <v>n4</v>
      </c>
      <c r="M1606" s="14" t="str">
        <f>IF(AND(ISNUMBER(Base_IFData!L1607),ISNUMBER(Base_IFData!W1607)),IF(Base_IFData!L1607&gt;$B$4,Base_IFData!W1607,""),"")</f>
        <v/>
      </c>
      <c r="N1606" s="51" t="str">
        <f>IF(AND(ISNUMBER(Base_IFData!O1607),ISNUMBER(Base_IFData!Q1607)),IF(Base_IFData!Q1607&gt;0,Base_IFData!O1607/Base_IFData!Q1607,"PL ≤ 0"),"NI")</f>
        <v>NI</v>
      </c>
      <c r="O1606" s="110" t="str">
        <f>IF(AND(ISNUMBER(Base_IFData!M1607),ISNUMBER(Base_IFData!Q1607)),IF(Base_IFData!Q1607&gt;0,Base_IFData!M1607/Base_IFData!Q1607,"PL ≤ 0"),"NI")</f>
        <v>NI</v>
      </c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</row>
    <row r="1607" spans="1:30" ht="15" customHeight="1" x14ac:dyDescent="0.2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15" t="str">
        <f>Base_IFData!A1608</f>
        <v>3X INSTITUIÇÃO DE PAGAMENTO LTDA</v>
      </c>
      <c r="L1607" s="15" t="str">
        <f>Base_IFData!F1608</f>
        <v>n4</v>
      </c>
      <c r="M1607" s="17" t="str">
        <f>IF(AND(ISNUMBER(Base_IFData!L1608),ISNUMBER(Base_IFData!W1608)),IF(Base_IFData!L1608&gt;$B$4,Base_IFData!W1608,""),"")</f>
        <v/>
      </c>
      <c r="N1607" s="50" t="str">
        <f>IF(AND(ISNUMBER(Base_IFData!O1608),ISNUMBER(Base_IFData!Q1608)),IF(Base_IFData!Q1608&gt;0,Base_IFData!O1608/Base_IFData!Q1608,"PL ≤ 0"),"NI")</f>
        <v>NI</v>
      </c>
      <c r="O1607" s="107" t="str">
        <f>IF(AND(ISNUMBER(Base_IFData!M1608),ISNUMBER(Base_IFData!Q1608)),IF(Base_IFData!Q1608&gt;0,Base_IFData!M1608/Base_IFData!Q1608,"PL ≤ 0"),"NI")</f>
        <v>NI</v>
      </c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</row>
    <row r="1608" spans="1:30" ht="15" customHeight="1" x14ac:dyDescent="0.2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12" t="str">
        <f>Base_IFData!A1609</f>
        <v>QUANTO NETWORK INSTITUICAO DE PAGAMENTO LTDA.</v>
      </c>
      <c r="L1608" s="12" t="str">
        <f>Base_IFData!F1609</f>
        <v>n4</v>
      </c>
      <c r="M1608" s="14" t="str">
        <f>IF(AND(ISNUMBER(Base_IFData!L1609),ISNUMBER(Base_IFData!W1609)),IF(Base_IFData!L1609&gt;$B$4,Base_IFData!W1609,""),"")</f>
        <v/>
      </c>
      <c r="N1608" s="51" t="str">
        <f>IF(AND(ISNUMBER(Base_IFData!O1609),ISNUMBER(Base_IFData!Q1609)),IF(Base_IFData!Q1609&gt;0,Base_IFData!O1609/Base_IFData!Q1609,"PL ≤ 0"),"NI")</f>
        <v>NI</v>
      </c>
      <c r="O1608" s="110" t="str">
        <f>IF(AND(ISNUMBER(Base_IFData!M1609),ISNUMBER(Base_IFData!Q1609)),IF(Base_IFData!Q1609&gt;0,Base_IFData!M1609/Base_IFData!Q1609,"PL ≤ 0"),"NI")</f>
        <v>NI</v>
      </c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</row>
    <row r="1609" spans="1:30" ht="15" customHeight="1" x14ac:dyDescent="0.2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15" t="str">
        <f>Base_IFData!A1610</f>
        <v>MOTTU SOCIEDADE DE CRÉDITO DIRETO S.A.</v>
      </c>
      <c r="L1609" s="15" t="str">
        <f>Base_IFData!F1610</f>
        <v>n1</v>
      </c>
      <c r="M1609" s="17" t="str">
        <f>IF(AND(ISNUMBER(Base_IFData!L1610),ISNUMBER(Base_IFData!W1610)),IF(Base_IFData!L1610&gt;$B$4,Base_IFData!W1610,""),"")</f>
        <v/>
      </c>
      <c r="N1609" s="50" t="str">
        <f>IF(AND(ISNUMBER(Base_IFData!O1610),ISNUMBER(Base_IFData!Q1610)),IF(Base_IFData!Q1610&gt;0,Base_IFData!O1610/Base_IFData!Q1610,"PL ≤ 0"),"NI")</f>
        <v>NI</v>
      </c>
      <c r="O1609" s="107" t="str">
        <f>IF(AND(ISNUMBER(Base_IFData!M1610),ISNUMBER(Base_IFData!Q1610)),IF(Base_IFData!Q1610&gt;0,Base_IFData!M1610/Base_IFData!Q1610,"PL ≤ 0"),"NI")</f>
        <v>NI</v>
      </c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</row>
    <row r="1610" spans="1:30" ht="15" customHeight="1" x14ac:dyDescent="0.2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12" t="str">
        <f>Base_IFData!A1611</f>
        <v>FRIDAY INSTITUIÇÃO DE PAGAMENTOS LTDA.</v>
      </c>
      <c r="L1610" s="12" t="str">
        <f>Base_IFData!F1611</f>
        <v>n4</v>
      </c>
      <c r="M1610" s="14" t="str">
        <f>IF(AND(ISNUMBER(Base_IFData!L1611),ISNUMBER(Base_IFData!W1611)),IF(Base_IFData!L1611&gt;$B$4,Base_IFData!W1611,""),"")</f>
        <v/>
      </c>
      <c r="N1610" s="51" t="str">
        <f>IF(AND(ISNUMBER(Base_IFData!O1611),ISNUMBER(Base_IFData!Q1611)),IF(Base_IFData!Q1611&gt;0,Base_IFData!O1611/Base_IFData!Q1611,"PL ≤ 0"),"NI")</f>
        <v>NI</v>
      </c>
      <c r="O1610" s="110" t="str">
        <f>IF(AND(ISNUMBER(Base_IFData!M1611),ISNUMBER(Base_IFData!Q1611)),IF(Base_IFData!Q1611&gt;0,Base_IFData!M1611/Base_IFData!Q1611,"PL ≤ 0"),"NI")</f>
        <v>NI</v>
      </c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</row>
    <row r="1611" spans="1:30" ht="15" customHeight="1" x14ac:dyDescent="0.2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15" t="str">
        <f>Base_IFData!A1612</f>
        <v>OMIE INSTITUICAO DE PAGAMENTO LTDA.</v>
      </c>
      <c r="L1611" s="15" t="str">
        <f>Base_IFData!F1612</f>
        <v>n4</v>
      </c>
      <c r="M1611" s="17" t="str">
        <f>IF(AND(ISNUMBER(Base_IFData!L1612),ISNUMBER(Base_IFData!W1612)),IF(Base_IFData!L1612&gt;$B$4,Base_IFData!W1612,""),"")</f>
        <v/>
      </c>
      <c r="N1611" s="50" t="str">
        <f>IF(AND(ISNUMBER(Base_IFData!O1612),ISNUMBER(Base_IFData!Q1612)),IF(Base_IFData!Q1612&gt;0,Base_IFData!O1612/Base_IFData!Q1612,"PL ≤ 0"),"NI")</f>
        <v>NI</v>
      </c>
      <c r="O1611" s="107" t="str">
        <f>IF(AND(ISNUMBER(Base_IFData!M1612),ISNUMBER(Base_IFData!Q1612)),IF(Base_IFData!Q1612&gt;0,Base_IFData!M1612/Base_IFData!Q1612,"PL ≤ 0"),"NI")</f>
        <v>NI</v>
      </c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</row>
    <row r="1612" spans="1:30" ht="15" customHeight="1" x14ac:dyDescent="0.2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12" t="str">
        <f>Base_IFData!A1613</f>
        <v>COOPERATIVA DE ECONOMIA E CRÉDITO MÚTUO DOS FUNCIONÁRIOS DO GRUPO AVIBRAS - COOPER AVIBRAS</v>
      </c>
      <c r="L1612" s="12" t="str">
        <f>Base_IFData!F1613</f>
        <v>b3S</v>
      </c>
      <c r="M1612" s="14" t="str">
        <f>IF(AND(ISNUMBER(Base_IFData!L1613),ISNUMBER(Base_IFData!W1613)),IF(Base_IFData!L1613&gt;$B$4,Base_IFData!W1613,""),"")</f>
        <v/>
      </c>
      <c r="N1612" s="51" t="str">
        <f>IF(AND(ISNUMBER(Base_IFData!O1613),ISNUMBER(Base_IFData!Q1613)),IF(Base_IFData!Q1613&gt;0,Base_IFData!O1613/Base_IFData!Q1613,"PL ≤ 0"),"NI")</f>
        <v>NI</v>
      </c>
      <c r="O1612" s="110" t="str">
        <f>IF(AND(ISNUMBER(Base_IFData!M1613),ISNUMBER(Base_IFData!Q1613)),IF(Base_IFData!Q1613&gt;0,Base_IFData!M1613/Base_IFData!Q1613,"PL ≤ 0"),"NI")</f>
        <v>NI</v>
      </c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</row>
    <row r="1613" spans="1:30" ht="15" customHeight="1" x14ac:dyDescent="0.2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15" t="str">
        <f>Base_IFData!A1614</f>
        <v>PEAK SOCIEDADE DE EMPRÉSTIMO ENTRE PESSOAS S.A.</v>
      </c>
      <c r="L1613" s="15" t="str">
        <f>Base_IFData!F1614</f>
        <v>n1</v>
      </c>
      <c r="M1613" s="17" t="str">
        <f>IF(AND(ISNUMBER(Base_IFData!L1614),ISNUMBER(Base_IFData!W1614)),IF(Base_IFData!L1614&gt;$B$4,Base_IFData!W1614,""),"")</f>
        <v/>
      </c>
      <c r="N1613" s="50" t="str">
        <f>IF(AND(ISNUMBER(Base_IFData!O1614),ISNUMBER(Base_IFData!Q1614)),IF(Base_IFData!Q1614&gt;0,Base_IFData!O1614/Base_IFData!Q1614,"PL ≤ 0"),"NI")</f>
        <v>NI</v>
      </c>
      <c r="O1613" s="107" t="str">
        <f>IF(AND(ISNUMBER(Base_IFData!M1614),ISNUMBER(Base_IFData!Q1614)),IF(Base_IFData!Q1614&gt;0,Base_IFData!M1614/Base_IFData!Q1614,"PL ≤ 0"),"NI")</f>
        <v>NI</v>
      </c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</row>
    <row r="1614" spans="1:30" ht="15" customHeight="1" x14ac:dyDescent="0.2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12" t="str">
        <f>Base_IFData!A1615</f>
        <v>OPPENS SOCIEDADE DE EMPRESTIMO ENTRE PESSOAS S.A</v>
      </c>
      <c r="L1614" s="12" t="str">
        <f>Base_IFData!F1615</f>
        <v>n1</v>
      </c>
      <c r="M1614" s="14" t="str">
        <f>IF(AND(ISNUMBER(Base_IFData!L1615),ISNUMBER(Base_IFData!W1615)),IF(Base_IFData!L1615&gt;$B$4,Base_IFData!W1615,""),"")</f>
        <v/>
      </c>
      <c r="N1614" s="51" t="str">
        <f>IF(AND(ISNUMBER(Base_IFData!O1615),ISNUMBER(Base_IFData!Q1615)),IF(Base_IFData!Q1615&gt;0,Base_IFData!O1615/Base_IFData!Q1615,"PL ≤ 0"),"NI")</f>
        <v>NI</v>
      </c>
      <c r="O1614" s="110" t="str">
        <f>IF(AND(ISNUMBER(Base_IFData!M1615),ISNUMBER(Base_IFData!Q1615)),IF(Base_IFData!Q1615&gt;0,Base_IFData!M1615/Base_IFData!Q1615,"PL ≤ 0"),"NI")</f>
        <v>NI</v>
      </c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</row>
    <row r="1615" spans="1:30" ht="15" customHeight="1" x14ac:dyDescent="0.2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15" t="str">
        <f>Base_IFData!A1616</f>
        <v>ZIMPLER BRASIL INSTITUICAO DE PAGAMENTO LTDA.</v>
      </c>
      <c r="L1615" s="15" t="str">
        <f>Base_IFData!F1616</f>
        <v>n4</v>
      </c>
      <c r="M1615" s="17" t="str">
        <f>IF(AND(ISNUMBER(Base_IFData!L1616),ISNUMBER(Base_IFData!W1616)),IF(Base_IFData!L1616&gt;$B$4,Base_IFData!W1616,""),"")</f>
        <v/>
      </c>
      <c r="N1615" s="50" t="str">
        <f>IF(AND(ISNUMBER(Base_IFData!O1616),ISNUMBER(Base_IFData!Q1616)),IF(Base_IFData!Q1616&gt;0,Base_IFData!O1616/Base_IFData!Q1616,"PL ≤ 0"),"NI")</f>
        <v>NI</v>
      </c>
      <c r="O1615" s="107" t="str">
        <f>IF(AND(ISNUMBER(Base_IFData!M1616),ISNUMBER(Base_IFData!Q1616)),IF(Base_IFData!Q1616&gt;0,Base_IFData!M1616/Base_IFData!Q1616,"PL ≤ 0"),"NI")</f>
        <v>NI</v>
      </c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</row>
    <row r="1616" spans="1:30" ht="15" customHeight="1" x14ac:dyDescent="0.2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12" t="str">
        <f>Base_IFData!A1617</f>
        <v>KONECT SOCIEDADE DE CRÉDITO DIRETO S/A</v>
      </c>
      <c r="L1616" s="12" t="str">
        <f>Base_IFData!F1617</f>
        <v>n1</v>
      </c>
      <c r="M1616" s="14" t="str">
        <f>IF(AND(ISNUMBER(Base_IFData!L1617),ISNUMBER(Base_IFData!W1617)),IF(Base_IFData!L1617&gt;$B$4,Base_IFData!W1617,""),"")</f>
        <v/>
      </c>
      <c r="N1616" s="51" t="str">
        <f>IF(AND(ISNUMBER(Base_IFData!O1617),ISNUMBER(Base_IFData!Q1617)),IF(Base_IFData!Q1617&gt;0,Base_IFData!O1617/Base_IFData!Q1617,"PL ≤ 0"),"NI")</f>
        <v>NI</v>
      </c>
      <c r="O1616" s="110" t="str">
        <f>IF(AND(ISNUMBER(Base_IFData!M1617),ISNUMBER(Base_IFData!Q1617)),IF(Base_IFData!Q1617&gt;0,Base_IFData!M1617/Base_IFData!Q1617,"PL ≤ 0"),"NI")</f>
        <v>NI</v>
      </c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</row>
    <row r="1617" spans="1:30" ht="15" customHeight="1" x14ac:dyDescent="0.2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15" t="str">
        <f>Base_IFData!A1618</f>
        <v>SETHI SOCIEDADE DE CRÉDITO DIRETO S.A.</v>
      </c>
      <c r="L1617" s="15" t="str">
        <f>Base_IFData!F1618</f>
        <v>n1</v>
      </c>
      <c r="M1617" s="17" t="str">
        <f>IF(AND(ISNUMBER(Base_IFData!L1618),ISNUMBER(Base_IFData!W1618)),IF(Base_IFData!L1618&gt;$B$4,Base_IFData!W1618,""),"")</f>
        <v/>
      </c>
      <c r="N1617" s="50" t="str">
        <f>IF(AND(ISNUMBER(Base_IFData!O1618),ISNUMBER(Base_IFData!Q1618)),IF(Base_IFData!Q1618&gt;0,Base_IFData!O1618/Base_IFData!Q1618,"PL ≤ 0"),"NI")</f>
        <v>NI</v>
      </c>
      <c r="O1617" s="107" t="str">
        <f>IF(AND(ISNUMBER(Base_IFData!M1618),ISNUMBER(Base_IFData!Q1618)),IF(Base_IFData!Q1618&gt;0,Base_IFData!M1618/Base_IFData!Q1618,"PL ≤ 0"),"NI")</f>
        <v>NI</v>
      </c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</row>
    <row r="1618" spans="1:30" ht="15" customHeight="1" x14ac:dyDescent="0.2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12" t="str">
        <f>Base_IFData!A1619</f>
        <v>COOPERATIVA DE CRÉDITO E INVESTIMENTO UNINDÚSTRIA</v>
      </c>
      <c r="L1618" s="12" t="str">
        <f>Base_IFData!F1619</f>
        <v>b3S</v>
      </c>
      <c r="M1618" s="14" t="str">
        <f>IF(AND(ISNUMBER(Base_IFData!L1619),ISNUMBER(Base_IFData!W1619)),IF(Base_IFData!L1619&gt;$B$4,Base_IFData!W1619,""),"")</f>
        <v/>
      </c>
      <c r="N1618" s="51" t="str">
        <f>IF(AND(ISNUMBER(Base_IFData!O1619),ISNUMBER(Base_IFData!Q1619)),IF(Base_IFData!Q1619&gt;0,Base_IFData!O1619/Base_IFData!Q1619,"PL ≤ 0"),"NI")</f>
        <v>NI</v>
      </c>
      <c r="O1618" s="110" t="str">
        <f>IF(AND(ISNUMBER(Base_IFData!M1619),ISNUMBER(Base_IFData!Q1619)),IF(Base_IFData!Q1619&gt;0,Base_IFData!M1619/Base_IFData!Q1619,"PL ≤ 0"),"NI")</f>
        <v>NI</v>
      </c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</row>
    <row r="1619" spans="1:30" ht="15" customHeight="1" x14ac:dyDescent="0.2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15" t="str">
        <f>Base_IFData!A1620</f>
        <v>FATURACRED SOCIEDADE DE CRÉDITO DIRETO S.A.</v>
      </c>
      <c r="L1619" s="15" t="str">
        <f>Base_IFData!F1620</f>
        <v>n1</v>
      </c>
      <c r="M1619" s="17" t="str">
        <f>IF(AND(ISNUMBER(Base_IFData!L1620),ISNUMBER(Base_IFData!W1620)),IF(Base_IFData!L1620&gt;$B$4,Base_IFData!W1620,""),"")</f>
        <v/>
      </c>
      <c r="N1619" s="50" t="str">
        <f>IF(AND(ISNUMBER(Base_IFData!O1620),ISNUMBER(Base_IFData!Q1620)),IF(Base_IFData!Q1620&gt;0,Base_IFData!O1620/Base_IFData!Q1620,"PL ≤ 0"),"NI")</f>
        <v>NI</v>
      </c>
      <c r="O1619" s="107" t="str">
        <f>IF(AND(ISNUMBER(Base_IFData!M1620),ISNUMBER(Base_IFData!Q1620)),IF(Base_IFData!Q1620&gt;0,Base_IFData!M1620/Base_IFData!Q1620,"PL ≤ 0"),"NI")</f>
        <v>NI</v>
      </c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</row>
    <row r="1620" spans="1:30" ht="15" customHeight="1" x14ac:dyDescent="0.2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12" t="str">
        <f>Base_IFData!A1621</f>
        <v>COOPERATIVA DE CRÉDITO DE SERVIDORES DO PODER JUDICIÁRIO DA BAHIA LTDA. - COOPEJUS BAHIA</v>
      </c>
      <c r="L1620" s="12" t="str">
        <f>Base_IFData!F1621</f>
        <v>b3S</v>
      </c>
      <c r="M1620" s="14" t="str">
        <f>IF(AND(ISNUMBER(Base_IFData!L1621),ISNUMBER(Base_IFData!W1621)),IF(Base_IFData!L1621&gt;$B$4,Base_IFData!W1621,""),"")</f>
        <v/>
      </c>
      <c r="N1620" s="51" t="str">
        <f>IF(AND(ISNUMBER(Base_IFData!O1621),ISNUMBER(Base_IFData!Q1621)),IF(Base_IFData!Q1621&gt;0,Base_IFData!O1621/Base_IFData!Q1621,"PL ≤ 0"),"NI")</f>
        <v>NI</v>
      </c>
      <c r="O1620" s="110" t="str">
        <f>IF(AND(ISNUMBER(Base_IFData!M1621),ISNUMBER(Base_IFData!Q1621)),IF(Base_IFData!Q1621&gt;0,Base_IFData!M1621/Base_IFData!Q1621,"PL ≤ 0"),"NI")</f>
        <v>NI</v>
      </c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</row>
    <row r="1621" spans="1:30" ht="15" customHeight="1" x14ac:dyDescent="0.2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15" t="str">
        <f>Base_IFData!A1622</f>
        <v>COOPERATIVA DE CRÉDITO DOS EMPREGADOS DAS EMPRESAS DO GRUPO INDORAMA NO BRASIL</v>
      </c>
      <c r="L1621" s="15" t="str">
        <f>Base_IFData!F1622</f>
        <v>b3S</v>
      </c>
      <c r="M1621" s="17" t="str">
        <f>IF(AND(ISNUMBER(Base_IFData!L1622),ISNUMBER(Base_IFData!W1622)),IF(Base_IFData!L1622&gt;$B$4,Base_IFData!W1622,""),"")</f>
        <v/>
      </c>
      <c r="N1621" s="50" t="str">
        <f>IF(AND(ISNUMBER(Base_IFData!O1622),ISNUMBER(Base_IFData!Q1622)),IF(Base_IFData!Q1622&gt;0,Base_IFData!O1622/Base_IFData!Q1622,"PL ≤ 0"),"NI")</f>
        <v>NI</v>
      </c>
      <c r="O1621" s="107" t="str">
        <f>IF(AND(ISNUMBER(Base_IFData!M1622),ISNUMBER(Base_IFData!Q1622)),IF(Base_IFData!Q1622&gt;0,Base_IFData!M1622/Base_IFData!Q1622,"PL ≤ 0"),"NI")</f>
        <v>NI</v>
      </c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</row>
    <row r="1622" spans="1:30" ht="15" customHeight="1" x14ac:dyDescent="0.2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12" t="str">
        <f>Base_IFData!A1623</f>
        <v>NGO ASSOCIADOS CORRETORA DE CÂMBIO LTDA.</v>
      </c>
      <c r="L1622" s="12" t="str">
        <f>Base_IFData!F1623</f>
        <v>n2</v>
      </c>
      <c r="M1622" s="14" t="str">
        <f>IF(AND(ISNUMBER(Base_IFData!L1623),ISNUMBER(Base_IFData!W1623)),IF(Base_IFData!L1623&gt;$B$4,Base_IFData!W1623,""),"")</f>
        <v/>
      </c>
      <c r="N1622" s="51" t="str">
        <f>IF(AND(ISNUMBER(Base_IFData!O1623),ISNUMBER(Base_IFData!Q1623)),IF(Base_IFData!Q1623&gt;0,Base_IFData!O1623/Base_IFData!Q1623,"PL ≤ 0"),"NI")</f>
        <v>NI</v>
      </c>
      <c r="O1622" s="110" t="str">
        <f>IF(AND(ISNUMBER(Base_IFData!M1623),ISNUMBER(Base_IFData!Q1623)),IF(Base_IFData!Q1623&gt;0,Base_IFData!M1623/Base_IFData!Q1623,"PL ≤ 0"),"NI")</f>
        <v>NI</v>
      </c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</row>
    <row r="1623" spans="1:30" ht="15" customHeight="1" x14ac:dyDescent="0.2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15" t="str">
        <f>Base_IFData!A1624</f>
        <v>COOPERATIVA DE ECONOMIA E CRÉDITO MÚTUO DOS FUNCIONÁRIOS DO GRUPO VOTORANTIM LIMITADA.</v>
      </c>
      <c r="L1623" s="15" t="str">
        <f>Base_IFData!F1624</f>
        <v>b3S</v>
      </c>
      <c r="M1623" s="17" t="str">
        <f>IF(AND(ISNUMBER(Base_IFData!L1624),ISNUMBER(Base_IFData!W1624)),IF(Base_IFData!L1624&gt;$B$4,Base_IFData!W1624,""),"")</f>
        <v/>
      </c>
      <c r="N1623" s="50" t="str">
        <f>IF(AND(ISNUMBER(Base_IFData!O1624),ISNUMBER(Base_IFData!Q1624)),IF(Base_IFData!Q1624&gt;0,Base_IFData!O1624/Base_IFData!Q1624,"PL ≤ 0"),"NI")</f>
        <v>NI</v>
      </c>
      <c r="O1623" s="107" t="str">
        <f>IF(AND(ISNUMBER(Base_IFData!M1624),ISNUMBER(Base_IFData!Q1624)),IF(Base_IFData!Q1624&gt;0,Base_IFData!M1624/Base_IFData!Q1624,"PL ≤ 0"),"NI")</f>
        <v>NI</v>
      </c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</row>
    <row r="1624" spans="1:30" ht="15" customHeight="1" x14ac:dyDescent="0.2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12" t="str">
        <f>Base_IFData!A1625</f>
        <v>RB INVESTIMENTOS DISTRIBUIDORA DE TITULOS E VALORES MOBILIARIOS LIMITADA</v>
      </c>
      <c r="L1624" s="12" t="str">
        <f>Base_IFData!F1625</f>
        <v>n2</v>
      </c>
      <c r="M1624" s="14" t="str">
        <f>IF(AND(ISNUMBER(Base_IFData!L1625),ISNUMBER(Base_IFData!W1625)),IF(Base_IFData!L1625&gt;$B$4,Base_IFData!W1625,""),"")</f>
        <v/>
      </c>
      <c r="N1624" s="51" t="str">
        <f>IF(AND(ISNUMBER(Base_IFData!O1625),ISNUMBER(Base_IFData!Q1625)),IF(Base_IFData!Q1625&gt;0,Base_IFData!O1625/Base_IFData!Q1625,"PL ≤ 0"),"NI")</f>
        <v>NI</v>
      </c>
      <c r="O1624" s="110" t="str">
        <f>IF(AND(ISNUMBER(Base_IFData!M1625),ISNUMBER(Base_IFData!Q1625)),IF(Base_IFData!Q1625&gt;0,Base_IFData!M1625/Base_IFData!Q1625,"PL ≤ 0"),"NI")</f>
        <v>NI</v>
      </c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</row>
    <row r="1625" spans="1:30" ht="15" customHeight="1" x14ac:dyDescent="0.2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15" t="str">
        <f>Base_IFData!A1626</f>
        <v>COOPERATIVA DE ECONOMIA E CRÉDITO MÚTUO DOS ELETRICITÁRIOS E DOS TRABALHADORES DAS EMPRESAS DO SETOR DE ENERGIA - COOPCRECE</v>
      </c>
      <c r="L1625" s="15" t="str">
        <f>Base_IFData!F1626</f>
        <v>b3S</v>
      </c>
      <c r="M1625" s="17" t="str">
        <f>IF(AND(ISNUMBER(Base_IFData!L1626),ISNUMBER(Base_IFData!W1626)),IF(Base_IFData!L1626&gt;$B$4,Base_IFData!W1626,""),"")</f>
        <v/>
      </c>
      <c r="N1625" s="50" t="str">
        <f>IF(AND(ISNUMBER(Base_IFData!O1626),ISNUMBER(Base_IFData!Q1626)),IF(Base_IFData!Q1626&gt;0,Base_IFData!O1626/Base_IFData!Q1626,"PL ≤ 0"),"NI")</f>
        <v>NI</v>
      </c>
      <c r="O1625" s="107" t="str">
        <f>IF(AND(ISNUMBER(Base_IFData!M1626),ISNUMBER(Base_IFData!Q1626)),IF(Base_IFData!Q1626&gt;0,Base_IFData!M1626/Base_IFData!Q1626,"PL ≤ 0"),"NI")</f>
        <v>NI</v>
      </c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FD0A-414E-D647-88B1-B115C2043B50}">
  <sheetPr>
    <tabColor rgb="FFA16207"/>
  </sheetPr>
  <dimension ref="A1:Z200"/>
  <sheetViews>
    <sheetView showGridLines="0" workbookViewId="0">
      <selection activeCell="A2" sqref="A2:Z2"/>
    </sheetView>
  </sheetViews>
  <sheetFormatPr baseColWidth="10" defaultRowHeight="15" x14ac:dyDescent="0.2"/>
  <sheetData>
    <row r="1" spans="1:26" ht="31.5" customHeight="1" x14ac:dyDescent="0.2">
      <c r="A1" s="127" t="s">
        <v>3850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15" customHeight="1" x14ac:dyDescent="0.2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ht="21.75" customHeight="1" x14ac:dyDescent="0.2">
      <c r="A3" s="25" t="s">
        <v>3809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" customHeight="1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" customHeight="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" customHeigh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" customHeigh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" customHeight="1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" customHeight="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" customHeight="1" x14ac:dyDescent="0.2">
      <c r="A64" s="25" t="s">
        <v>3810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" customHeight="1" x14ac:dyDescent="0.2">
      <c r="A106" s="25" t="s">
        <v>3811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" customHeight="1" x14ac:dyDescent="0.2"/>
    <row r="108" spans="1:26" ht="15" customHeight="1" x14ac:dyDescent="0.2"/>
    <row r="109" spans="1:26" ht="15" customHeight="1" x14ac:dyDescent="0.2"/>
    <row r="110" spans="1:26" ht="15" customHeight="1" x14ac:dyDescent="0.2"/>
    <row r="111" spans="1:26" ht="15" customHeight="1" x14ac:dyDescent="0.2"/>
    <row r="112" spans="1:26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16207"/>
    <pageSetUpPr fitToPage="1"/>
  </sheetPr>
  <dimension ref="A1:D30"/>
  <sheetViews>
    <sheetView showGridLines="0" tabSelected="1" zoomScaleNormal="100" workbookViewId="0">
      <selection activeCell="C31" sqref="C31"/>
    </sheetView>
  </sheetViews>
  <sheetFormatPr baseColWidth="10" defaultColWidth="8.6640625" defaultRowHeight="15" x14ac:dyDescent="0.2"/>
  <cols>
    <col min="1" max="1" width="50" customWidth="1"/>
    <col min="2" max="4" width="34" customWidth="1"/>
  </cols>
  <sheetData>
    <row r="1" spans="1:4" ht="31.5" customHeight="1" x14ac:dyDescent="0.2">
      <c r="A1" s="145" t="s">
        <v>3851</v>
      </c>
      <c r="B1" s="146"/>
      <c r="C1" s="146"/>
      <c r="D1" s="146"/>
    </row>
    <row r="2" spans="1:4" ht="15" customHeight="1" x14ac:dyDescent="0.2">
      <c r="A2" s="133"/>
      <c r="B2" s="133"/>
      <c r="C2" s="133"/>
      <c r="D2" s="133"/>
    </row>
    <row r="3" spans="1:4" ht="21.75" customHeight="1" x14ac:dyDescent="0.2">
      <c r="A3" s="139" t="s">
        <v>3684</v>
      </c>
      <c r="B3" s="140"/>
      <c r="C3" s="140"/>
      <c r="D3" s="140"/>
    </row>
    <row r="4" spans="1:4" ht="36" customHeight="1" x14ac:dyDescent="0.2">
      <c r="A4" s="36" t="s">
        <v>3685</v>
      </c>
      <c r="B4" s="137" t="s">
        <v>3853</v>
      </c>
      <c r="C4" s="137"/>
      <c r="D4" s="138"/>
    </row>
    <row r="5" spans="1:4" ht="47" customHeight="1" x14ac:dyDescent="0.2">
      <c r="A5" s="44" t="s">
        <v>3686</v>
      </c>
      <c r="B5" s="137" t="s">
        <v>3855</v>
      </c>
      <c r="C5" s="137"/>
      <c r="D5" s="138"/>
    </row>
    <row r="6" spans="1:4" ht="24" customHeight="1" x14ac:dyDescent="0.2">
      <c r="A6" s="36" t="s">
        <v>3687</v>
      </c>
      <c r="B6" s="137" t="s">
        <v>3813</v>
      </c>
      <c r="C6" s="137"/>
      <c r="D6" s="138"/>
    </row>
    <row r="7" spans="1:4" ht="29" customHeight="1" x14ac:dyDescent="0.2">
      <c r="A7" s="44" t="s">
        <v>3688</v>
      </c>
      <c r="B7" s="137" t="s">
        <v>3854</v>
      </c>
      <c r="C7" s="137"/>
      <c r="D7" s="138"/>
    </row>
    <row r="8" spans="1:4" ht="47" customHeight="1" x14ac:dyDescent="0.2">
      <c r="A8" s="36" t="s">
        <v>3689</v>
      </c>
      <c r="B8" s="137" t="s">
        <v>3856</v>
      </c>
      <c r="C8" s="137"/>
      <c r="D8" s="138"/>
    </row>
    <row r="9" spans="1:4" x14ac:dyDescent="0.2">
      <c r="A9" s="8"/>
      <c r="B9" s="8"/>
      <c r="C9" s="8"/>
      <c r="D9" s="8"/>
    </row>
    <row r="10" spans="1:4" ht="21.75" customHeight="1" x14ac:dyDescent="0.2">
      <c r="A10" s="139" t="s">
        <v>3690</v>
      </c>
      <c r="B10" s="140"/>
      <c r="C10" s="140"/>
      <c r="D10" s="140"/>
    </row>
    <row r="11" spans="1:4" ht="29" customHeight="1" x14ac:dyDescent="0.2">
      <c r="A11" s="36" t="s">
        <v>3691</v>
      </c>
      <c r="B11" s="143" t="s">
        <v>3857</v>
      </c>
      <c r="C11" s="143"/>
      <c r="D11" s="144"/>
    </row>
    <row r="12" spans="1:4" ht="30" customHeight="1" x14ac:dyDescent="0.2">
      <c r="A12" s="44" t="s">
        <v>3692</v>
      </c>
      <c r="B12" s="141" t="s">
        <v>3858</v>
      </c>
      <c r="C12" s="141"/>
      <c r="D12" s="142"/>
    </row>
    <row r="13" spans="1:4" ht="30" customHeight="1" x14ac:dyDescent="0.2">
      <c r="A13" s="36" t="s">
        <v>3693</v>
      </c>
      <c r="B13" s="141" t="s">
        <v>3859</v>
      </c>
      <c r="C13" s="141"/>
      <c r="D13" s="142"/>
    </row>
    <row r="14" spans="1:4" ht="24" customHeight="1" x14ac:dyDescent="0.2">
      <c r="A14" s="44" t="s">
        <v>3694</v>
      </c>
      <c r="B14" s="143" t="s">
        <v>3860</v>
      </c>
      <c r="C14" s="143"/>
      <c r="D14" s="144"/>
    </row>
    <row r="15" spans="1:4" ht="24" customHeight="1" x14ac:dyDescent="0.2">
      <c r="A15" s="36" t="s">
        <v>3695</v>
      </c>
      <c r="B15" s="143" t="s">
        <v>3861</v>
      </c>
      <c r="C15" s="143"/>
      <c r="D15" s="144"/>
    </row>
    <row r="16" spans="1:4" x14ac:dyDescent="0.2">
      <c r="A16" s="8"/>
      <c r="B16" s="8"/>
      <c r="C16" s="8"/>
      <c r="D16" s="8"/>
    </row>
    <row r="17" spans="1:4" ht="21.75" customHeight="1" x14ac:dyDescent="0.2">
      <c r="A17" s="139" t="s">
        <v>3696</v>
      </c>
      <c r="B17" s="140"/>
      <c r="C17" s="140"/>
      <c r="D17" s="140"/>
    </row>
    <row r="18" spans="1:4" ht="43.5" customHeight="1" x14ac:dyDescent="0.2">
      <c r="A18" s="36" t="s">
        <v>3697</v>
      </c>
      <c r="B18" s="137" t="s">
        <v>3862</v>
      </c>
      <c r="C18" s="137"/>
      <c r="D18" s="138"/>
    </row>
    <row r="19" spans="1:4" ht="36" customHeight="1" x14ac:dyDescent="0.2">
      <c r="A19" s="44" t="s">
        <v>3698</v>
      </c>
      <c r="B19" s="137" t="s">
        <v>3863</v>
      </c>
      <c r="C19" s="137"/>
      <c r="D19" s="138"/>
    </row>
    <row r="20" spans="1:4" ht="36" customHeight="1" x14ac:dyDescent="0.2">
      <c r="A20" s="36" t="s">
        <v>3699</v>
      </c>
      <c r="B20" s="137" t="s">
        <v>3864</v>
      </c>
      <c r="C20" s="137"/>
      <c r="D20" s="138"/>
    </row>
    <row r="21" spans="1:4" x14ac:dyDescent="0.2">
      <c r="A21" s="8"/>
      <c r="B21" s="8"/>
      <c r="C21" s="8"/>
      <c r="D21" s="8"/>
    </row>
    <row r="22" spans="1:4" ht="21.75" customHeight="1" x14ac:dyDescent="0.2">
      <c r="A22" s="139" t="s">
        <v>3700</v>
      </c>
      <c r="B22" s="140"/>
      <c r="C22" s="140"/>
      <c r="D22" s="140"/>
    </row>
    <row r="23" spans="1:4" ht="43.5" customHeight="1" x14ac:dyDescent="0.2">
      <c r="A23" s="36" t="s">
        <v>3701</v>
      </c>
      <c r="B23" s="137" t="s">
        <v>3865</v>
      </c>
      <c r="C23" s="137"/>
      <c r="D23" s="138"/>
    </row>
    <row r="24" spans="1:4" ht="43.5" customHeight="1" x14ac:dyDescent="0.2">
      <c r="A24" s="44" t="s">
        <v>3702</v>
      </c>
      <c r="B24" s="137" t="s">
        <v>3866</v>
      </c>
      <c r="C24" s="137"/>
      <c r="D24" s="138"/>
    </row>
    <row r="25" spans="1:4" x14ac:dyDescent="0.2">
      <c r="A25" s="8"/>
      <c r="B25" s="8"/>
      <c r="C25" s="8"/>
      <c r="D25" s="8"/>
    </row>
    <row r="26" spans="1:4" ht="21.75" customHeight="1" x14ac:dyDescent="0.2">
      <c r="A26" s="139" t="s">
        <v>3703</v>
      </c>
      <c r="B26" s="140"/>
      <c r="C26" s="140"/>
      <c r="D26" s="140"/>
    </row>
    <row r="27" spans="1:4" ht="36" customHeight="1" x14ac:dyDescent="0.2">
      <c r="A27" s="36" t="s">
        <v>3704</v>
      </c>
      <c r="B27" s="137" t="s">
        <v>3867</v>
      </c>
      <c r="C27" s="137"/>
      <c r="D27" s="138"/>
    </row>
    <row r="28" spans="1:4" ht="36" customHeight="1" x14ac:dyDescent="0.2">
      <c r="A28" s="44" t="s">
        <v>3705</v>
      </c>
      <c r="B28" s="137" t="s">
        <v>3868</v>
      </c>
      <c r="C28" s="137"/>
      <c r="D28" s="138"/>
    </row>
    <row r="29" spans="1:4" ht="47" customHeight="1" x14ac:dyDescent="0.2">
      <c r="A29" s="36" t="s">
        <v>3706</v>
      </c>
      <c r="B29" s="137" t="s">
        <v>3869</v>
      </c>
      <c r="C29" s="137"/>
      <c r="D29" s="138"/>
    </row>
    <row r="30" spans="1:4" x14ac:dyDescent="0.2">
      <c r="A30" s="161"/>
      <c r="B30" s="161"/>
      <c r="C30" s="161"/>
      <c r="D30" s="161"/>
    </row>
  </sheetData>
  <mergeCells count="24">
    <mergeCell ref="A1:D1"/>
    <mergeCell ref="A3:D3"/>
    <mergeCell ref="B4:D4"/>
    <mergeCell ref="B5:D5"/>
    <mergeCell ref="B6:D6"/>
    <mergeCell ref="B7:D7"/>
    <mergeCell ref="B8:D8"/>
    <mergeCell ref="A10:D10"/>
    <mergeCell ref="B11:D11"/>
    <mergeCell ref="B12:D12"/>
    <mergeCell ref="B13:D13"/>
    <mergeCell ref="B14:D14"/>
    <mergeCell ref="B15:D15"/>
    <mergeCell ref="A17:D17"/>
    <mergeCell ref="B18:D18"/>
    <mergeCell ref="B19:D19"/>
    <mergeCell ref="B20:D20"/>
    <mergeCell ref="A22:D22"/>
    <mergeCell ref="B29:D29"/>
    <mergeCell ref="B23:D23"/>
    <mergeCell ref="B24:D24"/>
    <mergeCell ref="A26:D26"/>
    <mergeCell ref="B27:D27"/>
    <mergeCell ref="B28:D28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2</vt:i4>
      </vt:variant>
    </vt:vector>
  </HeadingPairs>
  <TitlesOfParts>
    <vt:vector size="12" baseType="lpstr">
      <vt:lpstr>Base_IFData_Original</vt:lpstr>
      <vt:lpstr>Base_IFData</vt:lpstr>
      <vt:lpstr>Totais_Fonte</vt:lpstr>
      <vt:lpstr>Dicionário</vt:lpstr>
      <vt:lpstr>Análises 1</vt:lpstr>
      <vt:lpstr>Análises 2</vt:lpstr>
      <vt:lpstr>Tabela_TCB</vt:lpstr>
      <vt:lpstr>Cálculos_Apoio</vt:lpstr>
      <vt:lpstr>Gráficos_Análise</vt:lpstr>
      <vt:lpstr>ANÁLISE_FINAL</vt:lpstr>
      <vt:lpstr>Base_IFData!Titulos_de_impressao</vt:lpstr>
      <vt:lpstr>Base_IFData_Original!Titulos_de_impressao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FData Junho 2026</dc:title>
  <dc:subject/>
  <dc:creator>Fernando Figueiredo</dc:creator>
  <dc:description/>
  <cp:lastModifiedBy>Fernando Figueiredo Alves</cp:lastModifiedBy>
  <cp:revision>1</cp:revision>
  <dcterms:created xsi:type="dcterms:W3CDTF">2026-10-01T12:05:06Z</dcterms:created>
  <dcterms:modified xsi:type="dcterms:W3CDTF">2026-10-19T12:19:31Z</dcterms:modified>
  <dc:language>en-US</dc:language>
</cp:coreProperties>
</file>